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osmicdoc/Desktop/МР Групп/Касаткина/"/>
    </mc:Choice>
  </mc:AlternateContent>
  <xr:revisionPtr revIDLastSave="0" documentId="13_ncr:1_{710C16BC-BC91-644D-A939-F102E87B92D6}" xr6:coauthVersionLast="47" xr6:coauthVersionMax="47" xr10:uidLastSave="{00000000-0000-0000-0000-000000000000}"/>
  <bookViews>
    <workbookView xWindow="0" yWindow="500" windowWidth="28800" windowHeight="16140" tabRatio="751" activeTab="5" xr2:uid="{00000000-000D-0000-FFFF-FFFF00000000}"/>
  </bookViews>
  <sheets>
    <sheet name="МАСТЕР ПЛАН" sheetId="33" r:id="rId1"/>
    <sheet name="RESUME" sheetId="10" r:id="rId2"/>
    <sheet name="DB" sheetId="21" r:id="rId3"/>
    <sheet name="DB1" sheetId="1" r:id="rId4"/>
    <sheet name="DB2" sheetId="23" r:id="rId5"/>
    <sheet name="CF" sheetId="29" r:id="rId6"/>
    <sheet name="CF1" sheetId="3" r:id="rId7"/>
    <sheet name="CF2" sheetId="24" r:id="rId8"/>
    <sheet name="TS1" sheetId="2" r:id="rId9"/>
    <sheet name="TS2" sheetId="25" r:id="rId10"/>
    <sheet name="DETAILS" sheetId="12" r:id="rId11"/>
    <sheet name="FACT" sheetId="16" r:id="rId12"/>
    <sheet name="БИТ" sheetId="35" r:id="rId13"/>
    <sheet name="CONTRACT" sheetId="11" state="hidden" r:id="rId14"/>
    <sheet name="ПРОДАЖИ" sheetId="32" r:id="rId15"/>
    <sheet name="СОЦИАЛКА" sheetId="31" r:id="rId16"/>
  </sheets>
  <definedNames>
    <definedName name="_" hidden="1">#REF!</definedName>
    <definedName name="__" hidden="1">#REF!,#REF!</definedName>
    <definedName name="____" hidden="1">#REF!,#REF!</definedName>
    <definedName name="_____" hidden="1">#REF!,#REF!</definedName>
    <definedName name="______" hidden="1">#REF!,#REF!</definedName>
    <definedName name="__________________________rwn10" hidden="1">{#N/A,#N/A,FALSE,"Aging Summary";#N/A,#N/A,FALSE,"Ratio Analysis";#N/A,#N/A,FALSE,"Test 120 Day Accts";#N/A,#N/A,FALSE,"Tickmarks"}</definedName>
    <definedName name="__________________________rwn3" hidden="1">{"assets",#N/A,FALSE,"historicBS";"liab",#N/A,FALSE,"historicBS";"is",#N/A,FALSE,"historicIS";"ratios",#N/A,FALSE,"ratios"}</definedName>
    <definedName name="__________________________rwn4" hidden="1">{"assets",#N/A,FALSE,"historicBS";"liab",#N/A,FALSE,"historicBS";"is",#N/A,FALSE,"historicIS";"ratios",#N/A,FALSE,"ratios"}</definedName>
    <definedName name="__________________________rwn5" hidden="1">{"glcbs",#N/A,FALSE,"GLCBS";"glccsbs",#N/A,FALSE,"GLCCSBS";"glcis",#N/A,FALSE,"GLCIS";"glccsis",#N/A,FALSE,"GLCCSIS";"glcrat1",#N/A,FALSE,"GLC-ratios1"}</definedName>
    <definedName name="__________________________rwn6" hidden="1">{"glc1",#N/A,FALSE,"GLC";"glc2",#N/A,FALSE,"GLC";"glc3",#N/A,FALSE,"GLC";"glc4",#N/A,FALSE,"GLC";"glc5",#N/A,FALSE,"GLC"}</definedName>
    <definedName name="______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8" hidden="1">{"glc1",#N/A,FALSE,"GLC";"glc2",#N/A,FALSE,"GLC";"glc3",#N/A,FALSE,"GLC";"glc4",#N/A,FALSE,"GLC";"glc5",#N/A,FALSE,"GLC"}</definedName>
    <definedName name="______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wrn2" hidden="1">{"glc1",#N/A,FALSE,"GLC";"glc2",#N/A,FALSE,"GLC";"glc3",#N/A,FALSE,"GLC";"glc4",#N/A,FALSE,"GLC";"glc5",#N/A,FALSE,"GLC"}</definedName>
    <definedName name="_________________________rwn1" hidden="1">{#N/A,#N/A,FALSE,"Aging Summary";#N/A,#N/A,FALSE,"Ratio Analysis";#N/A,#N/A,FALSE,"Test 120 Day Accts";#N/A,#N/A,FALSE,"Tickmarks"}</definedName>
    <definedName name="________________________rwb2" hidden="1">{#N/A,#N/A,FALSE,"Aging Summary";#N/A,#N/A,FALSE,"Ratio Analysis";#N/A,#N/A,FALSE,"Test 120 Day Accts";#N/A,#N/A,FALSE,"Tickmarks"}</definedName>
    <definedName name="________________________rwn10" hidden="1">{#N/A,#N/A,FALSE,"Aging Summary";#N/A,#N/A,FALSE,"Ratio Analysis";#N/A,#N/A,FALSE,"Test 120 Day Accts";#N/A,#N/A,FALSE,"Tickmarks"}</definedName>
    <definedName name="________________________rwn3" hidden="1">{"assets",#N/A,FALSE,"historicBS";"liab",#N/A,FALSE,"historicBS";"is",#N/A,FALSE,"historicIS";"ratios",#N/A,FALSE,"ratios"}</definedName>
    <definedName name="________________________rwn4" hidden="1">{"assets",#N/A,FALSE,"historicBS";"liab",#N/A,FALSE,"historicBS";"is",#N/A,FALSE,"historicIS";"ratios",#N/A,FALSE,"ratios"}</definedName>
    <definedName name="________________________rwn5" hidden="1">{"glcbs",#N/A,FALSE,"GLCBS";"glccsbs",#N/A,FALSE,"GLCCSBS";"glcis",#N/A,FALSE,"GLCIS";"glccsis",#N/A,FALSE,"GLCCSIS";"glcrat1",#N/A,FALSE,"GLC-ratios1"}</definedName>
    <definedName name="________________________rwn6" hidden="1">{"glc1",#N/A,FALSE,"GLC";"glc2",#N/A,FALSE,"GLC";"glc3",#N/A,FALSE,"GLC";"glc4",#N/A,FALSE,"GLC";"glc5",#N/A,FALSE,"GLC"}</definedName>
    <definedName name="____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8" hidden="1">{"glc1",#N/A,FALSE,"GLC";"glc2",#N/A,FALSE,"GLC";"glc3",#N/A,FALSE,"GLC";"glc4",#N/A,FALSE,"GLC";"glc5",#N/A,FALSE,"GLC"}</definedName>
    <definedName name="____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wrn2" hidden="1">{"glc1",#N/A,FALSE,"GLC";"glc2",#N/A,FALSE,"GLC";"glc3",#N/A,FALSE,"GLC";"glc4",#N/A,FALSE,"GLC";"glc5",#N/A,FALSE,"GLC"}</definedName>
    <definedName name="_______________________rwn1" hidden="1">{#N/A,#N/A,FALSE,"Aging Summary";#N/A,#N/A,FALSE,"Ratio Analysis";#N/A,#N/A,FALSE,"Test 120 Day Accts";#N/A,#N/A,FALSE,"Tickmarks"}</definedName>
    <definedName name="______________________rwb2" hidden="1">{#N/A,#N/A,FALSE,"Aging Summary";#N/A,#N/A,FALSE,"Ratio Analysis";#N/A,#N/A,FALSE,"Test 120 Day Accts";#N/A,#N/A,FALSE,"Tickmarks"}</definedName>
    <definedName name="______________________rwn10" hidden="1">{#N/A,#N/A,FALSE,"Aging Summary";#N/A,#N/A,FALSE,"Ratio Analysis";#N/A,#N/A,FALSE,"Test 120 Day Accts";#N/A,#N/A,FALSE,"Tickmarks"}</definedName>
    <definedName name="______________________rwn3" hidden="1">{"assets",#N/A,FALSE,"historicBS";"liab",#N/A,FALSE,"historicBS";"is",#N/A,FALSE,"historicIS";"ratios",#N/A,FALSE,"ratios"}</definedName>
    <definedName name="______________________rwn4" hidden="1">{"assets",#N/A,FALSE,"historicBS";"liab",#N/A,FALSE,"historicBS";"is",#N/A,FALSE,"historicIS";"ratios",#N/A,FALSE,"ratios"}</definedName>
    <definedName name="______________________rwn5" hidden="1">{"glcbs",#N/A,FALSE,"GLCBS";"glccsbs",#N/A,FALSE,"GLCCSBS";"glcis",#N/A,FALSE,"GLCIS";"glccsis",#N/A,FALSE,"GLCCSIS";"glcrat1",#N/A,FALSE,"GLC-ratios1"}</definedName>
    <definedName name="______________________rwn6" hidden="1">{"glc1",#N/A,FALSE,"GLC";"glc2",#N/A,FALSE,"GLC";"glc3",#N/A,FALSE,"GLC";"glc4",#N/A,FALSE,"GLC";"glc5",#N/A,FALSE,"GLC"}</definedName>
    <definedName name="__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8" hidden="1">{"glc1",#N/A,FALSE,"GLC";"glc2",#N/A,FALSE,"GLC";"glc3",#N/A,FALSE,"GLC";"glc4",#N/A,FALSE,"GLC";"glc5",#N/A,FALSE,"GLC"}</definedName>
    <definedName name="__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wrn2" hidden="1">{"glc1",#N/A,FALSE,"GLC";"glc2",#N/A,FALSE,"GLC";"glc3",#N/A,FALSE,"GLC";"glc4",#N/A,FALSE,"GLC";"glc5",#N/A,FALSE,"GLC"}</definedName>
    <definedName name="_____________________rwn1" hidden="1">{#N/A,#N/A,FALSE,"Aging Summary";#N/A,#N/A,FALSE,"Ratio Analysis";#N/A,#N/A,FALSE,"Test 120 Day Accts";#N/A,#N/A,FALSE,"Tickmarks"}</definedName>
    <definedName name="_____________________rwn10" hidden="1">{#N/A,#N/A,FALSE,"Aging Summary";#N/A,#N/A,FALSE,"Ratio Analysis";#N/A,#N/A,FALSE,"Test 120 Day Accts";#N/A,#N/A,FALSE,"Tickmarks"}</definedName>
    <definedName name="_____________________rwn3" hidden="1">{"assets",#N/A,FALSE,"historicBS";"liab",#N/A,FALSE,"historicBS";"is",#N/A,FALSE,"historicIS";"ratios",#N/A,FALSE,"ratios"}</definedName>
    <definedName name="_____________________rwn4" hidden="1">{"assets",#N/A,FALSE,"historicBS";"liab",#N/A,FALSE,"historicBS";"is",#N/A,FALSE,"historicIS";"ratios",#N/A,FALSE,"ratios"}</definedName>
    <definedName name="_____________________rwn5" hidden="1">{"glcbs",#N/A,FALSE,"GLCBS";"glccsbs",#N/A,FALSE,"GLCCSBS";"glcis",#N/A,FALSE,"GLCIS";"glccsis",#N/A,FALSE,"GLCCSIS";"glcrat1",#N/A,FALSE,"GLC-ratios1"}</definedName>
    <definedName name="_____________________rwn6" hidden="1">{"glc1",#N/A,FALSE,"GLC";"glc2",#N/A,FALSE,"GLC";"glc3",#N/A,FALSE,"GLC";"glc4",#N/A,FALSE,"GLC";"glc5",#N/A,FALSE,"GLC"}</definedName>
    <definedName name="_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8" hidden="1">{"glc1",#N/A,FALSE,"GLC";"glc2",#N/A,FALSE,"GLC";"glc3",#N/A,FALSE,"GLC";"glc4",#N/A,FALSE,"GLC";"glc5",#N/A,FALSE,"GLC"}</definedName>
    <definedName name="_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wrn2" hidden="1">{"glc1",#N/A,FALSE,"GLC";"glc2",#N/A,FALSE,"GLC";"glc3",#N/A,FALSE,"GLC";"glc4",#N/A,FALSE,"GLC";"glc5",#N/A,FALSE,"GLC"}</definedName>
    <definedName name="____________________rwb2" hidden="1">{#N/A,#N/A,FALSE,"Aging Summary";#N/A,#N/A,FALSE,"Ratio Analysis";#N/A,#N/A,FALSE,"Test 120 Day Accts";#N/A,#N/A,FALSE,"Tickmarks"}</definedName>
    <definedName name="____________________rwn1" hidden="1">{#N/A,#N/A,FALSE,"Aging Summary";#N/A,#N/A,FALSE,"Ratio Analysis";#N/A,#N/A,FALSE,"Test 120 Day Accts";#N/A,#N/A,FALSE,"Tickmarks"}</definedName>
    <definedName name="____________________rwn10" hidden="1">{#N/A,#N/A,FALSE,"Aging Summary";#N/A,#N/A,FALSE,"Ratio Analysis";#N/A,#N/A,FALSE,"Test 120 Day Accts";#N/A,#N/A,FALSE,"Tickmarks"}</definedName>
    <definedName name="____________________rwn3" hidden="1">{"assets",#N/A,FALSE,"historicBS";"liab",#N/A,FALSE,"historicBS";"is",#N/A,FALSE,"historicIS";"ratios",#N/A,FALSE,"ratios"}</definedName>
    <definedName name="____________________rwn4" hidden="1">{"assets",#N/A,FALSE,"historicBS";"liab",#N/A,FALSE,"historicBS";"is",#N/A,FALSE,"historicIS";"ratios",#N/A,FALSE,"ratios"}</definedName>
    <definedName name="____________________rwn5" hidden="1">{"glcbs",#N/A,FALSE,"GLCBS";"glccsbs",#N/A,FALSE,"GLCCSBS";"glcis",#N/A,FALSE,"GLCIS";"glccsis",#N/A,FALSE,"GLCCSIS";"glcrat1",#N/A,FALSE,"GLC-ratios1"}</definedName>
    <definedName name="____________________rwn6" hidden="1">{"glc1",#N/A,FALSE,"GLC";"glc2",#N/A,FALSE,"GLC";"glc3",#N/A,FALSE,"GLC";"glc4",#N/A,FALSE,"GLC";"glc5",#N/A,FALSE,"GLC"}</definedName>
    <definedName name="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8" hidden="1">{"glc1",#N/A,FALSE,"GLC";"glc2",#N/A,FALSE,"GLC";"glc3",#N/A,FALSE,"GLC";"glc4",#N/A,FALSE,"GLC";"glc5",#N/A,FALSE,"GLC"}</definedName>
    <definedName name="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wrn2" hidden="1">{"glc1",#N/A,FALSE,"GLC";"glc2",#N/A,FALSE,"GLC";"glc3",#N/A,FALSE,"GLC";"glc4",#N/A,FALSE,"GLC";"glc5",#N/A,FALSE,"GLC"}</definedName>
    <definedName name="___________________rwb2" hidden="1">{#N/A,#N/A,FALSE,"Aging Summary";#N/A,#N/A,FALSE,"Ratio Analysis";#N/A,#N/A,FALSE,"Test 120 Day Accts";#N/A,#N/A,FALSE,"Tickmarks"}</definedName>
    <definedName name="___________________rwn1" hidden="1">{#N/A,#N/A,FALSE,"Aging Summary";#N/A,#N/A,FALSE,"Ratio Analysis";#N/A,#N/A,FALSE,"Test 120 Day Accts";#N/A,#N/A,FALSE,"Tickmarks"}</definedName>
    <definedName name="___________________rwn10" hidden="1">{#N/A,#N/A,FALSE,"Aging Summary";#N/A,#N/A,FALSE,"Ratio Analysis";#N/A,#N/A,FALSE,"Test 120 Day Accts";#N/A,#N/A,FALSE,"Tickmarks"}</definedName>
    <definedName name="___________________rwn3" hidden="1">{"assets",#N/A,FALSE,"historicBS";"liab",#N/A,FALSE,"historicBS";"is",#N/A,FALSE,"historicIS";"ratios",#N/A,FALSE,"ratios"}</definedName>
    <definedName name="___________________rwn4" hidden="1">{"assets",#N/A,FALSE,"historicBS";"liab",#N/A,FALSE,"historicBS";"is",#N/A,FALSE,"historicIS";"ratios",#N/A,FALSE,"ratios"}</definedName>
    <definedName name="___________________rwn5" hidden="1">{"glcbs",#N/A,FALSE,"GLCBS";"glccsbs",#N/A,FALSE,"GLCCSBS";"glcis",#N/A,FALSE,"GLCIS";"glccsis",#N/A,FALSE,"GLCCSIS";"glcrat1",#N/A,FALSE,"GLC-ratios1"}</definedName>
    <definedName name="___________________rwn6" hidden="1">{"glc1",#N/A,FALSE,"GLC";"glc2",#N/A,FALSE,"GLC";"glc3",#N/A,FALSE,"GLC";"glc4",#N/A,FALSE,"GLC";"glc5",#N/A,FALSE,"GLC"}</definedName>
    <definedName name="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8" hidden="1">{"glc1",#N/A,FALSE,"GLC";"glc2",#N/A,FALSE,"GLC";"glc3",#N/A,FALSE,"GLC";"glc4",#N/A,FALSE,"GLC";"glc5",#N/A,FALSE,"GLC"}</definedName>
    <definedName name="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wrn2" hidden="1">{"glc1",#N/A,FALSE,"GLC";"glc2",#N/A,FALSE,"GLC";"glc3",#N/A,FALSE,"GLC";"glc4",#N/A,FALSE,"GLC";"glc5",#N/A,FALSE,"GLC"}</definedName>
    <definedName name="__________________rwb2" hidden="1">{#N/A,#N/A,FALSE,"Aging Summary";#N/A,#N/A,FALSE,"Ratio Analysis";#N/A,#N/A,FALSE,"Test 120 Day Accts";#N/A,#N/A,FALSE,"Tickmarks"}</definedName>
    <definedName name="__________________rwn1" hidden="1">{#N/A,#N/A,FALSE,"Aging Summary";#N/A,#N/A,FALSE,"Ratio Analysis";#N/A,#N/A,FALSE,"Test 120 Day Accts";#N/A,#N/A,FALSE,"Tickmarks"}</definedName>
    <definedName name="__________________rwn10" hidden="1">{#N/A,#N/A,FALSE,"Aging Summary";#N/A,#N/A,FALSE,"Ratio Analysis";#N/A,#N/A,FALSE,"Test 120 Day Accts";#N/A,#N/A,FALSE,"Tickmarks"}</definedName>
    <definedName name="__________________rwn3" hidden="1">{"assets",#N/A,FALSE,"historicBS";"liab",#N/A,FALSE,"historicBS";"is",#N/A,FALSE,"historicIS";"ratios",#N/A,FALSE,"ratios"}</definedName>
    <definedName name="__________________rwn4" hidden="1">{"assets",#N/A,FALSE,"historicBS";"liab",#N/A,FALSE,"historicBS";"is",#N/A,FALSE,"historicIS";"ratios",#N/A,FALSE,"ratios"}</definedName>
    <definedName name="__________________rwn5" hidden="1">{"glcbs",#N/A,FALSE,"GLCBS";"glccsbs",#N/A,FALSE,"GLCCSBS";"glcis",#N/A,FALSE,"GLCIS";"glccsis",#N/A,FALSE,"GLCCSIS";"glcrat1",#N/A,FALSE,"GLC-ratios1"}</definedName>
    <definedName name="__________________rwn6" hidden="1">{"glc1",#N/A,FALSE,"GLC";"glc2",#N/A,FALSE,"GLC";"glc3",#N/A,FALSE,"GLC";"glc4",#N/A,FALSE,"GLC";"glc5",#N/A,FALSE,"GLC"}</definedName>
    <definedName name="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8" hidden="1">{"glc1",#N/A,FALSE,"GLC";"glc2",#N/A,FALSE,"GLC";"glc3",#N/A,FALSE,"GLC";"glc4",#N/A,FALSE,"GLC";"glc5",#N/A,FALSE,"GLC"}</definedName>
    <definedName name="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wrn2" hidden="1">{"glc1",#N/A,FALSE,"GLC";"glc2",#N/A,FALSE,"GLC";"glc3",#N/A,FALSE,"GLC";"glc4",#N/A,FALSE,"GLC";"glc5",#N/A,FALSE,"GLC"}</definedName>
    <definedName name="_________________rwb2" hidden="1">{#N/A,#N/A,FALSE,"Aging Summary";#N/A,#N/A,FALSE,"Ratio Analysis";#N/A,#N/A,FALSE,"Test 120 Day Accts";#N/A,#N/A,FALSE,"Tickmarks"}</definedName>
    <definedName name="_________________rwn1" hidden="1">{#N/A,#N/A,FALSE,"Aging Summary";#N/A,#N/A,FALSE,"Ratio Analysis";#N/A,#N/A,FALSE,"Test 120 Day Accts";#N/A,#N/A,FALSE,"Tickmarks"}</definedName>
    <definedName name="_________________rwn10" hidden="1">{#N/A,#N/A,FALSE,"Aging Summary";#N/A,#N/A,FALSE,"Ratio Analysis";#N/A,#N/A,FALSE,"Test 120 Day Accts";#N/A,#N/A,FALSE,"Tickmarks"}</definedName>
    <definedName name="_________________rwn3" hidden="1">{"assets",#N/A,FALSE,"historicBS";"liab",#N/A,FALSE,"historicBS";"is",#N/A,FALSE,"historicIS";"ratios",#N/A,FALSE,"ratios"}</definedName>
    <definedName name="_________________rwn4" hidden="1">{"assets",#N/A,FALSE,"historicBS";"liab",#N/A,FALSE,"historicBS";"is",#N/A,FALSE,"historicIS";"ratios",#N/A,FALSE,"ratios"}</definedName>
    <definedName name="_________________rwn5" hidden="1">{"glcbs",#N/A,FALSE,"GLCBS";"glccsbs",#N/A,FALSE,"GLCCSBS";"glcis",#N/A,FALSE,"GLCIS";"glccsis",#N/A,FALSE,"GLCCSIS";"glcrat1",#N/A,FALSE,"GLC-ratios1"}</definedName>
    <definedName name="_________________rwn6" hidden="1">{"glc1",#N/A,FALSE,"GLC";"glc2",#N/A,FALSE,"GLC";"glc3",#N/A,FALSE,"GLC";"glc4",#N/A,FALSE,"GLC";"glc5",#N/A,FALSE,"GLC"}</definedName>
    <definedName name="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8" hidden="1">{"glc1",#N/A,FALSE,"GLC";"glc2",#N/A,FALSE,"GLC";"glc3",#N/A,FALSE,"GLC";"glc4",#N/A,FALSE,"GLC";"glc5",#N/A,FALSE,"GLC"}</definedName>
    <definedName name="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wrn2" hidden="1">{"glc1",#N/A,FALSE,"GLC";"glc2",#N/A,FALSE,"GLC";"glc3",#N/A,FALSE,"GLC";"glc4",#N/A,FALSE,"GLC";"glc5",#N/A,FALSE,"GLC"}</definedName>
    <definedName name="_________________wrn222" hidden="1">{"glc1",#N/A,FALSE,"GLC";"glc2",#N/A,FALSE,"GLC";"glc3",#N/A,FALSE,"GLC";"glc4",#N/A,FALSE,"GLC";"glc5",#N/A,FALSE,"GLC"}</definedName>
    <definedName name="________________rwb2" hidden="1">{#N/A,#N/A,FALSE,"Aging Summary";#N/A,#N/A,FALSE,"Ratio Analysis";#N/A,#N/A,FALSE,"Test 120 Day Accts";#N/A,#N/A,FALSE,"Tickmarks"}</definedName>
    <definedName name="________________rwn1" hidden="1">{#N/A,#N/A,FALSE,"Aging Summary";#N/A,#N/A,FALSE,"Ratio Analysis";#N/A,#N/A,FALSE,"Test 120 Day Accts";#N/A,#N/A,FALSE,"Tickmarks"}</definedName>
    <definedName name="________________rwn10" hidden="1">{#N/A,#N/A,FALSE,"Aging Summary";#N/A,#N/A,FALSE,"Ratio Analysis";#N/A,#N/A,FALSE,"Test 120 Day Accts";#N/A,#N/A,FALSE,"Tickmarks"}</definedName>
    <definedName name="________________rwn3" hidden="1">{"assets",#N/A,FALSE,"historicBS";"liab",#N/A,FALSE,"historicBS";"is",#N/A,FALSE,"historicIS";"ratios",#N/A,FALSE,"ratios"}</definedName>
    <definedName name="________________rwn4" hidden="1">{"assets",#N/A,FALSE,"historicBS";"liab",#N/A,FALSE,"historicBS";"is",#N/A,FALSE,"historicIS";"ratios",#N/A,FALSE,"ratios"}</definedName>
    <definedName name="________________rwn5" hidden="1">{"glcbs",#N/A,FALSE,"GLCBS";"glccsbs",#N/A,FALSE,"GLCCSBS";"glcis",#N/A,FALSE,"GLCIS";"glccsis",#N/A,FALSE,"GLCCSIS";"glcrat1",#N/A,FALSE,"GLC-ratios1"}</definedName>
    <definedName name="________________rwn6" hidden="1">{"glc1",#N/A,FALSE,"GLC";"glc2",#N/A,FALSE,"GLC";"glc3",#N/A,FALSE,"GLC";"glc4",#N/A,FALSE,"GLC";"glc5",#N/A,FALSE,"GLC"}</definedName>
    <definedName name="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8" hidden="1">{"glc1",#N/A,FALSE,"GLC";"glc2",#N/A,FALSE,"GLC";"glc3",#N/A,FALSE,"GLC";"glc4",#N/A,FALSE,"GLC";"glc5",#N/A,FALSE,"GLC"}</definedName>
    <definedName name="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wrn2" hidden="1">{"glc1",#N/A,FALSE,"GLC";"glc2",#N/A,FALSE,"GLC";"glc3",#N/A,FALSE,"GLC";"glc4",#N/A,FALSE,"GLC";"glc5",#N/A,FALSE,"GLC"}</definedName>
    <definedName name="_______________rwb2" hidden="1">{#N/A,#N/A,FALSE,"Aging Summary";#N/A,#N/A,FALSE,"Ratio Analysis";#N/A,#N/A,FALSE,"Test 120 Day Accts";#N/A,#N/A,FALSE,"Tickmarks"}</definedName>
    <definedName name="_______________rwn1" hidden="1">{#N/A,#N/A,FALSE,"Aging Summary";#N/A,#N/A,FALSE,"Ratio Analysis";#N/A,#N/A,FALSE,"Test 120 Day Accts";#N/A,#N/A,FALSE,"Tickmarks"}</definedName>
    <definedName name="_______________rwn10" hidden="1">{#N/A,#N/A,FALSE,"Aging Summary";#N/A,#N/A,FALSE,"Ratio Analysis";#N/A,#N/A,FALSE,"Test 120 Day Accts";#N/A,#N/A,FALSE,"Tickmarks"}</definedName>
    <definedName name="_______________rwn3" hidden="1">{"assets",#N/A,FALSE,"historicBS";"liab",#N/A,FALSE,"historicBS";"is",#N/A,FALSE,"historicIS";"ratios",#N/A,FALSE,"ratios"}</definedName>
    <definedName name="_______________rwn4" hidden="1">{"assets",#N/A,FALSE,"historicBS";"liab",#N/A,FALSE,"historicBS";"is",#N/A,FALSE,"historicIS";"ratios",#N/A,FALSE,"ratios"}</definedName>
    <definedName name="_______________rwn5" hidden="1">{"glcbs",#N/A,FALSE,"GLCBS";"glccsbs",#N/A,FALSE,"GLCCSBS";"glcis",#N/A,FALSE,"GLCIS";"glccsis",#N/A,FALSE,"GLCCSIS";"glcrat1",#N/A,FALSE,"GLC-ratios1"}</definedName>
    <definedName name="_______________rwn6" hidden="1">{"glc1",#N/A,FALSE,"GLC";"glc2",#N/A,FALSE,"GLC";"glc3",#N/A,FALSE,"GLC";"glc4",#N/A,FALSE,"GLC";"glc5",#N/A,FALSE,"GLC"}</definedName>
    <definedName name="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8" hidden="1">{"glc1",#N/A,FALSE,"GLC";"glc2",#N/A,FALSE,"GLC";"glc3",#N/A,FALSE,"GLC";"glc4",#N/A,FALSE,"GLC";"glc5",#N/A,FALSE,"GLC"}</definedName>
    <definedName name="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wrn2" hidden="1">{"glc1",#N/A,FALSE,"GLC";"glc2",#N/A,FALSE,"GLC";"glc3",#N/A,FALSE,"GLC";"glc4",#N/A,FALSE,"GLC";"glc5",#N/A,FALSE,"GLC"}</definedName>
    <definedName name="_______________wrn222" hidden="1">{"glc1",#N/A,FALSE,"GLC";"glc2",#N/A,FALSE,"GLC";"glc3",#N/A,FALSE,"GLC";"glc4",#N/A,FALSE,"GLC";"glc5",#N/A,FALSE,"GLC"}</definedName>
    <definedName name="______________rwb2" hidden="1">{#N/A,#N/A,FALSE,"Aging Summary";#N/A,#N/A,FALSE,"Ratio Analysis";#N/A,#N/A,FALSE,"Test 120 Day Accts";#N/A,#N/A,FALSE,"Tickmarks"}</definedName>
    <definedName name="______________rwn1" hidden="1">{#N/A,#N/A,FALSE,"Aging Summary";#N/A,#N/A,FALSE,"Ratio Analysis";#N/A,#N/A,FALSE,"Test 120 Day Accts";#N/A,#N/A,FALSE,"Tickmarks"}</definedName>
    <definedName name="______________rwn10" hidden="1">{#N/A,#N/A,FALSE,"Aging Summary";#N/A,#N/A,FALSE,"Ratio Analysis";#N/A,#N/A,FALSE,"Test 120 Day Accts";#N/A,#N/A,FALSE,"Tickmarks"}</definedName>
    <definedName name="______________rwn3" hidden="1">{"assets",#N/A,FALSE,"historicBS";"liab",#N/A,FALSE,"historicBS";"is",#N/A,FALSE,"historicIS";"ratios",#N/A,FALSE,"ratios"}</definedName>
    <definedName name="______________rwn4" hidden="1">{"assets",#N/A,FALSE,"historicBS";"liab",#N/A,FALSE,"historicBS";"is",#N/A,FALSE,"historicIS";"ratios",#N/A,FALSE,"ratios"}</definedName>
    <definedName name="______________rwn5" hidden="1">{"glcbs",#N/A,FALSE,"GLCBS";"glccsbs",#N/A,FALSE,"GLCCSBS";"glcis",#N/A,FALSE,"GLCIS";"glccsis",#N/A,FALSE,"GLCCSIS";"glcrat1",#N/A,FALSE,"GLC-ratios1"}</definedName>
    <definedName name="______________rwn6" hidden="1">{"glc1",#N/A,FALSE,"GLC";"glc2",#N/A,FALSE,"GLC";"glc3",#N/A,FALSE,"GLC";"glc4",#N/A,FALSE,"GLC";"glc5",#N/A,FALSE,"GLC"}</definedName>
    <definedName name="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8" hidden="1">{"glc1",#N/A,FALSE,"GLC";"glc2",#N/A,FALSE,"GLC";"glc3",#N/A,FALSE,"GLC";"glc4",#N/A,FALSE,"GLC";"glc5",#N/A,FALSE,"GLC"}</definedName>
    <definedName name="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wrn2" hidden="1">{"glc1",#N/A,FALSE,"GLC";"glc2",#N/A,FALSE,"GLC";"glc3",#N/A,FALSE,"GLC";"glc4",#N/A,FALSE,"GLC";"glc5",#N/A,FALSE,"GLC"}</definedName>
    <definedName name="_____________rwb2" hidden="1">{#N/A,#N/A,FALSE,"Aging Summary";#N/A,#N/A,FALSE,"Ratio Analysis";#N/A,#N/A,FALSE,"Test 120 Day Accts";#N/A,#N/A,FALSE,"Tickmarks"}</definedName>
    <definedName name="_____________rwn1" hidden="1">{#N/A,#N/A,FALSE,"Aging Summary";#N/A,#N/A,FALSE,"Ratio Analysis";#N/A,#N/A,FALSE,"Test 120 Day Accts";#N/A,#N/A,FALSE,"Tickmarks"}</definedName>
    <definedName name="_____________rwn10" hidden="1">{#N/A,#N/A,FALSE,"Aging Summary";#N/A,#N/A,FALSE,"Ratio Analysis";#N/A,#N/A,FALSE,"Test 120 Day Accts";#N/A,#N/A,FALSE,"Tickmarks"}</definedName>
    <definedName name="_____________rwn3" hidden="1">{"assets",#N/A,FALSE,"historicBS";"liab",#N/A,FALSE,"historicBS";"is",#N/A,FALSE,"historicIS";"ratios",#N/A,FALSE,"ratios"}</definedName>
    <definedName name="_____________rwn4" hidden="1">{"assets",#N/A,FALSE,"historicBS";"liab",#N/A,FALSE,"historicBS";"is",#N/A,FALSE,"historicIS";"ratios",#N/A,FALSE,"ratios"}</definedName>
    <definedName name="_____________rwn5" hidden="1">{"glcbs",#N/A,FALSE,"GLCBS";"glccsbs",#N/A,FALSE,"GLCCSBS";"glcis",#N/A,FALSE,"GLCIS";"glccsis",#N/A,FALSE,"GLCCSIS";"glcrat1",#N/A,FALSE,"GLC-ratios1"}</definedName>
    <definedName name="_____________rwn6" hidden="1">{"glc1",#N/A,FALSE,"GLC";"glc2",#N/A,FALSE,"GLC";"glc3",#N/A,FALSE,"GLC";"glc4",#N/A,FALSE,"GLC";"glc5",#N/A,FALSE,"GLC"}</definedName>
    <definedName name="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8" hidden="1">{"glc1",#N/A,FALSE,"GLC";"glc2",#N/A,FALSE,"GLC";"glc3",#N/A,FALSE,"GLC";"glc4",#N/A,FALSE,"GLC";"glc5",#N/A,FALSE,"GLC"}</definedName>
    <definedName name="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wrn2" hidden="1">{"glc1",#N/A,FALSE,"GLC";"glc2",#N/A,FALSE,"GLC";"glc3",#N/A,FALSE,"GLC";"glc4",#N/A,FALSE,"GLC";"glc5",#N/A,FALSE,"GLC"}</definedName>
    <definedName name="_____________wrn222" hidden="1">{"glc1",#N/A,FALSE,"GLC";"glc2",#N/A,FALSE,"GLC";"glc3",#N/A,FALSE,"GLC";"glc4",#N/A,FALSE,"GLC";"glc5",#N/A,FALSE,"GLC"}</definedName>
    <definedName name="____________AS1" localSheetId="12" hidden="1">{#N/A,#N/A,FALSE,"müş_iç_ihz";#N/A,#N/A,FALSE,"müş_iç_er";#N/A,#N/A,FALSE,"müş_iç_tut"}</definedName>
    <definedName name="____________AS1" hidden="1">{#N/A,#N/A,FALSE,"müş_iç_ihz";#N/A,#N/A,FALSE,"müş_iç_er";#N/A,#N/A,FALSE,"müş_iç_tut"}</definedName>
    <definedName name="____________rwb2" hidden="1">{#N/A,#N/A,FALSE,"Aging Summary";#N/A,#N/A,FALSE,"Ratio Analysis";#N/A,#N/A,FALSE,"Test 120 Day Accts";#N/A,#N/A,FALSE,"Tickmarks"}</definedName>
    <definedName name="____________rwn1" hidden="1">{#N/A,#N/A,FALSE,"Aging Summary";#N/A,#N/A,FALSE,"Ratio Analysis";#N/A,#N/A,FALSE,"Test 120 Day Accts";#N/A,#N/A,FALSE,"Tickmarks"}</definedName>
    <definedName name="____________rwn10" hidden="1">{#N/A,#N/A,FALSE,"Aging Summary";#N/A,#N/A,FALSE,"Ratio Analysis";#N/A,#N/A,FALSE,"Test 120 Day Accts";#N/A,#N/A,FALSE,"Tickmarks"}</definedName>
    <definedName name="____________rwn3" hidden="1">{"assets",#N/A,FALSE,"historicBS";"liab",#N/A,FALSE,"historicBS";"is",#N/A,FALSE,"historicIS";"ratios",#N/A,FALSE,"ratios"}</definedName>
    <definedName name="____________rwn4" hidden="1">{"assets",#N/A,FALSE,"historicBS";"liab",#N/A,FALSE,"historicBS";"is",#N/A,FALSE,"historicIS";"ratios",#N/A,FALSE,"ratios"}</definedName>
    <definedName name="____________rwn5" hidden="1">{"glcbs",#N/A,FALSE,"GLCBS";"glccsbs",#N/A,FALSE,"GLCCSBS";"glcis",#N/A,FALSE,"GLCIS";"glccsis",#N/A,FALSE,"GLCCSIS";"glcrat1",#N/A,FALSE,"GLC-ratios1"}</definedName>
    <definedName name="____________rwn6" hidden="1">{"glc1",#N/A,FALSE,"GLC";"glc2",#N/A,FALSE,"GLC";"glc3",#N/A,FALSE,"GLC";"glc4",#N/A,FALSE,"GLC";"glc5",#N/A,FALSE,"GLC"}</definedName>
    <definedName name="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8" hidden="1">{"glc1",#N/A,FALSE,"GLC";"glc2",#N/A,FALSE,"GLC";"glc3",#N/A,FALSE,"GLC";"glc4",#N/A,FALSE,"GLC";"glc5",#N/A,FALSE,"GLC"}</definedName>
    <definedName name="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wrn2" hidden="1">{"glc1",#N/A,FALSE,"GLC";"glc2",#N/A,FALSE,"GLC";"glc3",#N/A,FALSE,"GLC";"glc4",#N/A,FALSE,"GLC";"glc5",#N/A,FALSE,"GLC"}</definedName>
    <definedName name="____________wrn222" hidden="1">{"glc1",#N/A,FALSE,"GLC";"glc2",#N/A,FALSE,"GLC";"glc3",#N/A,FALSE,"GLC";"glc4",#N/A,FALSE,"GLC";"glc5",#N/A,FALSE,"GLC"}</definedName>
    <definedName name="___________hkf8" hidden="1">{"glc1",#N/A,FALSE,"GLC";"glc2",#N/A,FALSE,"GLC";"glc3",#N/A,FALSE,"GLC";"glc4",#N/A,FALSE,"GLC";"glc5",#N/A,FALSE,"GLC"}</definedName>
    <definedName name="___________n76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_rwb2" hidden="1">{#N/A,#N/A,FALSE,"Aging Summary";#N/A,#N/A,FALSE,"Ratio Analysis";#N/A,#N/A,FALSE,"Test 120 Day Accts";#N/A,#N/A,FALSE,"Tickmarks"}</definedName>
    <definedName name="___________rwn1" hidden="1">{#N/A,#N/A,FALSE,"Aging Summary";#N/A,#N/A,FALSE,"Ratio Analysis";#N/A,#N/A,FALSE,"Test 120 Day Accts";#N/A,#N/A,FALSE,"Tickmarks"}</definedName>
    <definedName name="___________rwn10" hidden="1">{#N/A,#N/A,FALSE,"Aging Summary";#N/A,#N/A,FALSE,"Ratio Analysis";#N/A,#N/A,FALSE,"Test 120 Day Accts";#N/A,#N/A,FALSE,"Tickmarks"}</definedName>
    <definedName name="___________rwn3" hidden="1">{"assets",#N/A,FALSE,"historicBS";"liab",#N/A,FALSE,"historicBS";"is",#N/A,FALSE,"historicIS";"ratios",#N/A,FALSE,"ratios"}</definedName>
    <definedName name="___________rwn4" hidden="1">{"assets",#N/A,FALSE,"historicBS";"liab",#N/A,FALSE,"historicBS";"is",#N/A,FALSE,"historicIS";"ratios",#N/A,FALSE,"ratios"}</definedName>
    <definedName name="___________rwn5" hidden="1">{"glcbs",#N/A,FALSE,"GLCBS";"glccsbs",#N/A,FALSE,"GLCCSBS";"glcis",#N/A,FALSE,"GLCIS";"glccsis",#N/A,FALSE,"GLCCSIS";"glcrat1",#N/A,FALSE,"GLC-ratios1"}</definedName>
    <definedName name="___________rwn6" hidden="1">{"glc1",#N/A,FALSE,"GLC";"glc2",#N/A,FALSE,"GLC";"glc3",#N/A,FALSE,"GLC";"glc4",#N/A,FALSE,"GLC";"glc5",#N/A,FALSE,"GLC"}</definedName>
    <definedName name="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8" hidden="1">{"glc1",#N/A,FALSE,"GLC";"glc2",#N/A,FALSE,"GLC";"glc3",#N/A,FALSE,"GLC";"glc4",#N/A,FALSE,"GLC";"glc5",#N/A,FALSE,"GLC"}</definedName>
    <definedName name="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wrn2" hidden="1">{"glc1",#N/A,FALSE,"GLC";"glc2",#N/A,FALSE,"GLC";"glc3",#N/A,FALSE,"GLC";"glc4",#N/A,FALSE,"GLC";"glc5",#N/A,FALSE,"GLC"}</definedName>
    <definedName name="___________wrn222" hidden="1">{"glc1",#N/A,FALSE,"GLC";"glc2",#N/A,FALSE,"GLC";"glc3",#N/A,FALSE,"GLC";"glc4",#N/A,FALSE,"GLC";"glc5",#N/A,FALSE,"GLC"}</definedName>
    <definedName name="__________AS1" localSheetId="12" hidden="1">{#N/A,#N/A,FALSE,"müş_iç_ihz";#N/A,#N/A,FALSE,"müş_iç_er";#N/A,#N/A,FALSE,"müş_iç_tut"}</definedName>
    <definedName name="__________AS1" hidden="1">{#N/A,#N/A,FALSE,"müş_iç_ihz";#N/A,#N/A,FALSE,"müş_iç_er";#N/A,#N/A,FALSE,"müş_iç_tut"}</definedName>
    <definedName name="__________rwb2" hidden="1">{#N/A,#N/A,FALSE,"Aging Summary";#N/A,#N/A,FALSE,"Ratio Analysis";#N/A,#N/A,FALSE,"Test 120 Day Accts";#N/A,#N/A,FALSE,"Tickmarks"}</definedName>
    <definedName name="__________rwn1" hidden="1">{#N/A,#N/A,FALSE,"Aging Summary";#N/A,#N/A,FALSE,"Ratio Analysis";#N/A,#N/A,FALSE,"Test 120 Day Accts";#N/A,#N/A,FALSE,"Tickmarks"}</definedName>
    <definedName name="__________rwn10" hidden="1">{#N/A,#N/A,FALSE,"Aging Summary";#N/A,#N/A,FALSE,"Ratio Analysis";#N/A,#N/A,FALSE,"Test 120 Day Accts";#N/A,#N/A,FALSE,"Tickmarks"}</definedName>
    <definedName name="__________rwn3" hidden="1">{"assets",#N/A,FALSE,"historicBS";"liab",#N/A,FALSE,"historicBS";"is",#N/A,FALSE,"historicIS";"ratios",#N/A,FALSE,"ratios"}</definedName>
    <definedName name="__________rwn4" hidden="1">{"assets",#N/A,FALSE,"historicBS";"liab",#N/A,FALSE,"historicBS";"is",#N/A,FALSE,"historicIS";"ratios",#N/A,FALSE,"ratios"}</definedName>
    <definedName name="__________rwn5" hidden="1">{"glcbs",#N/A,FALSE,"GLCBS";"glccsbs",#N/A,FALSE,"GLCCSBS";"glcis",#N/A,FALSE,"GLCIS";"glccsis",#N/A,FALSE,"GLCCSIS";"glcrat1",#N/A,FALSE,"GLC-ratios1"}</definedName>
    <definedName name="__________rwn6" hidden="1">{"glc1",#N/A,FALSE,"GLC";"glc2",#N/A,FALSE,"GLC";"glc3",#N/A,FALSE,"GLC";"glc4",#N/A,FALSE,"GLC";"glc5",#N/A,FALSE,"GLC"}</definedName>
    <definedName name="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8" hidden="1">{"glc1",#N/A,FALSE,"GLC";"glc2",#N/A,FALSE,"GLC";"glc3",#N/A,FALSE,"GLC";"glc4",#N/A,FALSE,"GLC";"glc5",#N/A,FALSE,"GLC"}</definedName>
    <definedName name="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wrn2" hidden="1">{"glc1",#N/A,FALSE,"GLC";"glc2",#N/A,FALSE,"GLC";"glc3",#N/A,FALSE,"GLC";"glc4",#N/A,FALSE,"GLC";"glc5",#N/A,FALSE,"GLC"}</definedName>
    <definedName name="__________wrn222" hidden="1">{"glc1",#N/A,FALSE,"GLC";"glc2",#N/A,FALSE,"GLC";"glc3",#N/A,FALSE,"GLC";"glc4",#N/A,FALSE,"GLC";"glc5",#N/A,FALSE,"GLC"}</definedName>
    <definedName name="_________hkf8" hidden="1">{"glc1",#N/A,FALSE,"GLC";"glc2",#N/A,FALSE,"GLC";"glc3",#N/A,FALSE,"GLC";"glc4",#N/A,FALSE,"GLC";"glc5",#N/A,FALSE,"GLC"}</definedName>
    <definedName name="_________n76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rwb2" hidden="1">{#N/A,#N/A,FALSE,"Aging Summary";#N/A,#N/A,FALSE,"Ratio Analysis";#N/A,#N/A,FALSE,"Test 120 Day Accts";#N/A,#N/A,FALSE,"Tickmarks"}</definedName>
    <definedName name="_________rwn1" hidden="1">{#N/A,#N/A,FALSE,"Aging Summary";#N/A,#N/A,FALSE,"Ratio Analysis";#N/A,#N/A,FALSE,"Test 120 Day Accts";#N/A,#N/A,FALSE,"Tickmarks"}</definedName>
    <definedName name="_________rwn10" hidden="1">{#N/A,#N/A,FALSE,"Aging Summary";#N/A,#N/A,FALSE,"Ratio Analysis";#N/A,#N/A,FALSE,"Test 120 Day Accts";#N/A,#N/A,FALSE,"Tickmarks"}</definedName>
    <definedName name="_________rwn3" hidden="1">{"assets",#N/A,FALSE,"historicBS";"liab",#N/A,FALSE,"historicBS";"is",#N/A,FALSE,"historicIS";"ratios",#N/A,FALSE,"ratios"}</definedName>
    <definedName name="_________rwn4" hidden="1">{"assets",#N/A,FALSE,"historicBS";"liab",#N/A,FALSE,"historicBS";"is",#N/A,FALSE,"historicIS";"ratios",#N/A,FALSE,"ratios"}</definedName>
    <definedName name="_________rwn5" hidden="1">{"glcbs",#N/A,FALSE,"GLCBS";"glccsbs",#N/A,FALSE,"GLCCSBS";"glcis",#N/A,FALSE,"GLCIS";"glccsis",#N/A,FALSE,"GLCCSIS";"glcrat1",#N/A,FALSE,"GLC-ratios1"}</definedName>
    <definedName name="_________rwn6" hidden="1">{"glc1",#N/A,FALSE,"GLC";"glc2",#N/A,FALSE,"GLC";"glc3",#N/A,FALSE,"GLC";"glc4",#N/A,FALSE,"GLC";"glc5",#N/A,FALSE,"GLC"}</definedName>
    <definedName name="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8" hidden="1">{"glc1",#N/A,FALSE,"GLC";"glc2",#N/A,FALSE,"GLC";"glc3",#N/A,FALSE,"GLC";"glc4",#N/A,FALSE,"GLC";"glc5",#N/A,FALSE,"GLC"}</definedName>
    <definedName name="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wrn2" hidden="1">{"glc1",#N/A,FALSE,"GLC";"glc2",#N/A,FALSE,"GLC";"glc3",#N/A,FALSE,"GLC";"glc4",#N/A,FALSE,"GLC";"glc5",#N/A,FALSE,"GLC"}</definedName>
    <definedName name="_________wrn222" hidden="1">{"glc1",#N/A,FALSE,"GLC";"glc2",#N/A,FALSE,"GLC";"glc3",#N/A,FALSE,"GLC";"glc4",#N/A,FALSE,"GLC";"glc5",#N/A,FALSE,"GLC"}</definedName>
    <definedName name="________AS1" localSheetId="12" hidden="1">{#N/A,#N/A,FALSE,"müş_iç_ihz";#N/A,#N/A,FALSE,"müş_iç_er";#N/A,#N/A,FALSE,"müş_iç_tut"}</definedName>
    <definedName name="________AS1" hidden="1">{#N/A,#N/A,FALSE,"müş_iç_ihz";#N/A,#N/A,FALSE,"müş_iç_er";#N/A,#N/A,FALSE,"müş_iç_tut"}</definedName>
    <definedName name="________rwb2" hidden="1">{#N/A,#N/A,FALSE,"Aging Summary";#N/A,#N/A,FALSE,"Ratio Analysis";#N/A,#N/A,FALSE,"Test 120 Day Accts";#N/A,#N/A,FALSE,"Tickmarks"}</definedName>
    <definedName name="________rwn1" hidden="1">{#N/A,#N/A,FALSE,"Aging Summary";#N/A,#N/A,FALSE,"Ratio Analysis";#N/A,#N/A,FALSE,"Test 120 Day Accts";#N/A,#N/A,FALSE,"Tickmarks"}</definedName>
    <definedName name="________rwn10" hidden="1">{#N/A,#N/A,FALSE,"Aging Summary";#N/A,#N/A,FALSE,"Ratio Analysis";#N/A,#N/A,FALSE,"Test 120 Day Accts";#N/A,#N/A,FALSE,"Tickmarks"}</definedName>
    <definedName name="________rwn3" hidden="1">{"assets",#N/A,FALSE,"historicBS";"liab",#N/A,FALSE,"historicBS";"is",#N/A,FALSE,"historicIS";"ratios",#N/A,FALSE,"ratios"}</definedName>
    <definedName name="________rwn4" hidden="1">{"assets",#N/A,FALSE,"historicBS";"liab",#N/A,FALSE,"historicBS";"is",#N/A,FALSE,"historicIS";"ratios",#N/A,FALSE,"ratios"}</definedName>
    <definedName name="________rwn5" hidden="1">{"glcbs",#N/A,FALSE,"GLCBS";"glccsbs",#N/A,FALSE,"GLCCSBS";"glcis",#N/A,FALSE,"GLCIS";"glccsis",#N/A,FALSE,"GLCCSIS";"glcrat1",#N/A,FALSE,"GLC-ratios1"}</definedName>
    <definedName name="________rwn6" hidden="1">{"glc1",#N/A,FALSE,"GLC";"glc2",#N/A,FALSE,"GLC";"glc3",#N/A,FALSE,"GLC";"glc4",#N/A,FALSE,"GLC";"glc5",#N/A,FALSE,"GLC"}</definedName>
    <definedName name="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8" hidden="1">{"glc1",#N/A,FALSE,"GLC";"glc2",#N/A,FALSE,"GLC";"glc3",#N/A,FALSE,"GLC";"glc4",#N/A,FALSE,"GLC";"glc5",#N/A,FALSE,"GLC"}</definedName>
    <definedName name="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wrn2" hidden="1">{"glc1",#N/A,FALSE,"GLC";"glc2",#N/A,FALSE,"GLC";"glc3",#N/A,FALSE,"GLC";"glc4",#N/A,FALSE,"GLC";"glc5",#N/A,FALSE,"GLC"}</definedName>
    <definedName name="________wrn222" hidden="1">{"glc1",#N/A,FALSE,"GLC";"glc2",#N/A,FALSE,"GLC";"glc3",#N/A,FALSE,"GLC";"glc4",#N/A,FALSE,"GLC";"glc5",#N/A,FALSE,"GLC"}</definedName>
    <definedName name="_______hkf8" hidden="1">{"glc1",#N/A,FALSE,"GLC";"glc2",#N/A,FALSE,"GLC";"glc3",#N/A,FALSE,"GLC";"glc4",#N/A,FALSE,"GLC";"glc5",#N/A,FALSE,"GLC"}</definedName>
    <definedName name="_______n76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rwb2" hidden="1">{#N/A,#N/A,FALSE,"Aging Summary";#N/A,#N/A,FALSE,"Ratio Analysis";#N/A,#N/A,FALSE,"Test 120 Day Accts";#N/A,#N/A,FALSE,"Tickmarks"}</definedName>
    <definedName name="_______rwn1" hidden="1">{#N/A,#N/A,FALSE,"Aging Summary";#N/A,#N/A,FALSE,"Ratio Analysis";#N/A,#N/A,FALSE,"Test 120 Day Accts";#N/A,#N/A,FALSE,"Tickmarks"}</definedName>
    <definedName name="_______rwn10" hidden="1">{#N/A,#N/A,FALSE,"Aging Summary";#N/A,#N/A,FALSE,"Ratio Analysis";#N/A,#N/A,FALSE,"Test 120 Day Accts";#N/A,#N/A,FALSE,"Tickmarks"}</definedName>
    <definedName name="_______rwn3" hidden="1">{"assets",#N/A,FALSE,"historicBS";"liab",#N/A,FALSE,"historicBS";"is",#N/A,FALSE,"historicIS";"ratios",#N/A,FALSE,"ratios"}</definedName>
    <definedName name="_______rwn4" hidden="1">{"assets",#N/A,FALSE,"historicBS";"liab",#N/A,FALSE,"historicBS";"is",#N/A,FALSE,"historicIS";"ratios",#N/A,FALSE,"ratios"}</definedName>
    <definedName name="_______rwn5" hidden="1">{"glcbs",#N/A,FALSE,"GLCBS";"glccsbs",#N/A,FALSE,"GLCCSBS";"glcis",#N/A,FALSE,"GLCIS";"glccsis",#N/A,FALSE,"GLCCSIS";"glcrat1",#N/A,FALSE,"GLC-ratios1"}</definedName>
    <definedName name="_______rwn6" hidden="1">{"glc1",#N/A,FALSE,"GLC";"glc2",#N/A,FALSE,"GLC";"glc3",#N/A,FALSE,"GLC";"glc4",#N/A,FALSE,"GLC";"glc5",#N/A,FALSE,"GLC"}</definedName>
    <definedName name="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8" hidden="1">{"glc1",#N/A,FALSE,"GLC";"glc2",#N/A,FALSE,"GLC";"glc3",#N/A,FALSE,"GLC";"glc4",#N/A,FALSE,"GLC";"glc5",#N/A,FALSE,"GLC"}</definedName>
    <definedName name="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wrn2" hidden="1">{"glc1",#N/A,FALSE,"GLC";"glc2",#N/A,FALSE,"GLC";"glc3",#N/A,FALSE,"GLC";"glc4",#N/A,FALSE,"GLC";"glc5",#N/A,FALSE,"GLC"}</definedName>
    <definedName name="_______wrn222" hidden="1">{"glc1",#N/A,FALSE,"GLC";"glc2",#N/A,FALSE,"GLC";"glc3",#N/A,FALSE,"GLC";"glc4",#N/A,FALSE,"GLC";"glc5",#N/A,FALSE,"GLC"}</definedName>
    <definedName name="______AS1" localSheetId="12" hidden="1">{#N/A,#N/A,FALSE,"müş_iç_ihz";#N/A,#N/A,FALSE,"müş_iç_er";#N/A,#N/A,FALSE,"müş_iç_tut"}</definedName>
    <definedName name="______AS1" hidden="1">{#N/A,#N/A,FALSE,"müş_iç_ihz";#N/A,#N/A,FALSE,"müş_iç_er";#N/A,#N/A,FALSE,"müş_iç_tut"}</definedName>
    <definedName name="______hkf8" hidden="1">{"glc1",#N/A,FALSE,"GLC";"glc2",#N/A,FALSE,"GLC";"glc3",#N/A,FALSE,"GLC";"glc4",#N/A,FALSE,"GLC";"glc5",#N/A,FALSE,"GLC"}</definedName>
    <definedName name="______n76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rwb2" hidden="1">{#N/A,#N/A,FALSE,"Aging Summary";#N/A,#N/A,FALSE,"Ratio Analysis";#N/A,#N/A,FALSE,"Test 120 Day Accts";#N/A,#N/A,FALSE,"Tickmarks"}</definedName>
    <definedName name="______rwn1" hidden="1">{#N/A,#N/A,FALSE,"Aging Summary";#N/A,#N/A,FALSE,"Ratio Analysis";#N/A,#N/A,FALSE,"Test 120 Day Accts";#N/A,#N/A,FALSE,"Tickmarks"}</definedName>
    <definedName name="______rwn10" hidden="1">{#N/A,#N/A,FALSE,"Aging Summary";#N/A,#N/A,FALSE,"Ratio Analysis";#N/A,#N/A,FALSE,"Test 120 Day Accts";#N/A,#N/A,FALSE,"Tickmarks"}</definedName>
    <definedName name="______rwn3" hidden="1">{"assets",#N/A,FALSE,"historicBS";"liab",#N/A,FALSE,"historicBS";"is",#N/A,FALSE,"historicIS";"ratios",#N/A,FALSE,"ratios"}</definedName>
    <definedName name="______rwn4" hidden="1">{"assets",#N/A,FALSE,"historicBS";"liab",#N/A,FALSE,"historicBS";"is",#N/A,FALSE,"historicIS";"ratios",#N/A,FALSE,"ratios"}</definedName>
    <definedName name="______rwn5" hidden="1">{"glcbs",#N/A,FALSE,"GLCBS";"glccsbs",#N/A,FALSE,"GLCCSBS";"glcis",#N/A,FALSE,"GLCIS";"glccsis",#N/A,FALSE,"GLCCSIS";"glcrat1",#N/A,FALSE,"GLC-ratios1"}</definedName>
    <definedName name="______rwn6" hidden="1">{"glc1",#N/A,FALSE,"GLC";"glc2",#N/A,FALSE,"GLC";"glc3",#N/A,FALSE,"GLC";"glc4",#N/A,FALSE,"GLC";"glc5",#N/A,FALSE,"GLC"}</definedName>
    <definedName name="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8" hidden="1">{"glc1",#N/A,FALSE,"GLC";"glc2",#N/A,FALSE,"GLC";"glc3",#N/A,FALSE,"GLC";"glc4",#N/A,FALSE,"GLC";"glc5",#N/A,FALSE,"GLC"}</definedName>
    <definedName name="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wrn2" hidden="1">{"glc1",#N/A,FALSE,"GLC";"glc2",#N/A,FALSE,"GLC";"glc3",#N/A,FALSE,"GLC";"glc4",#N/A,FALSE,"GLC";"glc5",#N/A,FALSE,"GLC"}</definedName>
    <definedName name="______wrn222" hidden="1">{"glc1",#N/A,FALSE,"GLC";"glc2",#N/A,FALSE,"GLC";"glc3",#N/A,FALSE,"GLC";"glc4",#N/A,FALSE,"GLC";"glc5",#N/A,FALSE,"GLC"}</definedName>
    <definedName name="_____hkf8" hidden="1">{"glc1",#N/A,FALSE,"GLC";"glc2",#N/A,FALSE,"GLC";"glc3",#N/A,FALSE,"GLC";"glc4",#N/A,FALSE,"GLC";"glc5",#N/A,FALSE,"GLC"}</definedName>
    <definedName name="_____rwb2" hidden="1">{#N/A,#N/A,FALSE,"Aging Summary";#N/A,#N/A,FALSE,"Ratio Analysis";#N/A,#N/A,FALSE,"Test 120 Day Accts";#N/A,#N/A,FALSE,"Tickmarks"}</definedName>
    <definedName name="_____rwn1" hidden="1">{#N/A,#N/A,FALSE,"Aging Summary";#N/A,#N/A,FALSE,"Ratio Analysis";#N/A,#N/A,FALSE,"Test 120 Day Accts";#N/A,#N/A,FALSE,"Tickmarks"}</definedName>
    <definedName name="_____rwn10" hidden="1">{#N/A,#N/A,FALSE,"Aging Summary";#N/A,#N/A,FALSE,"Ratio Analysis";#N/A,#N/A,FALSE,"Test 120 Day Accts";#N/A,#N/A,FALSE,"Tickmarks"}</definedName>
    <definedName name="_____rwn3" hidden="1">{"assets",#N/A,FALSE,"historicBS";"liab",#N/A,FALSE,"historicBS";"is",#N/A,FALSE,"historicIS";"ratios",#N/A,FALSE,"ratios"}</definedName>
    <definedName name="_____rwn4" hidden="1">{"assets",#N/A,FALSE,"historicBS";"liab",#N/A,FALSE,"historicBS";"is",#N/A,FALSE,"historicIS";"ratios",#N/A,FALSE,"ratios"}</definedName>
    <definedName name="_____rwn5" hidden="1">{"glcbs",#N/A,FALSE,"GLCBS";"glccsbs",#N/A,FALSE,"GLCCSBS";"glcis",#N/A,FALSE,"GLCIS";"glccsis",#N/A,FALSE,"GLCCSIS";"glcrat1",#N/A,FALSE,"GLC-ratios1"}</definedName>
    <definedName name="_____rwn6" hidden="1">{"glc1",#N/A,FALSE,"GLC";"glc2",#N/A,FALSE,"GLC";"glc3",#N/A,FALSE,"GLC";"glc4",#N/A,FALSE,"GLC";"glc5",#N/A,FALSE,"GLC"}</definedName>
    <definedName name="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8" hidden="1">{"glc1",#N/A,FALSE,"GLC";"glc2",#N/A,FALSE,"GLC";"glc3",#N/A,FALSE,"GLC";"glc4",#N/A,FALSE,"GLC";"glc5",#N/A,FALSE,"GLC"}</definedName>
    <definedName name="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wrn2" localSheetId="1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2" localSheetId="14" hidden="1">{"glc1",#N/A,FALSE,"GLC";"glc2",#N/A,FALSE,"GLC";"glc3",#N/A,FALSE,"GLC";"glc4",#N/A,FALSE,"GLC";"glc5",#N/A,FALSE,"GLC"}</definedName>
    <definedName name="_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222" hidden="1">{"glc1",#N/A,FALSE,"GLC";"glc2",#N/A,FALSE,"GLC";"glc3",#N/A,FALSE,"GLC";"glc4",#N/A,FALSE,"GLC";"glc5",#N/A,FALSE,"GLC"}</definedName>
    <definedName name="_____wrn3" localSheetId="1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_AS1" localSheetId="12" hidden="1">{#N/A,#N/A,FALSE,"müş_iç_ihz";#N/A,#N/A,FALSE,"müş_iç_er";#N/A,#N/A,FALSE,"müş_iç_tut"}</definedName>
    <definedName name="____AS1" hidden="1">{#N/A,#N/A,FALSE,"müş_iç_ihz";#N/A,#N/A,FALSE,"müş_iç_er";#N/A,#N/A,FALSE,"müş_iç_tut"}</definedName>
    <definedName name="____hkf8" hidden="1">{"glc1",#N/A,FALSE,"GLC";"glc2",#N/A,FALSE,"GLC";"glc3",#N/A,FALSE,"GLC";"glc4",#N/A,FALSE,"GLC";"glc5",#N/A,FALSE,"GLC"}</definedName>
    <definedName name="____KEY2" hidden="1">#REF!</definedName>
    <definedName name="____mal2" localSheetId="12" hidden="1">{"'KABA MALZEME'!$B$5:$G$101","'KABA MALZEME'!$B$5:$G$101"}</definedName>
    <definedName name="____mal2" hidden="1">{"'KABA MALZEME'!$B$5:$G$101","'KABA MALZEME'!$B$5:$G$101"}</definedName>
    <definedName name="____n76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rl2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_rwb2" hidden="1">{#N/A,#N/A,FALSE,"Aging Summary";#N/A,#N/A,FALSE,"Ratio Analysis";#N/A,#N/A,FALSE,"Test 120 Day Accts";#N/A,#N/A,FALSE,"Tickmarks"}</definedName>
    <definedName name="____rwn1" hidden="1">{#N/A,#N/A,FALSE,"Aging Summary";#N/A,#N/A,FALSE,"Ratio Analysis";#N/A,#N/A,FALSE,"Test 120 Day Accts";#N/A,#N/A,FALSE,"Tickmarks"}</definedName>
    <definedName name="____rwn10" hidden="1">{#N/A,#N/A,FALSE,"Aging Summary";#N/A,#N/A,FALSE,"Ratio Analysis";#N/A,#N/A,FALSE,"Test 120 Day Accts";#N/A,#N/A,FALSE,"Tickmarks"}</definedName>
    <definedName name="____rwn3" hidden="1">{"assets",#N/A,FALSE,"historicBS";"liab",#N/A,FALSE,"historicBS";"is",#N/A,FALSE,"historicIS";"ratios",#N/A,FALSE,"ratios"}</definedName>
    <definedName name="____rwn4" hidden="1">{"assets",#N/A,FALSE,"historicBS";"liab",#N/A,FALSE,"historicBS";"is",#N/A,FALSE,"historicIS";"ratios",#N/A,FALSE,"ratios"}</definedName>
    <definedName name="____rwn5" hidden="1">{"glcbs",#N/A,FALSE,"GLCBS";"glccsbs",#N/A,FALSE,"GLCCSBS";"glcis",#N/A,FALSE,"GLCIS";"glccsis",#N/A,FALSE,"GLCCSIS";"glcrat1",#N/A,FALSE,"GLC-ratios1"}</definedName>
    <definedName name="____rwn6" hidden="1">{"glc1",#N/A,FALSE,"GLC";"glc2",#N/A,FALSE,"GLC";"glc3",#N/A,FALSE,"GLC";"glc4",#N/A,FALSE,"GLC";"glc5",#N/A,FALSE,"GLC"}</definedName>
    <definedName name="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8" hidden="1">{"glc1",#N/A,FALSE,"GLC";"glc2",#N/A,FALSE,"GLC";"glc3",#N/A,FALSE,"GLC";"glc4",#N/A,FALSE,"GLC";"glc5",#N/A,FALSE,"GLC"}</definedName>
    <definedName name="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wrn2" hidden="1">{"glc1",#N/A,FALSE,"GLC";"glc2",#N/A,FALSE,"GLC";"glc3",#N/A,FALSE,"GLC";"glc4",#N/A,FALSE,"GLC";"glc5",#N/A,FALSE,"GLC"}</definedName>
    <definedName name="____wrn222" hidden="1">{"glc1",#N/A,FALSE,"GLC";"glc2",#N/A,FALSE,"GLC";"glc3",#N/A,FALSE,"GLC";"glc4",#N/A,FALSE,"GLC";"glc5",#N/A,FALSE,"GLC"}</definedName>
    <definedName name="____xlfn.BAHTTEXT" hidden="1">#NAME?</definedName>
    <definedName name="___1__123Graph_ACHART_4" hidden="1">#REF!</definedName>
    <definedName name="___123Graph__AA" hidden="1">#REF!</definedName>
    <definedName name="___2__123Graph_XCHART_3" hidden="1">#REF!</definedName>
    <definedName name="___2_._solv" hidden="1">#REF!,#REF!</definedName>
    <definedName name="___3__123Graph_XCHART_4" hidden="1">#REF!</definedName>
    <definedName name="___AS1" localSheetId="12" hidden="1">{#N/A,#N/A,FALSE,"müş_iç_ihz";#N/A,#N/A,FALSE,"müş_iç_er";#N/A,#N/A,FALSE,"müş_iç_tut"}</definedName>
    <definedName name="___AS1" hidden="1">{#N/A,#N/A,FALSE,"müş_iç_ihz";#N/A,#N/A,FALSE,"müş_iç_er";#N/A,#N/A,FALSE,"müş_iç_tut"}</definedName>
    <definedName name="___hkf8" hidden="1">{"glc1",#N/A,FALSE,"GLC";"glc2",#N/A,FALSE,"GLC";"glc3",#N/A,FALSE,"GLC";"glc4",#N/A,FALSE,"GLC";"glc5",#N/A,FALSE,"GLC"}</definedName>
    <definedName name="___KEY2" hidden="1">#REF!</definedName>
    <definedName name="___mal2" localSheetId="12" hidden="1">{"'KABA MALZEME'!$B$5:$G$101","'KABA MALZEME'!$B$5:$G$101"}</definedName>
    <definedName name="___mal2" hidden="1">{"'KABA MALZEME'!$B$5:$G$101","'KABA MALZEME'!$B$5:$G$101"}</definedName>
    <definedName name="___n76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RL1" hidden="1">#REF!</definedName>
    <definedName name="___rwb2" hidden="1">{#N/A,#N/A,FALSE,"Aging Summary";#N/A,#N/A,FALSE,"Ratio Analysis";#N/A,#N/A,FALSE,"Test 120 Day Accts";#N/A,#N/A,FALSE,"Tickmarks"}</definedName>
    <definedName name="___rwn1" hidden="1">{#N/A,#N/A,FALSE,"Aging Summary";#N/A,#N/A,FALSE,"Ratio Analysis";#N/A,#N/A,FALSE,"Test 120 Day Accts";#N/A,#N/A,FALSE,"Tickmarks"}</definedName>
    <definedName name="___rwn10" hidden="1">{#N/A,#N/A,FALSE,"Aging Summary";#N/A,#N/A,FALSE,"Ratio Analysis";#N/A,#N/A,FALSE,"Test 120 Day Accts";#N/A,#N/A,FALSE,"Tickmarks"}</definedName>
    <definedName name="___rwn3" hidden="1">{"assets",#N/A,FALSE,"historicBS";"liab",#N/A,FALSE,"historicBS";"is",#N/A,FALSE,"historicIS";"ratios",#N/A,FALSE,"ratios"}</definedName>
    <definedName name="___rwn4" hidden="1">{"assets",#N/A,FALSE,"historicBS";"liab",#N/A,FALSE,"historicBS";"is",#N/A,FALSE,"historicIS";"ratios",#N/A,FALSE,"ratios"}</definedName>
    <definedName name="___rwn5" hidden="1">{"glcbs",#N/A,FALSE,"GLCBS";"glccsbs",#N/A,FALSE,"GLCCSBS";"glcis",#N/A,FALSE,"GLCIS";"glccsis",#N/A,FALSE,"GLCCSIS";"glcrat1",#N/A,FALSE,"GLC-ratios1"}</definedName>
    <definedName name="___rwn6" hidden="1">{"glc1",#N/A,FALSE,"GLC";"glc2",#N/A,FALSE,"GLC";"glc3",#N/A,FALSE,"GLC";"glc4",#N/A,FALSE,"GLC";"glc5",#N/A,FALSE,"GLC"}</definedName>
    <definedName name="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8" hidden="1">{"glc1",#N/A,FALSE,"GLC";"glc2",#N/A,FALSE,"GLC";"glc3",#N/A,FALSE,"GLC";"glc4",#N/A,FALSE,"GLC";"glc5",#N/A,FALSE,"GLC"}</definedName>
    <definedName name="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wrn2" localSheetId="12" hidden="1">{"glc1",#N/A,FALSE,"GLC";"glc2",#N/A,FALSE,"GLC";"glc3",#N/A,FALSE,"GLC";"glc4",#N/A,FALSE,"GLC";"glc5",#N/A,FALSE,"GLC"}</definedName>
    <definedName name="___wrn2" localSheetId="14" hidden="1">{"glc1",#N/A,FALSE,"GLC";"glc2",#N/A,FALSE,"GLC";"glc3",#N/A,FALSE,"GLC";"glc4",#N/A,FALSE,"GLC";"glc5",#N/A,FALSE,"GLC"}</definedName>
    <definedName name="___wrn2" hidden="1">{"glc1",#N/A,FALSE,"GLC";"glc2",#N/A,FALSE,"GLC";"glc3",#N/A,FALSE,"GLC";"glc4",#N/A,FALSE,"GLC";"glc5",#N/A,FALSE,"GLC"}</definedName>
    <definedName name="___wrn222" localSheetId="12" hidden="1">{"glc1",#N/A,FALSE,"GLC";"glc2",#N/A,FALSE,"GLC";"glc3",#N/A,FALSE,"GLC";"glc4",#N/A,FALSE,"GLC";"glc5",#N/A,FALSE,"GLC"}</definedName>
    <definedName name="___wrn222" localSheetId="14" hidden="1">{"glc1",#N/A,FALSE,"GLC";"glc2",#N/A,FALSE,"GLC";"glc3",#N/A,FALSE,"GLC";"glc4",#N/A,FALSE,"GLC";"glc5",#N/A,FALSE,"GLC"}</definedName>
    <definedName name="___wrn222" hidden="1">{"glc1",#N/A,FALSE,"GLC";"glc2",#N/A,FALSE,"GLC";"glc3",#N/A,FALSE,"GLC";"glc4",#N/A,FALSE,"GLC";"glc5",#N/A,FALSE,"GLC"}</definedName>
    <definedName name="___xlfn.BAHTTEXT" hidden="1">#NAME?</definedName>
    <definedName name="__1__123Graph_ACHART_1" hidden="1">#REF!</definedName>
    <definedName name="__1__123Graph_AChart_1A" hidden="1">#REF!</definedName>
    <definedName name="__1__123Graph_ACHART_4" hidden="1">#REF!</definedName>
    <definedName name="__123Grapgh__s" hidden="1">#REF!</definedName>
    <definedName name="__123Graph_A" hidden="1">#REF!</definedName>
    <definedName name="__123Graph_ACart" hidden="1">#REF!</definedName>
    <definedName name="__123Graph_ACURRENT" hidden="1">#REF!</definedName>
    <definedName name="__123Graph_B" hidden="1">#REF!</definedName>
    <definedName name="__123Graph_BChart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2__123Graph_ACHART_2" hidden="1">#REF!</definedName>
    <definedName name="__2__123Graph_BChart_1A" hidden="1">#REF!</definedName>
    <definedName name="__2__123Graph_XCHART_3" hidden="1">#REF!</definedName>
    <definedName name="__2_._solv" hidden="1">#REF!,#REF!</definedName>
    <definedName name="__3__123Graph_ACHART_1" hidden="1">#REF!</definedName>
    <definedName name="__3__123Graph_BCHART_2" hidden="1">#REF!</definedName>
    <definedName name="__3__123Graph_XCHART_4" hidden="1">#REF!</definedName>
    <definedName name="__4__123Graph_ACHART_2" hidden="1">#REF!</definedName>
    <definedName name="__4__123Graph_CCHART_1" hidden="1">#REF!</definedName>
    <definedName name="__5__123Graph_BCHART_2" hidden="1">#REF!</definedName>
    <definedName name="__5__123Graph_DCHART_1" hidden="1">#REF!</definedName>
    <definedName name="__6__123Graph_CCHART_1" hidden="1">#REF!</definedName>
    <definedName name="__7__123Graph_DCHART_1" hidden="1">#REF!</definedName>
    <definedName name="__ab1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2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ccr1" localSheetId="12" hidden="1">{#N/A,#N/A,TRUE,"Cover";#N/A,#N/A,TRUE,"Conts";#N/A,#N/A,TRUE,"VOS";#N/A,#N/A,TRUE,"Warrington";#N/A,#N/A,TRUE,"Widnes"}</definedName>
    <definedName name="__ccr1" hidden="1">{#N/A,#N/A,TRUE,"Cover";#N/A,#N/A,TRUE,"Conts";#N/A,#N/A,TRUE,"VOS";#N/A,#N/A,TRUE,"Warrington";#N/A,#N/A,TRUE,"Widnes"}</definedName>
    <definedName name="__FDS_HYPERLINK_TOGGLE_STATE__" hidden="1">"ON"</definedName>
    <definedName name="__hk4645" localSheetId="12" hidden="1">{#N/A,#N/A,FALSE,"ihz. icmal";#N/A,#N/A,FALSE,"avans";#N/A,#N/A,FALSE,"mal_FF_icm";#N/A,#N/A,FALSE,"fat_ihz";#N/A,#N/A,FALSE,"söz_fiy_fark";#N/A,#N/A,FALSE,"kap2"}</definedName>
    <definedName name="__hk4645" hidden="1">{#N/A,#N/A,FALSE,"ihz. icmal";#N/A,#N/A,FALSE,"avans";#N/A,#N/A,FALSE,"mal_FF_icm";#N/A,#N/A,FALSE,"fat_ihz";#N/A,#N/A,FALSE,"söz_fiy_fark";#N/A,#N/A,FALSE,"kap2"}</definedName>
    <definedName name="__hkf8" hidden="1">{"glc1",#N/A,FALSE,"GLC";"glc2",#N/A,FALSE,"GLC";"glc3",#N/A,FALSE,"GLC";"glc4",#N/A,FALSE,"GLC";"glc5",#N/A,FALSE,"GLC"}</definedName>
    <definedName name="__IntlFixup" hidden="1">TRUE</definedName>
    <definedName name="__mal2" localSheetId="12" hidden="1">{"'KABA MALZEME'!$B$5:$G$101","'KABA MALZEME'!$B$5:$G$101"}</definedName>
    <definedName name="__mal2" hidden="1">{"'KABA MALZEME'!$B$5:$G$101","'KABA MALZEME'!$B$5:$G$101"}</definedName>
    <definedName name="__old3" localSheetId="12" hidden="1">{#N/A,#N/A,FALSE,"Summary";#N/A,#N/A,FALSE,"3TJ";#N/A,#N/A,FALSE,"3TN";#N/A,#N/A,FALSE,"3TP";#N/A,#N/A,FALSE,"3SJ";#N/A,#N/A,FALSE,"3CJ";#N/A,#N/A,FALSE,"3CN";#N/A,#N/A,FALSE,"3CP";#N/A,#N/A,FALSE,"3A"}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localSheetId="12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localSheetId="12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OSM2" localSheetId="12" hidden="1">{#N/A,#N/A,FALSE,"TELEFON"}</definedName>
    <definedName name="__OSM2" hidden="1">{#N/A,#N/A,FALSE,"TELEFON"}</definedName>
    <definedName name="__RL1" hidden="1">#REF!</definedName>
    <definedName name="__rl2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rwb2" hidden="1">{#N/A,#N/A,FALSE,"Aging Summary";#N/A,#N/A,FALSE,"Ratio Analysis";#N/A,#N/A,FALSE,"Test 120 Day Accts";#N/A,#N/A,FALSE,"Tickmarks"}</definedName>
    <definedName name="__rwn1" hidden="1">{#N/A,#N/A,FALSE,"Aging Summary";#N/A,#N/A,FALSE,"Ratio Analysis";#N/A,#N/A,FALSE,"Test 120 Day Accts";#N/A,#N/A,FALSE,"Tickmarks"}</definedName>
    <definedName name="__rwn10" hidden="1">{#N/A,#N/A,FALSE,"Aging Summary";#N/A,#N/A,FALSE,"Ratio Analysis";#N/A,#N/A,FALSE,"Test 120 Day Accts";#N/A,#N/A,FALSE,"Tickmarks"}</definedName>
    <definedName name="__rwn3" hidden="1">{"assets",#N/A,FALSE,"historicBS";"liab",#N/A,FALSE,"historicBS";"is",#N/A,FALSE,"historicIS";"ratios",#N/A,FALSE,"ratios"}</definedName>
    <definedName name="__rwn4" hidden="1">{"assets",#N/A,FALSE,"historicBS";"liab",#N/A,FALSE,"historicBS";"is",#N/A,FALSE,"historicIS";"ratios",#N/A,FALSE,"ratios"}</definedName>
    <definedName name="__rwn5" hidden="1">{"glcbs",#N/A,FALSE,"GLCBS";"glccsbs",#N/A,FALSE,"GLCCSBS";"glcis",#N/A,FALSE,"GLCIS";"glccsis",#N/A,FALSE,"GLCCSIS";"glcrat1",#N/A,FALSE,"GLC-ratios1"}</definedName>
    <definedName name="__rwn6" hidden="1">{"glc1",#N/A,FALSE,"GLC";"glc2",#N/A,FALSE,"GLC";"glc3",#N/A,FALSE,"GLC";"glc4",#N/A,FALSE,"GLC";"glc5",#N/A,FALSE,"GLC"}</definedName>
    <definedName name="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8" hidden="1">{"glc1",#N/A,FALSE,"GLC";"glc2",#N/A,FALSE,"GLC";"glc3",#N/A,FALSE,"GLC";"glc4",#N/A,FALSE,"GLC";"glc5",#N/A,FALSE,"GLC"}</definedName>
    <definedName name="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wrn2" localSheetId="12" hidden="1">{"glc1",#N/A,FALSE,"GLC";"glc2",#N/A,FALSE,"GLC";"glc3",#N/A,FALSE,"GLC";"glc4",#N/A,FALSE,"GLC";"glc5",#N/A,FALSE,"GLC"}</definedName>
    <definedName name="__wrn2" localSheetId="14" hidden="1">{"glc1",#N/A,FALSE,"GLC";"glc2",#N/A,FALSE,"GLC";"glc3",#N/A,FALSE,"GLC";"glc4",#N/A,FALSE,"GLC";"glc5",#N/A,FALSE,"GLC"}</definedName>
    <definedName name="__wrn2" hidden="1">{"glc1",#N/A,FALSE,"GLC";"glc2",#N/A,FALSE,"GLC";"glc3",#N/A,FALSE,"GLC";"glc4",#N/A,FALSE,"GLC";"glc5",#N/A,FALSE,"GLC"}</definedName>
    <definedName name="__wrn222" localSheetId="12" hidden="1">{"glc1",#N/A,FALSE,"GLC";"glc2",#N/A,FALSE,"GLC";"glc3",#N/A,FALSE,"GLC";"glc4",#N/A,FALSE,"GLC";"glc5",#N/A,FALSE,"GLC"}</definedName>
    <definedName name="__wrn222" localSheetId="14" hidden="1">{"glc1",#N/A,FALSE,"GLC";"glc2",#N/A,FALSE,"GLC";"glc3",#N/A,FALSE,"GLC";"glc4",#N/A,FALSE,"GLC";"glc5",#N/A,FALSE,"GLC"}</definedName>
    <definedName name="__wrn222" hidden="1">{"glc1",#N/A,FALSE,"GLC";"glc2",#N/A,FALSE,"GLC";"glc3",#N/A,FALSE,"GLC";"glc4",#N/A,FALSE,"GLC";"glc5",#N/A,FALSE,"GLC"}</definedName>
    <definedName name="__xlfn.BAHTTEXT" hidden="1">#NAME?</definedName>
    <definedName name="__ZA1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0" localSheetId="12" hidden="1">{#N/A,#N/A,FALSE,"Summary";#N/A,#N/A,FALSE,"3TJ";#N/A,#N/A,FALSE,"3TN";#N/A,#N/A,FALSE,"3TP";#N/A,#N/A,FALSE,"3SJ";#N/A,#N/A,FALSE,"3CJ";#N/A,#N/A,FALSE,"3CN";#N/A,#N/A,FALSE,"3CP";#N/A,#N/A,FALSE,"3A"}</definedName>
    <definedName name="__ZA10" hidden="1">{#N/A,#N/A,FALSE,"Summary";#N/A,#N/A,FALSE,"3TJ";#N/A,#N/A,FALSE,"3TN";#N/A,#N/A,FALSE,"3TP";#N/A,#N/A,FALSE,"3SJ";#N/A,#N/A,FALSE,"3CJ";#N/A,#N/A,FALSE,"3CN";#N/A,#N/A,FALSE,"3CP";#N/A,#N/A,FALSE,"3A"}</definedName>
    <definedName name="__ZA11" localSheetId="12" hidden="1">{#N/A,#N/A,FALSE,"Summary";#N/A,#N/A,FALSE,"3TJ";#N/A,#N/A,FALSE,"3TN";#N/A,#N/A,FALSE,"3TP";#N/A,#N/A,FALSE,"3SJ";#N/A,#N/A,FALSE,"3CJ";#N/A,#N/A,FALSE,"3CN";#N/A,#N/A,FALSE,"3CP";#N/A,#N/A,FALSE,"3A"}</definedName>
    <definedName name="__ZA11" hidden="1">{#N/A,#N/A,FALSE,"Summary";#N/A,#N/A,FALSE,"3TJ";#N/A,#N/A,FALSE,"3TN";#N/A,#N/A,FALSE,"3TP";#N/A,#N/A,FALSE,"3SJ";#N/A,#N/A,FALSE,"3CJ";#N/A,#N/A,FALSE,"3CN";#N/A,#N/A,FALSE,"3CP";#N/A,#N/A,FALSE,"3A"}</definedName>
    <definedName name="__ZA12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3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4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5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6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7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8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9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0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1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2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4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5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6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8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9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" localSheetId="12" hidden="1">{#N/A,#N/A,FALSE,"Summary";#N/A,#N/A,FALSE,"3TJ";#N/A,#N/A,FALSE,"3TN";#N/A,#N/A,FALSE,"3TP";#N/A,#N/A,FALSE,"3SJ";#N/A,#N/A,FALSE,"3CJ";#N/A,#N/A,FALSE,"3CN";#N/A,#N/A,FALSE,"3CP";#N/A,#N/A,FALSE,"3A"}</definedName>
    <definedName name="__ZA3" hidden="1">{#N/A,#N/A,FALSE,"Summary";#N/A,#N/A,FALSE,"3TJ";#N/A,#N/A,FALSE,"3TN";#N/A,#N/A,FALSE,"3TP";#N/A,#N/A,FALSE,"3SJ";#N/A,#N/A,FALSE,"3CJ";#N/A,#N/A,FALSE,"3CN";#N/A,#N/A,FALSE,"3CP";#N/A,#N/A,FALSE,"3A"}</definedName>
    <definedName name="__ZA30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1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2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3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4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5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6" localSheetId="12" hidden="1">{"'Appendix 3 Currency'!$A$1:$U$96"}</definedName>
    <definedName name="__ZA36" hidden="1">{"'Appendix 3 Currency'!$A$1:$U$96"}</definedName>
    <definedName name="__ZA37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8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9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" localSheetId="12" hidden="1">{#N/A,#N/A,FALSE,"Summary";#N/A,#N/A,FALSE,"3TJ";#N/A,#N/A,FALSE,"3TN";#N/A,#N/A,FALSE,"3TP";#N/A,#N/A,FALSE,"3SJ";#N/A,#N/A,FALSE,"3CJ";#N/A,#N/A,FALSE,"3CN";#N/A,#N/A,FALSE,"3CP";#N/A,#N/A,FALSE,"3A"}</definedName>
    <definedName name="__ZA4" hidden="1">{#N/A,#N/A,FALSE,"Summary";#N/A,#N/A,FALSE,"3TJ";#N/A,#N/A,FALSE,"3TN";#N/A,#N/A,FALSE,"3TP";#N/A,#N/A,FALSE,"3SJ";#N/A,#N/A,FALSE,"3CJ";#N/A,#N/A,FALSE,"3CN";#N/A,#N/A,FALSE,"3CP";#N/A,#N/A,FALSE,"3A"}</definedName>
    <definedName name="__ZA40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1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2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3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4" localSheetId="12" hidden="1">{#N/A,#N/A,FALSE,"TELEFON"}</definedName>
    <definedName name="__ZA44" hidden="1">{#N/A,#N/A,FALSE,"TELEFON"}</definedName>
    <definedName name="__ZA45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6" localSheetId="12" hidden="1">{#N/A,#N/A,FALSE,"Summary";#N/A,#N/A,FALSE,"3TJ";#N/A,#N/A,FALSE,"3TN";#N/A,#N/A,FALSE,"3TP";#N/A,#N/A,FALSE,"3SJ";#N/A,#N/A,FALSE,"3CJ";#N/A,#N/A,FALSE,"3CN";#N/A,#N/A,FALSE,"3CP";#N/A,#N/A,FALSE,"3A"}</definedName>
    <definedName name="__ZA46" hidden="1">{#N/A,#N/A,FALSE,"Summary";#N/A,#N/A,FALSE,"3TJ";#N/A,#N/A,FALSE,"3TN";#N/A,#N/A,FALSE,"3TP";#N/A,#N/A,FALSE,"3SJ";#N/A,#N/A,FALSE,"3CJ";#N/A,#N/A,FALSE,"3CN";#N/A,#N/A,FALSE,"3CP";#N/A,#N/A,FALSE,"3A"}</definedName>
    <definedName name="__ZA47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8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4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49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" localSheetId="12" hidden="1">{#N/A,#N/A,FALSE,"Summary";#N/A,#N/A,FALSE,"3TJ";#N/A,#N/A,FALSE,"3TN";#N/A,#N/A,FALSE,"3TP";#N/A,#N/A,FALSE,"3SJ";#N/A,#N/A,FALSE,"3CJ";#N/A,#N/A,FALSE,"3CN";#N/A,#N/A,FALSE,"3CP";#N/A,#N/A,FALSE,"3A"}</definedName>
    <definedName name="__ZA5" hidden="1">{#N/A,#N/A,FALSE,"Summary";#N/A,#N/A,FALSE,"3TJ";#N/A,#N/A,FALSE,"3TN";#N/A,#N/A,FALSE,"3TP";#N/A,#N/A,FALSE,"3SJ";#N/A,#N/A,FALSE,"3CJ";#N/A,#N/A,FALSE,"3CN";#N/A,#N/A,FALSE,"3CP";#N/A,#N/A,FALSE,"3A"}</definedName>
    <definedName name="__ZA50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1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2" localSheetId="12" hidden="1">{"turbine",#N/A,FALSE,"Option"}</definedName>
    <definedName name="__ZA52" hidden="1">{"turbine",#N/A,FALSE,"Option"}</definedName>
    <definedName name="__ZA53" localSheetId="12" hidden="1">{#N/A,#N/A,TRUE,"arnitower";#N/A,#N/A,TRUE,"arnigarage "}</definedName>
    <definedName name="__ZA53" hidden="1">{#N/A,#N/A,TRUE,"arnitower";#N/A,#N/A,TRUE,"arnigarage "}</definedName>
    <definedName name="__ZA54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5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6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5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57" localSheetId="12" hidden="1">{#N/A,#N/A,FALSE,"Summary";#N/A,#N/A,FALSE,"3TJ";#N/A,#N/A,FALSE,"3TN";#N/A,#N/A,FALSE,"3TP";#N/A,#N/A,FALSE,"3SJ";#N/A,#N/A,FALSE,"3CJ";#N/A,#N/A,FALSE,"3CN";#N/A,#N/A,FALSE,"3CP";#N/A,#N/A,FALSE,"3A"}</definedName>
    <definedName name="__ZA57" hidden="1">{#N/A,#N/A,FALSE,"Summary";#N/A,#N/A,FALSE,"3TJ";#N/A,#N/A,FALSE,"3TN";#N/A,#N/A,FALSE,"3TP";#N/A,#N/A,FALSE,"3SJ";#N/A,#N/A,FALSE,"3CJ";#N/A,#N/A,FALSE,"3CN";#N/A,#N/A,FALSE,"3CP";#N/A,#N/A,FALSE,"3A"}</definedName>
    <definedName name="__ZA58" localSheetId="1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__ZA5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__ZA59" localSheetId="12" hidden="1">{#N/A,#N/A,FALSE,"TELEFON"}</definedName>
    <definedName name="__ZA59" hidden="1">{#N/A,#N/A,FALSE,"TELEFON"}</definedName>
    <definedName name="__ZA6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0" localSheetId="12" hidden="1">{#N/A,#N/A,FALSE,"TELEFON"}</definedName>
    <definedName name="__ZA60" hidden="1">{#N/A,#N/A,FALSE,"TELEFON"}</definedName>
    <definedName name="__ZA61" localSheetId="12" hidden="1">{#N/A,#N/A,FALSE,"Q&amp;AE";#N/A,#N/A,FALSE,"Params";#N/A,#N/A,FALSE,"ReconE";#N/A,#N/A,FALSE,"CostCompE";#N/A,#N/A,FALSE,"SummaryE";#N/A,#N/A,FALSE,"Detail";#N/A,#N/A,FALSE,"PayItem"}</definedName>
    <definedName name="__ZA61" hidden="1">{#N/A,#N/A,FALSE,"Q&amp;AE";#N/A,#N/A,FALSE,"Params";#N/A,#N/A,FALSE,"ReconE";#N/A,#N/A,FALSE,"CostCompE";#N/A,#N/A,FALSE,"SummaryE";#N/A,#N/A,FALSE,"Detail";#N/A,#N/A,FALSE,"PayItem"}</definedName>
    <definedName name="__ZA62" localSheetId="12" hidden="1">{"DBANK",#N/A,FALSE,"PriceE";"CKTS",#N/A,FALSE,"PriceE"}</definedName>
    <definedName name="__ZA62" hidden="1">{"DBANK",#N/A,FALSE,"PriceE";"CKTS",#N/A,FALSE,"PriceE"}</definedName>
    <definedName name="__ZA63" localSheetId="12" hidden="1">{#N/A,#N/A,FALSE,"WBS 1.06";#N/A,#N/A,FALSE,"WBS 1.14";#N/A,#N/A,FALSE,"WBS 1.17";#N/A,#N/A,FALSE,"WBS 1.18"}</definedName>
    <definedName name="__ZA63" hidden="1">{#N/A,#N/A,FALSE,"WBS 1.06";#N/A,#N/A,FALSE,"WBS 1.14";#N/A,#N/A,FALSE,"WBS 1.17";#N/A,#N/A,FALSE,"WBS 1.18"}</definedName>
    <definedName name="__ZA64" localSheetId="12" hidden="1">{#N/A,#N/A,FALSE,"ProjInfo";#N/A,#N/A,FALSE,"Params";#N/A,#N/A,FALSE,"Q&amp;AE";#N/A,#N/A,FALSE,"CostCompE";#N/A,#N/A,FALSE,"SummaryE";#N/A,#N/A,FALSE,"PayItem";#N/A,#N/A,FALSE,"Detail";#N/A,#N/A,FALSE,"ReconE"}</definedName>
    <definedName name="__ZA64" hidden="1">{#N/A,#N/A,FALSE,"ProjInfo";#N/A,#N/A,FALSE,"Params";#N/A,#N/A,FALSE,"Q&amp;AE";#N/A,#N/A,FALSE,"CostCompE";#N/A,#N/A,FALSE,"SummaryE";#N/A,#N/A,FALSE,"PayItem";#N/A,#N/A,FALSE,"Detail";#N/A,#N/A,FALSE,"ReconE"}</definedName>
    <definedName name="__ZA65" localSheetId="12" hidden="1">{"FUEL OIL",#N/A,FALSE,"Option"}</definedName>
    <definedName name="__ZA65" hidden="1">{"FUEL OIL",#N/A,FALSE,"Option"}</definedName>
    <definedName name="__ZA66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7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6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68" localSheetId="12" hidden="1">{"pumps",#N/A,FALSE,"Option"}</definedName>
    <definedName name="__ZA68" hidden="1">{"pumps",#N/A,FALSE,"Option"}</definedName>
    <definedName name="__ZA69" localSheetId="12" hidden="1">{"turbine",#N/A,FALSE,"Option"}</definedName>
    <definedName name="__ZA69" hidden="1">{"turbine",#N/A,FALSE,"Option"}</definedName>
    <definedName name="__ZA70" localSheetId="12" hidden="1">{#N/A,#N/A,TRUE,"arnitower";#N/A,#N/A,TRUE,"arnigarage "}</definedName>
    <definedName name="__ZA70" hidden="1">{#N/A,#N/A,TRUE,"arnitower";#N/A,#N/A,TRUE,"arnigarage "}</definedName>
    <definedName name="__ZA71" localSheetId="12" hidden="1">{"WESTINGHOUSE",#N/A,FALSE,"Option"}</definedName>
    <definedName name="__ZA71" hidden="1">{"WESTINGHOUSE",#N/A,FALSE,"Option"}</definedName>
    <definedName name="__ZA72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3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4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7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75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8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9" localSheetId="12" hidden="1">{#N/A,#N/A,FALSE,"Summary";#N/A,#N/A,FALSE,"3TJ";#N/A,#N/A,FALSE,"3TN";#N/A,#N/A,FALSE,"3TP";#N/A,#N/A,FALSE,"3SJ";#N/A,#N/A,FALSE,"3CJ";#N/A,#N/A,FALSE,"3CN";#N/A,#N/A,FALSE,"3CP";#N/A,#N/A,FALSE,"3A"}</definedName>
    <definedName name="__ZA9" hidden="1">{#N/A,#N/A,FALSE,"Summary";#N/A,#N/A,FALSE,"3TJ";#N/A,#N/A,FALSE,"3TN";#N/A,#N/A,FALSE,"3TP";#N/A,#N/A,FALSE,"3SJ";#N/A,#N/A,FALSE,"3CJ";#N/A,#N/A,FALSE,"3CN";#N/A,#N/A,FALSE,"3CP";#N/A,#N/A,FALSE,"3A"}</definedName>
    <definedName name="__ZATEST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VARIATION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1" hidden="1">#REF!</definedName>
    <definedName name="_1______123Graph_ACHART_4" hidden="1">#REF!</definedName>
    <definedName name="_1___123Graph_ACHART_4" hidden="1">#REF!</definedName>
    <definedName name="_1__123Graph_ACHART_1" hidden="1">#REF!</definedName>
    <definedName name="_1__123Graph_AChart_1A" hidden="1">#REF!</definedName>
    <definedName name="_1__123Graph_ACHART_4" hidden="1">#REF!</definedName>
    <definedName name="_1_._solv" hidden="1">#REF!,#REF!</definedName>
    <definedName name="_1_0___.0solv" hidden="1">#REF!,#REF!</definedName>
    <definedName name="_10___123Graph_ACHART_4" hidden="1">#REF!</definedName>
    <definedName name="_10__123Graph_AChart_1AJ" hidden="1">#REF!</definedName>
    <definedName name="_10_0_0K" hidden="1">#REF!</definedName>
    <definedName name="_100__123Graph_BChart_2D" hidden="1">#REF!</definedName>
    <definedName name="_101__123Graph_BChart_3B" hidden="1">#REF!</definedName>
    <definedName name="_102__123Graph_BChart_3L" hidden="1">#REF!</definedName>
    <definedName name="_103__123Graph_BChart_9C" hidden="1">#REF!</definedName>
    <definedName name="_104__123Graph_CChart_1A" hidden="1">#REF!</definedName>
    <definedName name="_105__123Graph_CChart_1AA" hidden="1">#REF!</definedName>
    <definedName name="_106__123Graph_CChart_1AB" hidden="1">#REF!</definedName>
    <definedName name="_107__123Graph_CChart_1AE" hidden="1">#REF!</definedName>
    <definedName name="_108__123Graph_CChart_1AF" hidden="1">#REF!</definedName>
    <definedName name="_109__123Graph_CChart_1AM" hidden="1">#REF!</definedName>
    <definedName name="_10aaa" hidden="1">{#N/A,#N/A,FALSE,"Aging Summary";#N/A,#N/A,FALSE,"Ratio Analysis";#N/A,#N/A,FALSE,"Test 120 Day Accts";#N/A,#N/A,FALSE,"Tickmarks"}</definedName>
    <definedName name="_11___123Graph_XCHART_3" hidden="1">#REF!</definedName>
    <definedName name="_11__123Graph_AChart_1AK" hidden="1">#REF!</definedName>
    <definedName name="_11__123Graph_ACHART_4" hidden="1">#REF!</definedName>
    <definedName name="_11__123Graph_BChart_1A" hidden="1">#REF!</definedName>
    <definedName name="_110__123Graph_CChart_1B" hidden="1">#REF!</definedName>
    <definedName name="_111__123Graph_CChart_1C" hidden="1">#REF!</definedName>
    <definedName name="_1111" hidden="1">#REF!</definedName>
    <definedName name="_112__123Graph_CChart_1CA" hidden="1">#REF!</definedName>
    <definedName name="_113__123Graph_CChart_1CD" hidden="1">#REF!</definedName>
    <definedName name="_114__123Graph_CChart_1CE" hidden="1">#REF!</definedName>
    <definedName name="_115__123Graph_CChart_1D" hidden="1">#REF!</definedName>
    <definedName name="_116__123Graph_CChart_1E" hidden="1">#REF!</definedName>
    <definedName name="_117__123Graph_CChart_1F" hidden="1">#REF!</definedName>
    <definedName name="_118__123Graph_CChart_1G" hidden="1">#REF!</definedName>
    <definedName name="_119__123Graph_CChart_1H" hidden="1">#REF!</definedName>
    <definedName name="_12___123Graph_XCHART_4" hidden="1">#REF!</definedName>
    <definedName name="_12__123Graph_AChart_1AL" hidden="1">#REF!</definedName>
    <definedName name="_12__123Graph_XCHART_3" hidden="1">#REF!</definedName>
    <definedName name="_12_._solv" hidden="1">#REF!,#REF!</definedName>
    <definedName name="_12_0_0SO" hidden="1">#REF!</definedName>
    <definedName name="_120__123Graph_CChart_1I" hidden="1">#REF!</definedName>
    <definedName name="_121__123Graph_CChart_1J" hidden="1">#REF!</definedName>
    <definedName name="_122__123Graph_CChart_1K" hidden="1">#REF!</definedName>
    <definedName name="_123" hidden="1">#REF!</definedName>
    <definedName name="_123__123Graph_CChart_1L" hidden="1">#REF!</definedName>
    <definedName name="_123Graph_B" hidden="1">#REF!</definedName>
    <definedName name="_123Graph_BChart1A" hidden="1">#REF!</definedName>
    <definedName name="_124__123Graph_CChart_1N" hidden="1">#REF!</definedName>
    <definedName name="_125__123Graph_CChart_1O" hidden="1">#REF!</definedName>
    <definedName name="_126__123Graph_CChart_1P" hidden="1">#REF!</definedName>
    <definedName name="_127__123Graph_CChart_1T" hidden="1">#REF!</definedName>
    <definedName name="_128__123Graph_CChart_1U" hidden="1">#REF!</definedName>
    <definedName name="_129__123Graph_CChart_1W" hidden="1">#REF!</definedName>
    <definedName name="_12aaa" hidden="1">{#N/A,#N/A,FALSE,"Aging Summary";#N/A,#N/A,FALSE,"Ratio Analysis";#N/A,#N/A,FALSE,"Test 120 Day Accts";#N/A,#N/A,FALSE,"Tickmarks"}</definedName>
    <definedName name="_13__123Graph_AChart_1AM" hidden="1">#REF!</definedName>
    <definedName name="_13__123Graph_ACHART_4" hidden="1">#REF!</definedName>
    <definedName name="_13__123Graph_BChart_1A" hidden="1">#REF!</definedName>
    <definedName name="_13__123Graph_XCHART_4" hidden="1">#REF!</definedName>
    <definedName name="_130__123Graph_CChart_1Y" hidden="1">#REF!</definedName>
    <definedName name="_131__123Graph_CChart_2AE" hidden="1">#REF!</definedName>
    <definedName name="_132__123Graph_CChart_3B" hidden="1">#REF!</definedName>
    <definedName name="_133__123Graph_CChart_9C" hidden="1">#REF!</definedName>
    <definedName name="_134__123Graph_DChart_1AB" hidden="1">#REF!</definedName>
    <definedName name="_135__123Graph_DChart_1AM" hidden="1">#REF!</definedName>
    <definedName name="_136__123Graph_DChart_1B" hidden="1">#REF!</definedName>
    <definedName name="_137__123Graph_DChart_1C" hidden="1">#REF!</definedName>
    <definedName name="_138__123Graph_DChart_1CE" hidden="1">#REF!</definedName>
    <definedName name="_139__123Graph_DChart_1D" hidden="1">#REF!</definedName>
    <definedName name="_13aaa" hidden="1">{#N/A,#N/A,FALSE,"Aging Summary";#N/A,#N/A,FALSE,"Ratio Analysis";#N/A,#N/A,FALSE,"Test 120 Day Accts";#N/A,#N/A,FALSE,"Tickmarks"}</definedName>
    <definedName name="_14__123Graph_AChart_1AN" hidden="1">#REF!</definedName>
    <definedName name="_14__123Graph_XCHART_3" hidden="1">#REF!</definedName>
    <definedName name="_140__123Graph_DChart_1E" hidden="1">#REF!</definedName>
    <definedName name="_141__123Graph_DChart_1H" hidden="1">#REF!</definedName>
    <definedName name="_142__123Graph_DChart_1I" hidden="1">#REF!</definedName>
    <definedName name="_143__123Graph_DChart_1J" hidden="1">#REF!</definedName>
    <definedName name="_144__123Graph_DChart_1K" hidden="1">#REF!</definedName>
    <definedName name="_145__123Graph_DChart_1L" hidden="1">#REF!</definedName>
    <definedName name="_146__123Graph_DChart_1O" hidden="1">#REF!</definedName>
    <definedName name="_147__123Graph_DChart_1P" hidden="1">#REF!</definedName>
    <definedName name="_148__123Graph_DChart_3B" hidden="1">#REF!</definedName>
    <definedName name="_149__123Graph_EChart_1AB" hidden="1">#REF!</definedName>
    <definedName name="_15__123Graph_AChart_1AO" hidden="1">#REF!</definedName>
    <definedName name="_15__123Graph_XCHART_4" hidden="1">#REF!</definedName>
    <definedName name="_150__123Graph_EChart_1B" hidden="1">#REF!</definedName>
    <definedName name="_151__123Graph_EChart_1CE" hidden="1">#REF!</definedName>
    <definedName name="_152__123Graph_EChart_1D" hidden="1">#REF!</definedName>
    <definedName name="_153__123Graph_EChart_1E" hidden="1">#REF!</definedName>
    <definedName name="_154__123Graph_EChart_1H" hidden="1">#REF!</definedName>
    <definedName name="_155__123Graph_EChart_1P" hidden="1">#REF!</definedName>
    <definedName name="_156__123Graph_EChart_3B" hidden="1">#REF!</definedName>
    <definedName name="_157__123Graph_FChart_1B" hidden="1">#REF!</definedName>
    <definedName name="_158__123Graph_FChart_1E" hidden="1">#REF!</definedName>
    <definedName name="_159__123Graph_FChart_1P" hidden="1">#REF!</definedName>
    <definedName name="_16__123Graph_AChart_1AP" hidden="1">#REF!</definedName>
    <definedName name="_16__123Graph_XCHART_3" hidden="1">#REF!</definedName>
    <definedName name="_160__123Graph_FChart_3B" hidden="1">#REF!</definedName>
    <definedName name="_161__123Graph_XChart_1A" hidden="1">#REF!</definedName>
    <definedName name="_162__123Graph_XChart_2AC" hidden="1">#REF!</definedName>
    <definedName name="_163__123Graph_XChart_2U" hidden="1">#REF!</definedName>
    <definedName name="_16K" hidden="1">#REF!</definedName>
    <definedName name="_17__123Graph_AChart_1AX" hidden="1">#REF!</definedName>
    <definedName name="_17__123Graph_XCHART_4" hidden="1">#REF!</definedName>
    <definedName name="_18__123Graph_AChart_1B" hidden="1">#REF!</definedName>
    <definedName name="_18__123Graph_XCHART_3" hidden="1">#REF!</definedName>
    <definedName name="_18SO" hidden="1">#REF!</definedName>
    <definedName name="_19__123Graph_AChart_1C" hidden="1">#REF!</definedName>
    <definedName name="_19__123Graph_XCHART_4" hidden="1">#REF!</definedName>
    <definedName name="_19aaa" hidden="1">{#N/A,#N/A,FALSE,"Aging Summary";#N/A,#N/A,FALSE,"Ratio Analysis";#N/A,#N/A,FALSE,"Test 120 Day Accts";#N/A,#N/A,FALSE,"Tickmarks"}</definedName>
    <definedName name="_1K" hidden="1">#REF!</definedName>
    <definedName name="_2" hidden="1">#REF!</definedName>
    <definedName name="_2______123Graph_XCHART_3" hidden="1">#REF!</definedName>
    <definedName name="_2___123Graph_XCHART_3" hidden="1">#REF!</definedName>
    <definedName name="_2__123Graph_AChart_1A" hidden="1">#REF!</definedName>
    <definedName name="_2__123Graph_AChart_1AA" hidden="1">#REF!</definedName>
    <definedName name="_2__123Graph_ACHART_2" hidden="1">#REF!</definedName>
    <definedName name="_2__123Graph_ACHART_4" hidden="1">#REF!</definedName>
    <definedName name="_2__123Graph_BChart_1A" hidden="1">#REF!</definedName>
    <definedName name="_2__123Graph_XCHART_3" hidden="1">#REF!</definedName>
    <definedName name="_2_._solv" hidden="1">#REF!,#REF!</definedName>
    <definedName name="_2_0___.0solv" hidden="1">#REF!,#REF!</definedName>
    <definedName name="_20__123Graph_AChart_1CA" hidden="1">#REF!</definedName>
    <definedName name="_21__123Graph_AChart_1CD" hidden="1">#REF!</definedName>
    <definedName name="_22__123Graph_AChart_1CE" hidden="1">#REF!</definedName>
    <definedName name="_23__123Graph_AChart_1D" hidden="1">#REF!</definedName>
    <definedName name="_23__123Graph_XCHART_4" hidden="1">#REF!</definedName>
    <definedName name="_234Grapgh_a" hidden="1">#REF!</definedName>
    <definedName name="_234Graph_AB" hidden="1">#REF!</definedName>
    <definedName name="_234Graph_B" hidden="1">#REF!</definedName>
    <definedName name="_234Graph_C" hidden="1">#REF!</definedName>
    <definedName name="_234Graph_D" hidden="1">#REF!</definedName>
    <definedName name="_234Graph_E" hidden="1">#REF!</definedName>
    <definedName name="_24__123Graph_AChart_1E" hidden="1">#REF!</definedName>
    <definedName name="_24_0___.0solv" hidden="1">#REF!,#REF!</definedName>
    <definedName name="_24aaa" hidden="1">{#N/A,#N/A,FALSE,"Aging Summary";#N/A,#N/A,FALSE,"Ratio Analysis";#N/A,#N/A,FALSE,"Test 120 Day Accts";#N/A,#N/A,FALSE,"Tickmarks"}</definedName>
    <definedName name="_25__123Graph_AChart_1F" hidden="1">#REF!</definedName>
    <definedName name="_26__123Graph_AChart_1G" hidden="1">#REF!</definedName>
    <definedName name="_27__123Graph_AChart_1H" hidden="1">#REF!</definedName>
    <definedName name="_27aaa" hidden="1">{#N/A,#N/A,FALSE,"Aging Summary";#N/A,#N/A,FALSE,"Ratio Analysis";#N/A,#N/A,FALSE,"Test 120 Day Accts";#N/A,#N/A,FALSE,"Tickmarks"}</definedName>
    <definedName name="_28__123Graph_AChart_1I" hidden="1">#REF!</definedName>
    <definedName name="_28aaa" hidden="1">{#N/A,#N/A,FALSE,"Aging Summary";#N/A,#N/A,FALSE,"Ratio Analysis";#N/A,#N/A,FALSE,"Test 120 Day Accts";#N/A,#N/A,FALSE,"Tickmarks"}</definedName>
    <definedName name="_29__123Graph_AChart_1J" hidden="1">#REF!</definedName>
    <definedName name="_29aaa" hidden="1">{#N/A,#N/A,FALSE,"Aging Summary";#N/A,#N/A,FALSE,"Ratio Analysis";#N/A,#N/A,FALSE,"Test 120 Day Accts";#N/A,#N/A,FALSE,"Tickmarks"}</definedName>
    <definedName name="_2K" hidden="1">#REF!</definedName>
    <definedName name="_2S" hidden="1">#REF!</definedName>
    <definedName name="_3" hidden="1">#REF!</definedName>
    <definedName name="_3______123Graph_XCHART_4" hidden="1">#REF!</definedName>
    <definedName name="_3___123Graph_XCHART_4" hidden="1">#REF!</definedName>
    <definedName name="_3__123Graph_ACHART_1" hidden="1">#REF!</definedName>
    <definedName name="_3__123Graph_AChart_1A" hidden="1">#REF!</definedName>
    <definedName name="_3__123Graph_AChart_1AB" hidden="1">#REF!</definedName>
    <definedName name="_3__123Graph_ACHART_4" hidden="1">#REF!</definedName>
    <definedName name="_3__123Graph_BChart_1A" hidden="1">#REF!</definedName>
    <definedName name="_3__123Graph_BCHART_2" hidden="1">#REF!</definedName>
    <definedName name="_3__123Graph_XCHART_4" hidden="1">#REF!</definedName>
    <definedName name="_3_._solv" hidden="1">#REF!,#REF!</definedName>
    <definedName name="_3_0___.0solv" hidden="1">#REF!,#REF!</definedName>
    <definedName name="_3_0_0_K" hidden="1">#REF!</definedName>
    <definedName name="_30__123Graph_AChart_1K" hidden="1">#REF!</definedName>
    <definedName name="_31__123Graph_AChart_1L" hidden="1">#REF!</definedName>
    <definedName name="_32__123Graph_AChart_1M" hidden="1">#REF!</definedName>
    <definedName name="_321" hidden="1">#REF!</definedName>
    <definedName name="_33__123Graph_AChart_1N" hidden="1">#REF!</definedName>
    <definedName name="_34__123Graph_AChart_1O" hidden="1">#REF!</definedName>
    <definedName name="_35__123Graph_AChart_1P" hidden="1">#REF!</definedName>
    <definedName name="_36__123Graph_AChart_1Q" hidden="1">#REF!</definedName>
    <definedName name="_37__123Graph_AChart_1R" hidden="1">#REF!</definedName>
    <definedName name="_38__123Graph_AChart_1S" hidden="1">#REF!</definedName>
    <definedName name="_39__123Graph_AChart_1T" hidden="1">#REF!</definedName>
    <definedName name="_39aaa" hidden="1">{#N/A,#N/A,FALSE,"Aging Summary";#N/A,#N/A,FALSE,"Ratio Analysis";#N/A,#N/A,FALSE,"Test 120 Day Accts";#N/A,#N/A,FALSE,"Tickmarks"}</definedName>
    <definedName name="_4_____123Graph_ACHART_4" hidden="1">#REF!</definedName>
    <definedName name="_4__123Graph_AChart_1A" hidden="1">#REF!</definedName>
    <definedName name="_4__123Graph_AChart_1AC" hidden="1">#REF!</definedName>
    <definedName name="_4__123Graph_ACHART_2" hidden="1">#REF!</definedName>
    <definedName name="_4__123Graph_ACHART_4" hidden="1">#REF!</definedName>
    <definedName name="_4__123Graph_BChart_1A" hidden="1">#REF!</definedName>
    <definedName name="_4__123Graph_CCHART_1" hidden="1">#REF!</definedName>
    <definedName name="_4__123Graph_XCHART_3" hidden="1">#REF!</definedName>
    <definedName name="_4_0___.0solv" hidden="1">#REF!,#REF!</definedName>
    <definedName name="_4_0_0_S" hidden="1">#REF!</definedName>
    <definedName name="_40__123Graph_AChart_1U" hidden="1">#REF!</definedName>
    <definedName name="_41__123Graph_AChart_1V" hidden="1">#REF!</definedName>
    <definedName name="_42__123Graph_AChart_1W" hidden="1">#REF!</definedName>
    <definedName name="_43__123Graph_AChart_1X" hidden="1">#REF!</definedName>
    <definedName name="_44__123Graph_AChart_1Y" hidden="1">#REF!</definedName>
    <definedName name="_45__123Graph_AChart_1Z" hidden="1">#REF!</definedName>
    <definedName name="_46__123Graph_AChart_2A" hidden="1">#REF!</definedName>
    <definedName name="_47__123Graph_AChart_2AC" hidden="1">#REF!</definedName>
    <definedName name="_48__123Graph_AChart_2AE" hidden="1">#REF!</definedName>
    <definedName name="_49__123Graph_AChart_2CC" hidden="1">#REF!</definedName>
    <definedName name="_4aaa" hidden="1">{#N/A,#N/A,FALSE,"Aging Summary";#N/A,#N/A,FALSE,"Ratio Analysis";#N/A,#N/A,FALSE,"Test 120 Day Accts";#N/A,#N/A,FALSE,"Tickmarks"}</definedName>
    <definedName name="_4S" hidden="1">#REF!</definedName>
    <definedName name="_5_____123Graph_XCHART_3" hidden="1">#REF!</definedName>
    <definedName name="_5__123Graph_AChart_1AD" hidden="1">#REF!</definedName>
    <definedName name="_5__123Graph_BCHART_2" hidden="1">#REF!</definedName>
    <definedName name="_5__123Graph_DCHART_1" hidden="1">#REF!</definedName>
    <definedName name="_5__123Graph_XCHART_3" hidden="1">#REF!</definedName>
    <definedName name="_5__123Graph_XCHART_4" hidden="1">#REF!</definedName>
    <definedName name="_5_0_0K" hidden="1">#REF!</definedName>
    <definedName name="_50__123Graph_AChart_2D" hidden="1">#REF!</definedName>
    <definedName name="_51__123Graph_AChart_2E" hidden="1">#REF!</definedName>
    <definedName name="_52__123Graph_AChart_2J" hidden="1">#REF!</definedName>
    <definedName name="_53__123Graph_AChart_2T" hidden="1">#REF!</definedName>
    <definedName name="_54__123Graph_AChart_2U" hidden="1">#REF!</definedName>
    <definedName name="_55__123Graph_AChart_3B" hidden="1">#REF!</definedName>
    <definedName name="_56__123Graph_AChart_3D" hidden="1">#REF!</definedName>
    <definedName name="_57__123Graph_AChart_3L" hidden="1">#REF!</definedName>
    <definedName name="_58__123Graph_AChart_3X" hidden="1">#REF!</definedName>
    <definedName name="_59__123Graph_AChart_9C" hidden="1">#REF!</definedName>
    <definedName name="_6_____123Graph_XCHART_4" hidden="1">#REF!</definedName>
    <definedName name="_6__123Graph_AChart_1A" hidden="1">#REF!</definedName>
    <definedName name="_6__123Graph_AChart_1AE" hidden="1">#REF!</definedName>
    <definedName name="_6__123Graph_ACHART_4" hidden="1">#REF!</definedName>
    <definedName name="_6__123Graph_CCHART_1" hidden="1">#REF!</definedName>
    <definedName name="_6__123Graph_XCHART_3" hidden="1">#REF!</definedName>
    <definedName name="_6__123Graph_XCHART_4" hidden="1">#REF!</definedName>
    <definedName name="_6_0_0_K" hidden="1">#REF!</definedName>
    <definedName name="_6_0_0SO" hidden="1">#REF!</definedName>
    <definedName name="_60__123Graph_BChart_1A" hidden="1">#REF!</definedName>
    <definedName name="_61__123Graph_BChart_1AA" hidden="1">#REF!</definedName>
    <definedName name="_62__123Graph_BChart_1AB" hidden="1">#REF!</definedName>
    <definedName name="_63__123Graph_BChart_1AC" hidden="1">#REF!</definedName>
    <definedName name="_64__123Graph_BChart_1AD" hidden="1">#REF!</definedName>
    <definedName name="_65__123Graph_BChart_1AE" hidden="1">#REF!</definedName>
    <definedName name="_66__123Graph_BChart_1AF" hidden="1">#REF!</definedName>
    <definedName name="_67__123Graph_BChart_1AG" hidden="1">#REF!</definedName>
    <definedName name="_68__123Graph_BChart_1AM" hidden="1">#REF!</definedName>
    <definedName name="_69__123Graph_BChart_1AO" hidden="1">#REF!</definedName>
    <definedName name="_6aaa" hidden="1">{#N/A,#N/A,FALSE,"Aging Summary";#N/A,#N/A,FALSE,"Ratio Analysis";#N/A,#N/A,FALSE,"Test 120 Day Accts";#N/A,#N/A,FALSE,"Tickmarks"}</definedName>
    <definedName name="_7" hidden="1">#REF!</definedName>
    <definedName name="_7____123Graph_ACHART_4" hidden="1">#REF!</definedName>
    <definedName name="_7__123Graph_AChart_1AF" hidden="1">#REF!</definedName>
    <definedName name="_7__123Graph_ACHART_4" hidden="1">#REF!</definedName>
    <definedName name="_7__123Graph_BChart_1A" hidden="1">#REF!</definedName>
    <definedName name="_7__123Graph_DCHART_1" hidden="1">#REF!</definedName>
    <definedName name="_7__123Graph_XCHART_4" hidden="1">#REF!</definedName>
    <definedName name="_70__123Graph_BChart_1AX" hidden="1">#REF!</definedName>
    <definedName name="_71__123Graph_BChart_1B" hidden="1">#REF!</definedName>
    <definedName name="_72__123Graph_BChart_1C" hidden="1">#REF!</definedName>
    <definedName name="_73__123Graph_BChart_1CA" hidden="1">#REF!</definedName>
    <definedName name="_74__123Graph_BChart_1CD" hidden="1">#REF!</definedName>
    <definedName name="_75__123Graph_BChart_1CE" hidden="1">#REF!</definedName>
    <definedName name="_76__123Graph_BChart_1D" hidden="1">#REF!</definedName>
    <definedName name="_77__123Graph_BChart_1E" hidden="1">#REF!</definedName>
    <definedName name="_78__123Graph_BChart_1F" hidden="1">#REF!</definedName>
    <definedName name="_79__123Graph_BChart_1G" hidden="1">#REF!</definedName>
    <definedName name="_7aaa" hidden="1">{#N/A,#N/A,FALSE,"Aging Summary";#N/A,#N/A,FALSE,"Ratio Analysis";#N/A,#N/A,FALSE,"Test 120 Day Accts";#N/A,#N/A,FALSE,"Tickmarks"}</definedName>
    <definedName name="_8" hidden="1">#REF!</definedName>
    <definedName name="_8____123Graph_XCHART_3" hidden="1">#REF!</definedName>
    <definedName name="_8__123Graph_AChart_1AG" hidden="1">#REF!</definedName>
    <definedName name="_8__123Graph_ACHART_4" hidden="1">#REF!</definedName>
    <definedName name="_8__123Graph_BChart_1A" hidden="1">#REF!</definedName>
    <definedName name="_8__123Graph_XCHART_3" hidden="1">#REF!</definedName>
    <definedName name="_8_0_0_S" hidden="1">#REF!</definedName>
    <definedName name="_80__123Graph_BChart_1H" hidden="1">#REF!</definedName>
    <definedName name="_81__123Graph_BChart_1I" hidden="1">#REF!</definedName>
    <definedName name="_82__123Graph_BChart_1J" hidden="1">#REF!</definedName>
    <definedName name="_83__123Graph_BChart_1K" hidden="1">#REF!</definedName>
    <definedName name="_84__123Graph_BChart_1L" hidden="1">#REF!</definedName>
    <definedName name="_85__123Graph_BChart_1M" hidden="1">#REF!</definedName>
    <definedName name="_86__123Graph_BChart_1N" hidden="1">#REF!</definedName>
    <definedName name="_87__123Graph_BChart_1O" hidden="1">#REF!</definedName>
    <definedName name="_88__123Graph_BChart_1P" hidden="1">#REF!</definedName>
    <definedName name="_89__123Graph_BChart_1Q" hidden="1">#REF!</definedName>
    <definedName name="_8aaa" hidden="1">{#N/A,#N/A,FALSE,"Aging Summary";#N/A,#N/A,FALSE,"Ratio Analysis";#N/A,#N/A,FALSE,"Test 120 Day Accts";#N/A,#N/A,FALSE,"Tickmarks"}</definedName>
    <definedName name="_8K" hidden="1">#REF!</definedName>
    <definedName name="_9____123Graph_XCHART_4" hidden="1">#REF!</definedName>
    <definedName name="_9__123Graph_AChart_1AI" hidden="1">#REF!</definedName>
    <definedName name="_9__123Graph_ACHART_4" hidden="1">#REF!</definedName>
    <definedName name="_9__123Graph_XCHART_4" hidden="1">#REF!</definedName>
    <definedName name="_90__123Graph_BChart_1R" hidden="1">#REF!</definedName>
    <definedName name="_91__123Graph_BChart_1T" hidden="1">#REF!</definedName>
    <definedName name="_92__123Graph_BChart_1U" hidden="1">#REF!</definedName>
    <definedName name="_93__123Graph_BChart_1W" hidden="1">#REF!</definedName>
    <definedName name="_94__123Graph_BChart_1X" hidden="1">#REF!</definedName>
    <definedName name="_95__123Graph_BChart_1Y" hidden="1">#REF!</definedName>
    <definedName name="_96__123Graph_BChart_1Z" hidden="1">#REF!</definedName>
    <definedName name="_97__123Graph_BChart_2AC" hidden="1">#REF!</definedName>
    <definedName name="_98__123Graph_BChart_2AE" hidden="1">#REF!</definedName>
    <definedName name="_99__123Graph_BChart_2CC" hidden="1">#REF!</definedName>
    <definedName name="_9SO" hidden="1">#REF!</definedName>
    <definedName name="_абвгд" hidden="1">#REF!</definedName>
    <definedName name="_Весна4кв.17" hidden="1">#REF!</definedName>
    <definedName name="_xlnm._FilterDatabase" localSheetId="12" hidden="1">БИТ!$A$1:$AX$273</definedName>
    <definedName name="_xlnm._FilterDatabase" localSheetId="10" hidden="1">DETAILS!$B$4:$BR$417</definedName>
    <definedName name="_xlnm._FilterDatabase" localSheetId="11" hidden="1">FACT!$A$1:$V$199</definedName>
    <definedName name="_xlnm._FilterDatabase" hidden="1">#REF!</definedName>
    <definedName name="_a2" localSheetId="1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localSheetId="1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localSheetId="1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1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localSheetId="1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localSheetId="1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localSheetId="1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b1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c" hidden="1">#REF!</definedName>
    <definedName name="_ag1" hidden="1">#N/A</definedName>
    <definedName name="_AS1" localSheetId="12" hidden="1">{#N/A,#N/A,FALSE,"müş_iç_ihz";#N/A,#N/A,FALSE,"müş_iç_er";#N/A,#N/A,FALSE,"müş_iç_tut"}</definedName>
    <definedName name="_AS1" hidden="1">{#N/A,#N/A,FALSE,"müş_iç_ihz";#N/A,#N/A,FALSE,"müş_iç_er";#N/A,#N/A,FALSE,"müş_iç_tut"}</definedName>
    <definedName name="_as2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b2" localSheetId="1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" localSheetId="1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localSheetId="1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 localSheetId="1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localSheetId="1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r1" localSheetId="12" hidden="1">{#N/A,#N/A,TRUE,"Cover";#N/A,#N/A,TRUE,"Conts";#N/A,#N/A,TRUE,"VOS";#N/A,#N/A,TRUE,"Warrington";#N/A,#N/A,TRUE,"Widnes"}</definedName>
    <definedName name="_ccr1" hidden="1">{#N/A,#N/A,TRUE,"Cover";#N/A,#N/A,TRUE,"Conts";#N/A,#N/A,TRUE,"VOS";#N/A,#N/A,TRUE,"Warrington";#N/A,#N/A,TRUE,"Widnes"}</definedName>
    <definedName name="_Fill" hidden="1">#REF!</definedName>
    <definedName name="_FilterDatabase" hidden="1">#REF!</definedName>
    <definedName name="_hk4645" localSheetId="12" hidden="1">{#N/A,#N/A,FALSE,"ihz. icmal";#N/A,#N/A,FALSE,"avans";#N/A,#N/A,FALSE,"mal_FF_icm";#N/A,#N/A,FALSE,"fat_ihz";#N/A,#N/A,FALSE,"söz_fiy_fark";#N/A,#N/A,FALSE,"kap2"}</definedName>
    <definedName name="_hk4645" hidden="1">{#N/A,#N/A,FALSE,"ihz. icmal";#N/A,#N/A,FALSE,"avans";#N/A,#N/A,FALSE,"mal_FF_icm";#N/A,#N/A,FALSE,"fat_ihz";#N/A,#N/A,FALSE,"söz_fiy_fark";#N/A,#N/A,FALSE,"kap2"}</definedName>
    <definedName name="_hkf8" hidden="1">{"glc1",#N/A,FALSE,"GLC";"glc2",#N/A,FALSE,"GLC";"glc3",#N/A,FALSE,"GLC";"glc4",#N/A,FALSE,"GLC";"glc5",#N/A,FALSE,"GLC"}</definedName>
    <definedName name="_Key1" localSheetId="14" hidden="1">#REF!</definedName>
    <definedName name="_Key1" hidden="1">#REF!</definedName>
    <definedName name="_Key2" localSheetId="14" hidden="1">#REF!</definedName>
    <definedName name="_KEY2" hidden="1">#REF!</definedName>
    <definedName name="_mal2" localSheetId="12" hidden="1">{"'KABA MALZEME'!$B$5:$G$101","'KABA MALZEME'!$B$5:$G$101"}</definedName>
    <definedName name="_mal2" hidden="1">{"'KABA MALZEME'!$B$5:$G$101","'KABA MALZEME'!$B$5:$G$101"}</definedName>
    <definedName name="_n76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old2" localSheetId="12" hidden="1">{"'Sheet1'!$A$1:$X$25"}</definedName>
    <definedName name="_old2" hidden="1">{"'Sheet1'!$A$1:$X$25"}</definedName>
    <definedName name="_old3" localSheetId="12" hidden="1">{#N/A,#N/A,FALSE,"Summary";#N/A,#N/A,FALSE,"3TJ";#N/A,#N/A,FALSE,"3TN";#N/A,#N/A,FALSE,"3TP";#N/A,#N/A,FALSE,"3SJ";#N/A,#N/A,FALSE,"3CJ";#N/A,#N/A,FALSE,"3CN";#N/A,#N/A,FALSE,"3CP";#N/A,#N/A,FALSE,"3A"}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localSheetId="12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localSheetId="12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1_1" hidden="1">0</definedName>
    <definedName name="_order12" hidden="1">0</definedName>
    <definedName name="_Order2" localSheetId="14" hidden="1">0</definedName>
    <definedName name="_Order2" hidden="1">255</definedName>
    <definedName name="_OSM2" localSheetId="12" hidden="1">{#N/A,#N/A,FALSE,"TELEFON"}</definedName>
    <definedName name="_OSM2" hidden="1">{#N/A,#N/A,FALSE,"TELEFON"}</definedName>
    <definedName name="_Parse_In" hidden="1">#REF!</definedName>
    <definedName name="_Regression_Int" hidden="1">1</definedName>
    <definedName name="_Regression_Y" hidden="1">#REF!</definedName>
    <definedName name="_RL1" hidden="1">#REF!</definedName>
    <definedName name="_rl2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rwb2" hidden="1">{#N/A,#N/A,FALSE,"Aging Summary";#N/A,#N/A,FALSE,"Ratio Analysis";#N/A,#N/A,FALSE,"Test 120 Day Accts";#N/A,#N/A,FALSE,"Tickmarks"}</definedName>
    <definedName name="_rwn1" hidden="1">{#N/A,#N/A,FALSE,"Aging Summary";#N/A,#N/A,FALSE,"Ratio Analysis";#N/A,#N/A,FALSE,"Test 120 Day Accts";#N/A,#N/A,FALSE,"Tickmarks"}</definedName>
    <definedName name="_rwn10" hidden="1">{#N/A,#N/A,FALSE,"Aging Summary";#N/A,#N/A,FALSE,"Ratio Analysis";#N/A,#N/A,FALSE,"Test 120 Day Accts";#N/A,#N/A,FALSE,"Tickmarks"}</definedName>
    <definedName name="_rwn3" hidden="1">{"assets",#N/A,FALSE,"historicBS";"liab",#N/A,FALSE,"historicBS";"is",#N/A,FALSE,"historicIS";"ratios",#N/A,FALSE,"ratios"}</definedName>
    <definedName name="_rwn4" hidden="1">{"assets",#N/A,FALSE,"historicBS";"liab",#N/A,FALSE,"historicBS";"is",#N/A,FALSE,"historicIS";"ratios",#N/A,FALSE,"ratios"}</definedName>
    <definedName name="_rwn5" hidden="1">{"glcbs",#N/A,FALSE,"GLCBS";"glccsbs",#N/A,FALSE,"GLCCSBS";"glcis",#N/A,FALSE,"GLCIS";"glccsis",#N/A,FALSE,"GLCCSIS";"glcrat1",#N/A,FALSE,"GLC-ratios1"}</definedName>
    <definedName name="_rwn6" hidden="1">{"glc1",#N/A,FALSE,"GLC";"glc2",#N/A,FALSE,"GLC";"glc3",#N/A,FALSE,"GLC";"glc4",#N/A,FALSE,"GLC";"glc5",#N/A,FALSE,"GLC"}</definedName>
    <definedName name="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8" hidden="1">{"glc1",#N/A,FALSE,"GLC";"glc2",#N/A,FALSE,"GLC";"glc3",#N/A,FALSE,"GLC";"glc4",#N/A,FALSE,"GLC";"glc5",#N/A,FALSE,"GLC"}</definedName>
    <definedName name="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Sort" hidden="1">#REF!</definedName>
    <definedName name="_sort1" hidden="1">#REF!</definedName>
    <definedName name="_sort5" hidden="1">#REF!</definedName>
    <definedName name="_sss3" localSheetId="12" hidden="1">{#N/A,#N/A,FALSE,"ihz. icmal";#N/A,#N/A,FALSE,"avans";#N/A,#N/A,FALSE,"mal_FF_icm";#N/A,#N/A,FALSE,"fat_ihz";#N/A,#N/A,FALSE,"söz_fiy_fark";#N/A,#N/A,FALSE,"kap2"}</definedName>
    <definedName name="_sss3" hidden="1">{#N/A,#N/A,FALSE,"ihz. icmal";#N/A,#N/A,FALSE,"avans";#N/A,#N/A,FALSE,"mal_FF_icm";#N/A,#N/A,FALSE,"fat_ihz";#N/A,#N/A,FALSE,"söz_fiy_fark";#N/A,#N/A,FALSE,"kap2"}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tt1" localSheetId="12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w1" localSheetId="12" hidden="1">{"DELIV.",#N/A,FALSE,"comp";"INV",#N/A,FALSE,"comp"}</definedName>
    <definedName name="_w1" hidden="1">{"DELIV.",#N/A,FALSE,"comp";"INV",#N/A,FALSE,"comp"}</definedName>
    <definedName name="_wrn2" localSheetId="1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2" localSheetId="14" hidden="1">{"glc1",#N/A,FALSE,"GLC";"glc2",#N/A,FALSE,"GLC";"glc3",#N/A,FALSE,"GLC";"glc4",#N/A,FALSE,"GLC";"glc5",#N/A,FALSE,"GLC"}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222" localSheetId="12" hidden="1">{"glc1",#N/A,FALSE,"GLC";"glc2",#N/A,FALSE,"GLC";"glc3",#N/A,FALSE,"GLC";"glc4",#N/A,FALSE,"GLC";"glc5",#N/A,FALSE,"GLC"}</definedName>
    <definedName name="_wrn222" localSheetId="14" hidden="1">{"glc1",#N/A,FALSE,"GLC";"glc2",#N/A,FALSE,"GLC";"glc3",#N/A,FALSE,"GLC";"glc4",#N/A,FALSE,"GLC";"glc5",#N/A,FALSE,"GLC"}</definedName>
    <definedName name="_wrn222" hidden="1">{"glc1",#N/A,FALSE,"GLC";"glc2",#N/A,FALSE,"GLC";"glc3",#N/A,FALSE,"GLC";"glc4",#N/A,FALSE,"GLC";"glc5",#N/A,FALSE,"GLC"}</definedName>
    <definedName name="_wrn3" localSheetId="1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x1" hidden="1">#N/A</definedName>
    <definedName name="а" localSheetId="12" hidden="1">{"'РП (2)'!$A$5:$S$150"}</definedName>
    <definedName name="а" hidden="1">{"'РП (2)'!$A$5:$S$150"}</definedName>
    <definedName name="ааа" localSheetId="12" hidden="1">{#N/A,#N/A,FALSE,"Aging Summary";#N/A,#N/A,FALSE,"Ratio Analysis";#N/A,#N/A,FALSE,"Test 120 Day Accts";#N/A,#N/A,FALSE,"Tickmarks"}</definedName>
    <definedName name="ааа" localSheetId="14" hidden="1">#N/A</definedName>
    <definedName name="ааа" hidden="1">{#N/A,#N/A,FALSE,"Aging Summary";#N/A,#N/A,FALSE,"Ratio Analysis";#N/A,#N/A,FALSE,"Test 120 Day Accts";#N/A,#N/A,FALSE,"Tickmarks"}</definedName>
    <definedName name="аааа" hidden="1">{"data",#N/A,FALSE,"INPUT"}</definedName>
    <definedName name="ааааа" localSheetId="12" hidden="1">{"'РП (2)'!$A$5:$S$150"}</definedName>
    <definedName name="ааааа" localSheetId="14" hidden="1">{"'РП (2)'!$A$5:$S$150"}</definedName>
    <definedName name="ааааа" hidden="1">{"'РП (2)'!$A$5:$S$150"}</definedName>
    <definedName name="ааааа_1" hidden="1">{"'РП (2)'!$A$5:$S$150"}</definedName>
    <definedName name="ааааа_1_1" hidden="1">{"'РП (2)'!$A$5:$S$150"}</definedName>
    <definedName name="ааааа_2" hidden="1">{"'РП (2)'!$A$5:$S$150"}</definedName>
    <definedName name="ааааа_3" hidden="1">{"'РП (2)'!$A$5:$S$150"}</definedName>
    <definedName name="ааааа_4" hidden="1">{"'РП (2)'!$A$5:$S$150"}</definedName>
    <definedName name="ааааа2" hidden="1">{#N/A,#N/A,TRUE,"Буржуям"}</definedName>
    <definedName name="ааааааа" hidden="1">{"'Sheet1'!$A$1:$G$85"}</definedName>
    <definedName name="ааааааа_1" hidden="1">{"'Sheet1'!$A$1:$G$85"}</definedName>
    <definedName name="ааааааа_2" hidden="1">{"'Sheet1'!$A$1:$G$85"}</definedName>
    <definedName name="ааааааа_3" hidden="1">{"'Sheet1'!$A$1:$G$85"}</definedName>
    <definedName name="ааааааа_4" hidden="1">{"'Sheet1'!$A$1:$G$85"}</definedName>
    <definedName name="ааааааааа" hidden="1">{"'Sheet1'!$A$1:$G$85"}</definedName>
    <definedName name="аааааааааааааааааааааа" localSheetId="12" hidden="1">{"'РП (2)'!$A$5:$S$150"}</definedName>
    <definedName name="аааааааааааааааааааааа" hidden="1">{"'РП (2)'!$A$5:$S$150"}</definedName>
    <definedName name="аааааааааааааааввввввввввввв" localSheetId="12" hidden="1">{"'РП (2)'!$A$5:$S$150"}</definedName>
    <definedName name="аааааааааааааааввввввввввввв" hidden="1">{"'РП (2)'!$A$5:$S$150"}</definedName>
    <definedName name="абакан" localSheetId="12" hidden="1">{"'РП (2)'!$A$5:$S$150"}</definedName>
    <definedName name="абакан" hidden="1">{"'РП (2)'!$A$5:$S$150"}</definedName>
    <definedName name="ав" hidden="1">#REF!</definedName>
    <definedName name="авпвап" hidden="1">#REF!</definedName>
    <definedName name="аврваыр" hidden="1">{"glcbs",#N/A,FALSE,"GLCBS";"glccsbs",#N/A,FALSE,"GLCCSBS";"glcis",#N/A,FALSE,"GLCIS";"glccsis",#N/A,FALSE,"GLCCSIS";"glcrat1",#N/A,FALSE,"GLC-ratios1"}</definedName>
    <definedName name="авы" hidden="1">#REF!</definedName>
    <definedName name="авыпвап" hidden="1">#REF!</definedName>
    <definedName name="аег" hidden="1">{#N/A,#N/A,FALSE,"Aging Summary";#N/A,#N/A,FALSE,"Ratio Analysis";#N/A,#N/A,FALSE,"Test 120 Day Accts";#N/A,#N/A,FALSE,"Tickmarks"}</definedName>
    <definedName name="аж" localSheetId="12" hidden="1">{"'РП (2)'!$A$5:$S$150"}</definedName>
    <definedName name="аж" hidden="1">{"'РП (2)'!$A$5:$S$150"}</definedName>
    <definedName name="алормж" localSheetId="12" hidden="1">{"'РП (2)'!$A$5:$S$150"}</definedName>
    <definedName name="алормж" hidden="1">{"'РП (2)'!$A$5:$S$150"}</definedName>
    <definedName name="ан" localSheetId="12" hidden="1">{"'РП (2)'!$A$5:$S$150"}</definedName>
    <definedName name="ан" hidden="1">{"'РП (2)'!$A$5:$S$150"}</definedName>
    <definedName name="ап" localSheetId="12" hidden="1">{"'РП (2)'!$A$5:$S$150"}</definedName>
    <definedName name="ап" hidden="1">{"'РП (2)'!$A$5:$S$150"}</definedName>
    <definedName name="апап" hidden="1">{"AnalRSA",#N/A,TRUE,"PL-Anal";"AnalIAS",#N/A,TRUE,"PL-Anal"}</definedName>
    <definedName name="апо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пппппппппппп" hidden="1">{"'Sheet1'!$A$1:$G$85"}</definedName>
    <definedName name="апрель_" localSheetId="12" hidden="1">{"'РП (2)'!$A$5:$S$150"}</definedName>
    <definedName name="апрель_" hidden="1">{"'РП (2)'!$A$5:$S$150"}</definedName>
    <definedName name="ар" localSheetId="12" hidden="1">{"'РП (2)'!$A$5:$S$150"}</definedName>
    <definedName name="ар" hidden="1">{"'РП (2)'!$A$5:$S$150"}</definedName>
    <definedName name="ар_ставка_офис" localSheetId="12" hidden="1">{"Inflation-BaseYear",#N/A,FALSE,"Inputs"}</definedName>
    <definedName name="ар_ставка_офис" hidden="1">{"Inflation-BaseYear",#N/A,FALSE,"Inputs"}</definedName>
    <definedName name="арарарарра" localSheetId="12" hidden="1">{"'РП (2)'!$A$5:$S$150"}</definedName>
    <definedName name="арарарарра" hidden="1">{"'РП (2)'!$A$5:$S$150"}</definedName>
    <definedName name="АринаХасанова" hidden="1">#REF!</definedName>
    <definedName name="арложлд" localSheetId="12" hidden="1">{"'РП (2)'!$A$5:$S$150"}</definedName>
    <definedName name="арложлд" hidden="1">{"'РП (2)'!$A$5:$S$150"}</definedName>
    <definedName name="аррап" hidden="1">{#N/A,#N/A,FALSE,"Aging Summary";#N/A,#N/A,FALSE,"Ratio Analysis";#N/A,#N/A,FALSE,"Test 120 Day Accts";#N/A,#N/A,FALSE,"Tickmarks"}</definedName>
    <definedName name="арыщдр" localSheetId="12" hidden="1">{"'РП (2)'!$A$5:$S$150"}</definedName>
    <definedName name="арыщдр" hidden="1">{"'РП (2)'!$A$5:$S$150"}</definedName>
    <definedName name="аыи" hidden="1">{"'Prices'!$A$4:$J$27"}</definedName>
    <definedName name="б" hidden="1">{#N/A,#N/A,FALSE,"Aging Summary";#N/A,#N/A,FALSE,"Ratio Analysis";#N/A,#N/A,FALSE,"Test 120 Day Accts";#N/A,#N/A,FALSE,"Tickmarks"}</definedName>
    <definedName name="бб" localSheetId="12" hidden="1">{"'РП (2)'!$A$5:$S$150"}</definedName>
    <definedName name="бб" hidden="1">{"'РП (2)'!$A$5:$S$150"}</definedName>
    <definedName name="ббб" hidden="1">{"AnalRSA",#N/A,TRUE,"PL-Anal";"AnalIAS",#N/A,TRUE,"PL-Anal"}</definedName>
    <definedName name="бббб" localSheetId="12" hidden="1">{"'РП (2)'!$A$5:$S$150"}</definedName>
    <definedName name="бббб" hidden="1">{"'РП (2)'!$A$5:$S$150"}</definedName>
    <definedName name="ббббб" localSheetId="12" hidden="1">{"'РП (2)'!$A$5:$S$150"}</definedName>
    <definedName name="ббббб" hidden="1">{"'РП (2)'!$A$5:$S$150"}</definedName>
    <definedName name="бббббб" localSheetId="12" hidden="1">{"'РП (2)'!$A$5:$S$150"}</definedName>
    <definedName name="бббббб" hidden="1">{"'РП (2)'!$A$5:$S$150"}</definedName>
    <definedName name="бббббббб" localSheetId="12" hidden="1">{"'РП (2)'!$A$5:$S$150"}</definedName>
    <definedName name="бббббббб" hidden="1">{"'РП (2)'!$A$5:$S$150"}</definedName>
    <definedName name="ббббббббббббб" localSheetId="12" hidden="1">{"'РП (2)'!$A$5:$S$150"}</definedName>
    <definedName name="ббббббббббббб" hidden="1">{"'РП (2)'!$A$5:$S$150"}</definedName>
    <definedName name="ббббббббббббббб" localSheetId="12" hidden="1">{"'РП (2)'!$A$5:$S$150"}</definedName>
    <definedName name="ббббббббббббббб" hidden="1">{"'РП (2)'!$A$5:$S$150"}</definedName>
    <definedName name="ббббббббббббббббббб" localSheetId="12" hidden="1">{"'РП (2)'!$A$5:$S$150"}</definedName>
    <definedName name="ббббббббббббббббббб" hidden="1">{"'РП (2)'!$A$5:$S$150"}</definedName>
    <definedName name="бббббббююю" localSheetId="12" hidden="1">{"'РП (2)'!$A$5:$S$150"}</definedName>
    <definedName name="бббббббююю" hidden="1">{"'РП (2)'!$A$5:$S$150"}</definedName>
    <definedName name="бдр" localSheetId="12" hidden="1">{"'РП (2)'!$A$5:$S$150"}</definedName>
    <definedName name="бдр" localSheetId="14" hidden="1">{"'РП (2)'!$A$5:$S$150"}</definedName>
    <definedName name="бдр" hidden="1">{"'РП (2)'!$A$5:$S$150"}</definedName>
    <definedName name="бдр_1" hidden="1">{"'РП (2)'!$A$5:$S$150"}</definedName>
    <definedName name="бдр_1_1" hidden="1">{"'РП (2)'!$A$5:$S$150"}</definedName>
    <definedName name="бдр_2" hidden="1">{"'РП (2)'!$A$5:$S$150"}</definedName>
    <definedName name="бдр_3" hidden="1">{"'РП (2)'!$A$5:$S$150"}</definedName>
    <definedName name="бдр_4" hidden="1">{"'РП (2)'!$A$5:$S$150"}</definedName>
    <definedName name="бер" localSheetId="12" hidden="1">{"'РП (2)'!$A$5:$S$150"}</definedName>
    <definedName name="бер" hidden="1">{"'РП (2)'!$A$5:$S$150"}</definedName>
    <definedName name="береза" localSheetId="12" hidden="1">{"'РП (2)'!$A$5:$S$150"}</definedName>
    <definedName name="береза" hidden="1">{"'РП (2)'!$A$5:$S$150"}</definedName>
    <definedName name="Бор" localSheetId="12" hidden="1">{"'РП (2)'!$A$5:$S$150"}</definedName>
    <definedName name="Бор" hidden="1">{"'РП (2)'!$A$5:$S$150"}</definedName>
    <definedName name="Бородино" localSheetId="12" hidden="1">{"'РП (2)'!$A$5:$S$150"}</definedName>
    <definedName name="Бородино" hidden="1">{"'РП (2)'!$A$5:$S$150"}</definedName>
    <definedName name="БТ" localSheetId="12" hidden="1">{"'РП (2)'!$A$5:$S$150"}</definedName>
    <definedName name="БТ" hidden="1">{"'РП (2)'!$A$5:$S$150"}</definedName>
    <definedName name="бю." localSheetId="12" hidden="1">{"'РП (2)'!$A$5:$S$150"}</definedName>
    <definedName name="бю." hidden="1">{"'РП (2)'!$A$5:$S$150"}</definedName>
    <definedName name="бюджет" localSheetId="12" hidden="1">{"'РП (2)'!$A$5:$S$150"}</definedName>
    <definedName name="бюджет" localSheetId="14" hidden="1">{"'РП (2)'!$A$5:$S$150"}</definedName>
    <definedName name="бюджет" hidden="1">{"'РП (2)'!$A$5:$S$150"}</definedName>
    <definedName name="бюджет_1" hidden="1">{"'РП (2)'!$A$5:$S$150"}</definedName>
    <definedName name="бюджет_1_1" hidden="1">{"'РП (2)'!$A$5:$S$150"}</definedName>
    <definedName name="бюджет_2" hidden="1">{"'РП (2)'!$A$5:$S$150"}</definedName>
    <definedName name="бюджет_3" hidden="1">{"'РП (2)'!$A$5:$S$150"}</definedName>
    <definedName name="бюджет_4" hidden="1">{"'РП (2)'!$A$5:$S$150"}</definedName>
    <definedName name="Бюджет1" localSheetId="12" hidden="1">{"'РП (2)'!$A$5:$S$150"}</definedName>
    <definedName name="Бюджет1" hidden="1">{"'РП (2)'!$A$5:$S$150"}</definedName>
    <definedName name="Бюджет2" localSheetId="12" hidden="1">{"'РП (2)'!$A$5:$S$150"}</definedName>
    <definedName name="Бюджет2" hidden="1">{"'РП (2)'!$A$5:$S$150"}</definedName>
    <definedName name="бюджетик" localSheetId="12" hidden="1">{"'РП (2)'!$A$5:$S$150"}</definedName>
    <definedName name="бюджетик" hidden="1">{"'РП (2)'!$A$5:$S$150"}</definedName>
    <definedName name="ва" hidden="1">#REF!</definedName>
    <definedName name="вава" hidden="1">#REF!</definedName>
    <definedName name="вадло" localSheetId="12" hidden="1">{"'РП (2)'!$A$5:$S$150"}</definedName>
    <definedName name="вадло" hidden="1">{"'РП (2)'!$A$5:$S$150"}</definedName>
    <definedName name="валор" hidden="1">{"'Sheet1'!$A$1:$G$85"}</definedName>
    <definedName name="валор_1" hidden="1">{"'Sheet1'!$A$1:$G$85"}</definedName>
    <definedName name="валор_1_1" hidden="1">{"'Sheet1'!$A$1:$G$85"}</definedName>
    <definedName name="валор_2" hidden="1">{"'Sheet1'!$A$1:$G$85"}</definedName>
    <definedName name="валор_3" hidden="1">{"'Sheet1'!$A$1:$G$85"}</definedName>
    <definedName name="валор_4" hidden="1">{"'Sheet1'!$A$1:$G$85"}</definedName>
    <definedName name="вап" hidden="1">#REF!</definedName>
    <definedName name="вапав" hidden="1">#REF!</definedName>
    <definedName name="вапроп" hidden="1">{"'Sheet1'!$A$1:$G$85"}</definedName>
    <definedName name="вапроп_1" hidden="1">{"'Sheet1'!$A$1:$G$85"}</definedName>
    <definedName name="вапроп_1_1" hidden="1">{"'Sheet1'!$A$1:$G$85"}</definedName>
    <definedName name="вапроп_2" hidden="1">{"'Sheet1'!$A$1:$G$85"}</definedName>
    <definedName name="вапроп_3" hidden="1">{"'Sheet1'!$A$1:$G$85"}</definedName>
    <definedName name="вапроп_4" hidden="1">{"'Sheet1'!$A$1:$G$85"}</definedName>
    <definedName name="вар" hidden="1">{#N/A,#N/A,FALSE,"Aging Summary";#N/A,#N/A,FALSE,"Ratio Analysis";#N/A,#N/A,FALSE,"Test 120 Day Accts";#N/A,#N/A,FALSE,"Tickmarks"}</definedName>
    <definedName name="Вариант3" localSheetId="12" hidden="1">{"'РП (2)'!$A$5:$S$150"}</definedName>
    <definedName name="Вариант3" hidden="1">{"'РП (2)'!$A$5:$S$150"}</definedName>
    <definedName name="ваф" localSheetId="12" hidden="1">{"'РП (2)'!$A$5:$S$150"}</definedName>
    <definedName name="ваф" localSheetId="14" hidden="1">{"'РП (2)'!$A$5:$S$150"}</definedName>
    <definedName name="ваф" hidden="1">{"'РП (2)'!$A$5:$S$150"}</definedName>
    <definedName name="ваф_1" hidden="1">{"'РП (2)'!$A$5:$S$150"}</definedName>
    <definedName name="ваф_1_1" hidden="1">{"'РП (2)'!$A$5:$S$150"}</definedName>
    <definedName name="ваф_2" hidden="1">{"'РП (2)'!$A$5:$S$150"}</definedName>
    <definedName name="ваф_3" hidden="1">{"'РП (2)'!$A$5:$S$150"}</definedName>
    <definedName name="ваф_4" hidden="1">{"'РП (2)'!$A$5:$S$150"}</definedName>
    <definedName name="ваыпвап" hidden="1">#REF!</definedName>
    <definedName name="вв" hidden="1">#N/A</definedName>
    <definedName name="вва" hidden="1">#REF!</definedName>
    <definedName name="ввв" hidden="1">{#N/A,#N/A,FALSE,"Aging Summary";#N/A,#N/A,FALSE,"Ratio Analysis";#N/A,#N/A,FALSE,"Test 120 Day Accts";#N/A,#N/A,FALSE,"Tickmarks"}</definedName>
    <definedName name="вввввввв" localSheetId="1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" localSheetId="1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ввввв" hidden="1">{"'Sheet1'!$A$1:$G$85"}</definedName>
    <definedName name="вввввввввввввввввввв" localSheetId="12" hidden="1">{"'РП (2)'!$A$5:$S$150"}</definedName>
    <definedName name="вввввввввввввввввввв" hidden="1">{"'РП (2)'!$A$5:$S$150"}</definedName>
    <definedName name="вегы5г" hidden="1">#REF!</definedName>
    <definedName name="вера" localSheetId="12" hidden="1">{"'РП (2)'!$A$5:$S$150"}</definedName>
    <definedName name="вера" hidden="1">{"'РП (2)'!$A$5:$S$150"}</definedName>
    <definedName name="вкчнне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ла" localSheetId="12" hidden="1">{#N/A,#N/A,FALSE,"Aging Summary";#N/A,#N/A,FALSE,"Ratio Analysis";#N/A,#N/A,FALSE,"Test 120 Day Accts";#N/A,#N/A,FALSE,"Tickmarks"}</definedName>
    <definedName name="вла" localSheetId="14" hidden="1">{#N/A,#N/A,FALSE,"Aging Summary";#N/A,#N/A,FALSE,"Ratio Analysis";#N/A,#N/A,FALSE,"Test 120 Day Accts";#N/A,#N/A,FALSE,"Tickmarks"}</definedName>
    <definedName name="вла" hidden="1">{#N/A,#N/A,FALSE,"Aging Summary";#N/A,#N/A,FALSE,"Ratio Analysis";#N/A,#N/A,FALSE,"Test 120 Day Accts";#N/A,#N/A,FALSE,"Tickmarks"}</definedName>
    <definedName name="воавп" hidden="1">{"AnalRSA",#N/A,TRUE,"PL-Anal";"AnalIAS",#N/A,TRUE,"PL-Anal"}</definedName>
    <definedName name="впвп" hidden="1">#REF!</definedName>
    <definedName name="впыы" hidden="1">{"glc1",#N/A,FALSE,"GLC";"glc2",#N/A,FALSE,"GLC";"glc3",#N/A,FALSE,"GLC";"glc4",#N/A,FALSE,"GLC";"glc5",#N/A,FALSE,"GLC"}</definedName>
    <definedName name="вс" localSheetId="12" hidden="1">{#N/A,#N/A,FALSE,"Aging Summary";#N/A,#N/A,FALSE,"Ratio Analysis";#N/A,#N/A,FALSE,"Test 120 Day Accts";#N/A,#N/A,FALSE,"Tickmarks"}</definedName>
    <definedName name="вс" localSheetId="14" hidden="1">{#N/A,#N/A,FALSE,"Aging Summary";#N/A,#N/A,FALSE,"Ratio Analysis";#N/A,#N/A,FALSE,"Test 120 Day Accts";#N/A,#N/A,FALSE,"Tickmarks"}</definedName>
    <definedName name="вс" hidden="1">{#N/A,#N/A,FALSE,"Aging Summary";#N/A,#N/A,FALSE,"Ratio Analysis";#N/A,#N/A,FALSE,"Test 120 Day Accts";#N/A,#N/A,FALSE,"Tickmarks"}</definedName>
    <definedName name="втыавит" hidden="1">#REF!</definedName>
    <definedName name="вуфыипкецварти" hidden="1">#REF!</definedName>
    <definedName name="вчкнн" hidden="1">{"IAS Mapping",#N/A,FALSE,"RSA_FS";#N/A,#N/A,FALSE,"CHECK!";#N/A,#N/A,FALSE,"Recon";#N/A,#N/A,FALSE,"NMG";#N/A,#N/A,FALSE,"Journals";"AnalRSA",#N/A,FALSE,"PL-Anal";"AnalIAS",#N/A,FALSE,"PL-Anal";#N/A,#N/A,FALSE,"COS"}</definedName>
    <definedName name="вчсячсмячсм" hidden="1">#REF!</definedName>
    <definedName name="выавыапуыа" hidden="1">#REF!</definedName>
    <definedName name="выавыф" hidden="1">#REF!</definedName>
    <definedName name="выадлр" hidden="1">{"glc1",#N/A,FALSE,"GLC";"glc2",#N/A,FALSE,"GLC";"glc3",#N/A,FALSE,"GLC";"glc4",#N/A,FALSE,"GLC";"glc5",#N/A,FALSE,"GLC"}</definedName>
    <definedName name="выача" hidden="1">#REF!</definedName>
    <definedName name="выаыавы" hidden="1">#REF!</definedName>
    <definedName name="вывывывы" hidden="1">{"glc1",#N/A,FALSE,"GLC";"glc2",#N/A,FALSE,"GLC";"glc3",#N/A,FALSE,"GLC";"glc4",#N/A,FALSE,"GLC";"glc5",#N/A,FALSE,"GLC"}</definedName>
    <definedName name="г" localSheetId="12" hidden="1">{"'РП (2)'!$A$5:$S$150"}</definedName>
    <definedName name="г" hidden="1">{"'РП (2)'!$A$5:$S$150"}</definedName>
    <definedName name="ггг" hidden="1">{#N/A,#N/A,FALSE,"Aging Summary";#N/A,#N/A,FALSE,"Ratio Analysis";#N/A,#N/A,FALSE,"Test 120 Day Accts";#N/A,#N/A,FALSE,"Tickmarks"}</definedName>
    <definedName name="гггг" localSheetId="12" hidden="1">{"'РП (2)'!$A$5:$S$150"}</definedName>
    <definedName name="гггг" hidden="1">{"'РП (2)'!$A$5:$S$150"}</definedName>
    <definedName name="гггггггггггггггг" localSheetId="12" hidden="1">{"'РП (2)'!$A$5:$S$150"}</definedName>
    <definedName name="гггггггггггггггг" hidden="1">{"'РП (2)'!$A$5:$S$150"}</definedName>
    <definedName name="ГМНУ" localSheetId="12" hidden="1">{"'РП (2)'!$A$5:$S$150"}</definedName>
    <definedName name="ГМНУ" hidden="1">{"'РП (2)'!$A$5:$S$150"}</definedName>
    <definedName name="гн" hidden="1">{"glcbs",#N/A,FALSE,"GLCBS";"glccsbs",#N/A,FALSE,"GLCCSBS";"glcis",#N/A,FALSE,"GLCIS";"glccsis",#N/A,FALSE,"GLCCSIS";"glcrat1",#N/A,FALSE,"GLC-ratios1"}</definedName>
    <definedName name="гнш" hidden="1">{#N/A,#N/A,FALSE,"Aging Summary";#N/A,#N/A,FALSE,"Ratio Analysis";#N/A,#N/A,FALSE,"Test 120 Day Accts";#N/A,#N/A,FALSE,"Tickmarks"}</definedName>
    <definedName name="гншшен" hidden="1">{#N/A,"100% Success",TRUE,"Sales Forecast";#N/A,#N/A,TRUE,"Sheet2"}</definedName>
    <definedName name="го" localSheetId="12" hidden="1">{"'РП (2)'!$A$5:$S$150"}</definedName>
    <definedName name="го" hidden="1">{"'РП (2)'!$A$5:$S$150"}</definedName>
    <definedName name="гогог" hidden="1">#REF!</definedName>
    <definedName name="год" localSheetId="12" hidden="1">{#N/A,#N/A,FALSE,"Расчет вспомогательных"}</definedName>
    <definedName name="год" hidden="1">{#N/A,#N/A,FALSE,"Расчет вспомогательных"}</definedName>
    <definedName name="гщ" hidden="1">{#N/A,#N/A,FALSE,"Aging Summary";#N/A,#N/A,FALSE,"Ratio Analysis";#N/A,#N/A,FALSE,"Test 120 Day Accts";#N/A,#N/A,FALSE,"Tickmarks"}</definedName>
    <definedName name="д" hidden="1">#REF!</definedName>
    <definedName name="дбдбд" hidden="1">#REF!</definedName>
    <definedName name="дд" localSheetId="12" hidden="1">{"'РП (2)'!$A$5:$S$150"}</definedName>
    <definedName name="дд" localSheetId="14" hidden="1">#REF!</definedName>
    <definedName name="дд" hidden="1">{"'РП (2)'!$A$5:$S$150"}</definedName>
    <definedName name="ддд" localSheetId="12" hidden="1">{"'РП (2)'!$A$5:$S$150"}</definedName>
    <definedName name="ддд" hidden="1">{"'РП (2)'!$A$5:$S$150"}</definedName>
    <definedName name="дддд" hidden="1">#REF!</definedName>
    <definedName name="ддддд" localSheetId="12" hidden="1">{"'РП (2)'!$A$5:$S$150"}</definedName>
    <definedName name="ддддд" hidden="1">{"'РП (2)'!$A$5:$S$150"}</definedName>
    <definedName name="дддддд" localSheetId="12" hidden="1">{"'РП (2)'!$A$5:$S$150"}</definedName>
    <definedName name="дддддд" hidden="1">{"'РП (2)'!$A$5:$S$150"}</definedName>
    <definedName name="дддддддддд" localSheetId="12" hidden="1">{"'РП (2)'!$A$5:$S$150"}</definedName>
    <definedName name="дддддддддд" hidden="1">{"'РП (2)'!$A$5:$S$150"}</definedName>
    <definedName name="дек" localSheetId="12" hidden="1">{#N/A,#N/A,FALSE,"Расчет вспомогательных"}</definedName>
    <definedName name="дек" hidden="1">{#N/A,#N/A,FALSE,"Расчет вспомогательных"}</definedName>
    <definedName name="джл" hidden="1">{"assets",#N/A,FALSE,"historicBS";"liab",#N/A,FALSE,"historicBS";"is",#N/A,FALSE,"historicIS";"ratios",#N/A,FALSE,"ratios"}</definedName>
    <definedName name="ДЗ_1" hidden="1">{#N/A,#N/A,FALSE,"Aging Summary";#N/A,#N/A,FALSE,"Ratio Analysis";#N/A,#N/A,FALSE,"Test 120 Day Accts";#N/A,#N/A,FALSE,"Tickmarks"}</definedName>
    <definedName name="ДЗЩЛЗХ" hidden="1">{#N/A,#N/A,FALSE,"Aging Summary";#N/A,#N/A,FALSE,"Ratio Analysis";#N/A,#N/A,FALSE,"Test 120 Day Accts";#N/A,#N/A,FALSE,"Tickmarks"}</definedName>
    <definedName name="длднгш" hidden="1">#REF!</definedName>
    <definedName name="дло" localSheetId="12" hidden="1">{"'РП (2)'!$A$5:$S$150"}</definedName>
    <definedName name="дло" localSheetId="14" hidden="1">{"'Prices'!$A$4:$J$27"}</definedName>
    <definedName name="дло" hidden="1">{"'РП (2)'!$A$5:$S$150"}</definedName>
    <definedName name="длошсмидш" localSheetId="12" hidden="1">{"'РП (2)'!$A$5:$S$150"}</definedName>
    <definedName name="длошсмидш" hidden="1">{"'РП (2)'!$A$5:$S$150"}</definedName>
    <definedName name="длэз" localSheetId="12" hidden="1">{"'РП (2)'!$A$5:$S$150"}</definedName>
    <definedName name="длэз" hidden="1">{"'РП (2)'!$A$5:$S$150"}</definedName>
    <definedName name="до" hidden="1">#REF!</definedName>
    <definedName name="дозо" hidden="1">{#N/A,#N/A,FALSE,"Aging Summary";#N/A,#N/A,FALSE,"Ratio Analysis";#N/A,#N/A,FALSE,"Test 120 Day Accts";#N/A,#N/A,FALSE,"Tickmarks"}</definedName>
    <definedName name="дрлж" localSheetId="12" hidden="1">{"'РП (2)'!$A$5:$S$150"}</definedName>
    <definedName name="дрлж" hidden="1">{"'РП (2)'!$A$5:$S$150"}</definedName>
    <definedName name="дублер" hidden="1">#REF!</definedName>
    <definedName name="е" localSheetId="12" hidden="1">{"'РП (2)'!$A$5:$S$150"}</definedName>
    <definedName name="е" hidden="1">{"'РП (2)'!$A$5:$S$150"}</definedName>
    <definedName name="е4е" hidden="1">{"glc1",#N/A,FALSE,"GLC";"glc2",#N/A,FALSE,"GLC";"glc3",#N/A,FALSE,"GLC";"glc4",#N/A,FALSE,"GLC";"glc5",#N/A,FALSE,"GLC"}</definedName>
    <definedName name="ее" localSheetId="12" hidden="1">{"'РП (2)'!$A$5:$S$150"}</definedName>
    <definedName name="ее" hidden="1">{"'РП (2)'!$A$5:$S$150"}</definedName>
    <definedName name="еееееее" hidden="1">{#N/A,"30% Success",TRUE,"Sales Forecast";#N/A,#N/A,TRUE,"Sheet2"}</definedName>
    <definedName name="ееееееееееееееее" localSheetId="12" hidden="1">{"'РП (2)'!$A$5:$S$150"}</definedName>
    <definedName name="ееееееееееееееее" hidden="1">{"'РП (2)'!$A$5:$S$150"}</definedName>
    <definedName name="ек" localSheetId="12" hidden="1">{"'РП (2)'!$A$5:$S$150"}</definedName>
    <definedName name="ек" hidden="1">{"'РП (2)'!$A$5:$S$150"}</definedName>
    <definedName name="екн" localSheetId="12" hidden="1">{"'РП (2)'!$A$5:$S$150"}</definedName>
    <definedName name="екн" localSheetId="14" hidden="1">{#N/A,#N/A,FALSE,"Aging Summary";#N/A,#N/A,FALSE,"Ratio Analysis";#N/A,#N/A,FALSE,"Test 120 Day Accts";#N/A,#N/A,FALSE,"Tickmarks"}</definedName>
    <definedName name="екн" hidden="1">{"'РП (2)'!$A$5:$S$150"}</definedName>
    <definedName name="екнегенг" hidden="1">#REF!</definedName>
    <definedName name="екп" hidden="1">#REF!</definedName>
    <definedName name="екпр" hidden="1">{"glc1",#N/A,FALSE,"GLC";"glc2",#N/A,FALSE,"GLC";"glc3",#N/A,FALSE,"GLC";"glc4",#N/A,FALSE,"GLC";"glc5",#N/A,FALSE,"GLC"}</definedName>
    <definedName name="екр5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ен" hidden="1">#REF!</definedName>
    <definedName name="енгг" hidden="1">{"'Sheet1'!$A$1:$G$85"}</definedName>
    <definedName name="енгг_1" hidden="1">{"'Sheet1'!$A$1:$G$85"}</definedName>
    <definedName name="енгг_2" hidden="1">{"'Sheet1'!$A$1:$G$85"}</definedName>
    <definedName name="енгг_3" hidden="1">{"'Sheet1'!$A$1:$G$85"}</definedName>
    <definedName name="енгг_4" hidden="1">{"'Sheet1'!$A$1:$G$85"}</definedName>
    <definedName name="енрнро" hidden="1">{"'Prices'!$A$4:$J$27"}</definedName>
    <definedName name="еншн" hidden="1">{"IASTrail",#N/A,FALSE,"IAS"}</definedName>
    <definedName name="еоргне" hidden="1">{#N/A,#N/A,FALSE,"Aging Summary";#N/A,#N/A,FALSE,"Ratio Analysis";#N/A,#N/A,FALSE,"Test 120 Day Accts";#N/A,#N/A,FALSE,"Tickmarks"}</definedName>
    <definedName name="еркер" hidden="1">{"'Prices'!$A$4:$J$27"}</definedName>
    <definedName name="ж" localSheetId="12" hidden="1">{"glc1",#N/A,FALSE,"GLC";"glc2",#N/A,FALSE,"GLC";"glc3",#N/A,FALSE,"GLC";"glc4",#N/A,FALSE,"GLC";"glc5",#N/A,FALSE,"GLC"}</definedName>
    <definedName name="ж" hidden="1">{"glc1",#N/A,FALSE,"GLC";"glc2",#N/A,FALSE,"GLC";"glc3",#N/A,FALSE,"GLC";"glc4",#N/A,FALSE,"GLC";"glc5",#N/A,FALSE,"GLC"}</definedName>
    <definedName name="ж\" hidden="1">{"'Prices'!$A$4:$J$27"}</definedName>
    <definedName name="жд" localSheetId="12" hidden="1">{"'РП (2)'!$A$5:$S$150"}</definedName>
    <definedName name="жд" hidden="1">{"'РП (2)'!$A$5:$S$150"}</definedName>
    <definedName name="жддж" hidden="1">#REF!</definedName>
    <definedName name="ждджэ" hidden="1">#REF!</definedName>
    <definedName name="ждл" hidden="1">#REF!</definedName>
    <definedName name="ждол" hidden="1">#REF!</definedName>
    <definedName name="жж" localSheetId="12" hidden="1">{"'РП (2)'!$A$5:$S$150"}</definedName>
    <definedName name="жж" hidden="1">{"'РП (2)'!$A$5:$S$150"}</definedName>
    <definedName name="жжжжж" localSheetId="12" hidden="1">{"'РП (2)'!$A$5:$S$150"}</definedName>
    <definedName name="жжжжж" hidden="1">{"'РП (2)'!$A$5:$S$150"}</definedName>
    <definedName name="жжжжз" localSheetId="12" hidden="1">{"'РП (2)'!$A$5:$S$150"}</definedName>
    <definedName name="жжжжз" hidden="1">{"'РП (2)'!$A$5:$S$150"}</definedName>
    <definedName name="жэзщшгн" localSheetId="12" hidden="1">{"'РП (2)'!$A$5:$S$150"}</definedName>
    <definedName name="жэзщшгн" hidden="1">{"'РП (2)'!$A$5:$S$150"}</definedName>
    <definedName name="здздздзд" localSheetId="12" hidden="1">{"'РП (2)'!$A$5:$S$150"}</definedName>
    <definedName name="здздздзд" hidden="1">{"'РП (2)'!$A$5:$S$150"}</definedName>
    <definedName name="зззз" localSheetId="12" hidden="1">{"'РП (2)'!$A$5:$S$150"}</definedName>
    <definedName name="зззз" hidden="1">{"'РП (2)'!$A$5:$S$150"}</definedName>
    <definedName name="ззззззззззззз" localSheetId="12" hidden="1">{"'РП (2)'!$A$5:$S$150"}</definedName>
    <definedName name="ззззззззззззз" hidden="1">{"'РП (2)'!$A$5:$S$150"}</definedName>
    <definedName name="ззззш" localSheetId="12" hidden="1">{"'РП (2)'!$A$5:$S$150"}</definedName>
    <definedName name="ззззш" hidden="1">{"'РП (2)'!$A$5:$S$150"}</definedName>
    <definedName name="ззщзззщзщ" localSheetId="12" hidden="1">{"'РП (2)'!$A$5:$S$150"}</definedName>
    <definedName name="ззщзззщзщ" hidden="1">{"'РП (2)'!$A$5:$S$150"}</definedName>
    <definedName name="зш" localSheetId="12" hidden="1">{"'РП (2)'!$A$5:$S$150"}</definedName>
    <definedName name="зш" hidden="1">{"'РП (2)'!$A$5:$S$150"}</definedName>
    <definedName name="зщш" localSheetId="12" hidden="1">{"'РП (2)'!$A$5:$S$150"}</definedName>
    <definedName name="зщш" hidden="1">{"'РП (2)'!$A$5:$S$150"}</definedName>
    <definedName name="зщщщ" localSheetId="12" hidden="1">{"'РП (2)'!$A$5:$S$150"}</definedName>
    <definedName name="зщщщ" hidden="1">{"'РП (2)'!$A$5:$S$150"}</definedName>
    <definedName name="Измайл" hidden="1">{#VALUE!,#N/A,TRUE,0}</definedName>
    <definedName name="ииии" localSheetId="12" hidden="1">{"'РП (2)'!$A$5:$S$150"}</definedName>
    <definedName name="ииии" hidden="1">{"'РП (2)'!$A$5:$S$150"}</definedName>
    <definedName name="ииииии" hidden="1">{#N/A,#N/A,FALSE,"Aging Summary";#N/A,#N/A,FALSE,"Ratio Analysis";#N/A,#N/A,FALSE,"Test 120 Day Accts";#N/A,#N/A,FALSE,"Tickmarks"}</definedName>
    <definedName name="иииииии" hidden="1">{"data",#N/A,FALSE,"INPUT"}</definedName>
    <definedName name="иииииииииииииииииииии" localSheetId="12" hidden="1">{"'РП (2)'!$A$5:$S$150"}</definedName>
    <definedName name="иииииииииииииииииииии" hidden="1">{"'РП (2)'!$A$5:$S$150"}</definedName>
    <definedName name="иииииииииимммммммммм" localSheetId="12" hidden="1">{"'РП (2)'!$A$5:$S$150"}</definedName>
    <definedName name="иииииииииимммммммммм" hidden="1">{"'РП (2)'!$A$5:$S$150"}</definedName>
    <definedName name="иииитт" localSheetId="12" hidden="1">{"'РП (2)'!$A$5:$S$150"}</definedName>
    <definedName name="иииитт" hidden="1">{"'РП (2)'!$A$5:$S$150"}</definedName>
    <definedName name="ииимм" localSheetId="12" hidden="1">{"'РП (2)'!$A$5:$S$150"}</definedName>
    <definedName name="ииимм" hidden="1">{"'РП (2)'!$A$5:$S$150"}</definedName>
    <definedName name="иицу" hidden="1">{#N/A,#N/A,TRUE,"MAP";#N/A,#N/A,TRUE,"STEPS";#N/A,#N/A,TRUE,"RULES"}</definedName>
    <definedName name="Исполнение" localSheetId="12" hidden="1">{"'РП (2)'!$A$5:$S$150"}</definedName>
    <definedName name="Исполнение" hidden="1">{"'РП (2)'!$A$5:$S$150"}</definedName>
    <definedName name="ить" localSheetId="12" hidden="1">{"'РП (2)'!$A$5:$S$150"}</definedName>
    <definedName name="ить" hidden="1">{"'РП (2)'!$A$5:$S$150"}</definedName>
    <definedName name="июль3" localSheetId="12" hidden="1">{"'РП (2)'!$A$5:$S$150"}</definedName>
    <definedName name="июль3" hidden="1">{"'РП (2)'!$A$5:$S$150"}</definedName>
    <definedName name="й" localSheetId="12" hidden="1">{"'РП (2)'!$A$5:$S$150"}</definedName>
    <definedName name="й" hidden="1">{"'РП (2)'!$A$5:$S$150"}</definedName>
    <definedName name="ййй" hidden="1">#REF!</definedName>
    <definedName name="йййй" hidden="1">#REF!</definedName>
    <definedName name="ййййй" localSheetId="12" hidden="1">{"'РП (2)'!$A$5:$S$150"}</definedName>
    <definedName name="ййййй" hidden="1">{"'РП (2)'!$A$5:$S$150"}</definedName>
    <definedName name="ййййййй" localSheetId="12" hidden="1">{"'РП (2)'!$A$5:$S$150"}</definedName>
    <definedName name="ййййййй" hidden="1">{"'РП (2)'!$A$5:$S$150"}</definedName>
    <definedName name="йййййййй" hidden="1">#REF!</definedName>
    <definedName name="ййййййййй" hidden="1">#REF!</definedName>
    <definedName name="ййййййййййййй" localSheetId="12" hidden="1">{"'РП (2)'!$A$5:$S$150"}</definedName>
    <definedName name="ййййййййййййй" hidden="1">{"'РП (2)'!$A$5:$S$150"}</definedName>
    <definedName name="ййййййййййййййй" hidden="1">#REF!</definedName>
    <definedName name="ййййййййййййййййй" hidden="1">#REF!</definedName>
    <definedName name="йййййййййййййййййййййййй" hidden="1">#REF!</definedName>
    <definedName name="ййййййййййййййййййййййййййййййййййййййййййй" hidden="1">#REF!</definedName>
    <definedName name="ййййййййййййййййййййййййййййййййййййййййййййййййй" hidden="1">#REF!,#REF!</definedName>
    <definedName name="йуц" hidden="1">#REF!</definedName>
    <definedName name="йф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йцкк" hidden="1">#REF!</definedName>
    <definedName name="йцу" hidden="1">{"'Sheet1'!$A$1:$G$85"}</definedName>
    <definedName name="йцу_1" hidden="1">{"'Sheet1'!$A$1:$G$85"}</definedName>
    <definedName name="йцу_2" hidden="1">{"'Sheet1'!$A$1:$G$85"}</definedName>
    <definedName name="йцу_3" hidden="1">{"'Sheet1'!$A$1:$G$85"}</definedName>
    <definedName name="йцу_4" hidden="1">{"'Sheet1'!$A$1:$G$85"}</definedName>
    <definedName name="йцув" hidden="1">#REF!</definedName>
    <definedName name="йцуу" hidden="1">#REF!</definedName>
    <definedName name="какак" hidden="1">#REF!</definedName>
    <definedName name="кау" hidden="1">{"assets",#N/A,FALSE,"historicBS";"liab",#N/A,FALSE,"historicBS";"is",#N/A,FALSE,"historicIS";"ratios",#N/A,FALSE,"ratios"}</definedName>
    <definedName name="квог" hidden="1">{"glc1",#N/A,FALSE,"GLC";"glc2",#N/A,FALSE,"GLC";"glc3",#N/A,FALSE,"GLC";"glc4",#N/A,FALSE,"GLC";"glc5",#N/A,FALSE,"GLC"}</definedName>
    <definedName name="кгнн" hidden="1">{"'Sheet1'!$A$1:$G$85"}</definedName>
    <definedName name="кгнн_1" hidden="1">{"'Sheet1'!$A$1:$G$85"}</definedName>
    <definedName name="кгнн_2" hidden="1">{"'Sheet1'!$A$1:$G$85"}</definedName>
    <definedName name="кгнн_3" hidden="1">{"'Sheet1'!$A$1:$G$85"}</definedName>
    <definedName name="кгнн_4" hidden="1">{"'Sheet1'!$A$1:$G$85"}</definedName>
    <definedName name="кег" hidden="1">#REF!</definedName>
    <definedName name="кекекеек" localSheetId="12" hidden="1">{"konoplin - Личное представление",#N/A,TRUE,"ФинПлан_1кв";"konoplin - Личное представление",#N/A,TRUE,"ФинПлан_2кв"}</definedName>
    <definedName name="кекекеек" localSheetId="14" hidden="1">{"konoplin - Личное представление",#N/A,TRUE,"ФинПлан_1кв";"konoplin - Личное представление",#N/A,TRUE,"ФинПлан_2кв"}</definedName>
    <definedName name="кекекеек" hidden="1">{"konoplin - Личное представление",#N/A,TRUE,"ФинПлан_1кв";"konoplin - Личное представление",#N/A,TRUE,"ФинПлан_2кв"}</definedName>
    <definedName name="керкер" hidden="1">{"'Prices'!$A$4:$J$27"}</definedName>
    <definedName name="кк" localSheetId="12" hidden="1">{"'РП (2)'!$A$5:$S$150"}</definedName>
    <definedName name="кк" hidden="1">{"'РП (2)'!$A$5:$S$150"}</definedName>
    <definedName name="ккккк" localSheetId="12" hidden="1">{"'РП (2)'!$A$5:$S$150"}</definedName>
    <definedName name="ккккк" hidden="1">{"'РП (2)'!$A$5:$S$150"}</definedName>
    <definedName name="кккккккккккк" localSheetId="12" hidden="1">{"'РП (2)'!$A$5:$S$150"}</definedName>
    <definedName name="кккккккккккк" hidden="1">{"'РП (2)'!$A$5:$S$150"}</definedName>
    <definedName name="кнн" hidden="1">{#N/A,#N/A,FALSE,"Aging Summary";#N/A,#N/A,FALSE,"Ratio Analysis";#N/A,#N/A,FALSE,"Test 120 Day Accts";#N/A,#N/A,FALSE,"Tickmarks"}</definedName>
    <definedName name="кну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ко" localSheetId="12" hidden="1">{"'РП (2)'!$A$5:$S$150"}</definedName>
    <definedName name="ко" hidden="1">{"'РП (2)'!$A$5:$S$150"}</definedName>
    <definedName name="козёл" localSheetId="12" hidden="1">{"'РП (2)'!$A$5:$S$150"}</definedName>
    <definedName name="козёл" hidden="1">{"'РП (2)'!$A$5:$S$150"}</definedName>
    <definedName name="контр" hidden="1">{"glc1",#N/A,FALSE,"GLC";"glc2",#N/A,FALSE,"GLC";"glc3",#N/A,FALSE,"GLC";"glc4",#N/A,FALSE,"GLC";"glc5",#N/A,FALSE,"GLC"}</definedName>
    <definedName name="Контракт2" hidden="1">{"glc1",#N/A,FALSE,"GLC";"glc2",#N/A,FALSE,"GLC";"glc3",#N/A,FALSE,"GLC";"glc4",#N/A,FALSE,"GLC";"glc5",#N/A,FALSE,"GLC"}</definedName>
    <definedName name="конф" localSheetId="12" hidden="1">{"'РП (2)'!$A$5:$S$150"}</definedName>
    <definedName name="конф" localSheetId="14" hidden="1">{"'РП (2)'!$A$5:$S$150"}</definedName>
    <definedName name="конф" hidden="1">{"'РП (2)'!$A$5:$S$150"}</definedName>
    <definedName name="конф_1" hidden="1">{"'РП (2)'!$A$5:$S$150"}</definedName>
    <definedName name="конф_1_1" hidden="1">{"'РП (2)'!$A$5:$S$150"}</definedName>
    <definedName name="конф_2" hidden="1">{"'РП (2)'!$A$5:$S$150"}</definedName>
    <definedName name="конф_3" hidden="1">{"'РП (2)'!$A$5:$S$150"}</definedName>
    <definedName name="конф_4" hidden="1">{"'РП (2)'!$A$5:$S$150"}</definedName>
    <definedName name="копия" localSheetId="12" hidden="1">{"'РП (2)'!$A$5:$S$150"}</definedName>
    <definedName name="копия" hidden="1">{"'РП (2)'!$A$5:$S$150"}</definedName>
    <definedName name="КРАСНОЯРСК" localSheetId="12" hidden="1">{"'РП (2)'!$A$5:$S$150"}</definedName>
    <definedName name="КРАСНОЯРСК" localSheetId="14" hidden="1">{"'РП (2)'!$A$5:$S$150"}</definedName>
    <definedName name="КРАСНОЯРСК" hidden="1">{"'РП (2)'!$A$5:$S$150"}</definedName>
    <definedName name="КРАСНОЯРСК_1" hidden="1">{"'РП (2)'!$A$5:$S$150"}</definedName>
    <definedName name="КРАСНОЯРСК_1_1" hidden="1">{"'РП (2)'!$A$5:$S$150"}</definedName>
    <definedName name="КРАСНОЯРСК_2" hidden="1">{"'РП (2)'!$A$5:$S$150"}</definedName>
    <definedName name="КРАСНОЯРСК_3" hidden="1">{"'РП (2)'!$A$5:$S$150"}</definedName>
    <definedName name="КРАСНОЯРСК_4" hidden="1">{"'РП (2)'!$A$5:$S$150"}</definedName>
    <definedName name="Кредит" hidden="1">{"AnalRSA",#N/A,TRUE,"PL-Anal";"AnalIAS",#N/A,TRUE,"PL-Anal"}</definedName>
    <definedName name="курнана" hidden="1">{"assets",#N/A,FALSE,"historicBS";"liab",#N/A,FALSE,"historicBS";"is",#N/A,FALSE,"historicIS";"ratios",#N/A,FALSE,"ratios"}</definedName>
    <definedName name="лб" localSheetId="12" hidden="1">{"'РП (2)'!$A$5:$S$150"}</definedName>
    <definedName name="лб" hidden="1">{"'РП (2)'!$A$5:$S$150"}</definedName>
    <definedName name="лдж" localSheetId="12" hidden="1">{"'РП (2)'!$A$5:$S$150"}</definedName>
    <definedName name="лдж" hidden="1">{"'РП (2)'!$A$5:$S$150"}</definedName>
    <definedName name="лдор" hidden="1">{"glc1",#N/A,FALSE,"GLC";"glc2",#N/A,FALSE,"GLC";"glc3",#N/A,FALSE,"GLC";"glc4",#N/A,FALSE,"GLC";"glc5",#N/A,FALSE,"GLC"}</definedName>
    <definedName name="лена" localSheetId="12" hidden="1">{"'РП (2)'!$A$5:$S$150"}</definedName>
    <definedName name="лена" hidden="1">{"'РП (2)'!$A$5:$S$150"}</definedName>
    <definedName name="Лениздат" hidden="1">{#VALUE!,#N/A,TRUE,0}</definedName>
    <definedName name="ленинград" localSheetId="12" hidden="1">{"'РП (2)'!$A$5:$S$150"}</definedName>
    <definedName name="ленинград" hidden="1">{"'РП (2)'!$A$5:$S$150"}</definedName>
    <definedName name="ленинск" localSheetId="12" hidden="1">{"'РП (2)'!$A$5:$S$150"}</definedName>
    <definedName name="ленинск" hidden="1">{"'РП (2)'!$A$5:$S$150"}</definedName>
    <definedName name="ллл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лллллллллллллллллллллл" localSheetId="12" hidden="1">{"'РП (2)'!$A$5:$S$150"}</definedName>
    <definedName name="ллллллллллллллллллллллл" hidden="1">{"'РП (2)'!$A$5:$S$150"}</definedName>
    <definedName name="ллллт" localSheetId="12" hidden="1">{"'РП (2)'!$A$5:$S$150"}</definedName>
    <definedName name="ллллт" hidden="1">{"'РП (2)'!$A$5:$S$150"}</definedName>
    <definedName name="лн" localSheetId="12" hidden="1">{"'РП (2)'!$A$5:$S$150"}</definedName>
    <definedName name="лн" hidden="1">{"'РП (2)'!$A$5:$S$150"}</definedName>
    <definedName name="ло" localSheetId="12" hidden="1">{"'РП (2)'!$A$5:$S$150"}</definedName>
    <definedName name="ло" localSheetId="14" hidden="1">{"glc1",#N/A,FALSE,"GLC";"glc2",#N/A,FALSE,"GLC";"glc3",#N/A,FALSE,"GLC";"glc4",#N/A,FALSE,"GLC";"glc5",#N/A,FALSE,"GLC"}</definedName>
    <definedName name="ло" hidden="1">{"'РП (2)'!$A$5:$S$150"}</definedName>
    <definedName name="лол" localSheetId="12" hidden="1">{"'РП (2)'!$A$5:$S$150"}</definedName>
    <definedName name="лол" hidden="1">{"'РП (2)'!$A$5:$S$150"}</definedName>
    <definedName name="лолол" hidden="1">#REF!</definedName>
    <definedName name="лор" localSheetId="12" hidden="1">{"'РП (2)'!$A$5:$S$150"}</definedName>
    <definedName name="лор" hidden="1">{"'РП (2)'!$A$5:$S$150"}</definedName>
    <definedName name="лпрап" hidden="1">{"'Sheet1'!$A$1:$G$85"}</definedName>
    <definedName name="лпрап_1" hidden="1">{"'Sheet1'!$A$1:$G$85"}</definedName>
    <definedName name="лпрап_1_1" hidden="1">{"'Sheet1'!$A$1:$G$85"}</definedName>
    <definedName name="лпрап_2" hidden="1">{"'Sheet1'!$A$1:$G$85"}</definedName>
    <definedName name="лпрап_3" hidden="1">{"'Sheet1'!$A$1:$G$85"}</definedName>
    <definedName name="лпрап_4" hidden="1">{"'Sheet1'!$A$1:$G$85"}</definedName>
    <definedName name="лр" localSheetId="12" hidden="1">{"'РП (2)'!$A$5:$S$150"}</definedName>
    <definedName name="лр" hidden="1">{"'РП (2)'!$A$5:$S$150"}</definedName>
    <definedName name="лрпро" hidden="1">{"'Sheet1'!$A$1:$G$85"}</definedName>
    <definedName name="лрпро_1" hidden="1">{"'Sheet1'!$A$1:$G$85"}</definedName>
    <definedName name="лрпро_1_1" hidden="1">{"'Sheet1'!$A$1:$G$85"}</definedName>
    <definedName name="лрпро_2" hidden="1">{"'Sheet1'!$A$1:$G$85"}</definedName>
    <definedName name="лрпро_3" hidden="1">{"'Sheet1'!$A$1:$G$85"}</definedName>
    <definedName name="лрпро_4" hidden="1">{"'Sheet1'!$A$1:$G$85"}</definedName>
    <definedName name="мапор" hidden="1">{"'Sheet1'!$A$1:$G$85"}</definedName>
    <definedName name="мапор_1" hidden="1">{"'Sheet1'!$A$1:$G$85"}</definedName>
    <definedName name="мапор_1_1" hidden="1">{"'Sheet1'!$A$1:$G$85"}</definedName>
    <definedName name="мапор_2" hidden="1">{"'Sheet1'!$A$1:$G$85"}</definedName>
    <definedName name="мапор_3" hidden="1">{"'Sheet1'!$A$1:$G$85"}</definedName>
    <definedName name="мапор_4" hidden="1">{"'Sheet1'!$A$1:$G$85"}</definedName>
    <definedName name="мит" hidden="1">{"assets",#N/A,FALSE,"historicBS";"liab",#N/A,FALSE,"historicBS";"is",#N/A,FALSE,"historicIS";"ratios",#N/A,FALSE,"ratios"}</definedName>
    <definedName name="мм" localSheetId="12" hidden="1">{"'РП (2)'!$A$5:$S$150"}</definedName>
    <definedName name="мм" hidden="1">{"'РП (2)'!$A$5:$S$150"}</definedName>
    <definedName name="мммм" localSheetId="12" hidden="1">{"'РП (2)'!$A$5:$S$150"}</definedName>
    <definedName name="мммм" hidden="1">{"'РП (2)'!$A$5:$S$150"}</definedName>
    <definedName name="мммммммм" hidden="1">{"'РП (2)'!$A$5:$S$150"}</definedName>
    <definedName name="мммммммм_1" hidden="1">{"'РП (2)'!$A$5:$S$150"}</definedName>
    <definedName name="мммммммм_2" hidden="1">{"'РП (2)'!$A$5:$S$150"}</definedName>
    <definedName name="мммммммм_3" hidden="1">{"'РП (2)'!$A$5:$S$150"}</definedName>
    <definedName name="мммммммм_4" hidden="1">{"'РП (2)'!$A$5:$S$150"}</definedName>
    <definedName name="мммммммммммммммммммм" localSheetId="12" hidden="1">{"'РП (2)'!$A$5:$S$150"}</definedName>
    <definedName name="мммммммммммммммммммм" hidden="1">{"'РП (2)'!$A$5:$S$150"}</definedName>
    <definedName name="ммммммммммммммммммммммммм" localSheetId="12" hidden="1">{"'РП (2)'!$A$5:$S$150"}</definedName>
    <definedName name="ммммммммммммммммммммммммм" hidden="1">{"'РП (2)'!$A$5:$S$150"}</definedName>
    <definedName name="москва" localSheetId="12" hidden="1">{"'РП (2)'!$A$5:$S$150"}</definedName>
    <definedName name="москва" hidden="1">{"'РП (2)'!$A$5:$S$150"}</definedName>
    <definedName name="мпро" hidden="1">{"IASTrail",#N/A,FALSE,"IAS"}</definedName>
    <definedName name="мча" hidden="1">#REF!</definedName>
    <definedName name="мчсисч" hidden="1">#REF!</definedName>
    <definedName name="мы" localSheetId="12" hidden="1">{"'РП (2)'!$A$5:$S$150"}</definedName>
    <definedName name="мы" hidden="1">{"'РП (2)'!$A$5:$S$150"}</definedName>
    <definedName name="н" localSheetId="12" hidden="1">{"'РП (2)'!$A$5:$S$150"}</definedName>
    <definedName name="н" hidden="1">{"'РП (2)'!$A$5:$S$150"}</definedName>
    <definedName name="Назарово" localSheetId="12" hidden="1">{"'РП (2)'!$A$5:$S$150"}</definedName>
    <definedName name="Назарово" hidden="1">{"'РП (2)'!$A$5:$S$150"}</definedName>
    <definedName name="Назарово_1151" localSheetId="12" hidden="1">{"'РП (2)'!$A$5:$S$150"}</definedName>
    <definedName name="Назарово_1151" hidden="1">{"'РП (2)'!$A$5:$S$150"}</definedName>
    <definedName name="назаровский" localSheetId="12" hidden="1">{"'РП (2)'!$A$5:$S$150"}</definedName>
    <definedName name="назаровский" hidden="1">{"'РП (2)'!$A$5:$S$150"}</definedName>
    <definedName name="нак" hidden="1">{"'Sheet1'!$A$1:$G$85"}</definedName>
    <definedName name="нак_1" hidden="1">{"'Sheet1'!$A$1:$G$85"}</definedName>
    <definedName name="нак_1_1" hidden="1">{"'Sheet1'!$A$1:$G$85"}</definedName>
    <definedName name="нак_2" hidden="1">{"'Sheet1'!$A$1:$G$85"}</definedName>
    <definedName name="нак_3" hidden="1">{"'Sheet1'!$A$1:$G$85"}</definedName>
    <definedName name="нак_4" hidden="1">{"'Sheet1'!$A$1:$G$85"}</definedName>
    <definedName name="нал" hidden="1">{#VALUE!,#N/A,TRUE,0}</definedName>
    <definedName name="нарастание" localSheetId="12" hidden="1">{"'РП (2)'!$A$5:$S$150"}</definedName>
    <definedName name="нарастание" hidden="1">{"'РП (2)'!$A$5:$S$150"}</definedName>
    <definedName name="нг" hidden="1">{"assets",#N/A,FALSE,"historicBS";"liab",#N/A,FALSE,"historicBS";"is",#N/A,FALSE,"historicIS";"ratios",#N/A,FALSE,"ratios"}</definedName>
    <definedName name="нет" localSheetId="12" hidden="1">{"'РП (2)'!$A$5:$S$150"}</definedName>
    <definedName name="нет" hidden="1">{"'РП (2)'!$A$5:$S$150"}</definedName>
    <definedName name="нк" localSheetId="12" hidden="1">{"'РП (2)'!$A$5:$S$150"}</definedName>
    <definedName name="нк" hidden="1">{"'РП (2)'!$A$5:$S$150"}</definedName>
    <definedName name="ннн" hidden="1">#REF!</definedName>
    <definedName name="нннннннннннн" localSheetId="12" hidden="1">{"'РП (2)'!$A$5:$S$150"}</definedName>
    <definedName name="нннннннннннн" hidden="1">{"'РП (2)'!$A$5:$S$150"}</definedName>
    <definedName name="нонг" hidden="1">#REF!</definedName>
    <definedName name="нрнрн" hidden="1">#REF!</definedName>
    <definedName name="_xlnm.Print_Area" localSheetId="5">CF!$A$1:$AA$190</definedName>
    <definedName name="_xlnm.Print_Area" localSheetId="6">'CF1'!$A$1:$AA$171</definedName>
    <definedName name="_xlnm.Print_Area" localSheetId="7">'CF2'!$A$1:$AA$171</definedName>
    <definedName name="_xlnm.Print_Area" localSheetId="2">DB!$A$1:$V$52</definedName>
    <definedName name="_xlnm.Print_Area" localSheetId="3">'DB1'!$A$1:$V$52</definedName>
    <definedName name="_xlnm.Print_Area" localSheetId="4">'DB2'!$A$1:$V$52</definedName>
    <definedName name="Общеж." localSheetId="12" hidden="1">{"'РП (2)'!$A$5:$S$150"}</definedName>
    <definedName name="Общеж." hidden="1">{"'РП (2)'!$A$5:$S$150"}</definedName>
    <definedName name="одлодло" hidden="1">#REF!</definedName>
    <definedName name="олол" hidden="1">#REF!</definedName>
    <definedName name="ольга" hidden="1">#REF!</definedName>
    <definedName name="ольга1" hidden="1">#REF!</definedName>
    <definedName name="онлгл" hidden="1">{"IASBS",#N/A,TRUE,"IAS";"IASPL",#N/A,TRUE,"IAS";"IASNotes",#N/A,TRUE,"IAS";"CFDir - expanded",#N/A,TRUE,"CF DIR"}</definedName>
    <definedName name="оолдг" hidden="1">{#N/A,"10% Success",FALSE,"Sales Forecast";#N/A,#N/A,FALSE,"Sheet2"}</definedName>
    <definedName name="оолдж" localSheetId="12" hidden="1">{"'РП (2)'!$A$5:$S$150"}</definedName>
    <definedName name="оолдж" hidden="1">{"'РП (2)'!$A$5:$S$150"}</definedName>
    <definedName name="ооод" localSheetId="12" hidden="1">{"'РП (2)'!$A$5:$S$150"}</definedName>
    <definedName name="ооод" hidden="1">{"'РП (2)'!$A$5:$S$150"}</definedName>
    <definedName name="ооож" localSheetId="12" hidden="1">{"'РП (2)'!$A$5:$S$150"}</definedName>
    <definedName name="ооож" hidden="1">{"'РП (2)'!$A$5:$S$150"}</definedName>
    <definedName name="оооо" localSheetId="12" hidden="1">{"'РП (2)'!$A$5:$S$150"}</definedName>
    <definedName name="оооо" hidden="1">{"'РП (2)'!$A$5:$S$150"}</definedName>
    <definedName name="ооооооо" hidden="1">{#N/A,"30% Success",TRUE,"Sales Forecast";#N/A,#N/A,TRUE,"Sheet2"}</definedName>
    <definedName name="оооооооо" hidden="1">{"'Sheet1'!$A$1:$G$85"}</definedName>
    <definedName name="оооооооо_1" hidden="1">{"'Sheet1'!$A$1:$G$85"}</definedName>
    <definedName name="оооооооо_2" hidden="1">{"'Sheet1'!$A$1:$G$85"}</definedName>
    <definedName name="оооооооо_3" hidden="1">{"'Sheet1'!$A$1:$G$85"}</definedName>
    <definedName name="оооооооо_4" hidden="1">{"'Sheet1'!$A$1:$G$85"}</definedName>
    <definedName name="ооооооооо" localSheetId="12" hidden="1">{"'РП (2)'!$A$5:$S$150"}</definedName>
    <definedName name="ооооооооо" hidden="1">{"'РП (2)'!$A$5:$S$150"}</definedName>
    <definedName name="оооооооооооооооооо" localSheetId="12" hidden="1">{"'РП (2)'!$A$5:$S$150"}</definedName>
    <definedName name="оооооооооооооооооо" hidden="1">{"'РП (2)'!$A$5:$S$150"}</definedName>
    <definedName name="оооэхз" localSheetId="12" hidden="1">{"'РП (2)'!$A$5:$S$150"}</definedName>
    <definedName name="оооэхз" hidden="1">{"'РП (2)'!$A$5:$S$150"}</definedName>
    <definedName name="опоыо" hidden="1">#REF!</definedName>
    <definedName name="опыоо" hidden="1">#REF!</definedName>
    <definedName name="ор" localSheetId="12" hidden="1">{"'РП (2)'!$A$5:$S$150"}</definedName>
    <definedName name="ор" localSheetId="14" hidden="1">{"glc1",#N/A,FALSE,"GLC";"glc2",#N/A,FALSE,"GLC";"glc3",#N/A,FALSE,"GLC";"glc4",#N/A,FALSE,"GLC";"glc5",#N/A,FALSE,"GLC"}</definedName>
    <definedName name="ор" hidden="1">{"'РП (2)'!$A$5:$S$150"}</definedName>
    <definedName name="отчет" localSheetId="12" hidden="1">{#N/A,#N/A,FALSE,"Расчет вспомогательных"}</definedName>
    <definedName name="отчет" hidden="1">{#N/A,#N/A,FALSE,"Расчет вспомогательных"}</definedName>
    <definedName name="оштлош" localSheetId="12" hidden="1">{"'РП (2)'!$A$5:$S$150"}</definedName>
    <definedName name="оштлош" hidden="1">{"'РП (2)'!$A$5:$S$150"}</definedName>
    <definedName name="ощлщл" localSheetId="12" hidden="1">{"'РП (2)'!$A$5:$S$150"}</definedName>
    <definedName name="ощлщл" hidden="1">{"'РП (2)'!$A$5:$S$150"}</definedName>
    <definedName name="п" localSheetId="12" hidden="1">{"'РП (2)'!$A$5:$S$150"}</definedName>
    <definedName name="п" hidden="1">{"'РП (2)'!$A$5:$S$150"}</definedName>
    <definedName name="па" localSheetId="12" hidden="1">{"'РП (2)'!$A$5:$S$150"}</definedName>
    <definedName name="па" hidden="1">{"'РП (2)'!$A$5:$S$150"}</definedName>
    <definedName name="паап" hidden="1">#REF!</definedName>
    <definedName name="павап" hidden="1">#REF!</definedName>
    <definedName name="паопв" hidden="1">{"assets",#N/A,FALSE,"historicBS";"liab",#N/A,FALSE,"historicBS";"is",#N/A,FALSE,"historicIS";"ratios",#N/A,FALSE,"ratios"}</definedName>
    <definedName name="пар" hidden="1">#REF!</definedName>
    <definedName name="пвап" hidden="1">#REF!</definedName>
    <definedName name="пе" localSheetId="12" hidden="1">{"'РП (2)'!$A$5:$S$150"}</definedName>
    <definedName name="пе" hidden="1">{"'РП (2)'!$A$5:$S$150"}</definedName>
    <definedName name="Период_1">#REF!</definedName>
    <definedName name="Период_10">#REF!</definedName>
    <definedName name="Период_11">#REF!</definedName>
    <definedName name="Период_12">#REF!</definedName>
    <definedName name="Период_13">#REF!</definedName>
    <definedName name="Период_14">#REF!</definedName>
    <definedName name="Период_15">#REF!</definedName>
    <definedName name="Период_16">#REF!</definedName>
    <definedName name="Период_17">#REF!</definedName>
    <definedName name="Период_18">#REF!</definedName>
    <definedName name="Период_19">#REF!</definedName>
    <definedName name="Период_2">#REF!</definedName>
    <definedName name="Период_20">#REF!</definedName>
    <definedName name="Период_21">#REF!</definedName>
    <definedName name="Период_22">#REF!</definedName>
    <definedName name="Период_23">#REF!</definedName>
    <definedName name="Период_24">#REF!</definedName>
    <definedName name="Период_25">#REF!</definedName>
    <definedName name="Период_26">#REF!</definedName>
    <definedName name="Период_3">#REF!</definedName>
    <definedName name="Период_4">#REF!</definedName>
    <definedName name="Период_5">#REF!</definedName>
    <definedName name="Период_6">#REF!</definedName>
    <definedName name="Период_7">#REF!</definedName>
    <definedName name="Период_8">#REF!</definedName>
    <definedName name="Период_9">#REF!</definedName>
    <definedName name="пй" hidden="1">{#N/A,#N/A,FALSE,"Aging Summary";#N/A,#N/A,FALSE,"Ratio Analysis";#N/A,#N/A,FALSE,"Test 120 Day Accts";#N/A,#N/A,FALSE,"Tickmarks"}</definedName>
    <definedName name="плн" hidden="1">{#N/A,"70% Success",FALSE,"Sales Forecast";#N/A,#N/A,FALSE,"Sheet2"}</definedName>
    <definedName name="пнл" hidden="1">{"assets",#N/A,FALSE,"historicBS";"liab",#N/A,FALSE,"historicBS";"is",#N/A,FALSE,"historicIS";"ratios",#N/A,FALSE,"ratios"}</definedName>
    <definedName name="пон" hidden="1">{#N/A,"30% Success",TRUE,"Sales Forecast";#N/A,#N/A,TRUE,"Sheet2"}</definedName>
    <definedName name="пор" hidden="1">{#N/A,#N/A,FALSE,"FA_1";#N/A,#N/A,FALSE,"Dep'n SE";#N/A,#N/A,FALSE,"Dep'n FC"}</definedName>
    <definedName name="ппол" hidden="1">{#N/A,#N/A,FALSE,"Aging Summary";#N/A,#N/A,FALSE,"Ratio Analysis";#N/A,#N/A,FALSE,"Test 120 Day Accts";#N/A,#N/A,FALSE,"Tickmarks"}</definedName>
    <definedName name="пппп" localSheetId="12" hidden="1">{"'РП (2)'!$A$5:$S$150"}</definedName>
    <definedName name="пппп" hidden="1">{"'РП (2)'!$A$5:$S$150"}</definedName>
    <definedName name="ппппппп" localSheetId="12" hidden="1">{#N/A,#N/A,FALSE,"Aging Summary";#N/A,#N/A,FALSE,"Ratio Analysis";#N/A,#N/A,FALSE,"Test 120 Day Accts";#N/A,#N/A,FALSE,"Tickmarks"}</definedName>
    <definedName name="ппппппп" localSheetId="14" hidden="1">{#N/A,"100% Success",TRUE,"Sales Forecast";#N/A,#N/A,TRUE,"Sheet2"}</definedName>
    <definedName name="ппппппп" hidden="1">{#N/A,#N/A,FALSE,"Aging Summary";#N/A,#N/A,FALSE,"Ratio Analysis";#N/A,#N/A,FALSE,"Test 120 Day Accts";#N/A,#N/A,FALSE,"Tickmarks"}</definedName>
    <definedName name="пппппппп" hidden="1">{#N/A,"70% Success",FALSE,"Sales Forecast";#N/A,#N/A,FALSE,"Sheet2"}</definedName>
    <definedName name="пппппппппппппппппппппппп" localSheetId="12" hidden="1">{"'РП (2)'!$A$5:$S$150"}</definedName>
    <definedName name="пппппппппппппппппппппппп" hidden="1">{"'РП (2)'!$A$5:$S$150"}</definedName>
    <definedName name="прибыль" localSheetId="12" hidden="1">{"'РП (2)'!$A$5:$S$150"}</definedName>
    <definedName name="прибыль" hidden="1">{"'РП (2)'!$A$5:$S$150"}</definedName>
    <definedName name="про" localSheetId="12" hidden="1">{"'РП (2)'!$A$5:$S$150"}</definedName>
    <definedName name="про" hidden="1">{"'РП (2)'!$A$5:$S$150"}</definedName>
    <definedName name="проав" hidden="1">{"glc1",#N/A,FALSE,"GLC";"glc2",#N/A,FALSE,"GLC";"glc3",#N/A,FALSE,"GLC";"glc4",#N/A,FALSE,"GLC";"glc5",#N/A,FALSE,"GLC"}</definedName>
    <definedName name="Проект3" localSheetId="12" hidden="1">{#N/A,#N/A,FALSE,"Расчет вспомогательных"}</definedName>
    <definedName name="Проект3" hidden="1">{#N/A,#N/A,FALSE,"Расчет вспомогательных"}</definedName>
    <definedName name="пром" localSheetId="12" hidden="1">{"'РП (2)'!$A$5:$S$150"}</definedName>
    <definedName name="пром" hidden="1">{"'РП (2)'!$A$5:$S$150"}</definedName>
    <definedName name="прьь" hidden="1">{"'Prices'!$A$4:$J$27"}</definedName>
    <definedName name="пту1" localSheetId="12" hidden="1">{"'РП (2)'!$A$5:$S$150"}</definedName>
    <definedName name="пту1" hidden="1">{"'РП (2)'!$A$5:$S$150"}</definedName>
    <definedName name="пфыукп" hidden="1">#REF!</definedName>
    <definedName name="пыпыппывапа" hidden="1">#REF!,#REF!,#REF!</definedName>
    <definedName name="ПЭБ" localSheetId="12" hidden="1">{"'РП (2)'!$A$5:$S$150"}</definedName>
    <definedName name="ПЭБ" hidden="1">{"'РП (2)'!$A$5:$S$150"}</definedName>
    <definedName name="р" hidden="1">#REF!</definedName>
    <definedName name="Рабочие" localSheetId="12" hidden="1">{"'РП (2)'!$A$5:$S$150"}</definedName>
    <definedName name="Рабочие" hidden="1">{"'РП (2)'!$A$5:$S$150"}</definedName>
    <definedName name="равропаоьрп" localSheetId="12" hidden="1">{"konoplin - Личное представление",#N/A,TRUE,"ФинПлан_1кв";"konoplin - Личное представление",#N/A,TRUE,"ФинПлан_2кв"}</definedName>
    <definedName name="равропаоьрп" localSheetId="14" hidden="1">{"konoplin - Личное представление",#N/A,TRUE,"ФинПлан_1кв";"konoplin - Личное представление",#N/A,TRUE,"ФинПлан_2кв"}</definedName>
    <definedName name="равропаоьрп" hidden="1">{"konoplin - Личное представление",#N/A,TRUE,"ФинПлан_1кв";"konoplin - Личное представление",#N/A,TRUE,"ФинПлан_2кв"}</definedName>
    <definedName name="разные" localSheetId="12" hidden="1">{#N/A,#N/A,FALSE,"Aging Summary";#N/A,#N/A,FALSE,"Ratio Analysis";#N/A,#N/A,FALSE,"Test 120 Day Accts";#N/A,#N/A,FALSE,"Tickmarks"}</definedName>
    <definedName name="разные" hidden="1">{#N/A,#N/A,FALSE,"Aging Summary";#N/A,#N/A,FALSE,"Ratio Analysis";#N/A,#N/A,FALSE,"Test 120 Day Accts";#N/A,#N/A,FALSE,"Tickmarks"}</definedName>
    <definedName name="расч2002" localSheetId="12" hidden="1">{#N/A,#N/A,FALSE,"Расчет вспомогательных"}</definedName>
    <definedName name="расч2002" hidden="1">{#N/A,#N/A,FALSE,"Расчет вспомогательных"}</definedName>
    <definedName name="расчет" localSheetId="12" hidden="1">{"'РП (2)'!$A$5:$S$150"}</definedName>
    <definedName name="расчет" hidden="1">{"'РП (2)'!$A$5:$S$150"}</definedName>
    <definedName name="рз" hidden="1">{"'Sheet1'!$A$1:$G$85"}</definedName>
    <definedName name="рз_1" hidden="1">{"'Sheet1'!$A$1:$G$85"}</definedName>
    <definedName name="рз_2" hidden="1">{"'Sheet1'!$A$1:$G$85"}</definedName>
    <definedName name="рз_3" hidden="1">{"'Sheet1'!$A$1:$G$85"}</definedName>
    <definedName name="рз_4" hidden="1">{"'Sheet1'!$A$1:$G$85"}</definedName>
    <definedName name="рл" localSheetId="12" hidden="1">{"'РП (2)'!$A$5:$S$150"}</definedName>
    <definedName name="рл" hidden="1">{"'РП (2)'!$A$5:$S$150"}</definedName>
    <definedName name="рол" localSheetId="12" hidden="1">{"'РП (2)'!$A$5:$S$150"}</definedName>
    <definedName name="рол" hidden="1">{"'РП (2)'!$A$5:$S$150"}</definedName>
    <definedName name="ролдж" localSheetId="12" hidden="1">{"'РП (2)'!$A$5:$S$150"}</definedName>
    <definedName name="ролдж" hidden="1">{"'РП (2)'!$A$5:$S$150"}</definedName>
    <definedName name="ророп" hidden="1">{"AnalRSA",#N/A,TRUE,"PL-Anal";"AnalIAS",#N/A,TRUE,"PL-Anal"}</definedName>
    <definedName name="рп" localSheetId="12" hidden="1">{"'РП (2)'!$A$5:$S$150"}</definedName>
    <definedName name="рп" hidden="1">{"'РП (2)'!$A$5:$S$150"}</definedName>
    <definedName name="рпл" hidden="1">{#N/A,#N/A,FALSE,"FA_1";#N/A,#N/A,FALSE,"Dep'n SE";#N/A,#N/A,FALSE,"Dep'n FC"}</definedName>
    <definedName name="рпо" localSheetId="12" hidden="1">{"'РП (2)'!$A$5:$S$150"}</definedName>
    <definedName name="рпо" hidden="1">{"'РП (2)'!$A$5:$S$150"}</definedName>
    <definedName name="рпоыо" hidden="1">#REF!</definedName>
    <definedName name="рпра" hidden="1">#REF!</definedName>
    <definedName name="рр" localSheetId="12" hidden="1">{"'РП (2)'!$A$5:$S$150"}</definedName>
    <definedName name="рр" localSheetId="14" hidden="1">{#N/A,"70% Success",FALSE,"Sales Forecast";#N/A,#N/A,FALSE,"Sheet2"}</definedName>
    <definedName name="рр" hidden="1">{"'РП (2)'!$A$5:$S$150"}</definedName>
    <definedName name="рролдж" localSheetId="12" hidden="1">{"'РП (2)'!$A$5:$S$150"}</definedName>
    <definedName name="рролдж" hidden="1">{"'РП (2)'!$A$5:$S$150"}</definedName>
    <definedName name="рроророророр" localSheetId="12" hidden="1">{"'РП (2)'!$A$5:$S$150"}</definedName>
    <definedName name="рроророророр" hidden="1">{"'РП (2)'!$A$5:$S$150"}</definedName>
    <definedName name="ррр" localSheetId="12" hidden="1">{"'РП (2)'!$A$5:$S$150"}</definedName>
    <definedName name="ррр" localSheetId="14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рр" hidden="1">{"'РП (2)'!$A$5:$S$150"}</definedName>
    <definedName name="рррр" localSheetId="12" hidden="1">{"'РП (2)'!$A$5:$S$150"}</definedName>
    <definedName name="рррр" hidden="1">{"'РП (2)'!$A$5:$S$150"}</definedName>
    <definedName name="ррррр" localSheetId="12" hidden="1">{"'РП (2)'!$A$5:$S$150"}</definedName>
    <definedName name="ррррр" hidden="1">{"'РП (2)'!$A$5:$S$150"}</definedName>
    <definedName name="ррррррр" localSheetId="12" hidden="1">{"'РП (2)'!$A$5:$S$150"}</definedName>
    <definedName name="ррррррр" hidden="1">{"'РП (2)'!$A$5:$S$150"}</definedName>
    <definedName name="рррррррр" localSheetId="12" hidden="1">{"'РП (2)'!$A$5:$S$150"}</definedName>
    <definedName name="рррррррр" hidden="1">{"'РП (2)'!$A$5:$S$150"}</definedName>
    <definedName name="ррррррррррррррр" localSheetId="12" hidden="1">{"'РП (2)'!$A$5:$S$150"}</definedName>
    <definedName name="ррррррррррррррр" hidden="1">{"'РП (2)'!$A$5:$S$150"}</definedName>
    <definedName name="руков" localSheetId="12" hidden="1">{"'РП (2)'!$A$5:$S$150"}</definedName>
    <definedName name="руков" hidden="1">{"'РП (2)'!$A$5:$S$150"}</definedName>
    <definedName name="рьрь" hidden="1">{"'Prices'!$A$4:$J$27"}</definedName>
    <definedName name="с" localSheetId="12" hidden="1">{"'РП (2)'!$A$5:$S$150"}</definedName>
    <definedName name="с" localSheetId="14" hidden="1">#N/A</definedName>
    <definedName name="с" hidden="1">{"'РП (2)'!$A$5:$S$150"}</definedName>
    <definedName name="сао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В" hidden="1">#REF!</definedName>
    <definedName name="СВА" hidden="1">#REF!</definedName>
    <definedName name="СНП" hidden="1">#REF!</definedName>
    <definedName name="совм" localSheetId="12" hidden="1">{"'РП (2)'!$A$5:$S$150"}</definedName>
    <definedName name="совм" hidden="1">{"'РП (2)'!$A$5:$S$150"}</definedName>
    <definedName name="сп" hidden="1">{#N/A,#N/A,FALSE,"Aging Summary";#N/A,#N/A,FALSE,"Ratio Analysis";#N/A,#N/A,FALSE,"Test 120 Day Accts";#N/A,#N/A,FALSE,"Tickmarks"}</definedName>
    <definedName name="СП_R100C10">#REF!</definedName>
    <definedName name="СП_R100C11">#REF!</definedName>
    <definedName name="СП_R100C12">#REF!</definedName>
    <definedName name="СП_R100C13">#REF!</definedName>
    <definedName name="СП_R100C14">#REF!</definedName>
    <definedName name="СП_R100C15">#REF!</definedName>
    <definedName name="СП_R100C16">#REF!</definedName>
    <definedName name="СП_R100C17">#REF!</definedName>
    <definedName name="СП_R100C18">#REF!</definedName>
    <definedName name="СП_R100C19">#REF!</definedName>
    <definedName name="СП_R100C20">#REF!</definedName>
    <definedName name="СП_R100C21">#REF!</definedName>
    <definedName name="СП_R100C22">#REF!</definedName>
    <definedName name="СП_R100C23">#REF!</definedName>
    <definedName name="СП_R100C24">#REF!</definedName>
    <definedName name="СП_R100C25">#REF!</definedName>
    <definedName name="СП_R100C26">#REF!</definedName>
    <definedName name="СП_R100C27">#REF!</definedName>
    <definedName name="СП_R100C28">#REF!</definedName>
    <definedName name="СП_R100C3">#REF!</definedName>
    <definedName name="СП_R100C4">#REF!</definedName>
    <definedName name="СП_R100C5">#REF!</definedName>
    <definedName name="СП_R100C6">#REF!</definedName>
    <definedName name="СП_R100C7">#REF!</definedName>
    <definedName name="СП_R100C8">#REF!</definedName>
    <definedName name="СП_R100C9">#REF!</definedName>
    <definedName name="СП_R101C10">#REF!</definedName>
    <definedName name="СП_R101C11">#REF!</definedName>
    <definedName name="СП_R101C12">#REF!</definedName>
    <definedName name="СП_R101C13">#REF!</definedName>
    <definedName name="СП_R101C14">#REF!</definedName>
    <definedName name="СП_R101C15">#REF!</definedName>
    <definedName name="СП_R101C16">#REF!</definedName>
    <definedName name="СП_R101C17">#REF!</definedName>
    <definedName name="СП_R101C18">#REF!</definedName>
    <definedName name="СП_R101C19">#REF!</definedName>
    <definedName name="СП_R101C20">#REF!</definedName>
    <definedName name="СП_R101C21">#REF!</definedName>
    <definedName name="СП_R101C22">#REF!</definedName>
    <definedName name="СП_R101C23">#REF!</definedName>
    <definedName name="СП_R101C24">#REF!</definedName>
    <definedName name="СП_R101C25">#REF!</definedName>
    <definedName name="СП_R101C26">#REF!</definedName>
    <definedName name="СП_R101C27">#REF!</definedName>
    <definedName name="СП_R101C28">#REF!</definedName>
    <definedName name="СП_R101C3">#REF!</definedName>
    <definedName name="СП_R101C4">#REF!</definedName>
    <definedName name="СП_R101C5">#REF!</definedName>
    <definedName name="СП_R101C6">#REF!</definedName>
    <definedName name="СП_R101C7">#REF!</definedName>
    <definedName name="СП_R101C8">#REF!</definedName>
    <definedName name="СП_R101C9">#REF!</definedName>
    <definedName name="СП_R102C10">#REF!</definedName>
    <definedName name="СП_R102C11">#REF!</definedName>
    <definedName name="СП_R102C12">#REF!</definedName>
    <definedName name="СП_R102C13">#REF!</definedName>
    <definedName name="СП_R102C14">#REF!</definedName>
    <definedName name="СП_R102C15">#REF!</definedName>
    <definedName name="СП_R102C16">#REF!</definedName>
    <definedName name="СП_R102C17">#REF!</definedName>
    <definedName name="СП_R102C18">#REF!</definedName>
    <definedName name="СП_R102C19">#REF!</definedName>
    <definedName name="СП_R102C20">#REF!</definedName>
    <definedName name="СП_R102C21">#REF!</definedName>
    <definedName name="СП_R102C22">#REF!</definedName>
    <definedName name="СП_R102C23">#REF!</definedName>
    <definedName name="СП_R102C24">#REF!</definedName>
    <definedName name="СП_R102C25">#REF!</definedName>
    <definedName name="СП_R102C26">#REF!</definedName>
    <definedName name="СП_R102C27">#REF!</definedName>
    <definedName name="СП_R102C28">#REF!</definedName>
    <definedName name="СП_R102C3">#REF!</definedName>
    <definedName name="СП_R102C4">#REF!</definedName>
    <definedName name="СП_R102C5">#REF!</definedName>
    <definedName name="СП_R102C6">#REF!</definedName>
    <definedName name="СП_R102C7">#REF!</definedName>
    <definedName name="СП_R102C8">#REF!</definedName>
    <definedName name="СП_R102C9">#REF!</definedName>
    <definedName name="СП_R103C10">#REF!</definedName>
    <definedName name="СП_R103C11">#REF!</definedName>
    <definedName name="СП_R103C12">#REF!</definedName>
    <definedName name="СП_R103C13">#REF!</definedName>
    <definedName name="СП_R103C14">#REF!</definedName>
    <definedName name="СП_R103C15">#REF!</definedName>
    <definedName name="СП_R103C16">#REF!</definedName>
    <definedName name="СП_R103C17">#REF!</definedName>
    <definedName name="СП_R103C18">#REF!</definedName>
    <definedName name="СП_R103C19">#REF!</definedName>
    <definedName name="СП_R103C20">#REF!</definedName>
    <definedName name="СП_R103C21">#REF!</definedName>
    <definedName name="СП_R103C22">#REF!</definedName>
    <definedName name="СП_R103C23">#REF!</definedName>
    <definedName name="СП_R103C24">#REF!</definedName>
    <definedName name="СП_R103C25">#REF!</definedName>
    <definedName name="СП_R103C26">#REF!</definedName>
    <definedName name="СП_R103C27">#REF!</definedName>
    <definedName name="СП_R103C28">#REF!</definedName>
    <definedName name="СП_R103C3">#REF!</definedName>
    <definedName name="СП_R103C4">#REF!</definedName>
    <definedName name="СП_R103C5">#REF!</definedName>
    <definedName name="СП_R103C6">#REF!</definedName>
    <definedName name="СП_R103C7">#REF!</definedName>
    <definedName name="СП_R103C8">#REF!</definedName>
    <definedName name="СП_R103C9">#REF!</definedName>
    <definedName name="СП_R104C10">#REF!</definedName>
    <definedName name="СП_R104C11">#REF!</definedName>
    <definedName name="СП_R104C12">#REF!</definedName>
    <definedName name="СП_R104C13">#REF!</definedName>
    <definedName name="СП_R104C14">#REF!</definedName>
    <definedName name="СП_R104C15">#REF!</definedName>
    <definedName name="СП_R104C16">#REF!</definedName>
    <definedName name="СП_R104C17">#REF!</definedName>
    <definedName name="СП_R104C18">#REF!</definedName>
    <definedName name="СП_R104C19">#REF!</definedName>
    <definedName name="СП_R104C20">#REF!</definedName>
    <definedName name="СП_R104C21">#REF!</definedName>
    <definedName name="СП_R104C22">#REF!</definedName>
    <definedName name="СП_R104C23">#REF!</definedName>
    <definedName name="СП_R104C24">#REF!</definedName>
    <definedName name="СП_R104C25">#REF!</definedName>
    <definedName name="СП_R104C26">#REF!</definedName>
    <definedName name="СП_R104C27">#REF!</definedName>
    <definedName name="СП_R104C28">#REF!</definedName>
    <definedName name="СП_R104C3">#REF!</definedName>
    <definedName name="СП_R104C4">#REF!</definedName>
    <definedName name="СП_R104C5">#REF!</definedName>
    <definedName name="СП_R104C6">#REF!</definedName>
    <definedName name="СП_R104C7">#REF!</definedName>
    <definedName name="СП_R104C8">#REF!</definedName>
    <definedName name="СП_R104C9">#REF!</definedName>
    <definedName name="СП_R105C10">#REF!</definedName>
    <definedName name="СП_R105C11">#REF!</definedName>
    <definedName name="СП_R105C12">#REF!</definedName>
    <definedName name="СП_R105C13">#REF!</definedName>
    <definedName name="СП_R105C14">#REF!</definedName>
    <definedName name="СП_R105C15">#REF!</definedName>
    <definedName name="СП_R105C16">#REF!</definedName>
    <definedName name="СП_R105C17">#REF!</definedName>
    <definedName name="СП_R105C18">#REF!</definedName>
    <definedName name="СП_R105C19">#REF!</definedName>
    <definedName name="СП_R105C20">#REF!</definedName>
    <definedName name="СП_R105C21">#REF!</definedName>
    <definedName name="СП_R105C22">#REF!</definedName>
    <definedName name="СП_R105C23">#REF!</definedName>
    <definedName name="СП_R105C24">#REF!</definedName>
    <definedName name="СП_R105C25">#REF!</definedName>
    <definedName name="СП_R105C26">#REF!</definedName>
    <definedName name="СП_R105C27">#REF!</definedName>
    <definedName name="СП_R105C28">#REF!</definedName>
    <definedName name="СП_R105C3">#REF!</definedName>
    <definedName name="СП_R105C4">#REF!</definedName>
    <definedName name="СП_R105C5">#REF!</definedName>
    <definedName name="СП_R105C6">#REF!</definedName>
    <definedName name="СП_R105C7">#REF!</definedName>
    <definedName name="СП_R105C8">#REF!</definedName>
    <definedName name="СП_R105C9">#REF!</definedName>
    <definedName name="СП_R106C10">#REF!</definedName>
    <definedName name="СП_R106C11">#REF!</definedName>
    <definedName name="СП_R106C12">#REF!</definedName>
    <definedName name="СП_R106C13">#REF!</definedName>
    <definedName name="СП_R106C14">#REF!</definedName>
    <definedName name="СП_R106C15">#REF!</definedName>
    <definedName name="СП_R106C16">#REF!</definedName>
    <definedName name="СП_R106C17">#REF!</definedName>
    <definedName name="СП_R106C18">#REF!</definedName>
    <definedName name="СП_R106C19">#REF!</definedName>
    <definedName name="СП_R106C20">#REF!</definedName>
    <definedName name="СП_R106C21">#REF!</definedName>
    <definedName name="СП_R106C22">#REF!</definedName>
    <definedName name="СП_R106C23">#REF!</definedName>
    <definedName name="СП_R106C24">#REF!</definedName>
    <definedName name="СП_R106C25">#REF!</definedName>
    <definedName name="СП_R106C26">#REF!</definedName>
    <definedName name="СП_R106C27">#REF!</definedName>
    <definedName name="СП_R106C28">#REF!</definedName>
    <definedName name="СП_R106C3">#REF!</definedName>
    <definedName name="СП_R106C4">#REF!</definedName>
    <definedName name="СП_R106C5">#REF!</definedName>
    <definedName name="СП_R106C6">#REF!</definedName>
    <definedName name="СП_R106C7">#REF!</definedName>
    <definedName name="СП_R106C8">#REF!</definedName>
    <definedName name="СП_R106C9">#REF!</definedName>
    <definedName name="СП_R107C10">#REF!</definedName>
    <definedName name="СП_R107C11">#REF!</definedName>
    <definedName name="СП_R107C12">#REF!</definedName>
    <definedName name="СП_R107C13">#REF!</definedName>
    <definedName name="СП_R107C14">#REF!</definedName>
    <definedName name="СП_R107C15">#REF!</definedName>
    <definedName name="СП_R107C16">#REF!</definedName>
    <definedName name="СП_R107C17">#REF!</definedName>
    <definedName name="СП_R107C18">#REF!</definedName>
    <definedName name="СП_R107C19">#REF!</definedName>
    <definedName name="СП_R107C20">#REF!</definedName>
    <definedName name="СП_R107C21">#REF!</definedName>
    <definedName name="СП_R107C22">#REF!</definedName>
    <definedName name="СП_R107C23">#REF!</definedName>
    <definedName name="СП_R107C24">#REF!</definedName>
    <definedName name="СП_R107C25">#REF!</definedName>
    <definedName name="СП_R107C26">#REF!</definedName>
    <definedName name="СП_R107C27">#REF!</definedName>
    <definedName name="СП_R107C28">#REF!</definedName>
    <definedName name="СП_R107C3">#REF!</definedName>
    <definedName name="СП_R107C4">#REF!</definedName>
    <definedName name="СП_R107C5">#REF!</definedName>
    <definedName name="СП_R107C6">#REF!</definedName>
    <definedName name="СП_R107C7">#REF!</definedName>
    <definedName name="СП_R107C8">#REF!</definedName>
    <definedName name="СП_R107C9">#REF!</definedName>
    <definedName name="СП_R108C10">#REF!</definedName>
    <definedName name="СП_R108C11">#REF!</definedName>
    <definedName name="СП_R108C12">#REF!</definedName>
    <definedName name="СП_R108C13">#REF!</definedName>
    <definedName name="СП_R108C14">#REF!</definedName>
    <definedName name="СП_R108C15">#REF!</definedName>
    <definedName name="СП_R108C16">#REF!</definedName>
    <definedName name="СП_R108C17">#REF!</definedName>
    <definedName name="СП_R108C18">#REF!</definedName>
    <definedName name="СП_R108C19">#REF!</definedName>
    <definedName name="СП_R108C20">#REF!</definedName>
    <definedName name="СП_R108C21">#REF!</definedName>
    <definedName name="СП_R108C22">#REF!</definedName>
    <definedName name="СП_R108C23">#REF!</definedName>
    <definedName name="СП_R108C24">#REF!</definedName>
    <definedName name="СП_R108C25">#REF!</definedName>
    <definedName name="СП_R108C26">#REF!</definedName>
    <definedName name="СП_R108C27">#REF!</definedName>
    <definedName name="СП_R108C28">#REF!</definedName>
    <definedName name="СП_R108C3">#REF!</definedName>
    <definedName name="СП_R108C4">#REF!</definedName>
    <definedName name="СП_R108C5">#REF!</definedName>
    <definedName name="СП_R108C6">#REF!</definedName>
    <definedName name="СП_R108C7">#REF!</definedName>
    <definedName name="СП_R108C8">#REF!</definedName>
    <definedName name="СП_R108C9">#REF!</definedName>
    <definedName name="СП_R109C10">#REF!</definedName>
    <definedName name="СП_R109C11">#REF!</definedName>
    <definedName name="СП_R109C12">#REF!</definedName>
    <definedName name="СП_R109C13">#REF!</definedName>
    <definedName name="СП_R109C14">#REF!</definedName>
    <definedName name="СП_R109C15">#REF!</definedName>
    <definedName name="СП_R109C16">#REF!</definedName>
    <definedName name="СП_R109C17">#REF!</definedName>
    <definedName name="СП_R109C18">#REF!</definedName>
    <definedName name="СП_R109C19">#REF!</definedName>
    <definedName name="СП_R109C20">#REF!</definedName>
    <definedName name="СП_R109C21">#REF!</definedName>
    <definedName name="СП_R109C22">#REF!</definedName>
    <definedName name="СП_R109C23">#REF!</definedName>
    <definedName name="СП_R109C24">#REF!</definedName>
    <definedName name="СП_R109C25">#REF!</definedName>
    <definedName name="СП_R109C26">#REF!</definedName>
    <definedName name="СП_R109C27">#REF!</definedName>
    <definedName name="СП_R109C28">#REF!</definedName>
    <definedName name="СП_R109C3">#REF!</definedName>
    <definedName name="СП_R109C4">#REF!</definedName>
    <definedName name="СП_R109C5">#REF!</definedName>
    <definedName name="СП_R109C6">#REF!</definedName>
    <definedName name="СП_R109C7">#REF!</definedName>
    <definedName name="СП_R109C8">#REF!</definedName>
    <definedName name="СП_R109C9">#REF!</definedName>
    <definedName name="СП_R10C10">#REF!</definedName>
    <definedName name="СП_R10C11">#REF!</definedName>
    <definedName name="СП_R10C12">#REF!</definedName>
    <definedName name="СП_R10C13">#REF!</definedName>
    <definedName name="СП_R10C14">#REF!</definedName>
    <definedName name="СП_R10C15">#REF!</definedName>
    <definedName name="СП_R10C16">#REF!</definedName>
    <definedName name="СП_R10C17">#REF!</definedName>
    <definedName name="СП_R10C18">#REF!</definedName>
    <definedName name="СП_R10C19">#REF!</definedName>
    <definedName name="СП_R10C20">#REF!</definedName>
    <definedName name="СП_R10C21">#REF!</definedName>
    <definedName name="СП_R10C22">#REF!</definedName>
    <definedName name="СП_R10C23">#REF!</definedName>
    <definedName name="СП_R10C24">#REF!</definedName>
    <definedName name="СП_R10C25">#REF!</definedName>
    <definedName name="СП_R10C26">#REF!</definedName>
    <definedName name="СП_R10C27">#REF!</definedName>
    <definedName name="СП_R10C28">#REF!</definedName>
    <definedName name="СП_R10C3">#REF!</definedName>
    <definedName name="СП_R10C4">#REF!</definedName>
    <definedName name="СП_R10C5">#REF!</definedName>
    <definedName name="СП_R10C6">#REF!</definedName>
    <definedName name="СП_R10C7">#REF!</definedName>
    <definedName name="СП_R10C8">#REF!</definedName>
    <definedName name="СП_R10C9">#REF!</definedName>
    <definedName name="СП_R110C10">#REF!</definedName>
    <definedName name="СП_R110C11">#REF!</definedName>
    <definedName name="СП_R110C12">#REF!</definedName>
    <definedName name="СП_R110C13">#REF!</definedName>
    <definedName name="СП_R110C14">#REF!</definedName>
    <definedName name="СП_R110C15">#REF!</definedName>
    <definedName name="СП_R110C16">#REF!</definedName>
    <definedName name="СП_R110C17">#REF!</definedName>
    <definedName name="СП_R110C18">#REF!</definedName>
    <definedName name="СП_R110C19">#REF!</definedName>
    <definedName name="СП_R110C20">#REF!</definedName>
    <definedName name="СП_R110C21">#REF!</definedName>
    <definedName name="СП_R110C22">#REF!</definedName>
    <definedName name="СП_R110C23">#REF!</definedName>
    <definedName name="СП_R110C24">#REF!</definedName>
    <definedName name="СП_R110C25">#REF!</definedName>
    <definedName name="СП_R110C26">#REF!</definedName>
    <definedName name="СП_R110C27">#REF!</definedName>
    <definedName name="СП_R110C28">#REF!</definedName>
    <definedName name="СП_R110C3">#REF!</definedName>
    <definedName name="СП_R110C4">#REF!</definedName>
    <definedName name="СП_R110C5">#REF!</definedName>
    <definedName name="СП_R110C6">#REF!</definedName>
    <definedName name="СП_R110C7">#REF!</definedName>
    <definedName name="СП_R110C8">#REF!</definedName>
    <definedName name="СП_R110C9">#REF!</definedName>
    <definedName name="СП_R111C10">#REF!</definedName>
    <definedName name="СП_R111C11">#REF!</definedName>
    <definedName name="СП_R111C12">#REF!</definedName>
    <definedName name="СП_R111C13">#REF!</definedName>
    <definedName name="СП_R111C14">#REF!</definedName>
    <definedName name="СП_R111C15">#REF!</definedName>
    <definedName name="СП_R111C16">#REF!</definedName>
    <definedName name="СП_R111C17">#REF!</definedName>
    <definedName name="СП_R111C18">#REF!</definedName>
    <definedName name="СП_R111C19">#REF!</definedName>
    <definedName name="СП_R111C20">#REF!</definedName>
    <definedName name="СП_R111C21">#REF!</definedName>
    <definedName name="СП_R111C22">#REF!</definedName>
    <definedName name="СП_R111C23">#REF!</definedName>
    <definedName name="СП_R111C24">#REF!</definedName>
    <definedName name="СП_R111C25">#REF!</definedName>
    <definedName name="СП_R111C26">#REF!</definedName>
    <definedName name="СП_R111C27">#REF!</definedName>
    <definedName name="СП_R111C28">#REF!</definedName>
    <definedName name="СП_R111C3">#REF!</definedName>
    <definedName name="СП_R111C4">#REF!</definedName>
    <definedName name="СП_R111C5">#REF!</definedName>
    <definedName name="СП_R111C6">#REF!</definedName>
    <definedName name="СП_R111C7">#REF!</definedName>
    <definedName name="СП_R111C8">#REF!</definedName>
    <definedName name="СП_R111C9">#REF!</definedName>
    <definedName name="СП_R112C10">#REF!</definedName>
    <definedName name="СП_R112C11">#REF!</definedName>
    <definedName name="СП_R112C12">#REF!</definedName>
    <definedName name="СП_R112C13">#REF!</definedName>
    <definedName name="СП_R112C14">#REF!</definedName>
    <definedName name="СП_R112C15">#REF!</definedName>
    <definedName name="СП_R112C16">#REF!</definedName>
    <definedName name="СП_R112C17">#REF!</definedName>
    <definedName name="СП_R112C18">#REF!</definedName>
    <definedName name="СП_R112C19">#REF!</definedName>
    <definedName name="СП_R112C20">#REF!</definedName>
    <definedName name="СП_R112C21">#REF!</definedName>
    <definedName name="СП_R112C22">#REF!</definedName>
    <definedName name="СП_R112C23">#REF!</definedName>
    <definedName name="СП_R112C24">#REF!</definedName>
    <definedName name="СП_R112C25">#REF!</definedName>
    <definedName name="СП_R112C26">#REF!</definedName>
    <definedName name="СП_R112C27">#REF!</definedName>
    <definedName name="СП_R112C28">#REF!</definedName>
    <definedName name="СП_R112C3">#REF!</definedName>
    <definedName name="СП_R112C4">#REF!</definedName>
    <definedName name="СП_R112C5">#REF!</definedName>
    <definedName name="СП_R112C6">#REF!</definedName>
    <definedName name="СП_R112C7">#REF!</definedName>
    <definedName name="СП_R112C8">#REF!</definedName>
    <definedName name="СП_R112C9">#REF!</definedName>
    <definedName name="СП_R113C10">#REF!</definedName>
    <definedName name="СП_R113C11">#REF!</definedName>
    <definedName name="СП_R113C12">#REF!</definedName>
    <definedName name="СП_R113C13">#REF!</definedName>
    <definedName name="СП_R113C14">#REF!</definedName>
    <definedName name="СП_R113C15">#REF!</definedName>
    <definedName name="СП_R113C16">#REF!</definedName>
    <definedName name="СП_R113C17">#REF!</definedName>
    <definedName name="СП_R113C18">#REF!</definedName>
    <definedName name="СП_R113C19">#REF!</definedName>
    <definedName name="СП_R113C20">#REF!</definedName>
    <definedName name="СП_R113C21">#REF!</definedName>
    <definedName name="СП_R113C22">#REF!</definedName>
    <definedName name="СП_R113C23">#REF!</definedName>
    <definedName name="СП_R113C24">#REF!</definedName>
    <definedName name="СП_R113C25">#REF!</definedName>
    <definedName name="СП_R113C26">#REF!</definedName>
    <definedName name="СП_R113C27">#REF!</definedName>
    <definedName name="СП_R113C28">#REF!</definedName>
    <definedName name="СП_R113C3">#REF!</definedName>
    <definedName name="СП_R113C4">#REF!</definedName>
    <definedName name="СП_R113C5">#REF!</definedName>
    <definedName name="СП_R113C6">#REF!</definedName>
    <definedName name="СП_R113C7">#REF!</definedName>
    <definedName name="СП_R113C8">#REF!</definedName>
    <definedName name="СП_R113C9">#REF!</definedName>
    <definedName name="СП_R114C10">#REF!</definedName>
    <definedName name="СП_R114C11">#REF!</definedName>
    <definedName name="СП_R114C12">#REF!</definedName>
    <definedName name="СП_R114C13">#REF!</definedName>
    <definedName name="СП_R114C14">#REF!</definedName>
    <definedName name="СП_R114C15">#REF!</definedName>
    <definedName name="СП_R114C16">#REF!</definedName>
    <definedName name="СП_R114C17">#REF!</definedName>
    <definedName name="СП_R114C18">#REF!</definedName>
    <definedName name="СП_R114C19">#REF!</definedName>
    <definedName name="СП_R114C20">#REF!</definedName>
    <definedName name="СП_R114C21">#REF!</definedName>
    <definedName name="СП_R114C22">#REF!</definedName>
    <definedName name="СП_R114C23">#REF!</definedName>
    <definedName name="СП_R114C24">#REF!</definedName>
    <definedName name="СП_R114C25">#REF!</definedName>
    <definedName name="СП_R114C26">#REF!</definedName>
    <definedName name="СП_R114C27">#REF!</definedName>
    <definedName name="СП_R114C28">#REF!</definedName>
    <definedName name="СП_R114C3">#REF!</definedName>
    <definedName name="СП_R114C4">#REF!</definedName>
    <definedName name="СП_R114C5">#REF!</definedName>
    <definedName name="СП_R114C6">#REF!</definedName>
    <definedName name="СП_R114C7">#REF!</definedName>
    <definedName name="СП_R114C8">#REF!</definedName>
    <definedName name="СП_R114C9">#REF!</definedName>
    <definedName name="СП_R115C10">#REF!</definedName>
    <definedName name="СП_R115C11">#REF!</definedName>
    <definedName name="СП_R115C12">#REF!</definedName>
    <definedName name="СП_R115C13">#REF!</definedName>
    <definedName name="СП_R115C14">#REF!</definedName>
    <definedName name="СП_R115C15">#REF!</definedName>
    <definedName name="СП_R115C16">#REF!</definedName>
    <definedName name="СП_R115C17">#REF!</definedName>
    <definedName name="СП_R115C18">#REF!</definedName>
    <definedName name="СП_R115C19">#REF!</definedName>
    <definedName name="СП_R115C20">#REF!</definedName>
    <definedName name="СП_R115C21">#REF!</definedName>
    <definedName name="СП_R115C22">#REF!</definedName>
    <definedName name="СП_R115C23">#REF!</definedName>
    <definedName name="СП_R115C24">#REF!</definedName>
    <definedName name="СП_R115C25">#REF!</definedName>
    <definedName name="СП_R115C26">#REF!</definedName>
    <definedName name="СП_R115C27">#REF!</definedName>
    <definedName name="СП_R115C28">#REF!</definedName>
    <definedName name="СП_R115C3">#REF!</definedName>
    <definedName name="СП_R115C4">#REF!</definedName>
    <definedName name="СП_R115C5">#REF!</definedName>
    <definedName name="СП_R115C6">#REF!</definedName>
    <definedName name="СП_R115C7">#REF!</definedName>
    <definedName name="СП_R115C8">#REF!</definedName>
    <definedName name="СП_R115C9">#REF!</definedName>
    <definedName name="СП_R116C10">#REF!</definedName>
    <definedName name="СП_R116C11">#REF!</definedName>
    <definedName name="СП_R116C12">#REF!</definedName>
    <definedName name="СП_R116C13">#REF!</definedName>
    <definedName name="СП_R116C14">#REF!</definedName>
    <definedName name="СП_R116C15">#REF!</definedName>
    <definedName name="СП_R116C16">#REF!</definedName>
    <definedName name="СП_R116C17">#REF!</definedName>
    <definedName name="СП_R116C18">#REF!</definedName>
    <definedName name="СП_R116C19">#REF!</definedName>
    <definedName name="СП_R116C20">#REF!</definedName>
    <definedName name="СП_R116C21">#REF!</definedName>
    <definedName name="СП_R116C22">#REF!</definedName>
    <definedName name="СП_R116C23">#REF!</definedName>
    <definedName name="СП_R116C24">#REF!</definedName>
    <definedName name="СП_R116C25">#REF!</definedName>
    <definedName name="СП_R116C26">#REF!</definedName>
    <definedName name="СП_R116C27">#REF!</definedName>
    <definedName name="СП_R116C28">#REF!</definedName>
    <definedName name="СП_R116C3">#REF!</definedName>
    <definedName name="СП_R116C4">#REF!</definedName>
    <definedName name="СП_R116C5">#REF!</definedName>
    <definedName name="СП_R116C6">#REF!</definedName>
    <definedName name="СП_R116C7">#REF!</definedName>
    <definedName name="СП_R116C8">#REF!</definedName>
    <definedName name="СП_R116C9">#REF!</definedName>
    <definedName name="СП_R117C10">#REF!</definedName>
    <definedName name="СП_R117C11">#REF!</definedName>
    <definedName name="СП_R117C12">#REF!</definedName>
    <definedName name="СП_R117C13">#REF!</definedName>
    <definedName name="СП_R117C14">#REF!</definedName>
    <definedName name="СП_R117C15">#REF!</definedName>
    <definedName name="СП_R117C16">#REF!</definedName>
    <definedName name="СП_R117C17">#REF!</definedName>
    <definedName name="СП_R117C18">#REF!</definedName>
    <definedName name="СП_R117C19">#REF!</definedName>
    <definedName name="СП_R117C20">#REF!</definedName>
    <definedName name="СП_R117C21">#REF!</definedName>
    <definedName name="СП_R117C22">#REF!</definedName>
    <definedName name="СП_R117C23">#REF!</definedName>
    <definedName name="СП_R117C24">#REF!</definedName>
    <definedName name="СП_R117C25">#REF!</definedName>
    <definedName name="СП_R117C26">#REF!</definedName>
    <definedName name="СП_R117C27">#REF!</definedName>
    <definedName name="СП_R117C28">#REF!</definedName>
    <definedName name="СП_R117C3">#REF!</definedName>
    <definedName name="СП_R117C4">#REF!</definedName>
    <definedName name="СП_R117C5">#REF!</definedName>
    <definedName name="СП_R117C6">#REF!</definedName>
    <definedName name="СП_R117C7">#REF!</definedName>
    <definedName name="СП_R117C8">#REF!</definedName>
    <definedName name="СП_R117C9">#REF!</definedName>
    <definedName name="СП_R118C10">#REF!</definedName>
    <definedName name="СП_R118C11">#REF!</definedName>
    <definedName name="СП_R118C12">#REF!</definedName>
    <definedName name="СП_R118C13">#REF!</definedName>
    <definedName name="СП_R118C14">#REF!</definedName>
    <definedName name="СП_R118C15">#REF!</definedName>
    <definedName name="СП_R118C16">#REF!</definedName>
    <definedName name="СП_R118C17">#REF!</definedName>
    <definedName name="СП_R118C18">#REF!</definedName>
    <definedName name="СП_R118C19">#REF!</definedName>
    <definedName name="СП_R118C20">#REF!</definedName>
    <definedName name="СП_R118C21">#REF!</definedName>
    <definedName name="СП_R118C22">#REF!</definedName>
    <definedName name="СП_R118C23">#REF!</definedName>
    <definedName name="СП_R118C24">#REF!</definedName>
    <definedName name="СП_R118C25">#REF!</definedName>
    <definedName name="СП_R118C26">#REF!</definedName>
    <definedName name="СП_R118C27">#REF!</definedName>
    <definedName name="СП_R118C28">#REF!</definedName>
    <definedName name="СП_R118C3">#REF!</definedName>
    <definedName name="СП_R118C4">#REF!</definedName>
    <definedName name="СП_R118C5">#REF!</definedName>
    <definedName name="СП_R118C6">#REF!</definedName>
    <definedName name="СП_R118C7">#REF!</definedName>
    <definedName name="СП_R118C8">#REF!</definedName>
    <definedName name="СП_R118C9">#REF!</definedName>
    <definedName name="СП_R119C10">#REF!</definedName>
    <definedName name="СП_R119C11">#REF!</definedName>
    <definedName name="СП_R119C12">#REF!</definedName>
    <definedName name="СП_R119C13">#REF!</definedName>
    <definedName name="СП_R119C14">#REF!</definedName>
    <definedName name="СП_R119C15">#REF!</definedName>
    <definedName name="СП_R119C16">#REF!</definedName>
    <definedName name="СП_R119C17">#REF!</definedName>
    <definedName name="СП_R119C18">#REF!</definedName>
    <definedName name="СП_R119C19">#REF!</definedName>
    <definedName name="СП_R119C20">#REF!</definedName>
    <definedName name="СП_R119C21">#REF!</definedName>
    <definedName name="СП_R119C22">#REF!</definedName>
    <definedName name="СП_R119C23">#REF!</definedName>
    <definedName name="СП_R119C24">#REF!</definedName>
    <definedName name="СП_R119C25">#REF!</definedName>
    <definedName name="СП_R119C26">#REF!</definedName>
    <definedName name="СП_R119C27">#REF!</definedName>
    <definedName name="СП_R119C28">#REF!</definedName>
    <definedName name="СП_R119C3">#REF!</definedName>
    <definedName name="СП_R119C4">#REF!</definedName>
    <definedName name="СП_R119C5">#REF!</definedName>
    <definedName name="СП_R119C6">#REF!</definedName>
    <definedName name="СП_R119C7">#REF!</definedName>
    <definedName name="СП_R119C8">#REF!</definedName>
    <definedName name="СП_R119C9">#REF!</definedName>
    <definedName name="СП_R11C10">#REF!</definedName>
    <definedName name="СП_R11C11">#REF!</definedName>
    <definedName name="СП_R11C12">#REF!</definedName>
    <definedName name="СП_R11C13">#REF!</definedName>
    <definedName name="СП_R11C14">#REF!</definedName>
    <definedName name="СП_R11C15">#REF!</definedName>
    <definedName name="СП_R11C16">#REF!</definedName>
    <definedName name="СП_R11C17">#REF!</definedName>
    <definedName name="СП_R11C18">#REF!</definedName>
    <definedName name="СП_R11C19">#REF!</definedName>
    <definedName name="СП_R11C20">#REF!</definedName>
    <definedName name="СП_R11C21">#REF!</definedName>
    <definedName name="СП_R11C22">#REF!</definedName>
    <definedName name="СП_R11C23">#REF!</definedName>
    <definedName name="СП_R11C24">#REF!</definedName>
    <definedName name="СП_R11C25">#REF!</definedName>
    <definedName name="СП_R11C26">#REF!</definedName>
    <definedName name="СП_R11C27">#REF!</definedName>
    <definedName name="СП_R11C28">#REF!</definedName>
    <definedName name="СП_R11C3">#REF!</definedName>
    <definedName name="СП_R11C4">#REF!</definedName>
    <definedName name="СП_R11C5">#REF!</definedName>
    <definedName name="СП_R11C6">#REF!</definedName>
    <definedName name="СП_R11C7">#REF!</definedName>
    <definedName name="СП_R11C8">#REF!</definedName>
    <definedName name="СП_R11C9">#REF!</definedName>
    <definedName name="СП_R120C10">#REF!</definedName>
    <definedName name="СП_R120C11">#REF!</definedName>
    <definedName name="СП_R120C12">#REF!</definedName>
    <definedName name="СП_R120C13">#REF!</definedName>
    <definedName name="СП_R120C14">#REF!</definedName>
    <definedName name="СП_R120C15">#REF!</definedName>
    <definedName name="СП_R120C16">#REF!</definedName>
    <definedName name="СП_R120C17">#REF!</definedName>
    <definedName name="СП_R120C18">#REF!</definedName>
    <definedName name="СП_R120C19">#REF!</definedName>
    <definedName name="СП_R120C20">#REF!</definedName>
    <definedName name="СП_R120C21">#REF!</definedName>
    <definedName name="СП_R120C22">#REF!</definedName>
    <definedName name="СП_R120C23">#REF!</definedName>
    <definedName name="СП_R120C24">#REF!</definedName>
    <definedName name="СП_R120C25">#REF!</definedName>
    <definedName name="СП_R120C26">#REF!</definedName>
    <definedName name="СП_R120C27">#REF!</definedName>
    <definedName name="СП_R120C28">#REF!</definedName>
    <definedName name="СП_R120C3">#REF!</definedName>
    <definedName name="СП_R120C4">#REF!</definedName>
    <definedName name="СП_R120C5">#REF!</definedName>
    <definedName name="СП_R120C6">#REF!</definedName>
    <definedName name="СП_R120C7">#REF!</definedName>
    <definedName name="СП_R120C8">#REF!</definedName>
    <definedName name="СП_R120C9">#REF!</definedName>
    <definedName name="СП_R121C10">#REF!</definedName>
    <definedName name="СП_R121C11">#REF!</definedName>
    <definedName name="СП_R121C12">#REF!</definedName>
    <definedName name="СП_R121C13">#REF!</definedName>
    <definedName name="СП_R121C14">#REF!</definedName>
    <definedName name="СП_R121C15">#REF!</definedName>
    <definedName name="СП_R121C16">#REF!</definedName>
    <definedName name="СП_R121C17">#REF!</definedName>
    <definedName name="СП_R121C18">#REF!</definedName>
    <definedName name="СП_R121C19">#REF!</definedName>
    <definedName name="СП_R121C20">#REF!</definedName>
    <definedName name="СП_R121C21">#REF!</definedName>
    <definedName name="СП_R121C22">#REF!</definedName>
    <definedName name="СП_R121C23">#REF!</definedName>
    <definedName name="СП_R121C24">#REF!</definedName>
    <definedName name="СП_R121C25">#REF!</definedName>
    <definedName name="СП_R121C26">#REF!</definedName>
    <definedName name="СП_R121C27">#REF!</definedName>
    <definedName name="СП_R121C28">#REF!</definedName>
    <definedName name="СП_R121C3">#REF!</definedName>
    <definedName name="СП_R121C4">#REF!</definedName>
    <definedName name="СП_R121C5">#REF!</definedName>
    <definedName name="СП_R121C6">#REF!</definedName>
    <definedName name="СП_R121C7">#REF!</definedName>
    <definedName name="СП_R121C8">#REF!</definedName>
    <definedName name="СП_R121C9">#REF!</definedName>
    <definedName name="СП_R122C10">#REF!</definedName>
    <definedName name="СП_R122C11">#REF!</definedName>
    <definedName name="СП_R122C12">#REF!</definedName>
    <definedName name="СП_R122C13">#REF!</definedName>
    <definedName name="СП_R122C14">#REF!</definedName>
    <definedName name="СП_R122C15">#REF!</definedName>
    <definedName name="СП_R122C16">#REF!</definedName>
    <definedName name="СП_R122C17">#REF!</definedName>
    <definedName name="СП_R122C18">#REF!</definedName>
    <definedName name="СП_R122C19">#REF!</definedName>
    <definedName name="СП_R122C20">#REF!</definedName>
    <definedName name="СП_R122C21">#REF!</definedName>
    <definedName name="СП_R122C22">#REF!</definedName>
    <definedName name="СП_R122C23">#REF!</definedName>
    <definedName name="СП_R122C24">#REF!</definedName>
    <definedName name="СП_R122C25">#REF!</definedName>
    <definedName name="СП_R122C26">#REF!</definedName>
    <definedName name="СП_R122C27">#REF!</definedName>
    <definedName name="СП_R122C28">#REF!</definedName>
    <definedName name="СП_R122C3">#REF!</definedName>
    <definedName name="СП_R122C4">#REF!</definedName>
    <definedName name="СП_R122C5">#REF!</definedName>
    <definedName name="СП_R122C6">#REF!</definedName>
    <definedName name="СП_R122C7">#REF!</definedName>
    <definedName name="СП_R122C8">#REF!</definedName>
    <definedName name="СП_R122C9">#REF!</definedName>
    <definedName name="СП_R123C10">#REF!</definedName>
    <definedName name="СП_R123C11">#REF!</definedName>
    <definedName name="СП_R123C12">#REF!</definedName>
    <definedName name="СП_R123C13">#REF!</definedName>
    <definedName name="СП_R123C14">#REF!</definedName>
    <definedName name="СП_R123C15">#REF!</definedName>
    <definedName name="СП_R123C16">#REF!</definedName>
    <definedName name="СП_R123C17">#REF!</definedName>
    <definedName name="СП_R123C18">#REF!</definedName>
    <definedName name="СП_R123C19">#REF!</definedName>
    <definedName name="СП_R123C20">#REF!</definedName>
    <definedName name="СП_R123C21">#REF!</definedName>
    <definedName name="СП_R123C22">#REF!</definedName>
    <definedName name="СП_R123C23">#REF!</definedName>
    <definedName name="СП_R123C24">#REF!</definedName>
    <definedName name="СП_R123C25">#REF!</definedName>
    <definedName name="СП_R123C26">#REF!</definedName>
    <definedName name="СП_R123C27">#REF!</definedName>
    <definedName name="СП_R123C28">#REF!</definedName>
    <definedName name="СП_R123C3">#REF!</definedName>
    <definedName name="СП_R123C4">#REF!</definedName>
    <definedName name="СП_R123C5">#REF!</definedName>
    <definedName name="СП_R123C6">#REF!</definedName>
    <definedName name="СП_R123C7">#REF!</definedName>
    <definedName name="СП_R123C8">#REF!</definedName>
    <definedName name="СП_R123C9">#REF!</definedName>
    <definedName name="СП_R124C10">#REF!</definedName>
    <definedName name="СП_R124C11">#REF!</definedName>
    <definedName name="СП_R124C12">#REF!</definedName>
    <definedName name="СП_R124C13">#REF!</definedName>
    <definedName name="СП_R124C14">#REF!</definedName>
    <definedName name="СП_R124C15">#REF!</definedName>
    <definedName name="СП_R124C16">#REF!</definedName>
    <definedName name="СП_R124C17">#REF!</definedName>
    <definedName name="СП_R124C18">#REF!</definedName>
    <definedName name="СП_R124C19">#REF!</definedName>
    <definedName name="СП_R124C20">#REF!</definedName>
    <definedName name="СП_R124C21">#REF!</definedName>
    <definedName name="СП_R124C22">#REF!</definedName>
    <definedName name="СП_R124C23">#REF!</definedName>
    <definedName name="СП_R124C24">#REF!</definedName>
    <definedName name="СП_R124C25">#REF!</definedName>
    <definedName name="СП_R124C26">#REF!</definedName>
    <definedName name="СП_R124C27">#REF!</definedName>
    <definedName name="СП_R124C28">#REF!</definedName>
    <definedName name="СП_R124C3">#REF!</definedName>
    <definedName name="СП_R124C4">#REF!</definedName>
    <definedName name="СП_R124C5">#REF!</definedName>
    <definedName name="СП_R124C6">#REF!</definedName>
    <definedName name="СП_R124C7">#REF!</definedName>
    <definedName name="СП_R124C8">#REF!</definedName>
    <definedName name="СП_R124C9">#REF!</definedName>
    <definedName name="СП_R125C10">#REF!</definedName>
    <definedName name="СП_R125C11">#REF!</definedName>
    <definedName name="СП_R125C12">#REF!</definedName>
    <definedName name="СП_R125C13">#REF!</definedName>
    <definedName name="СП_R125C14">#REF!</definedName>
    <definedName name="СП_R125C15">#REF!</definedName>
    <definedName name="СП_R125C16">#REF!</definedName>
    <definedName name="СП_R125C17">#REF!</definedName>
    <definedName name="СП_R125C18">#REF!</definedName>
    <definedName name="СП_R125C19">#REF!</definedName>
    <definedName name="СП_R125C20">#REF!</definedName>
    <definedName name="СП_R125C21">#REF!</definedName>
    <definedName name="СП_R125C22">#REF!</definedName>
    <definedName name="СП_R125C23">#REF!</definedName>
    <definedName name="СП_R125C24">#REF!</definedName>
    <definedName name="СП_R125C25">#REF!</definedName>
    <definedName name="СП_R125C26">#REF!</definedName>
    <definedName name="СП_R125C27">#REF!</definedName>
    <definedName name="СП_R125C28">#REF!</definedName>
    <definedName name="СП_R125C3">#REF!</definedName>
    <definedName name="СП_R125C4">#REF!</definedName>
    <definedName name="СП_R125C5">#REF!</definedName>
    <definedName name="СП_R125C6">#REF!</definedName>
    <definedName name="СП_R125C7">#REF!</definedName>
    <definedName name="СП_R125C8">#REF!</definedName>
    <definedName name="СП_R125C9">#REF!</definedName>
    <definedName name="СП_R126C10">#REF!</definedName>
    <definedName name="СП_R126C11">#REF!</definedName>
    <definedName name="СП_R126C12">#REF!</definedName>
    <definedName name="СП_R126C13">#REF!</definedName>
    <definedName name="СП_R126C14">#REF!</definedName>
    <definedName name="СП_R126C15">#REF!</definedName>
    <definedName name="СП_R126C16">#REF!</definedName>
    <definedName name="СП_R126C17">#REF!</definedName>
    <definedName name="СП_R126C18">#REF!</definedName>
    <definedName name="СП_R126C19">#REF!</definedName>
    <definedName name="СП_R126C20">#REF!</definedName>
    <definedName name="СП_R126C21">#REF!</definedName>
    <definedName name="СП_R126C22">#REF!</definedName>
    <definedName name="СП_R126C23">#REF!</definedName>
    <definedName name="СП_R126C24">#REF!</definedName>
    <definedName name="СП_R126C25">#REF!</definedName>
    <definedName name="СП_R126C26">#REF!</definedName>
    <definedName name="СП_R126C27">#REF!</definedName>
    <definedName name="СП_R126C28">#REF!</definedName>
    <definedName name="СП_R126C3">#REF!</definedName>
    <definedName name="СП_R126C4">#REF!</definedName>
    <definedName name="СП_R126C5">#REF!</definedName>
    <definedName name="СП_R126C6">#REF!</definedName>
    <definedName name="СП_R126C7">#REF!</definedName>
    <definedName name="СП_R126C8">#REF!</definedName>
    <definedName name="СП_R126C9">#REF!</definedName>
    <definedName name="СП_R127C10">#REF!</definedName>
    <definedName name="СП_R127C11">#REF!</definedName>
    <definedName name="СП_R127C12">#REF!</definedName>
    <definedName name="СП_R127C13">#REF!</definedName>
    <definedName name="СП_R127C14">#REF!</definedName>
    <definedName name="СП_R127C15">#REF!</definedName>
    <definedName name="СП_R127C16">#REF!</definedName>
    <definedName name="СП_R127C17">#REF!</definedName>
    <definedName name="СП_R127C18">#REF!</definedName>
    <definedName name="СП_R127C19">#REF!</definedName>
    <definedName name="СП_R127C20">#REF!</definedName>
    <definedName name="СП_R127C21">#REF!</definedName>
    <definedName name="СП_R127C22">#REF!</definedName>
    <definedName name="СП_R127C23">#REF!</definedName>
    <definedName name="СП_R127C24">#REF!</definedName>
    <definedName name="СП_R127C25">#REF!</definedName>
    <definedName name="СП_R127C26">#REF!</definedName>
    <definedName name="СП_R127C27">#REF!</definedName>
    <definedName name="СП_R127C28">#REF!</definedName>
    <definedName name="СП_R127C3">#REF!</definedName>
    <definedName name="СП_R127C4">#REF!</definedName>
    <definedName name="СП_R127C5">#REF!</definedName>
    <definedName name="СП_R127C6">#REF!</definedName>
    <definedName name="СП_R127C7">#REF!</definedName>
    <definedName name="СП_R127C8">#REF!</definedName>
    <definedName name="СП_R127C9">#REF!</definedName>
    <definedName name="СП_R128C10">#REF!</definedName>
    <definedName name="СП_R128C11">#REF!</definedName>
    <definedName name="СП_R128C12">#REF!</definedName>
    <definedName name="СП_R128C13">#REF!</definedName>
    <definedName name="СП_R128C14">#REF!</definedName>
    <definedName name="СП_R128C15">#REF!</definedName>
    <definedName name="СП_R128C16">#REF!</definedName>
    <definedName name="СП_R128C17">#REF!</definedName>
    <definedName name="СП_R128C18">#REF!</definedName>
    <definedName name="СП_R128C19">#REF!</definedName>
    <definedName name="СП_R128C20">#REF!</definedName>
    <definedName name="СП_R128C21">#REF!</definedName>
    <definedName name="СП_R128C22">#REF!</definedName>
    <definedName name="СП_R128C23">#REF!</definedName>
    <definedName name="СП_R128C24">#REF!</definedName>
    <definedName name="СП_R128C25">#REF!</definedName>
    <definedName name="СП_R128C26">#REF!</definedName>
    <definedName name="СП_R128C27">#REF!</definedName>
    <definedName name="СП_R128C28">#REF!</definedName>
    <definedName name="СП_R128C3">#REF!</definedName>
    <definedName name="СП_R128C4">#REF!</definedName>
    <definedName name="СП_R128C5">#REF!</definedName>
    <definedName name="СП_R128C6">#REF!</definedName>
    <definedName name="СП_R128C7">#REF!</definedName>
    <definedName name="СП_R128C8">#REF!</definedName>
    <definedName name="СП_R128C9">#REF!</definedName>
    <definedName name="СП_R129C10">#REF!</definedName>
    <definedName name="СП_R129C11">#REF!</definedName>
    <definedName name="СП_R129C12">#REF!</definedName>
    <definedName name="СП_R129C13">#REF!</definedName>
    <definedName name="СП_R129C14">#REF!</definedName>
    <definedName name="СП_R129C15">#REF!</definedName>
    <definedName name="СП_R129C16">#REF!</definedName>
    <definedName name="СП_R129C17">#REF!</definedName>
    <definedName name="СП_R129C18">#REF!</definedName>
    <definedName name="СП_R129C19">#REF!</definedName>
    <definedName name="СП_R129C20">#REF!</definedName>
    <definedName name="СП_R129C21">#REF!</definedName>
    <definedName name="СП_R129C22">#REF!</definedName>
    <definedName name="СП_R129C23">#REF!</definedName>
    <definedName name="СП_R129C24">#REF!</definedName>
    <definedName name="СП_R129C25">#REF!</definedName>
    <definedName name="СП_R129C26">#REF!</definedName>
    <definedName name="СП_R129C27">#REF!</definedName>
    <definedName name="СП_R129C28">#REF!</definedName>
    <definedName name="СП_R129C3">#REF!</definedName>
    <definedName name="СП_R129C4">#REF!</definedName>
    <definedName name="СП_R129C5">#REF!</definedName>
    <definedName name="СП_R129C6">#REF!</definedName>
    <definedName name="СП_R129C7">#REF!</definedName>
    <definedName name="СП_R129C8">#REF!</definedName>
    <definedName name="СП_R129C9">#REF!</definedName>
    <definedName name="СП_R12C10">#REF!</definedName>
    <definedName name="СП_R12C11">#REF!</definedName>
    <definedName name="СП_R12C12">#REF!</definedName>
    <definedName name="СП_R12C13">#REF!</definedName>
    <definedName name="СП_R12C14">#REF!</definedName>
    <definedName name="СП_R12C15">#REF!</definedName>
    <definedName name="СП_R12C16">#REF!</definedName>
    <definedName name="СП_R12C17">#REF!</definedName>
    <definedName name="СП_R12C18">#REF!</definedName>
    <definedName name="СП_R12C19">#REF!</definedName>
    <definedName name="СП_R12C20">#REF!</definedName>
    <definedName name="СП_R12C21">#REF!</definedName>
    <definedName name="СП_R12C22">#REF!</definedName>
    <definedName name="СП_R12C23">#REF!</definedName>
    <definedName name="СП_R12C24">#REF!</definedName>
    <definedName name="СП_R12C25">#REF!</definedName>
    <definedName name="СП_R12C26">#REF!</definedName>
    <definedName name="СП_R12C27">#REF!</definedName>
    <definedName name="СП_R12C28">#REF!</definedName>
    <definedName name="СП_R12C3">#REF!</definedName>
    <definedName name="СП_R12C4">#REF!</definedName>
    <definedName name="СП_R12C5">#REF!</definedName>
    <definedName name="СП_R12C6">#REF!</definedName>
    <definedName name="СП_R12C7">#REF!</definedName>
    <definedName name="СП_R12C8">#REF!</definedName>
    <definedName name="СП_R12C9">#REF!</definedName>
    <definedName name="СП_R130C10">#REF!</definedName>
    <definedName name="СП_R130C11">#REF!</definedName>
    <definedName name="СП_R130C12">#REF!</definedName>
    <definedName name="СП_R130C13">#REF!</definedName>
    <definedName name="СП_R130C14">#REF!</definedName>
    <definedName name="СП_R130C15">#REF!</definedName>
    <definedName name="СП_R130C16">#REF!</definedName>
    <definedName name="СП_R130C17">#REF!</definedName>
    <definedName name="СП_R130C18">#REF!</definedName>
    <definedName name="СП_R130C19">#REF!</definedName>
    <definedName name="СП_R130C20">#REF!</definedName>
    <definedName name="СП_R130C21">#REF!</definedName>
    <definedName name="СП_R130C22">#REF!</definedName>
    <definedName name="СП_R130C23">#REF!</definedName>
    <definedName name="СП_R130C24">#REF!</definedName>
    <definedName name="СП_R130C25">#REF!</definedName>
    <definedName name="СП_R130C26">#REF!</definedName>
    <definedName name="СП_R130C27">#REF!</definedName>
    <definedName name="СП_R130C28">#REF!</definedName>
    <definedName name="СП_R130C3">#REF!</definedName>
    <definedName name="СП_R130C4">#REF!</definedName>
    <definedName name="СП_R130C5">#REF!</definedName>
    <definedName name="СП_R130C6">#REF!</definedName>
    <definedName name="СП_R130C7">#REF!</definedName>
    <definedName name="СП_R130C8">#REF!</definedName>
    <definedName name="СП_R130C9">#REF!</definedName>
    <definedName name="СП_R131C10">#REF!</definedName>
    <definedName name="СП_R131C11">#REF!</definedName>
    <definedName name="СП_R131C12">#REF!</definedName>
    <definedName name="СП_R131C13">#REF!</definedName>
    <definedName name="СП_R131C14">#REF!</definedName>
    <definedName name="СП_R131C15">#REF!</definedName>
    <definedName name="СП_R131C16">#REF!</definedName>
    <definedName name="СП_R131C17">#REF!</definedName>
    <definedName name="СП_R131C18">#REF!</definedName>
    <definedName name="СП_R131C19">#REF!</definedName>
    <definedName name="СП_R131C20">#REF!</definedName>
    <definedName name="СП_R131C21">#REF!</definedName>
    <definedName name="СП_R131C22">#REF!</definedName>
    <definedName name="СП_R131C23">#REF!</definedName>
    <definedName name="СП_R131C24">#REF!</definedName>
    <definedName name="СП_R131C25">#REF!</definedName>
    <definedName name="СП_R131C26">#REF!</definedName>
    <definedName name="СП_R131C27">#REF!</definedName>
    <definedName name="СП_R131C28">#REF!</definedName>
    <definedName name="СП_R131C3">#REF!</definedName>
    <definedName name="СП_R131C4">#REF!</definedName>
    <definedName name="СП_R131C5">#REF!</definedName>
    <definedName name="СП_R131C6">#REF!</definedName>
    <definedName name="СП_R131C7">#REF!</definedName>
    <definedName name="СП_R131C8">#REF!</definedName>
    <definedName name="СП_R131C9">#REF!</definedName>
    <definedName name="СП_R132C10">#REF!</definedName>
    <definedName name="СП_R132C11">#REF!</definedName>
    <definedName name="СП_R132C12">#REF!</definedName>
    <definedName name="СП_R132C13">#REF!</definedName>
    <definedName name="СП_R132C14">#REF!</definedName>
    <definedName name="СП_R132C15">#REF!</definedName>
    <definedName name="СП_R132C16">#REF!</definedName>
    <definedName name="СП_R132C17">#REF!</definedName>
    <definedName name="СП_R132C18">#REF!</definedName>
    <definedName name="СП_R132C19">#REF!</definedName>
    <definedName name="СП_R132C20">#REF!</definedName>
    <definedName name="СП_R132C21">#REF!</definedName>
    <definedName name="СП_R132C22">#REF!</definedName>
    <definedName name="СП_R132C23">#REF!</definedName>
    <definedName name="СП_R132C24">#REF!</definedName>
    <definedName name="СП_R132C25">#REF!</definedName>
    <definedName name="СП_R132C26">#REF!</definedName>
    <definedName name="СП_R132C27">#REF!</definedName>
    <definedName name="СП_R132C28">#REF!</definedName>
    <definedName name="СП_R132C3">#REF!</definedName>
    <definedName name="СП_R132C4">#REF!</definedName>
    <definedName name="СП_R132C5">#REF!</definedName>
    <definedName name="СП_R132C6">#REF!</definedName>
    <definedName name="СП_R132C7">#REF!</definedName>
    <definedName name="СП_R132C8">#REF!</definedName>
    <definedName name="СП_R132C9">#REF!</definedName>
    <definedName name="СП_R133C10">#REF!</definedName>
    <definedName name="СП_R133C11">#REF!</definedName>
    <definedName name="СП_R133C12">#REF!</definedName>
    <definedName name="СП_R133C13">#REF!</definedName>
    <definedName name="СП_R133C14">#REF!</definedName>
    <definedName name="СП_R133C15">#REF!</definedName>
    <definedName name="СП_R133C16">#REF!</definedName>
    <definedName name="СП_R133C17">#REF!</definedName>
    <definedName name="СП_R133C18">#REF!</definedName>
    <definedName name="СП_R133C19">#REF!</definedName>
    <definedName name="СП_R133C20">#REF!</definedName>
    <definedName name="СП_R133C21">#REF!</definedName>
    <definedName name="СП_R133C22">#REF!</definedName>
    <definedName name="СП_R133C23">#REF!</definedName>
    <definedName name="СП_R133C24">#REF!</definedName>
    <definedName name="СП_R133C25">#REF!</definedName>
    <definedName name="СП_R133C26">#REF!</definedName>
    <definedName name="СП_R133C27">#REF!</definedName>
    <definedName name="СП_R133C28">#REF!</definedName>
    <definedName name="СП_R133C3">#REF!</definedName>
    <definedName name="СП_R133C4">#REF!</definedName>
    <definedName name="СП_R133C5">#REF!</definedName>
    <definedName name="СП_R133C6">#REF!</definedName>
    <definedName name="СП_R133C7">#REF!</definedName>
    <definedName name="СП_R133C8">#REF!</definedName>
    <definedName name="СП_R133C9">#REF!</definedName>
    <definedName name="СП_R134C10">#REF!</definedName>
    <definedName name="СП_R134C11">#REF!</definedName>
    <definedName name="СП_R134C12">#REF!</definedName>
    <definedName name="СП_R134C13">#REF!</definedName>
    <definedName name="СП_R134C14">#REF!</definedName>
    <definedName name="СП_R134C15">#REF!</definedName>
    <definedName name="СП_R134C16">#REF!</definedName>
    <definedName name="СП_R134C17">#REF!</definedName>
    <definedName name="СП_R134C18">#REF!</definedName>
    <definedName name="СП_R134C19">#REF!</definedName>
    <definedName name="СП_R134C20">#REF!</definedName>
    <definedName name="СП_R134C21">#REF!</definedName>
    <definedName name="СП_R134C22">#REF!</definedName>
    <definedName name="СП_R134C23">#REF!</definedName>
    <definedName name="СП_R134C24">#REF!</definedName>
    <definedName name="СП_R134C25">#REF!</definedName>
    <definedName name="СП_R134C26">#REF!</definedName>
    <definedName name="СП_R134C27">#REF!</definedName>
    <definedName name="СП_R134C28">#REF!</definedName>
    <definedName name="СП_R134C3">#REF!</definedName>
    <definedName name="СП_R134C4">#REF!</definedName>
    <definedName name="СП_R134C5">#REF!</definedName>
    <definedName name="СП_R134C6">#REF!</definedName>
    <definedName name="СП_R134C7">#REF!</definedName>
    <definedName name="СП_R134C8">#REF!</definedName>
    <definedName name="СП_R134C9">#REF!</definedName>
    <definedName name="СП_R135C10">#REF!</definedName>
    <definedName name="СП_R135C11">#REF!</definedName>
    <definedName name="СП_R135C12">#REF!</definedName>
    <definedName name="СП_R135C13">#REF!</definedName>
    <definedName name="СП_R135C14">#REF!</definedName>
    <definedName name="СП_R135C15">#REF!</definedName>
    <definedName name="СП_R135C16">#REF!</definedName>
    <definedName name="СП_R135C17">#REF!</definedName>
    <definedName name="СП_R135C18">#REF!</definedName>
    <definedName name="СП_R135C19">#REF!</definedName>
    <definedName name="СП_R135C20">#REF!</definedName>
    <definedName name="СП_R135C21">#REF!</definedName>
    <definedName name="СП_R135C22">#REF!</definedName>
    <definedName name="СП_R135C23">#REF!</definedName>
    <definedName name="СП_R135C24">#REF!</definedName>
    <definedName name="СП_R135C25">#REF!</definedName>
    <definedName name="СП_R135C26">#REF!</definedName>
    <definedName name="СП_R135C27">#REF!</definedName>
    <definedName name="СП_R135C28">#REF!</definedName>
    <definedName name="СП_R135C3">#REF!</definedName>
    <definedName name="СП_R135C4">#REF!</definedName>
    <definedName name="СП_R135C5">#REF!</definedName>
    <definedName name="СП_R135C6">#REF!</definedName>
    <definedName name="СП_R135C7">#REF!</definedName>
    <definedName name="СП_R135C8">#REF!</definedName>
    <definedName name="СП_R135C9">#REF!</definedName>
    <definedName name="СП_R136C10">#REF!</definedName>
    <definedName name="СП_R136C11">#REF!</definedName>
    <definedName name="СП_R136C12">#REF!</definedName>
    <definedName name="СП_R136C13">#REF!</definedName>
    <definedName name="СП_R136C14">#REF!</definedName>
    <definedName name="СП_R136C15">#REF!</definedName>
    <definedName name="СП_R136C16">#REF!</definedName>
    <definedName name="СП_R136C17">#REF!</definedName>
    <definedName name="СП_R136C18">#REF!</definedName>
    <definedName name="СП_R136C19">#REF!</definedName>
    <definedName name="СП_R136C20">#REF!</definedName>
    <definedName name="СП_R136C21">#REF!</definedName>
    <definedName name="СП_R136C22">#REF!</definedName>
    <definedName name="СП_R136C23">#REF!</definedName>
    <definedName name="СП_R136C24">#REF!</definedName>
    <definedName name="СП_R136C25">#REF!</definedName>
    <definedName name="СП_R136C26">#REF!</definedName>
    <definedName name="СП_R136C27">#REF!</definedName>
    <definedName name="СП_R136C28">#REF!</definedName>
    <definedName name="СП_R136C3">#REF!</definedName>
    <definedName name="СП_R136C4">#REF!</definedName>
    <definedName name="СП_R136C5">#REF!</definedName>
    <definedName name="СП_R136C6">#REF!</definedName>
    <definedName name="СП_R136C7">#REF!</definedName>
    <definedName name="СП_R136C8">#REF!</definedName>
    <definedName name="СП_R136C9">#REF!</definedName>
    <definedName name="СП_R137C10">#REF!</definedName>
    <definedName name="СП_R137C11">#REF!</definedName>
    <definedName name="СП_R137C12">#REF!</definedName>
    <definedName name="СП_R137C13">#REF!</definedName>
    <definedName name="СП_R137C14">#REF!</definedName>
    <definedName name="СП_R137C15">#REF!</definedName>
    <definedName name="СП_R137C16">#REF!</definedName>
    <definedName name="СП_R137C17">#REF!</definedName>
    <definedName name="СП_R137C18">#REF!</definedName>
    <definedName name="СП_R137C19">#REF!</definedName>
    <definedName name="СП_R137C20">#REF!</definedName>
    <definedName name="СП_R137C21">#REF!</definedName>
    <definedName name="СП_R137C22">#REF!</definedName>
    <definedName name="СП_R137C23">#REF!</definedName>
    <definedName name="СП_R137C24">#REF!</definedName>
    <definedName name="СП_R137C25">#REF!</definedName>
    <definedName name="СП_R137C26">#REF!</definedName>
    <definedName name="СП_R137C27">#REF!</definedName>
    <definedName name="СП_R137C28">#REF!</definedName>
    <definedName name="СП_R137C3">#REF!</definedName>
    <definedName name="СП_R137C4">#REF!</definedName>
    <definedName name="СП_R137C5">#REF!</definedName>
    <definedName name="СП_R137C6">#REF!</definedName>
    <definedName name="СП_R137C7">#REF!</definedName>
    <definedName name="СП_R137C8">#REF!</definedName>
    <definedName name="СП_R137C9">#REF!</definedName>
    <definedName name="СП_R138C10">#REF!</definedName>
    <definedName name="СП_R138C11">#REF!</definedName>
    <definedName name="СП_R138C12">#REF!</definedName>
    <definedName name="СП_R138C13">#REF!</definedName>
    <definedName name="СП_R138C14">#REF!</definedName>
    <definedName name="СП_R138C15">#REF!</definedName>
    <definedName name="СП_R138C16">#REF!</definedName>
    <definedName name="СП_R138C17">#REF!</definedName>
    <definedName name="СП_R138C18">#REF!</definedName>
    <definedName name="СП_R138C19">#REF!</definedName>
    <definedName name="СП_R138C20">#REF!</definedName>
    <definedName name="СП_R138C21">#REF!</definedName>
    <definedName name="СП_R138C22">#REF!</definedName>
    <definedName name="СП_R138C23">#REF!</definedName>
    <definedName name="СП_R138C24">#REF!</definedName>
    <definedName name="СП_R138C25">#REF!</definedName>
    <definedName name="СП_R138C26">#REF!</definedName>
    <definedName name="СП_R138C27">#REF!</definedName>
    <definedName name="СП_R138C28">#REF!</definedName>
    <definedName name="СП_R138C3">#REF!</definedName>
    <definedName name="СП_R138C4">#REF!</definedName>
    <definedName name="СП_R138C5">#REF!</definedName>
    <definedName name="СП_R138C6">#REF!</definedName>
    <definedName name="СП_R138C7">#REF!</definedName>
    <definedName name="СП_R138C8">#REF!</definedName>
    <definedName name="СП_R138C9">#REF!</definedName>
    <definedName name="СП_R139C10">#REF!</definedName>
    <definedName name="СП_R139C11">#REF!</definedName>
    <definedName name="СП_R139C12">#REF!</definedName>
    <definedName name="СП_R139C13">#REF!</definedName>
    <definedName name="СП_R139C14">#REF!</definedName>
    <definedName name="СП_R139C15">#REF!</definedName>
    <definedName name="СП_R139C16">#REF!</definedName>
    <definedName name="СП_R139C17">#REF!</definedName>
    <definedName name="СП_R139C18">#REF!</definedName>
    <definedName name="СП_R139C19">#REF!</definedName>
    <definedName name="СП_R139C20">#REF!</definedName>
    <definedName name="СП_R139C21">#REF!</definedName>
    <definedName name="СП_R139C22">#REF!</definedName>
    <definedName name="СП_R139C23">#REF!</definedName>
    <definedName name="СП_R139C24">#REF!</definedName>
    <definedName name="СП_R139C25">#REF!</definedName>
    <definedName name="СП_R139C26">#REF!</definedName>
    <definedName name="СП_R139C27">#REF!</definedName>
    <definedName name="СП_R139C28">#REF!</definedName>
    <definedName name="СП_R139C3">#REF!</definedName>
    <definedName name="СП_R139C4">#REF!</definedName>
    <definedName name="СП_R139C5">#REF!</definedName>
    <definedName name="СП_R139C6">#REF!</definedName>
    <definedName name="СП_R139C7">#REF!</definedName>
    <definedName name="СП_R139C8">#REF!</definedName>
    <definedName name="СП_R139C9">#REF!</definedName>
    <definedName name="СП_R13C10">#REF!</definedName>
    <definedName name="СП_R13C11">#REF!</definedName>
    <definedName name="СП_R13C12">#REF!</definedName>
    <definedName name="СП_R13C13">#REF!</definedName>
    <definedName name="СП_R13C14">#REF!</definedName>
    <definedName name="СП_R13C15">#REF!</definedName>
    <definedName name="СП_R13C16">#REF!</definedName>
    <definedName name="СП_R13C17">#REF!</definedName>
    <definedName name="СП_R13C18">#REF!</definedName>
    <definedName name="СП_R13C19">#REF!</definedName>
    <definedName name="СП_R13C20">#REF!</definedName>
    <definedName name="СП_R13C21">#REF!</definedName>
    <definedName name="СП_R13C22">#REF!</definedName>
    <definedName name="СП_R13C23">#REF!</definedName>
    <definedName name="СП_R13C24">#REF!</definedName>
    <definedName name="СП_R13C25">#REF!</definedName>
    <definedName name="СП_R13C26">#REF!</definedName>
    <definedName name="СП_R13C27">#REF!</definedName>
    <definedName name="СП_R13C28">#REF!</definedName>
    <definedName name="СП_R13C3">#REF!</definedName>
    <definedName name="СП_R13C4">#REF!</definedName>
    <definedName name="СП_R13C5">#REF!</definedName>
    <definedName name="СП_R13C6">#REF!</definedName>
    <definedName name="СП_R13C7">#REF!</definedName>
    <definedName name="СП_R13C8">#REF!</definedName>
    <definedName name="СП_R13C9">#REF!</definedName>
    <definedName name="СП_R140C10">#REF!</definedName>
    <definedName name="СП_R140C11">#REF!</definedName>
    <definedName name="СП_R140C12">#REF!</definedName>
    <definedName name="СП_R140C13">#REF!</definedName>
    <definedName name="СП_R140C14">#REF!</definedName>
    <definedName name="СП_R140C15">#REF!</definedName>
    <definedName name="СП_R140C16">#REF!</definedName>
    <definedName name="СП_R140C17">#REF!</definedName>
    <definedName name="СП_R140C18">#REF!</definedName>
    <definedName name="СП_R140C19">#REF!</definedName>
    <definedName name="СП_R140C20">#REF!</definedName>
    <definedName name="СП_R140C21">#REF!</definedName>
    <definedName name="СП_R140C22">#REF!</definedName>
    <definedName name="СП_R140C23">#REF!</definedName>
    <definedName name="СП_R140C24">#REF!</definedName>
    <definedName name="СП_R140C25">#REF!</definedName>
    <definedName name="СП_R140C26">#REF!</definedName>
    <definedName name="СП_R140C27">#REF!</definedName>
    <definedName name="СП_R140C28">#REF!</definedName>
    <definedName name="СП_R140C3">#REF!</definedName>
    <definedName name="СП_R140C4">#REF!</definedName>
    <definedName name="СП_R140C5">#REF!</definedName>
    <definedName name="СП_R140C6">#REF!</definedName>
    <definedName name="СП_R140C7">#REF!</definedName>
    <definedName name="СП_R140C8">#REF!</definedName>
    <definedName name="СП_R140C9">#REF!</definedName>
    <definedName name="СП_R141C10">#REF!</definedName>
    <definedName name="СП_R141C11">#REF!</definedName>
    <definedName name="СП_R141C12">#REF!</definedName>
    <definedName name="СП_R141C13">#REF!</definedName>
    <definedName name="СП_R141C14">#REF!</definedName>
    <definedName name="СП_R141C15">#REF!</definedName>
    <definedName name="СП_R141C16">#REF!</definedName>
    <definedName name="СП_R141C17">#REF!</definedName>
    <definedName name="СП_R141C18">#REF!</definedName>
    <definedName name="СП_R141C19">#REF!</definedName>
    <definedName name="СП_R141C20">#REF!</definedName>
    <definedName name="СП_R141C21">#REF!</definedName>
    <definedName name="СП_R141C22">#REF!</definedName>
    <definedName name="СП_R141C23">#REF!</definedName>
    <definedName name="СП_R141C24">#REF!</definedName>
    <definedName name="СП_R141C25">#REF!</definedName>
    <definedName name="СП_R141C26">#REF!</definedName>
    <definedName name="СП_R141C27">#REF!</definedName>
    <definedName name="СП_R141C28">#REF!</definedName>
    <definedName name="СП_R141C3">#REF!</definedName>
    <definedName name="СП_R141C4">#REF!</definedName>
    <definedName name="СП_R141C5">#REF!</definedName>
    <definedName name="СП_R141C6">#REF!</definedName>
    <definedName name="СП_R141C7">#REF!</definedName>
    <definedName name="СП_R141C8">#REF!</definedName>
    <definedName name="СП_R141C9">#REF!</definedName>
    <definedName name="СП_R142C10">#REF!</definedName>
    <definedName name="СП_R142C11">#REF!</definedName>
    <definedName name="СП_R142C12">#REF!</definedName>
    <definedName name="СП_R142C13">#REF!</definedName>
    <definedName name="СП_R142C14">#REF!</definedName>
    <definedName name="СП_R142C15">#REF!</definedName>
    <definedName name="СП_R142C16">#REF!</definedName>
    <definedName name="СП_R142C17">#REF!</definedName>
    <definedName name="СП_R142C18">#REF!</definedName>
    <definedName name="СП_R142C19">#REF!</definedName>
    <definedName name="СП_R142C20">#REF!</definedName>
    <definedName name="СП_R142C21">#REF!</definedName>
    <definedName name="СП_R142C22">#REF!</definedName>
    <definedName name="СП_R142C23">#REF!</definedName>
    <definedName name="СП_R142C24">#REF!</definedName>
    <definedName name="СП_R142C25">#REF!</definedName>
    <definedName name="СП_R142C26">#REF!</definedName>
    <definedName name="СП_R142C27">#REF!</definedName>
    <definedName name="СП_R142C28">#REF!</definedName>
    <definedName name="СП_R142C3">#REF!</definedName>
    <definedName name="СП_R142C4">#REF!</definedName>
    <definedName name="СП_R142C5">#REF!</definedName>
    <definedName name="СП_R142C6">#REF!</definedName>
    <definedName name="СП_R142C7">#REF!</definedName>
    <definedName name="СП_R142C8">#REF!</definedName>
    <definedName name="СП_R142C9">#REF!</definedName>
    <definedName name="СП_R143C10">#REF!</definedName>
    <definedName name="СП_R143C11">#REF!</definedName>
    <definedName name="СП_R143C12">#REF!</definedName>
    <definedName name="СП_R143C13">#REF!</definedName>
    <definedName name="СП_R143C14">#REF!</definedName>
    <definedName name="СП_R143C15">#REF!</definedName>
    <definedName name="СП_R143C16">#REF!</definedName>
    <definedName name="СП_R143C17">#REF!</definedName>
    <definedName name="СП_R143C18">#REF!</definedName>
    <definedName name="СП_R143C19">#REF!</definedName>
    <definedName name="СП_R143C20">#REF!</definedName>
    <definedName name="СП_R143C21">#REF!</definedName>
    <definedName name="СП_R143C22">#REF!</definedName>
    <definedName name="СП_R143C23">#REF!</definedName>
    <definedName name="СП_R143C24">#REF!</definedName>
    <definedName name="СП_R143C25">#REF!</definedName>
    <definedName name="СП_R143C26">#REF!</definedName>
    <definedName name="СП_R143C27">#REF!</definedName>
    <definedName name="СП_R143C28">#REF!</definedName>
    <definedName name="СП_R143C3">#REF!</definedName>
    <definedName name="СП_R143C4">#REF!</definedName>
    <definedName name="СП_R143C5">#REF!</definedName>
    <definedName name="СП_R143C6">#REF!</definedName>
    <definedName name="СП_R143C7">#REF!</definedName>
    <definedName name="СП_R143C8">#REF!</definedName>
    <definedName name="СП_R143C9">#REF!</definedName>
    <definedName name="СП_R144C10">#REF!</definedName>
    <definedName name="СП_R144C11">#REF!</definedName>
    <definedName name="СП_R144C12">#REF!</definedName>
    <definedName name="СП_R144C13">#REF!</definedName>
    <definedName name="СП_R144C14">#REF!</definedName>
    <definedName name="СП_R144C15">#REF!</definedName>
    <definedName name="СП_R144C16">#REF!</definedName>
    <definedName name="СП_R144C17">#REF!</definedName>
    <definedName name="СП_R144C18">#REF!</definedName>
    <definedName name="СП_R144C19">#REF!</definedName>
    <definedName name="СП_R144C20">#REF!</definedName>
    <definedName name="СП_R144C21">#REF!</definedName>
    <definedName name="СП_R144C22">#REF!</definedName>
    <definedName name="СП_R144C23">#REF!</definedName>
    <definedName name="СП_R144C24">#REF!</definedName>
    <definedName name="СП_R144C25">#REF!</definedName>
    <definedName name="СП_R144C26">#REF!</definedName>
    <definedName name="СП_R144C27">#REF!</definedName>
    <definedName name="СП_R144C28">#REF!</definedName>
    <definedName name="СП_R144C3">#REF!</definedName>
    <definedName name="СП_R144C4">#REF!</definedName>
    <definedName name="СП_R144C5">#REF!</definedName>
    <definedName name="СП_R144C6">#REF!</definedName>
    <definedName name="СП_R144C7">#REF!</definedName>
    <definedName name="СП_R144C8">#REF!</definedName>
    <definedName name="СП_R144C9">#REF!</definedName>
    <definedName name="СП_R145C10">#REF!</definedName>
    <definedName name="СП_R145C11">#REF!</definedName>
    <definedName name="СП_R145C12">#REF!</definedName>
    <definedName name="СП_R145C13">#REF!</definedName>
    <definedName name="СП_R145C14">#REF!</definedName>
    <definedName name="СП_R145C15">#REF!</definedName>
    <definedName name="СП_R145C16">#REF!</definedName>
    <definedName name="СП_R145C17">#REF!</definedName>
    <definedName name="СП_R145C18">#REF!</definedName>
    <definedName name="СП_R145C19">#REF!</definedName>
    <definedName name="СП_R145C20">#REF!</definedName>
    <definedName name="СП_R145C21">#REF!</definedName>
    <definedName name="СП_R145C22">#REF!</definedName>
    <definedName name="СП_R145C23">#REF!</definedName>
    <definedName name="СП_R145C24">#REF!</definedName>
    <definedName name="СП_R145C25">#REF!</definedName>
    <definedName name="СП_R145C26">#REF!</definedName>
    <definedName name="СП_R145C27">#REF!</definedName>
    <definedName name="СП_R145C28">#REF!</definedName>
    <definedName name="СП_R145C3">#REF!</definedName>
    <definedName name="СП_R145C4">#REF!</definedName>
    <definedName name="СП_R145C5">#REF!</definedName>
    <definedName name="СП_R145C6">#REF!</definedName>
    <definedName name="СП_R145C7">#REF!</definedName>
    <definedName name="СП_R145C8">#REF!</definedName>
    <definedName name="СП_R145C9">#REF!</definedName>
    <definedName name="СП_R146C10">#REF!</definedName>
    <definedName name="СП_R146C11">#REF!</definedName>
    <definedName name="СП_R146C12">#REF!</definedName>
    <definedName name="СП_R146C13">#REF!</definedName>
    <definedName name="СП_R146C14">#REF!</definedName>
    <definedName name="СП_R146C15">#REF!</definedName>
    <definedName name="СП_R146C16">#REF!</definedName>
    <definedName name="СП_R146C17">#REF!</definedName>
    <definedName name="СП_R146C18">#REF!</definedName>
    <definedName name="СП_R146C19">#REF!</definedName>
    <definedName name="СП_R146C20">#REF!</definedName>
    <definedName name="СП_R146C21">#REF!</definedName>
    <definedName name="СП_R146C22">#REF!</definedName>
    <definedName name="СП_R146C23">#REF!</definedName>
    <definedName name="СП_R146C24">#REF!</definedName>
    <definedName name="СП_R146C25">#REF!</definedName>
    <definedName name="СП_R146C26">#REF!</definedName>
    <definedName name="СП_R146C27">#REF!</definedName>
    <definedName name="СП_R146C28">#REF!</definedName>
    <definedName name="СП_R146C3">#REF!</definedName>
    <definedName name="СП_R146C4">#REF!</definedName>
    <definedName name="СП_R146C5">#REF!</definedName>
    <definedName name="СП_R146C6">#REF!</definedName>
    <definedName name="СП_R146C7">#REF!</definedName>
    <definedName name="СП_R146C8">#REF!</definedName>
    <definedName name="СП_R146C9">#REF!</definedName>
    <definedName name="СП_R147C10">#REF!</definedName>
    <definedName name="СП_R147C11">#REF!</definedName>
    <definedName name="СП_R147C12">#REF!</definedName>
    <definedName name="СП_R147C13">#REF!</definedName>
    <definedName name="СП_R147C14">#REF!</definedName>
    <definedName name="СП_R147C15">#REF!</definedName>
    <definedName name="СП_R147C16">#REF!</definedName>
    <definedName name="СП_R147C17">#REF!</definedName>
    <definedName name="СП_R147C18">#REF!</definedName>
    <definedName name="СП_R147C19">#REF!</definedName>
    <definedName name="СП_R147C20">#REF!</definedName>
    <definedName name="СП_R147C21">#REF!</definedName>
    <definedName name="СП_R147C22">#REF!</definedName>
    <definedName name="СП_R147C23">#REF!</definedName>
    <definedName name="СП_R147C24">#REF!</definedName>
    <definedName name="СП_R147C25">#REF!</definedName>
    <definedName name="СП_R147C26">#REF!</definedName>
    <definedName name="СП_R147C27">#REF!</definedName>
    <definedName name="СП_R147C28">#REF!</definedName>
    <definedName name="СП_R147C3">#REF!</definedName>
    <definedName name="СП_R147C4">#REF!</definedName>
    <definedName name="СП_R147C5">#REF!</definedName>
    <definedName name="СП_R147C6">#REF!</definedName>
    <definedName name="СП_R147C7">#REF!</definedName>
    <definedName name="СП_R147C8">#REF!</definedName>
    <definedName name="СП_R147C9">#REF!</definedName>
    <definedName name="СП_R148C10">#REF!</definedName>
    <definedName name="СП_R148C11">#REF!</definedName>
    <definedName name="СП_R148C12">#REF!</definedName>
    <definedName name="СП_R148C13">#REF!</definedName>
    <definedName name="СП_R148C14">#REF!</definedName>
    <definedName name="СП_R148C15">#REF!</definedName>
    <definedName name="СП_R148C16">#REF!</definedName>
    <definedName name="СП_R148C17">#REF!</definedName>
    <definedName name="СП_R148C18">#REF!</definedName>
    <definedName name="СП_R148C19">#REF!</definedName>
    <definedName name="СП_R148C20">#REF!</definedName>
    <definedName name="СП_R148C21">#REF!</definedName>
    <definedName name="СП_R148C22">#REF!</definedName>
    <definedName name="СП_R148C23">#REF!</definedName>
    <definedName name="СП_R148C24">#REF!</definedName>
    <definedName name="СП_R148C25">#REF!</definedName>
    <definedName name="СП_R148C26">#REF!</definedName>
    <definedName name="СП_R148C27">#REF!</definedName>
    <definedName name="СП_R148C28">#REF!</definedName>
    <definedName name="СП_R148C3">#REF!</definedName>
    <definedName name="СП_R148C4">#REF!</definedName>
    <definedName name="СП_R148C5">#REF!</definedName>
    <definedName name="СП_R148C6">#REF!</definedName>
    <definedName name="СП_R148C7">#REF!</definedName>
    <definedName name="СП_R148C8">#REF!</definedName>
    <definedName name="СП_R148C9">#REF!</definedName>
    <definedName name="СП_R149C10">#REF!</definedName>
    <definedName name="СП_R149C11">#REF!</definedName>
    <definedName name="СП_R149C12">#REF!</definedName>
    <definedName name="СП_R149C13">#REF!</definedName>
    <definedName name="СП_R149C14">#REF!</definedName>
    <definedName name="СП_R149C15">#REF!</definedName>
    <definedName name="СП_R149C16">#REF!</definedName>
    <definedName name="СП_R149C17">#REF!</definedName>
    <definedName name="СП_R149C18">#REF!</definedName>
    <definedName name="СП_R149C19">#REF!</definedName>
    <definedName name="СП_R149C20">#REF!</definedName>
    <definedName name="СП_R149C21">#REF!</definedName>
    <definedName name="СП_R149C22">#REF!</definedName>
    <definedName name="СП_R149C23">#REF!</definedName>
    <definedName name="СП_R149C24">#REF!</definedName>
    <definedName name="СП_R149C25">#REF!</definedName>
    <definedName name="СП_R149C26">#REF!</definedName>
    <definedName name="СП_R149C27">#REF!</definedName>
    <definedName name="СП_R149C28">#REF!</definedName>
    <definedName name="СП_R149C3">#REF!</definedName>
    <definedName name="СП_R149C4">#REF!</definedName>
    <definedName name="СП_R149C5">#REF!</definedName>
    <definedName name="СП_R149C6">#REF!</definedName>
    <definedName name="СП_R149C7">#REF!</definedName>
    <definedName name="СП_R149C8">#REF!</definedName>
    <definedName name="СП_R149C9">#REF!</definedName>
    <definedName name="СП_R14C10">#REF!</definedName>
    <definedName name="СП_R14C11">#REF!</definedName>
    <definedName name="СП_R14C12">#REF!</definedName>
    <definedName name="СП_R14C13">#REF!</definedName>
    <definedName name="СП_R14C14">#REF!</definedName>
    <definedName name="СП_R14C15">#REF!</definedName>
    <definedName name="СП_R14C16">#REF!</definedName>
    <definedName name="СП_R14C17">#REF!</definedName>
    <definedName name="СП_R14C18">#REF!</definedName>
    <definedName name="СП_R14C19">#REF!</definedName>
    <definedName name="СП_R14C20">#REF!</definedName>
    <definedName name="СП_R14C21">#REF!</definedName>
    <definedName name="СП_R14C22">#REF!</definedName>
    <definedName name="СП_R14C23">#REF!</definedName>
    <definedName name="СП_R14C24">#REF!</definedName>
    <definedName name="СП_R14C25">#REF!</definedName>
    <definedName name="СП_R14C26">#REF!</definedName>
    <definedName name="СП_R14C27">#REF!</definedName>
    <definedName name="СП_R14C28">#REF!</definedName>
    <definedName name="СП_R14C3">#REF!</definedName>
    <definedName name="СП_R14C4">#REF!</definedName>
    <definedName name="СП_R14C5">#REF!</definedName>
    <definedName name="СП_R14C6">#REF!</definedName>
    <definedName name="СП_R14C7">#REF!</definedName>
    <definedName name="СП_R14C8">#REF!</definedName>
    <definedName name="СП_R14C9">#REF!</definedName>
    <definedName name="СП_R150C10">#REF!</definedName>
    <definedName name="СП_R150C11">#REF!</definedName>
    <definedName name="СП_R150C12">#REF!</definedName>
    <definedName name="СП_R150C13">#REF!</definedName>
    <definedName name="СП_R150C14">#REF!</definedName>
    <definedName name="СП_R150C15">#REF!</definedName>
    <definedName name="СП_R150C16">#REF!</definedName>
    <definedName name="СП_R150C17">#REF!</definedName>
    <definedName name="СП_R150C18">#REF!</definedName>
    <definedName name="СП_R150C19">#REF!</definedName>
    <definedName name="СП_R150C20">#REF!</definedName>
    <definedName name="СП_R150C21">#REF!</definedName>
    <definedName name="СП_R150C22">#REF!</definedName>
    <definedName name="СП_R150C23">#REF!</definedName>
    <definedName name="СП_R150C24">#REF!</definedName>
    <definedName name="СП_R150C25">#REF!</definedName>
    <definedName name="СП_R150C26">#REF!</definedName>
    <definedName name="СП_R150C27">#REF!</definedName>
    <definedName name="СП_R150C28">#REF!</definedName>
    <definedName name="СП_R150C3">#REF!</definedName>
    <definedName name="СП_R150C4">#REF!</definedName>
    <definedName name="СП_R150C5">#REF!</definedName>
    <definedName name="СП_R150C6">#REF!</definedName>
    <definedName name="СП_R150C7">#REF!</definedName>
    <definedName name="СП_R150C8">#REF!</definedName>
    <definedName name="СП_R150C9">#REF!</definedName>
    <definedName name="СП_R151C10">#REF!</definedName>
    <definedName name="СП_R151C11">#REF!</definedName>
    <definedName name="СП_R151C12">#REF!</definedName>
    <definedName name="СП_R151C13">#REF!</definedName>
    <definedName name="СП_R151C14">#REF!</definedName>
    <definedName name="СП_R151C15">#REF!</definedName>
    <definedName name="СП_R151C16">#REF!</definedName>
    <definedName name="СП_R151C17">#REF!</definedName>
    <definedName name="СП_R151C18">#REF!</definedName>
    <definedName name="СП_R151C19">#REF!</definedName>
    <definedName name="СП_R151C20">#REF!</definedName>
    <definedName name="СП_R151C21">#REF!</definedName>
    <definedName name="СП_R151C22">#REF!</definedName>
    <definedName name="СП_R151C23">#REF!</definedName>
    <definedName name="СП_R151C24">#REF!</definedName>
    <definedName name="СП_R151C25">#REF!</definedName>
    <definedName name="СП_R151C26">#REF!</definedName>
    <definedName name="СП_R151C27">#REF!</definedName>
    <definedName name="СП_R151C28">#REF!</definedName>
    <definedName name="СП_R151C3">#REF!</definedName>
    <definedName name="СП_R151C4">#REF!</definedName>
    <definedName name="СП_R151C5">#REF!</definedName>
    <definedName name="СП_R151C6">#REF!</definedName>
    <definedName name="СП_R151C7">#REF!</definedName>
    <definedName name="СП_R151C8">#REF!</definedName>
    <definedName name="СП_R151C9">#REF!</definedName>
    <definedName name="СП_R152C10">#REF!</definedName>
    <definedName name="СП_R152C11">#REF!</definedName>
    <definedName name="СП_R152C12">#REF!</definedName>
    <definedName name="СП_R152C13">#REF!</definedName>
    <definedName name="СП_R152C14">#REF!</definedName>
    <definedName name="СП_R152C15">#REF!</definedName>
    <definedName name="СП_R152C16">#REF!</definedName>
    <definedName name="СП_R152C17">#REF!</definedName>
    <definedName name="СП_R152C18">#REF!</definedName>
    <definedName name="СП_R152C19">#REF!</definedName>
    <definedName name="СП_R152C20">#REF!</definedName>
    <definedName name="СП_R152C21">#REF!</definedName>
    <definedName name="СП_R152C22">#REF!</definedName>
    <definedName name="СП_R152C23">#REF!</definedName>
    <definedName name="СП_R152C24">#REF!</definedName>
    <definedName name="СП_R152C25">#REF!</definedName>
    <definedName name="СП_R152C26">#REF!</definedName>
    <definedName name="СП_R152C27">#REF!</definedName>
    <definedName name="СП_R152C28">#REF!</definedName>
    <definedName name="СП_R152C3">#REF!</definedName>
    <definedName name="СП_R152C4">#REF!</definedName>
    <definedName name="СП_R152C5">#REF!</definedName>
    <definedName name="СП_R152C6">#REF!</definedName>
    <definedName name="СП_R152C7">#REF!</definedName>
    <definedName name="СП_R152C8">#REF!</definedName>
    <definedName name="СП_R152C9">#REF!</definedName>
    <definedName name="СП_R153C10">#REF!</definedName>
    <definedName name="СП_R153C11">#REF!</definedName>
    <definedName name="СП_R153C12">#REF!</definedName>
    <definedName name="СП_R153C13">#REF!</definedName>
    <definedName name="СП_R153C14">#REF!</definedName>
    <definedName name="СП_R153C15">#REF!</definedName>
    <definedName name="СП_R153C16">#REF!</definedName>
    <definedName name="СП_R153C17">#REF!</definedName>
    <definedName name="СП_R153C18">#REF!</definedName>
    <definedName name="СП_R153C19">#REF!</definedName>
    <definedName name="СП_R153C20">#REF!</definedName>
    <definedName name="СП_R153C21">#REF!</definedName>
    <definedName name="СП_R153C22">#REF!</definedName>
    <definedName name="СП_R153C23">#REF!</definedName>
    <definedName name="СП_R153C24">#REF!</definedName>
    <definedName name="СП_R153C25">#REF!</definedName>
    <definedName name="СП_R153C26">#REF!</definedName>
    <definedName name="СП_R153C27">#REF!</definedName>
    <definedName name="СП_R153C28">#REF!</definedName>
    <definedName name="СП_R153C3">#REF!</definedName>
    <definedName name="СП_R153C4">#REF!</definedName>
    <definedName name="СП_R153C5">#REF!</definedName>
    <definedName name="СП_R153C6">#REF!</definedName>
    <definedName name="СП_R153C7">#REF!</definedName>
    <definedName name="СП_R153C8">#REF!</definedName>
    <definedName name="СП_R153C9">#REF!</definedName>
    <definedName name="СП_R154C10">#REF!</definedName>
    <definedName name="СП_R154C11">#REF!</definedName>
    <definedName name="СП_R154C12">#REF!</definedName>
    <definedName name="СП_R154C13">#REF!</definedName>
    <definedName name="СП_R154C14">#REF!</definedName>
    <definedName name="СП_R154C15">#REF!</definedName>
    <definedName name="СП_R154C16">#REF!</definedName>
    <definedName name="СП_R154C17">#REF!</definedName>
    <definedName name="СП_R154C18">#REF!</definedName>
    <definedName name="СП_R154C19">#REF!</definedName>
    <definedName name="СП_R154C20">#REF!</definedName>
    <definedName name="СП_R154C21">#REF!</definedName>
    <definedName name="СП_R154C22">#REF!</definedName>
    <definedName name="СП_R154C23">#REF!</definedName>
    <definedName name="СП_R154C24">#REF!</definedName>
    <definedName name="СП_R154C25">#REF!</definedName>
    <definedName name="СП_R154C26">#REF!</definedName>
    <definedName name="СП_R154C27">#REF!</definedName>
    <definedName name="СП_R154C28">#REF!</definedName>
    <definedName name="СП_R154C3">#REF!</definedName>
    <definedName name="СП_R154C4">#REF!</definedName>
    <definedName name="СП_R154C5">#REF!</definedName>
    <definedName name="СП_R154C6">#REF!</definedName>
    <definedName name="СП_R154C7">#REF!</definedName>
    <definedName name="СП_R154C8">#REF!</definedName>
    <definedName name="СП_R154C9">#REF!</definedName>
    <definedName name="СП_R155C10">#REF!</definedName>
    <definedName name="СП_R155C11">#REF!</definedName>
    <definedName name="СП_R155C12">#REF!</definedName>
    <definedName name="СП_R155C13">#REF!</definedName>
    <definedName name="СП_R155C14">#REF!</definedName>
    <definedName name="СП_R155C15">#REF!</definedName>
    <definedName name="СП_R155C16">#REF!</definedName>
    <definedName name="СП_R155C17">#REF!</definedName>
    <definedName name="СП_R155C18">#REF!</definedName>
    <definedName name="СП_R155C19">#REF!</definedName>
    <definedName name="СП_R155C20">#REF!</definedName>
    <definedName name="СП_R155C21">#REF!</definedName>
    <definedName name="СП_R155C22">#REF!</definedName>
    <definedName name="СП_R155C23">#REF!</definedName>
    <definedName name="СП_R155C24">#REF!</definedName>
    <definedName name="СП_R155C25">#REF!</definedName>
    <definedName name="СП_R155C26">#REF!</definedName>
    <definedName name="СП_R155C27">#REF!</definedName>
    <definedName name="СП_R155C28">#REF!</definedName>
    <definedName name="СП_R155C3">#REF!</definedName>
    <definedName name="СП_R155C4">#REF!</definedName>
    <definedName name="СП_R155C5">#REF!</definedName>
    <definedName name="СП_R155C6">#REF!</definedName>
    <definedName name="СП_R155C7">#REF!</definedName>
    <definedName name="СП_R155C8">#REF!</definedName>
    <definedName name="СП_R155C9">#REF!</definedName>
    <definedName name="СП_R156C10">#REF!</definedName>
    <definedName name="СП_R156C11">#REF!</definedName>
    <definedName name="СП_R156C12">#REF!</definedName>
    <definedName name="СП_R156C13">#REF!</definedName>
    <definedName name="СП_R156C14">#REF!</definedName>
    <definedName name="СП_R156C15">#REF!</definedName>
    <definedName name="СП_R156C16">#REF!</definedName>
    <definedName name="СП_R156C17">#REF!</definedName>
    <definedName name="СП_R156C18">#REF!</definedName>
    <definedName name="СП_R156C19">#REF!</definedName>
    <definedName name="СП_R156C20">#REF!</definedName>
    <definedName name="СП_R156C21">#REF!</definedName>
    <definedName name="СП_R156C22">#REF!</definedName>
    <definedName name="СП_R156C23">#REF!</definedName>
    <definedName name="СП_R156C24">#REF!</definedName>
    <definedName name="СП_R156C25">#REF!</definedName>
    <definedName name="СП_R156C26">#REF!</definedName>
    <definedName name="СП_R156C27">#REF!</definedName>
    <definedName name="СП_R156C28">#REF!</definedName>
    <definedName name="СП_R156C3">#REF!</definedName>
    <definedName name="СП_R156C4">#REF!</definedName>
    <definedName name="СП_R156C5">#REF!</definedName>
    <definedName name="СП_R156C6">#REF!</definedName>
    <definedName name="СП_R156C7">#REF!</definedName>
    <definedName name="СП_R156C8">#REF!</definedName>
    <definedName name="СП_R156C9">#REF!</definedName>
    <definedName name="СП_R157C10">#REF!</definedName>
    <definedName name="СП_R157C11">#REF!</definedName>
    <definedName name="СП_R157C12">#REF!</definedName>
    <definedName name="СП_R157C13">#REF!</definedName>
    <definedName name="СП_R157C14">#REF!</definedName>
    <definedName name="СП_R157C15">#REF!</definedName>
    <definedName name="СП_R157C16">#REF!</definedName>
    <definedName name="СП_R157C17">#REF!</definedName>
    <definedName name="СП_R157C18">#REF!</definedName>
    <definedName name="СП_R157C19">#REF!</definedName>
    <definedName name="СП_R157C20">#REF!</definedName>
    <definedName name="СП_R157C21">#REF!</definedName>
    <definedName name="СП_R157C22">#REF!</definedName>
    <definedName name="СП_R157C23">#REF!</definedName>
    <definedName name="СП_R157C24">#REF!</definedName>
    <definedName name="СП_R157C25">#REF!</definedName>
    <definedName name="СП_R157C26">#REF!</definedName>
    <definedName name="СП_R157C27">#REF!</definedName>
    <definedName name="СП_R157C28">#REF!</definedName>
    <definedName name="СП_R157C3">#REF!</definedName>
    <definedName name="СП_R157C4">#REF!</definedName>
    <definedName name="СП_R157C5">#REF!</definedName>
    <definedName name="СП_R157C6">#REF!</definedName>
    <definedName name="СП_R157C7">#REF!</definedName>
    <definedName name="СП_R157C8">#REF!</definedName>
    <definedName name="СП_R157C9">#REF!</definedName>
    <definedName name="СП_R158C10">#REF!</definedName>
    <definedName name="СП_R158C11">#REF!</definedName>
    <definedName name="СП_R158C12">#REF!</definedName>
    <definedName name="СП_R158C13">#REF!</definedName>
    <definedName name="СП_R158C14">#REF!</definedName>
    <definedName name="СП_R158C15">#REF!</definedName>
    <definedName name="СП_R158C16">#REF!</definedName>
    <definedName name="СП_R158C17">#REF!</definedName>
    <definedName name="СП_R158C18">#REF!</definedName>
    <definedName name="СП_R158C19">#REF!</definedName>
    <definedName name="СП_R158C20">#REF!</definedName>
    <definedName name="СП_R158C21">#REF!</definedName>
    <definedName name="СП_R158C22">#REF!</definedName>
    <definedName name="СП_R158C23">#REF!</definedName>
    <definedName name="СП_R158C24">#REF!</definedName>
    <definedName name="СП_R158C25">#REF!</definedName>
    <definedName name="СП_R158C26">#REF!</definedName>
    <definedName name="СП_R158C27">#REF!</definedName>
    <definedName name="СП_R158C28">#REF!</definedName>
    <definedName name="СП_R158C3">#REF!</definedName>
    <definedName name="СП_R158C4">#REF!</definedName>
    <definedName name="СП_R158C5">#REF!</definedName>
    <definedName name="СП_R158C6">#REF!</definedName>
    <definedName name="СП_R158C7">#REF!</definedName>
    <definedName name="СП_R158C8">#REF!</definedName>
    <definedName name="СП_R158C9">#REF!</definedName>
    <definedName name="СП_R159C10">#REF!</definedName>
    <definedName name="СП_R159C11">#REF!</definedName>
    <definedName name="СП_R159C12">#REF!</definedName>
    <definedName name="СП_R159C13">#REF!</definedName>
    <definedName name="СП_R159C14">#REF!</definedName>
    <definedName name="СП_R159C15">#REF!</definedName>
    <definedName name="СП_R159C16">#REF!</definedName>
    <definedName name="СП_R159C17">#REF!</definedName>
    <definedName name="СП_R159C18">#REF!</definedName>
    <definedName name="СП_R159C19">#REF!</definedName>
    <definedName name="СП_R159C20">#REF!</definedName>
    <definedName name="СП_R159C21">#REF!</definedName>
    <definedName name="СП_R159C22">#REF!</definedName>
    <definedName name="СП_R159C23">#REF!</definedName>
    <definedName name="СП_R159C24">#REF!</definedName>
    <definedName name="СП_R159C25">#REF!</definedName>
    <definedName name="СП_R159C26">#REF!</definedName>
    <definedName name="СП_R159C27">#REF!</definedName>
    <definedName name="СП_R159C28">#REF!</definedName>
    <definedName name="СП_R159C3">#REF!</definedName>
    <definedName name="СП_R159C4">#REF!</definedName>
    <definedName name="СП_R159C5">#REF!</definedName>
    <definedName name="СП_R159C6">#REF!</definedName>
    <definedName name="СП_R159C7">#REF!</definedName>
    <definedName name="СП_R159C8">#REF!</definedName>
    <definedName name="СП_R159C9">#REF!</definedName>
    <definedName name="СП_R15C10">#REF!</definedName>
    <definedName name="СП_R15C11">#REF!</definedName>
    <definedName name="СП_R15C12">#REF!</definedName>
    <definedName name="СП_R15C13">#REF!</definedName>
    <definedName name="СП_R15C14">#REF!</definedName>
    <definedName name="СП_R15C15">#REF!</definedName>
    <definedName name="СП_R15C16">#REF!</definedName>
    <definedName name="СП_R15C17">#REF!</definedName>
    <definedName name="СП_R15C18">#REF!</definedName>
    <definedName name="СП_R15C19">#REF!</definedName>
    <definedName name="СП_R15C20">#REF!</definedName>
    <definedName name="СП_R15C21">#REF!</definedName>
    <definedName name="СП_R15C22">#REF!</definedName>
    <definedName name="СП_R15C23">#REF!</definedName>
    <definedName name="СП_R15C24">#REF!</definedName>
    <definedName name="СП_R15C25">#REF!</definedName>
    <definedName name="СП_R15C26">#REF!</definedName>
    <definedName name="СП_R15C27">#REF!</definedName>
    <definedName name="СП_R15C28">#REF!</definedName>
    <definedName name="СП_R15C3">#REF!</definedName>
    <definedName name="СП_R15C4">#REF!</definedName>
    <definedName name="СП_R15C5">#REF!</definedName>
    <definedName name="СП_R15C6">#REF!</definedName>
    <definedName name="СП_R15C7">#REF!</definedName>
    <definedName name="СП_R15C8">#REF!</definedName>
    <definedName name="СП_R15C9">#REF!</definedName>
    <definedName name="СП_R160C10">#REF!</definedName>
    <definedName name="СП_R160C11">#REF!</definedName>
    <definedName name="СП_R160C12">#REF!</definedName>
    <definedName name="СП_R160C13">#REF!</definedName>
    <definedName name="СП_R160C14">#REF!</definedName>
    <definedName name="СП_R160C15">#REF!</definedName>
    <definedName name="СП_R160C16">#REF!</definedName>
    <definedName name="СП_R160C17">#REF!</definedName>
    <definedName name="СП_R160C18">#REF!</definedName>
    <definedName name="СП_R160C19">#REF!</definedName>
    <definedName name="СП_R160C20">#REF!</definedName>
    <definedName name="СП_R160C21">#REF!</definedName>
    <definedName name="СП_R160C22">#REF!</definedName>
    <definedName name="СП_R160C23">#REF!</definedName>
    <definedName name="СП_R160C24">#REF!</definedName>
    <definedName name="СП_R160C25">#REF!</definedName>
    <definedName name="СП_R160C26">#REF!</definedName>
    <definedName name="СП_R160C27">#REF!</definedName>
    <definedName name="СП_R160C28">#REF!</definedName>
    <definedName name="СП_R160C3">#REF!</definedName>
    <definedName name="СП_R160C4">#REF!</definedName>
    <definedName name="СП_R160C5">#REF!</definedName>
    <definedName name="СП_R160C6">#REF!</definedName>
    <definedName name="СП_R160C7">#REF!</definedName>
    <definedName name="СП_R160C8">#REF!</definedName>
    <definedName name="СП_R160C9">#REF!</definedName>
    <definedName name="СП_R161C10">#REF!</definedName>
    <definedName name="СП_R161C11">#REF!</definedName>
    <definedName name="СП_R161C12">#REF!</definedName>
    <definedName name="СП_R161C13">#REF!</definedName>
    <definedName name="СП_R161C14">#REF!</definedName>
    <definedName name="СП_R161C15">#REF!</definedName>
    <definedName name="СП_R161C16">#REF!</definedName>
    <definedName name="СП_R161C17">#REF!</definedName>
    <definedName name="СП_R161C18">#REF!</definedName>
    <definedName name="СП_R161C19">#REF!</definedName>
    <definedName name="СП_R161C20">#REF!</definedName>
    <definedName name="СП_R161C21">#REF!</definedName>
    <definedName name="СП_R161C22">#REF!</definedName>
    <definedName name="СП_R161C23">#REF!</definedName>
    <definedName name="СП_R161C24">#REF!</definedName>
    <definedName name="СП_R161C25">#REF!</definedName>
    <definedName name="СП_R161C26">#REF!</definedName>
    <definedName name="СП_R161C27">#REF!</definedName>
    <definedName name="СП_R161C28">#REF!</definedName>
    <definedName name="СП_R161C3">#REF!</definedName>
    <definedName name="СП_R161C4">#REF!</definedName>
    <definedName name="СП_R161C5">#REF!</definedName>
    <definedName name="СП_R161C6">#REF!</definedName>
    <definedName name="СП_R161C7">#REF!</definedName>
    <definedName name="СП_R161C8">#REF!</definedName>
    <definedName name="СП_R161C9">#REF!</definedName>
    <definedName name="СП_R162C10">#REF!</definedName>
    <definedName name="СП_R162C11">#REF!</definedName>
    <definedName name="СП_R162C12">#REF!</definedName>
    <definedName name="СП_R162C13">#REF!</definedName>
    <definedName name="СП_R162C14">#REF!</definedName>
    <definedName name="СП_R162C15">#REF!</definedName>
    <definedName name="СП_R162C16">#REF!</definedName>
    <definedName name="СП_R162C17">#REF!</definedName>
    <definedName name="СП_R162C18">#REF!</definedName>
    <definedName name="СП_R162C19">#REF!</definedName>
    <definedName name="СП_R162C20">#REF!</definedName>
    <definedName name="СП_R162C21">#REF!</definedName>
    <definedName name="СП_R162C22">#REF!</definedName>
    <definedName name="СП_R162C23">#REF!</definedName>
    <definedName name="СП_R162C24">#REF!</definedName>
    <definedName name="СП_R162C25">#REF!</definedName>
    <definedName name="СП_R162C26">#REF!</definedName>
    <definedName name="СП_R162C27">#REF!</definedName>
    <definedName name="СП_R162C28">#REF!</definedName>
    <definedName name="СП_R162C3">#REF!</definedName>
    <definedName name="СП_R162C4">#REF!</definedName>
    <definedName name="СП_R162C5">#REF!</definedName>
    <definedName name="СП_R162C6">#REF!</definedName>
    <definedName name="СП_R162C7">#REF!</definedName>
    <definedName name="СП_R162C8">#REF!</definedName>
    <definedName name="СП_R162C9">#REF!</definedName>
    <definedName name="СП_R163C10">#REF!</definedName>
    <definedName name="СП_R163C11">#REF!</definedName>
    <definedName name="СП_R163C12">#REF!</definedName>
    <definedName name="СП_R163C13">#REF!</definedName>
    <definedName name="СП_R163C14">#REF!</definedName>
    <definedName name="СП_R163C15">#REF!</definedName>
    <definedName name="СП_R163C16">#REF!</definedName>
    <definedName name="СП_R163C17">#REF!</definedName>
    <definedName name="СП_R163C18">#REF!</definedName>
    <definedName name="СП_R163C19">#REF!</definedName>
    <definedName name="СП_R163C20">#REF!</definedName>
    <definedName name="СП_R163C21">#REF!</definedName>
    <definedName name="СП_R163C22">#REF!</definedName>
    <definedName name="СП_R163C23">#REF!</definedName>
    <definedName name="СП_R163C24">#REF!</definedName>
    <definedName name="СП_R163C25">#REF!</definedName>
    <definedName name="СП_R163C26">#REF!</definedName>
    <definedName name="СП_R163C27">#REF!</definedName>
    <definedName name="СП_R163C28">#REF!</definedName>
    <definedName name="СП_R163C3">#REF!</definedName>
    <definedName name="СП_R163C4">#REF!</definedName>
    <definedName name="СП_R163C5">#REF!</definedName>
    <definedName name="СП_R163C6">#REF!</definedName>
    <definedName name="СП_R163C7">#REF!</definedName>
    <definedName name="СП_R163C8">#REF!</definedName>
    <definedName name="СП_R163C9">#REF!</definedName>
    <definedName name="СП_R164C10">#REF!</definedName>
    <definedName name="СП_R164C11">#REF!</definedName>
    <definedName name="СП_R164C12">#REF!</definedName>
    <definedName name="СП_R164C13">#REF!</definedName>
    <definedName name="СП_R164C14">#REF!</definedName>
    <definedName name="СП_R164C15">#REF!</definedName>
    <definedName name="СП_R164C16">#REF!</definedName>
    <definedName name="СП_R164C17">#REF!</definedName>
    <definedName name="СП_R164C18">#REF!</definedName>
    <definedName name="СП_R164C19">#REF!</definedName>
    <definedName name="СП_R164C20">#REF!</definedName>
    <definedName name="СП_R164C21">#REF!</definedName>
    <definedName name="СП_R164C22">#REF!</definedName>
    <definedName name="СП_R164C23">#REF!</definedName>
    <definedName name="СП_R164C24">#REF!</definedName>
    <definedName name="СП_R164C25">#REF!</definedName>
    <definedName name="СП_R164C26">#REF!</definedName>
    <definedName name="СП_R164C27">#REF!</definedName>
    <definedName name="СП_R164C28">#REF!</definedName>
    <definedName name="СП_R164C3">#REF!</definedName>
    <definedName name="СП_R164C4">#REF!</definedName>
    <definedName name="СП_R164C5">#REF!</definedName>
    <definedName name="СП_R164C6">#REF!</definedName>
    <definedName name="СП_R164C7">#REF!</definedName>
    <definedName name="СП_R164C8">#REF!</definedName>
    <definedName name="СП_R164C9">#REF!</definedName>
    <definedName name="СП_R165C10">#REF!</definedName>
    <definedName name="СП_R165C11">#REF!</definedName>
    <definedName name="СП_R165C12">#REF!</definedName>
    <definedName name="СП_R165C13">#REF!</definedName>
    <definedName name="СП_R165C14">#REF!</definedName>
    <definedName name="СП_R165C15">#REF!</definedName>
    <definedName name="СП_R165C16">#REF!</definedName>
    <definedName name="СП_R165C17">#REF!</definedName>
    <definedName name="СП_R165C18">#REF!</definedName>
    <definedName name="СП_R165C19">#REF!</definedName>
    <definedName name="СП_R165C20">#REF!</definedName>
    <definedName name="СП_R165C21">#REF!</definedName>
    <definedName name="СП_R165C22">#REF!</definedName>
    <definedName name="СП_R165C23">#REF!</definedName>
    <definedName name="СП_R165C24">#REF!</definedName>
    <definedName name="СП_R165C25">#REF!</definedName>
    <definedName name="СП_R165C26">#REF!</definedName>
    <definedName name="СП_R165C27">#REF!</definedName>
    <definedName name="СП_R165C28">#REF!</definedName>
    <definedName name="СП_R165C3">#REF!</definedName>
    <definedName name="СП_R165C4">#REF!</definedName>
    <definedName name="СП_R165C5">#REF!</definedName>
    <definedName name="СП_R165C6">#REF!</definedName>
    <definedName name="СП_R165C7">#REF!</definedName>
    <definedName name="СП_R165C8">#REF!</definedName>
    <definedName name="СП_R165C9">#REF!</definedName>
    <definedName name="СП_R166C10">#REF!</definedName>
    <definedName name="СП_R166C11">#REF!</definedName>
    <definedName name="СП_R166C12">#REF!</definedName>
    <definedName name="СП_R166C13">#REF!</definedName>
    <definedName name="СП_R166C14">#REF!</definedName>
    <definedName name="СП_R166C15">#REF!</definedName>
    <definedName name="СП_R166C16">#REF!</definedName>
    <definedName name="СП_R166C17">#REF!</definedName>
    <definedName name="СП_R166C18">#REF!</definedName>
    <definedName name="СП_R166C19">#REF!</definedName>
    <definedName name="СП_R166C20">#REF!</definedName>
    <definedName name="СП_R166C21">#REF!</definedName>
    <definedName name="СП_R166C22">#REF!</definedName>
    <definedName name="СП_R166C23">#REF!</definedName>
    <definedName name="СП_R166C24">#REF!</definedName>
    <definedName name="СП_R166C25">#REF!</definedName>
    <definedName name="СП_R166C26">#REF!</definedName>
    <definedName name="СП_R166C27">#REF!</definedName>
    <definedName name="СП_R166C28">#REF!</definedName>
    <definedName name="СП_R166C3">#REF!</definedName>
    <definedName name="СП_R166C4">#REF!</definedName>
    <definedName name="СП_R166C5">#REF!</definedName>
    <definedName name="СП_R166C6">#REF!</definedName>
    <definedName name="СП_R166C7">#REF!</definedName>
    <definedName name="СП_R166C8">#REF!</definedName>
    <definedName name="СП_R166C9">#REF!</definedName>
    <definedName name="СП_R167C10">#REF!</definedName>
    <definedName name="СП_R167C11">#REF!</definedName>
    <definedName name="СП_R167C12">#REF!</definedName>
    <definedName name="СП_R167C13">#REF!</definedName>
    <definedName name="СП_R167C14">#REF!</definedName>
    <definedName name="СП_R167C15">#REF!</definedName>
    <definedName name="СП_R167C16">#REF!</definedName>
    <definedName name="СП_R167C17">#REF!</definedName>
    <definedName name="СП_R167C18">#REF!</definedName>
    <definedName name="СП_R167C19">#REF!</definedName>
    <definedName name="СП_R167C20">#REF!</definedName>
    <definedName name="СП_R167C21">#REF!</definedName>
    <definedName name="СП_R167C22">#REF!</definedName>
    <definedName name="СП_R167C23">#REF!</definedName>
    <definedName name="СП_R167C24">#REF!</definedName>
    <definedName name="СП_R167C25">#REF!</definedName>
    <definedName name="СП_R167C26">#REF!</definedName>
    <definedName name="СП_R167C27">#REF!</definedName>
    <definedName name="СП_R167C28">#REF!</definedName>
    <definedName name="СП_R167C3">#REF!</definedName>
    <definedName name="СП_R167C4">#REF!</definedName>
    <definedName name="СП_R167C5">#REF!</definedName>
    <definedName name="СП_R167C6">#REF!</definedName>
    <definedName name="СП_R167C7">#REF!</definedName>
    <definedName name="СП_R167C8">#REF!</definedName>
    <definedName name="СП_R167C9">#REF!</definedName>
    <definedName name="СП_R168C10">#REF!</definedName>
    <definedName name="СП_R168C11">#REF!</definedName>
    <definedName name="СП_R168C12">#REF!</definedName>
    <definedName name="СП_R168C13">#REF!</definedName>
    <definedName name="СП_R168C14">#REF!</definedName>
    <definedName name="СП_R168C15">#REF!</definedName>
    <definedName name="СП_R168C16">#REF!</definedName>
    <definedName name="СП_R168C17">#REF!</definedName>
    <definedName name="СП_R168C18">#REF!</definedName>
    <definedName name="СП_R168C19">#REF!</definedName>
    <definedName name="СП_R168C20">#REF!</definedName>
    <definedName name="СП_R168C21">#REF!</definedName>
    <definedName name="СП_R168C22">#REF!</definedName>
    <definedName name="СП_R168C23">#REF!</definedName>
    <definedName name="СП_R168C24">#REF!</definedName>
    <definedName name="СП_R168C25">#REF!</definedName>
    <definedName name="СП_R168C26">#REF!</definedName>
    <definedName name="СП_R168C27">#REF!</definedName>
    <definedName name="СП_R168C28">#REF!</definedName>
    <definedName name="СП_R168C3">#REF!</definedName>
    <definedName name="СП_R168C4">#REF!</definedName>
    <definedName name="СП_R168C5">#REF!</definedName>
    <definedName name="СП_R168C6">#REF!</definedName>
    <definedName name="СП_R168C7">#REF!</definedName>
    <definedName name="СП_R168C8">#REF!</definedName>
    <definedName name="СП_R168C9">#REF!</definedName>
    <definedName name="СП_R169C10">#REF!</definedName>
    <definedName name="СП_R169C11">#REF!</definedName>
    <definedName name="СП_R169C12">#REF!</definedName>
    <definedName name="СП_R169C13">#REF!</definedName>
    <definedName name="СП_R169C14">#REF!</definedName>
    <definedName name="СП_R169C15">#REF!</definedName>
    <definedName name="СП_R169C16">#REF!</definedName>
    <definedName name="СП_R169C17">#REF!</definedName>
    <definedName name="СП_R169C18">#REF!</definedName>
    <definedName name="СП_R169C19">#REF!</definedName>
    <definedName name="СП_R169C20">#REF!</definedName>
    <definedName name="СП_R169C21">#REF!</definedName>
    <definedName name="СП_R169C22">#REF!</definedName>
    <definedName name="СП_R169C23">#REF!</definedName>
    <definedName name="СП_R169C24">#REF!</definedName>
    <definedName name="СП_R169C25">#REF!</definedName>
    <definedName name="СП_R169C26">#REF!</definedName>
    <definedName name="СП_R169C27">#REF!</definedName>
    <definedName name="СП_R169C28">#REF!</definedName>
    <definedName name="СП_R169C3">#REF!</definedName>
    <definedName name="СП_R169C4">#REF!</definedName>
    <definedName name="СП_R169C5">#REF!</definedName>
    <definedName name="СП_R169C6">#REF!</definedName>
    <definedName name="СП_R169C7">#REF!</definedName>
    <definedName name="СП_R169C8">#REF!</definedName>
    <definedName name="СП_R169C9">#REF!</definedName>
    <definedName name="СП_R16C10">#REF!</definedName>
    <definedName name="СП_R16C11">#REF!</definedName>
    <definedName name="СП_R16C12">#REF!</definedName>
    <definedName name="СП_R16C13">#REF!</definedName>
    <definedName name="СП_R16C14">#REF!</definedName>
    <definedName name="СП_R16C15">#REF!</definedName>
    <definedName name="СП_R16C16">#REF!</definedName>
    <definedName name="СП_R16C17">#REF!</definedName>
    <definedName name="СП_R16C18">#REF!</definedName>
    <definedName name="СП_R16C19">#REF!</definedName>
    <definedName name="СП_R16C20">#REF!</definedName>
    <definedName name="СП_R16C21">#REF!</definedName>
    <definedName name="СП_R16C22">#REF!</definedName>
    <definedName name="СП_R16C23">#REF!</definedName>
    <definedName name="СП_R16C24">#REF!</definedName>
    <definedName name="СП_R16C25">#REF!</definedName>
    <definedName name="СП_R16C26">#REF!</definedName>
    <definedName name="СП_R16C27">#REF!</definedName>
    <definedName name="СП_R16C28">#REF!</definedName>
    <definedName name="СП_R16C3">#REF!</definedName>
    <definedName name="СП_R16C4">#REF!</definedName>
    <definedName name="СП_R16C5">#REF!</definedName>
    <definedName name="СП_R16C6">#REF!</definedName>
    <definedName name="СП_R16C7">#REF!</definedName>
    <definedName name="СП_R16C8">#REF!</definedName>
    <definedName name="СП_R16C9">#REF!</definedName>
    <definedName name="СП_R170C10">#REF!</definedName>
    <definedName name="СП_R170C11">#REF!</definedName>
    <definedName name="СП_R170C12">#REF!</definedName>
    <definedName name="СП_R170C13">#REF!</definedName>
    <definedName name="СП_R170C14">#REF!</definedName>
    <definedName name="СП_R170C15">#REF!</definedName>
    <definedName name="СП_R170C16">#REF!</definedName>
    <definedName name="СП_R170C17">#REF!</definedName>
    <definedName name="СП_R170C18">#REF!</definedName>
    <definedName name="СП_R170C19">#REF!</definedName>
    <definedName name="СП_R170C20">#REF!</definedName>
    <definedName name="СП_R170C21">#REF!</definedName>
    <definedName name="СП_R170C22">#REF!</definedName>
    <definedName name="СП_R170C23">#REF!</definedName>
    <definedName name="СП_R170C24">#REF!</definedName>
    <definedName name="СП_R170C25">#REF!</definedName>
    <definedName name="СП_R170C26">#REF!</definedName>
    <definedName name="СП_R170C27">#REF!</definedName>
    <definedName name="СП_R170C28">#REF!</definedName>
    <definedName name="СП_R170C3">#REF!</definedName>
    <definedName name="СП_R170C4">#REF!</definedName>
    <definedName name="СП_R170C5">#REF!</definedName>
    <definedName name="СП_R170C6">#REF!</definedName>
    <definedName name="СП_R170C7">#REF!</definedName>
    <definedName name="СП_R170C8">#REF!</definedName>
    <definedName name="СП_R170C9">#REF!</definedName>
    <definedName name="СП_R171C10">#REF!</definedName>
    <definedName name="СП_R171C11">#REF!</definedName>
    <definedName name="СП_R171C12">#REF!</definedName>
    <definedName name="СП_R171C13">#REF!</definedName>
    <definedName name="СП_R171C14">#REF!</definedName>
    <definedName name="СП_R171C15">#REF!</definedName>
    <definedName name="СП_R171C16">#REF!</definedName>
    <definedName name="СП_R171C17">#REF!</definedName>
    <definedName name="СП_R171C18">#REF!</definedName>
    <definedName name="СП_R171C19">#REF!</definedName>
    <definedName name="СП_R171C20">#REF!</definedName>
    <definedName name="СП_R171C21">#REF!</definedName>
    <definedName name="СП_R171C22">#REF!</definedName>
    <definedName name="СП_R171C23">#REF!</definedName>
    <definedName name="СП_R171C24">#REF!</definedName>
    <definedName name="СП_R171C25">#REF!</definedName>
    <definedName name="СП_R171C26">#REF!</definedName>
    <definedName name="СП_R171C27">#REF!</definedName>
    <definedName name="СП_R171C28">#REF!</definedName>
    <definedName name="СП_R171C3">#REF!</definedName>
    <definedName name="СП_R171C4">#REF!</definedName>
    <definedName name="СП_R171C5">#REF!</definedName>
    <definedName name="СП_R171C6">#REF!</definedName>
    <definedName name="СП_R171C7">#REF!</definedName>
    <definedName name="СП_R171C8">#REF!</definedName>
    <definedName name="СП_R171C9">#REF!</definedName>
    <definedName name="СП_R172C10">#REF!</definedName>
    <definedName name="СП_R172C11">#REF!</definedName>
    <definedName name="СП_R172C12">#REF!</definedName>
    <definedName name="СП_R172C13">#REF!</definedName>
    <definedName name="СП_R172C14">#REF!</definedName>
    <definedName name="СП_R172C15">#REF!</definedName>
    <definedName name="СП_R172C16">#REF!</definedName>
    <definedName name="СП_R172C17">#REF!</definedName>
    <definedName name="СП_R172C18">#REF!</definedName>
    <definedName name="СП_R172C19">#REF!</definedName>
    <definedName name="СП_R172C20">#REF!</definedName>
    <definedName name="СП_R172C21">#REF!</definedName>
    <definedName name="СП_R172C22">#REF!</definedName>
    <definedName name="СП_R172C23">#REF!</definedName>
    <definedName name="СП_R172C24">#REF!</definedName>
    <definedName name="СП_R172C25">#REF!</definedName>
    <definedName name="СП_R172C26">#REF!</definedName>
    <definedName name="СП_R172C27">#REF!</definedName>
    <definedName name="СП_R172C28">#REF!</definedName>
    <definedName name="СП_R172C3">#REF!</definedName>
    <definedName name="СП_R172C4">#REF!</definedName>
    <definedName name="СП_R172C5">#REF!</definedName>
    <definedName name="СП_R172C6">#REF!</definedName>
    <definedName name="СП_R172C7">#REF!</definedName>
    <definedName name="СП_R172C8">#REF!</definedName>
    <definedName name="СП_R172C9">#REF!</definedName>
    <definedName name="СП_R173C10">#REF!</definedName>
    <definedName name="СП_R173C11">#REF!</definedName>
    <definedName name="СП_R173C12">#REF!</definedName>
    <definedName name="СП_R173C13">#REF!</definedName>
    <definedName name="СП_R173C14">#REF!</definedName>
    <definedName name="СП_R173C15">#REF!</definedName>
    <definedName name="СП_R173C16">#REF!</definedName>
    <definedName name="СП_R173C17">#REF!</definedName>
    <definedName name="СП_R173C18">#REF!</definedName>
    <definedName name="СП_R173C19">#REF!</definedName>
    <definedName name="СП_R173C20">#REF!</definedName>
    <definedName name="СП_R173C21">#REF!</definedName>
    <definedName name="СП_R173C22">#REF!</definedName>
    <definedName name="СП_R173C23">#REF!</definedName>
    <definedName name="СП_R173C24">#REF!</definedName>
    <definedName name="СП_R173C25">#REF!</definedName>
    <definedName name="СП_R173C26">#REF!</definedName>
    <definedName name="СП_R173C27">#REF!</definedName>
    <definedName name="СП_R173C28">#REF!</definedName>
    <definedName name="СП_R173C3">#REF!</definedName>
    <definedName name="СП_R173C4">#REF!</definedName>
    <definedName name="СП_R173C5">#REF!</definedName>
    <definedName name="СП_R173C6">#REF!</definedName>
    <definedName name="СП_R173C7">#REF!</definedName>
    <definedName name="СП_R173C8">#REF!</definedName>
    <definedName name="СП_R173C9">#REF!</definedName>
    <definedName name="СП_R174C10">#REF!</definedName>
    <definedName name="СП_R174C11">#REF!</definedName>
    <definedName name="СП_R174C12">#REF!</definedName>
    <definedName name="СП_R174C13">#REF!</definedName>
    <definedName name="СП_R174C14">#REF!</definedName>
    <definedName name="СП_R174C15">#REF!</definedName>
    <definedName name="СП_R174C16">#REF!</definedName>
    <definedName name="СП_R174C17">#REF!</definedName>
    <definedName name="СП_R174C18">#REF!</definedName>
    <definedName name="СП_R174C19">#REF!</definedName>
    <definedName name="СП_R174C20">#REF!</definedName>
    <definedName name="СП_R174C21">#REF!</definedName>
    <definedName name="СП_R174C22">#REF!</definedName>
    <definedName name="СП_R174C23">#REF!</definedName>
    <definedName name="СП_R174C24">#REF!</definedName>
    <definedName name="СП_R174C25">#REF!</definedName>
    <definedName name="СП_R174C26">#REF!</definedName>
    <definedName name="СП_R174C27">#REF!</definedName>
    <definedName name="СП_R174C28">#REF!</definedName>
    <definedName name="СП_R174C3">#REF!</definedName>
    <definedName name="СП_R174C4">#REF!</definedName>
    <definedName name="СП_R174C5">#REF!</definedName>
    <definedName name="СП_R174C6">#REF!</definedName>
    <definedName name="СП_R174C7">#REF!</definedName>
    <definedName name="СП_R174C8">#REF!</definedName>
    <definedName name="СП_R174C9">#REF!</definedName>
    <definedName name="СП_R175C10">#REF!</definedName>
    <definedName name="СП_R175C11">#REF!</definedName>
    <definedName name="СП_R175C12">#REF!</definedName>
    <definedName name="СП_R175C13">#REF!</definedName>
    <definedName name="СП_R175C14">#REF!</definedName>
    <definedName name="СП_R175C15">#REF!</definedName>
    <definedName name="СП_R175C16">#REF!</definedName>
    <definedName name="СП_R175C17">#REF!</definedName>
    <definedName name="СП_R175C18">#REF!</definedName>
    <definedName name="СП_R175C19">#REF!</definedName>
    <definedName name="СП_R175C20">#REF!</definedName>
    <definedName name="СП_R175C21">#REF!</definedName>
    <definedName name="СП_R175C22">#REF!</definedName>
    <definedName name="СП_R175C23">#REF!</definedName>
    <definedName name="СП_R175C24">#REF!</definedName>
    <definedName name="СП_R175C25">#REF!</definedName>
    <definedName name="СП_R175C26">#REF!</definedName>
    <definedName name="СП_R175C27">#REF!</definedName>
    <definedName name="СП_R175C28">#REF!</definedName>
    <definedName name="СП_R175C3">#REF!</definedName>
    <definedName name="СП_R175C4">#REF!</definedName>
    <definedName name="СП_R175C5">#REF!</definedName>
    <definedName name="СП_R175C6">#REF!</definedName>
    <definedName name="СП_R175C7">#REF!</definedName>
    <definedName name="СП_R175C8">#REF!</definedName>
    <definedName name="СП_R175C9">#REF!</definedName>
    <definedName name="СП_R176C10">#REF!</definedName>
    <definedName name="СП_R176C11">#REF!</definedName>
    <definedName name="СП_R176C12">#REF!</definedName>
    <definedName name="СП_R176C13">#REF!</definedName>
    <definedName name="СП_R176C14">#REF!</definedName>
    <definedName name="СП_R176C15">#REF!</definedName>
    <definedName name="СП_R176C16">#REF!</definedName>
    <definedName name="СП_R176C17">#REF!</definedName>
    <definedName name="СП_R176C18">#REF!</definedName>
    <definedName name="СП_R176C19">#REF!</definedName>
    <definedName name="СП_R176C20">#REF!</definedName>
    <definedName name="СП_R176C21">#REF!</definedName>
    <definedName name="СП_R176C22">#REF!</definedName>
    <definedName name="СП_R176C23">#REF!</definedName>
    <definedName name="СП_R176C24">#REF!</definedName>
    <definedName name="СП_R176C25">#REF!</definedName>
    <definedName name="СП_R176C26">#REF!</definedName>
    <definedName name="СП_R176C27">#REF!</definedName>
    <definedName name="СП_R176C28">#REF!</definedName>
    <definedName name="СП_R176C3">#REF!</definedName>
    <definedName name="СП_R176C4">#REF!</definedName>
    <definedName name="СП_R176C5">#REF!</definedName>
    <definedName name="СП_R176C6">#REF!</definedName>
    <definedName name="СП_R176C7">#REF!</definedName>
    <definedName name="СП_R176C8">#REF!</definedName>
    <definedName name="СП_R176C9">#REF!</definedName>
    <definedName name="СП_R177C10">#REF!</definedName>
    <definedName name="СП_R177C11">#REF!</definedName>
    <definedName name="СП_R177C12">#REF!</definedName>
    <definedName name="СП_R177C13">#REF!</definedName>
    <definedName name="СП_R177C14">#REF!</definedName>
    <definedName name="СП_R177C15">#REF!</definedName>
    <definedName name="СП_R177C16">#REF!</definedName>
    <definedName name="СП_R177C17">#REF!</definedName>
    <definedName name="СП_R177C18">#REF!</definedName>
    <definedName name="СП_R177C19">#REF!</definedName>
    <definedName name="СП_R177C20">#REF!</definedName>
    <definedName name="СП_R177C21">#REF!</definedName>
    <definedName name="СП_R177C22">#REF!</definedName>
    <definedName name="СП_R177C23">#REF!</definedName>
    <definedName name="СП_R177C24">#REF!</definedName>
    <definedName name="СП_R177C25">#REF!</definedName>
    <definedName name="СП_R177C26">#REF!</definedName>
    <definedName name="СП_R177C27">#REF!</definedName>
    <definedName name="СП_R177C28">#REF!</definedName>
    <definedName name="СП_R177C3">#REF!</definedName>
    <definedName name="СП_R177C4">#REF!</definedName>
    <definedName name="СП_R177C5">#REF!</definedName>
    <definedName name="СП_R177C6">#REF!</definedName>
    <definedName name="СП_R177C7">#REF!</definedName>
    <definedName name="СП_R177C8">#REF!</definedName>
    <definedName name="СП_R177C9">#REF!</definedName>
    <definedName name="СП_R178C10">#REF!</definedName>
    <definedName name="СП_R178C11">#REF!</definedName>
    <definedName name="СП_R178C12">#REF!</definedName>
    <definedName name="СП_R178C13">#REF!</definedName>
    <definedName name="СП_R178C14">#REF!</definedName>
    <definedName name="СП_R178C15">#REF!</definedName>
    <definedName name="СП_R178C16">#REF!</definedName>
    <definedName name="СП_R178C17">#REF!</definedName>
    <definedName name="СП_R178C18">#REF!</definedName>
    <definedName name="СП_R178C19">#REF!</definedName>
    <definedName name="СП_R178C20">#REF!</definedName>
    <definedName name="СП_R178C21">#REF!</definedName>
    <definedName name="СП_R178C22">#REF!</definedName>
    <definedName name="СП_R178C23">#REF!</definedName>
    <definedName name="СП_R178C24">#REF!</definedName>
    <definedName name="СП_R178C25">#REF!</definedName>
    <definedName name="СП_R178C26">#REF!</definedName>
    <definedName name="СП_R178C27">#REF!</definedName>
    <definedName name="СП_R178C28">#REF!</definedName>
    <definedName name="СП_R178C3">#REF!</definedName>
    <definedName name="СП_R178C4">#REF!</definedName>
    <definedName name="СП_R178C5">#REF!</definedName>
    <definedName name="СП_R178C6">#REF!</definedName>
    <definedName name="СП_R178C7">#REF!</definedName>
    <definedName name="СП_R178C8">#REF!</definedName>
    <definedName name="СП_R178C9">#REF!</definedName>
    <definedName name="СП_R179C10">#REF!</definedName>
    <definedName name="СП_R179C11">#REF!</definedName>
    <definedName name="СП_R179C12">#REF!</definedName>
    <definedName name="СП_R179C13">#REF!</definedName>
    <definedName name="СП_R179C14">#REF!</definedName>
    <definedName name="СП_R179C15">#REF!</definedName>
    <definedName name="СП_R179C16">#REF!</definedName>
    <definedName name="СП_R179C17">#REF!</definedName>
    <definedName name="СП_R179C18">#REF!</definedName>
    <definedName name="СП_R179C19">#REF!</definedName>
    <definedName name="СП_R179C20">#REF!</definedName>
    <definedName name="СП_R179C21">#REF!</definedName>
    <definedName name="СП_R179C22">#REF!</definedName>
    <definedName name="СП_R179C23">#REF!</definedName>
    <definedName name="СП_R179C24">#REF!</definedName>
    <definedName name="СП_R179C25">#REF!</definedName>
    <definedName name="СП_R179C26">#REF!</definedName>
    <definedName name="СП_R179C27">#REF!</definedName>
    <definedName name="СП_R179C28">#REF!</definedName>
    <definedName name="СП_R179C3">#REF!</definedName>
    <definedName name="СП_R179C4">#REF!</definedName>
    <definedName name="СП_R179C5">#REF!</definedName>
    <definedName name="СП_R179C6">#REF!</definedName>
    <definedName name="СП_R179C7">#REF!</definedName>
    <definedName name="СП_R179C8">#REF!</definedName>
    <definedName name="СП_R179C9">#REF!</definedName>
    <definedName name="СП_R17C10">#REF!</definedName>
    <definedName name="СП_R17C11">#REF!</definedName>
    <definedName name="СП_R17C12">#REF!</definedName>
    <definedName name="СП_R17C13">#REF!</definedName>
    <definedName name="СП_R17C14">#REF!</definedName>
    <definedName name="СП_R17C15">#REF!</definedName>
    <definedName name="СП_R17C16">#REF!</definedName>
    <definedName name="СП_R17C17">#REF!</definedName>
    <definedName name="СП_R17C18">#REF!</definedName>
    <definedName name="СП_R17C19">#REF!</definedName>
    <definedName name="СП_R17C20">#REF!</definedName>
    <definedName name="СП_R17C21">#REF!</definedName>
    <definedName name="СП_R17C22">#REF!</definedName>
    <definedName name="СП_R17C23">#REF!</definedName>
    <definedName name="СП_R17C24">#REF!</definedName>
    <definedName name="СП_R17C25">#REF!</definedName>
    <definedName name="СП_R17C26">#REF!</definedName>
    <definedName name="СП_R17C27">#REF!</definedName>
    <definedName name="СП_R17C28">#REF!</definedName>
    <definedName name="СП_R17C3">#REF!</definedName>
    <definedName name="СП_R17C4">#REF!</definedName>
    <definedName name="СП_R17C5">#REF!</definedName>
    <definedName name="СП_R17C6">#REF!</definedName>
    <definedName name="СП_R17C7">#REF!</definedName>
    <definedName name="СП_R17C8">#REF!</definedName>
    <definedName name="СП_R17C9">#REF!</definedName>
    <definedName name="СП_R180C10">#REF!</definedName>
    <definedName name="СП_R180C11">#REF!</definedName>
    <definedName name="СП_R180C12">#REF!</definedName>
    <definedName name="СП_R180C13">#REF!</definedName>
    <definedName name="СП_R180C14">#REF!</definedName>
    <definedName name="СП_R180C15">#REF!</definedName>
    <definedName name="СП_R180C16">#REF!</definedName>
    <definedName name="СП_R180C17">#REF!</definedName>
    <definedName name="СП_R180C18">#REF!</definedName>
    <definedName name="СП_R180C19">#REF!</definedName>
    <definedName name="СП_R180C20">#REF!</definedName>
    <definedName name="СП_R180C21">#REF!</definedName>
    <definedName name="СП_R180C22">#REF!</definedName>
    <definedName name="СП_R180C23">#REF!</definedName>
    <definedName name="СП_R180C24">#REF!</definedName>
    <definedName name="СП_R180C25">#REF!</definedName>
    <definedName name="СП_R180C26">#REF!</definedName>
    <definedName name="СП_R180C27">#REF!</definedName>
    <definedName name="СП_R180C28">#REF!</definedName>
    <definedName name="СП_R180C3">#REF!</definedName>
    <definedName name="СП_R180C4">#REF!</definedName>
    <definedName name="СП_R180C5">#REF!</definedName>
    <definedName name="СП_R180C6">#REF!</definedName>
    <definedName name="СП_R180C7">#REF!</definedName>
    <definedName name="СП_R180C8">#REF!</definedName>
    <definedName name="СП_R180C9">#REF!</definedName>
    <definedName name="СП_R181C10">#REF!</definedName>
    <definedName name="СП_R181C11">#REF!</definedName>
    <definedName name="СП_R181C12">#REF!</definedName>
    <definedName name="СП_R181C13">#REF!</definedName>
    <definedName name="СП_R181C14">#REF!</definedName>
    <definedName name="СП_R181C15">#REF!</definedName>
    <definedName name="СП_R181C16">#REF!</definedName>
    <definedName name="СП_R181C17">#REF!</definedName>
    <definedName name="СП_R181C18">#REF!</definedName>
    <definedName name="СП_R181C19">#REF!</definedName>
    <definedName name="СП_R181C20">#REF!</definedName>
    <definedName name="СП_R181C21">#REF!</definedName>
    <definedName name="СП_R181C22">#REF!</definedName>
    <definedName name="СП_R181C23">#REF!</definedName>
    <definedName name="СП_R181C24">#REF!</definedName>
    <definedName name="СП_R181C25">#REF!</definedName>
    <definedName name="СП_R181C26">#REF!</definedName>
    <definedName name="СП_R181C27">#REF!</definedName>
    <definedName name="СП_R181C28">#REF!</definedName>
    <definedName name="СП_R181C3">#REF!</definedName>
    <definedName name="СП_R181C4">#REF!</definedName>
    <definedName name="СП_R181C5">#REF!</definedName>
    <definedName name="СП_R181C6">#REF!</definedName>
    <definedName name="СП_R181C7">#REF!</definedName>
    <definedName name="СП_R181C8">#REF!</definedName>
    <definedName name="СП_R181C9">#REF!</definedName>
    <definedName name="СП_R182C10">#REF!</definedName>
    <definedName name="СП_R182C11">#REF!</definedName>
    <definedName name="СП_R182C12">#REF!</definedName>
    <definedName name="СП_R182C13">#REF!</definedName>
    <definedName name="СП_R182C14">#REF!</definedName>
    <definedName name="СП_R182C15">#REF!</definedName>
    <definedName name="СП_R182C16">#REF!</definedName>
    <definedName name="СП_R182C17">#REF!</definedName>
    <definedName name="СП_R182C18">#REF!</definedName>
    <definedName name="СП_R182C19">#REF!</definedName>
    <definedName name="СП_R182C20">#REF!</definedName>
    <definedName name="СП_R182C21">#REF!</definedName>
    <definedName name="СП_R182C22">#REF!</definedName>
    <definedName name="СП_R182C23">#REF!</definedName>
    <definedName name="СП_R182C24">#REF!</definedName>
    <definedName name="СП_R182C25">#REF!</definedName>
    <definedName name="СП_R182C26">#REF!</definedName>
    <definedName name="СП_R182C27">#REF!</definedName>
    <definedName name="СП_R182C28">#REF!</definedName>
    <definedName name="СП_R182C3">#REF!</definedName>
    <definedName name="СП_R182C4">#REF!</definedName>
    <definedName name="СП_R182C5">#REF!</definedName>
    <definedName name="СП_R182C6">#REF!</definedName>
    <definedName name="СП_R182C7">#REF!</definedName>
    <definedName name="СП_R182C8">#REF!</definedName>
    <definedName name="СП_R182C9">#REF!</definedName>
    <definedName name="СП_R183C10">#REF!</definedName>
    <definedName name="СП_R183C11">#REF!</definedName>
    <definedName name="СП_R183C12">#REF!</definedName>
    <definedName name="СП_R183C13">#REF!</definedName>
    <definedName name="СП_R183C14">#REF!</definedName>
    <definedName name="СП_R183C15">#REF!</definedName>
    <definedName name="СП_R183C16">#REF!</definedName>
    <definedName name="СП_R183C17">#REF!</definedName>
    <definedName name="СП_R183C18">#REF!</definedName>
    <definedName name="СП_R183C19">#REF!</definedName>
    <definedName name="СП_R183C20">#REF!</definedName>
    <definedName name="СП_R183C21">#REF!</definedName>
    <definedName name="СП_R183C22">#REF!</definedName>
    <definedName name="СП_R183C23">#REF!</definedName>
    <definedName name="СП_R183C24">#REF!</definedName>
    <definedName name="СП_R183C25">#REF!</definedName>
    <definedName name="СП_R183C26">#REF!</definedName>
    <definedName name="СП_R183C27">#REF!</definedName>
    <definedName name="СП_R183C28">#REF!</definedName>
    <definedName name="СП_R183C3">#REF!</definedName>
    <definedName name="СП_R183C4">#REF!</definedName>
    <definedName name="СП_R183C5">#REF!</definedName>
    <definedName name="СП_R183C6">#REF!</definedName>
    <definedName name="СП_R183C7">#REF!</definedName>
    <definedName name="СП_R183C8">#REF!</definedName>
    <definedName name="СП_R183C9">#REF!</definedName>
    <definedName name="СП_R184C10">#REF!</definedName>
    <definedName name="СП_R184C11">#REF!</definedName>
    <definedName name="СП_R184C12">#REF!</definedName>
    <definedName name="СП_R184C13">#REF!</definedName>
    <definedName name="СП_R184C14">#REF!</definedName>
    <definedName name="СП_R184C15">#REF!</definedName>
    <definedName name="СП_R184C16">#REF!</definedName>
    <definedName name="СП_R184C17">#REF!</definedName>
    <definedName name="СП_R184C18">#REF!</definedName>
    <definedName name="СП_R184C19">#REF!</definedName>
    <definedName name="СП_R184C20">#REF!</definedName>
    <definedName name="СП_R184C21">#REF!</definedName>
    <definedName name="СП_R184C22">#REF!</definedName>
    <definedName name="СП_R184C23">#REF!</definedName>
    <definedName name="СП_R184C24">#REF!</definedName>
    <definedName name="СП_R184C25">#REF!</definedName>
    <definedName name="СП_R184C26">#REF!</definedName>
    <definedName name="СП_R184C27">#REF!</definedName>
    <definedName name="СП_R184C28">#REF!</definedName>
    <definedName name="СП_R184C3">#REF!</definedName>
    <definedName name="СП_R184C4">#REF!</definedName>
    <definedName name="СП_R184C5">#REF!</definedName>
    <definedName name="СП_R184C6">#REF!</definedName>
    <definedName name="СП_R184C7">#REF!</definedName>
    <definedName name="СП_R184C8">#REF!</definedName>
    <definedName name="СП_R184C9">#REF!</definedName>
    <definedName name="СП_R185C10">#REF!</definedName>
    <definedName name="СП_R185C11">#REF!</definedName>
    <definedName name="СП_R185C12">#REF!</definedName>
    <definedName name="СП_R185C13">#REF!</definedName>
    <definedName name="СП_R185C14">#REF!</definedName>
    <definedName name="СП_R185C15">#REF!</definedName>
    <definedName name="СП_R185C16">#REF!</definedName>
    <definedName name="СП_R185C17">#REF!</definedName>
    <definedName name="СП_R185C18">#REF!</definedName>
    <definedName name="СП_R185C19">#REF!</definedName>
    <definedName name="СП_R185C20">#REF!</definedName>
    <definedName name="СП_R185C21">#REF!</definedName>
    <definedName name="СП_R185C22">#REF!</definedName>
    <definedName name="СП_R185C23">#REF!</definedName>
    <definedName name="СП_R185C24">#REF!</definedName>
    <definedName name="СП_R185C25">#REF!</definedName>
    <definedName name="СП_R185C26">#REF!</definedName>
    <definedName name="СП_R185C27">#REF!</definedName>
    <definedName name="СП_R185C28">#REF!</definedName>
    <definedName name="СП_R185C3">#REF!</definedName>
    <definedName name="СП_R185C4">#REF!</definedName>
    <definedName name="СП_R185C5">#REF!</definedName>
    <definedName name="СП_R185C6">#REF!</definedName>
    <definedName name="СП_R185C7">#REF!</definedName>
    <definedName name="СП_R185C8">#REF!</definedName>
    <definedName name="СП_R185C9">#REF!</definedName>
    <definedName name="СП_R186C10">#REF!</definedName>
    <definedName name="СП_R186C11">#REF!</definedName>
    <definedName name="СП_R186C12">#REF!</definedName>
    <definedName name="СП_R186C13">#REF!</definedName>
    <definedName name="СП_R186C14">#REF!</definedName>
    <definedName name="СП_R186C15">#REF!</definedName>
    <definedName name="СП_R186C16">#REF!</definedName>
    <definedName name="СП_R186C17">#REF!</definedName>
    <definedName name="СП_R186C18">#REF!</definedName>
    <definedName name="СП_R186C19">#REF!</definedName>
    <definedName name="СП_R186C20">#REF!</definedName>
    <definedName name="СП_R186C21">#REF!</definedName>
    <definedName name="СП_R186C22">#REF!</definedName>
    <definedName name="СП_R186C23">#REF!</definedName>
    <definedName name="СП_R186C24">#REF!</definedName>
    <definedName name="СП_R186C25">#REF!</definedName>
    <definedName name="СП_R186C26">#REF!</definedName>
    <definedName name="СП_R186C27">#REF!</definedName>
    <definedName name="СП_R186C28">#REF!</definedName>
    <definedName name="СП_R186C3">#REF!</definedName>
    <definedName name="СП_R186C4">#REF!</definedName>
    <definedName name="СП_R186C5">#REF!</definedName>
    <definedName name="СП_R186C6">#REF!</definedName>
    <definedName name="СП_R186C7">#REF!</definedName>
    <definedName name="СП_R186C8">#REF!</definedName>
    <definedName name="СП_R186C9">#REF!</definedName>
    <definedName name="СП_R187C10">#REF!</definedName>
    <definedName name="СП_R187C11">#REF!</definedName>
    <definedName name="СП_R187C12">#REF!</definedName>
    <definedName name="СП_R187C13">#REF!</definedName>
    <definedName name="СП_R187C14">#REF!</definedName>
    <definedName name="СП_R187C15">#REF!</definedName>
    <definedName name="СП_R187C16">#REF!</definedName>
    <definedName name="СП_R187C17">#REF!</definedName>
    <definedName name="СП_R187C18">#REF!</definedName>
    <definedName name="СП_R187C19">#REF!</definedName>
    <definedName name="СП_R187C20">#REF!</definedName>
    <definedName name="СП_R187C21">#REF!</definedName>
    <definedName name="СП_R187C22">#REF!</definedName>
    <definedName name="СП_R187C23">#REF!</definedName>
    <definedName name="СП_R187C24">#REF!</definedName>
    <definedName name="СП_R187C25">#REF!</definedName>
    <definedName name="СП_R187C26">#REF!</definedName>
    <definedName name="СП_R187C27">#REF!</definedName>
    <definedName name="СП_R187C28">#REF!</definedName>
    <definedName name="СП_R187C3">#REF!</definedName>
    <definedName name="СП_R187C4">#REF!</definedName>
    <definedName name="СП_R187C5">#REF!</definedName>
    <definedName name="СП_R187C6">#REF!</definedName>
    <definedName name="СП_R187C7">#REF!</definedName>
    <definedName name="СП_R187C8">#REF!</definedName>
    <definedName name="СП_R187C9">#REF!</definedName>
    <definedName name="СП_R188C10">#REF!</definedName>
    <definedName name="СП_R188C11">#REF!</definedName>
    <definedName name="СП_R188C12">#REF!</definedName>
    <definedName name="СП_R188C13">#REF!</definedName>
    <definedName name="СП_R188C14">#REF!</definedName>
    <definedName name="СП_R188C15">#REF!</definedName>
    <definedName name="СП_R188C16">#REF!</definedName>
    <definedName name="СП_R188C17">#REF!</definedName>
    <definedName name="СП_R188C18">#REF!</definedName>
    <definedName name="СП_R188C19">#REF!</definedName>
    <definedName name="СП_R188C20">#REF!</definedName>
    <definedName name="СП_R188C21">#REF!</definedName>
    <definedName name="СП_R188C22">#REF!</definedName>
    <definedName name="СП_R188C23">#REF!</definedName>
    <definedName name="СП_R188C24">#REF!</definedName>
    <definedName name="СП_R188C25">#REF!</definedName>
    <definedName name="СП_R188C26">#REF!</definedName>
    <definedName name="СП_R188C27">#REF!</definedName>
    <definedName name="СП_R188C28">#REF!</definedName>
    <definedName name="СП_R188C3">#REF!</definedName>
    <definedName name="СП_R188C4">#REF!</definedName>
    <definedName name="СП_R188C5">#REF!</definedName>
    <definedName name="СП_R188C6">#REF!</definedName>
    <definedName name="СП_R188C7">#REF!</definedName>
    <definedName name="СП_R188C8">#REF!</definedName>
    <definedName name="СП_R188C9">#REF!</definedName>
    <definedName name="СП_R189C10">#REF!</definedName>
    <definedName name="СП_R189C11">#REF!</definedName>
    <definedName name="СП_R189C12">#REF!</definedName>
    <definedName name="СП_R189C13">#REF!</definedName>
    <definedName name="СП_R189C14">#REF!</definedName>
    <definedName name="СП_R189C15">#REF!</definedName>
    <definedName name="СП_R189C16">#REF!</definedName>
    <definedName name="СП_R189C17">#REF!</definedName>
    <definedName name="СП_R189C18">#REF!</definedName>
    <definedName name="СП_R189C19">#REF!</definedName>
    <definedName name="СП_R189C20">#REF!</definedName>
    <definedName name="СП_R189C21">#REF!</definedName>
    <definedName name="СП_R189C22">#REF!</definedName>
    <definedName name="СП_R189C23">#REF!</definedName>
    <definedName name="СП_R189C24">#REF!</definedName>
    <definedName name="СП_R189C25">#REF!</definedName>
    <definedName name="СП_R189C26">#REF!</definedName>
    <definedName name="СП_R189C27">#REF!</definedName>
    <definedName name="СП_R189C28">#REF!</definedName>
    <definedName name="СП_R189C3">#REF!</definedName>
    <definedName name="СП_R189C4">#REF!</definedName>
    <definedName name="СП_R189C5">#REF!</definedName>
    <definedName name="СП_R189C6">#REF!</definedName>
    <definedName name="СП_R189C7">#REF!</definedName>
    <definedName name="СП_R189C8">#REF!</definedName>
    <definedName name="СП_R189C9">#REF!</definedName>
    <definedName name="СП_R18C10">#REF!</definedName>
    <definedName name="СП_R18C11">#REF!</definedName>
    <definedName name="СП_R18C12">#REF!</definedName>
    <definedName name="СП_R18C13">#REF!</definedName>
    <definedName name="СП_R18C14">#REF!</definedName>
    <definedName name="СП_R18C15">#REF!</definedName>
    <definedName name="СП_R18C16">#REF!</definedName>
    <definedName name="СП_R18C17">#REF!</definedName>
    <definedName name="СП_R18C18">#REF!</definedName>
    <definedName name="СП_R18C19">#REF!</definedName>
    <definedName name="СП_R18C20">#REF!</definedName>
    <definedName name="СП_R18C21">#REF!</definedName>
    <definedName name="СП_R18C22">#REF!</definedName>
    <definedName name="СП_R18C23">#REF!</definedName>
    <definedName name="СП_R18C24">#REF!</definedName>
    <definedName name="СП_R18C25">#REF!</definedName>
    <definedName name="СП_R18C26">#REF!</definedName>
    <definedName name="СП_R18C27">#REF!</definedName>
    <definedName name="СП_R18C28">#REF!</definedName>
    <definedName name="СП_R18C3">#REF!</definedName>
    <definedName name="СП_R18C4">#REF!</definedName>
    <definedName name="СП_R18C5">#REF!</definedName>
    <definedName name="СП_R18C6">#REF!</definedName>
    <definedName name="СП_R18C7">#REF!</definedName>
    <definedName name="СП_R18C8">#REF!</definedName>
    <definedName name="СП_R18C9">#REF!</definedName>
    <definedName name="СП_R190C10">#REF!</definedName>
    <definedName name="СП_R190C11">#REF!</definedName>
    <definedName name="СП_R190C12">#REF!</definedName>
    <definedName name="СП_R190C13">#REF!</definedName>
    <definedName name="СП_R190C14">#REF!</definedName>
    <definedName name="СП_R190C15">#REF!</definedName>
    <definedName name="СП_R190C16">#REF!</definedName>
    <definedName name="СП_R190C17">#REF!</definedName>
    <definedName name="СП_R190C18">#REF!</definedName>
    <definedName name="СП_R190C19">#REF!</definedName>
    <definedName name="СП_R190C20">#REF!</definedName>
    <definedName name="СП_R190C21">#REF!</definedName>
    <definedName name="СП_R190C22">#REF!</definedName>
    <definedName name="СП_R190C23">#REF!</definedName>
    <definedName name="СП_R190C24">#REF!</definedName>
    <definedName name="СП_R190C25">#REF!</definedName>
    <definedName name="СП_R190C26">#REF!</definedName>
    <definedName name="СП_R190C27">#REF!</definedName>
    <definedName name="СП_R190C28">#REF!</definedName>
    <definedName name="СП_R190C3">#REF!</definedName>
    <definedName name="СП_R190C4">#REF!</definedName>
    <definedName name="СП_R190C5">#REF!</definedName>
    <definedName name="СП_R190C6">#REF!</definedName>
    <definedName name="СП_R190C7">#REF!</definedName>
    <definedName name="СП_R190C8">#REF!</definedName>
    <definedName name="СП_R190C9">#REF!</definedName>
    <definedName name="СП_R191C10">#REF!</definedName>
    <definedName name="СП_R191C11">#REF!</definedName>
    <definedName name="СП_R191C12">#REF!</definedName>
    <definedName name="СП_R191C13">#REF!</definedName>
    <definedName name="СП_R191C14">#REF!</definedName>
    <definedName name="СП_R191C15">#REF!</definedName>
    <definedName name="СП_R191C16">#REF!</definedName>
    <definedName name="СП_R191C17">#REF!</definedName>
    <definedName name="СП_R191C18">#REF!</definedName>
    <definedName name="СП_R191C19">#REF!</definedName>
    <definedName name="СП_R191C20">#REF!</definedName>
    <definedName name="СП_R191C21">#REF!</definedName>
    <definedName name="СП_R191C22">#REF!</definedName>
    <definedName name="СП_R191C23">#REF!</definedName>
    <definedName name="СП_R191C24">#REF!</definedName>
    <definedName name="СП_R191C25">#REF!</definedName>
    <definedName name="СП_R191C26">#REF!</definedName>
    <definedName name="СП_R191C27">#REF!</definedName>
    <definedName name="СП_R191C28">#REF!</definedName>
    <definedName name="СП_R191C3">#REF!</definedName>
    <definedName name="СП_R191C4">#REF!</definedName>
    <definedName name="СП_R191C5">#REF!</definedName>
    <definedName name="СП_R191C6">#REF!</definedName>
    <definedName name="СП_R191C7">#REF!</definedName>
    <definedName name="СП_R191C8">#REF!</definedName>
    <definedName name="СП_R191C9">#REF!</definedName>
    <definedName name="СП_R192C10">#REF!</definedName>
    <definedName name="СП_R192C11">#REF!</definedName>
    <definedName name="СП_R192C12">#REF!</definedName>
    <definedName name="СП_R192C13">#REF!</definedName>
    <definedName name="СП_R192C14">#REF!</definedName>
    <definedName name="СП_R192C15">#REF!</definedName>
    <definedName name="СП_R192C16">#REF!</definedName>
    <definedName name="СП_R192C17">#REF!</definedName>
    <definedName name="СП_R192C18">#REF!</definedName>
    <definedName name="СП_R192C19">#REF!</definedName>
    <definedName name="СП_R192C20">#REF!</definedName>
    <definedName name="СП_R192C21">#REF!</definedName>
    <definedName name="СП_R192C22">#REF!</definedName>
    <definedName name="СП_R192C23">#REF!</definedName>
    <definedName name="СП_R192C24">#REF!</definedName>
    <definedName name="СП_R192C25">#REF!</definedName>
    <definedName name="СП_R192C26">#REF!</definedName>
    <definedName name="СП_R192C27">#REF!</definedName>
    <definedName name="СП_R192C28">#REF!</definedName>
    <definedName name="СП_R192C3">#REF!</definedName>
    <definedName name="СП_R192C4">#REF!</definedName>
    <definedName name="СП_R192C5">#REF!</definedName>
    <definedName name="СП_R192C6">#REF!</definedName>
    <definedName name="СП_R192C7">#REF!</definedName>
    <definedName name="СП_R192C8">#REF!</definedName>
    <definedName name="СП_R192C9">#REF!</definedName>
    <definedName name="СП_R193C10">#REF!</definedName>
    <definedName name="СП_R193C11">#REF!</definedName>
    <definedName name="СП_R193C12">#REF!</definedName>
    <definedName name="СП_R193C13">#REF!</definedName>
    <definedName name="СП_R193C14">#REF!</definedName>
    <definedName name="СП_R193C15">#REF!</definedName>
    <definedName name="СП_R193C16">#REF!</definedName>
    <definedName name="СП_R193C17">#REF!</definedName>
    <definedName name="СП_R193C18">#REF!</definedName>
    <definedName name="СП_R193C19">#REF!</definedName>
    <definedName name="СП_R193C20">#REF!</definedName>
    <definedName name="СП_R193C21">#REF!</definedName>
    <definedName name="СП_R193C22">#REF!</definedName>
    <definedName name="СП_R193C23">#REF!</definedName>
    <definedName name="СП_R193C24">#REF!</definedName>
    <definedName name="СП_R193C25">#REF!</definedName>
    <definedName name="СП_R193C26">#REF!</definedName>
    <definedName name="СП_R193C27">#REF!</definedName>
    <definedName name="СП_R193C28">#REF!</definedName>
    <definedName name="СП_R193C3">#REF!</definedName>
    <definedName name="СП_R193C4">#REF!</definedName>
    <definedName name="СП_R193C5">#REF!</definedName>
    <definedName name="СП_R193C6">#REF!</definedName>
    <definedName name="СП_R193C7">#REF!</definedName>
    <definedName name="СП_R193C8">#REF!</definedName>
    <definedName name="СП_R193C9">#REF!</definedName>
    <definedName name="СП_R194C10">#REF!</definedName>
    <definedName name="СП_R194C11">#REF!</definedName>
    <definedName name="СП_R194C12">#REF!</definedName>
    <definedName name="СП_R194C13">#REF!</definedName>
    <definedName name="СП_R194C14">#REF!</definedName>
    <definedName name="СП_R194C15">#REF!</definedName>
    <definedName name="СП_R194C16">#REF!</definedName>
    <definedName name="СП_R194C17">#REF!</definedName>
    <definedName name="СП_R194C18">#REF!</definedName>
    <definedName name="СП_R194C19">#REF!</definedName>
    <definedName name="СП_R194C20">#REF!</definedName>
    <definedName name="СП_R194C21">#REF!</definedName>
    <definedName name="СП_R194C22">#REF!</definedName>
    <definedName name="СП_R194C23">#REF!</definedName>
    <definedName name="СП_R194C24">#REF!</definedName>
    <definedName name="СП_R194C25">#REF!</definedName>
    <definedName name="СП_R194C26">#REF!</definedName>
    <definedName name="СП_R194C27">#REF!</definedName>
    <definedName name="СП_R194C28">#REF!</definedName>
    <definedName name="СП_R194C3">#REF!</definedName>
    <definedName name="СП_R194C4">#REF!</definedName>
    <definedName name="СП_R194C5">#REF!</definedName>
    <definedName name="СП_R194C6">#REF!</definedName>
    <definedName name="СП_R194C7">#REF!</definedName>
    <definedName name="СП_R194C8">#REF!</definedName>
    <definedName name="СП_R194C9">#REF!</definedName>
    <definedName name="СП_R195C10">#REF!</definedName>
    <definedName name="СП_R195C11">#REF!</definedName>
    <definedName name="СП_R195C12">#REF!</definedName>
    <definedName name="СП_R195C13">#REF!</definedName>
    <definedName name="СП_R195C14">#REF!</definedName>
    <definedName name="СП_R195C15">#REF!</definedName>
    <definedName name="СП_R195C16">#REF!</definedName>
    <definedName name="СП_R195C17">#REF!</definedName>
    <definedName name="СП_R195C18">#REF!</definedName>
    <definedName name="СП_R195C19">#REF!</definedName>
    <definedName name="СП_R195C20">#REF!</definedName>
    <definedName name="СП_R195C21">#REF!</definedName>
    <definedName name="СП_R195C22">#REF!</definedName>
    <definedName name="СП_R195C23">#REF!</definedName>
    <definedName name="СП_R195C24">#REF!</definedName>
    <definedName name="СП_R195C25">#REF!</definedName>
    <definedName name="СП_R195C26">#REF!</definedName>
    <definedName name="СП_R195C27">#REF!</definedName>
    <definedName name="СП_R195C28">#REF!</definedName>
    <definedName name="СП_R195C3">#REF!</definedName>
    <definedName name="СП_R195C4">#REF!</definedName>
    <definedName name="СП_R195C5">#REF!</definedName>
    <definedName name="СП_R195C6">#REF!</definedName>
    <definedName name="СП_R195C7">#REF!</definedName>
    <definedName name="СП_R195C8">#REF!</definedName>
    <definedName name="СП_R195C9">#REF!</definedName>
    <definedName name="СП_R196C10">#REF!</definedName>
    <definedName name="СП_R196C11">#REF!</definedName>
    <definedName name="СП_R196C12">#REF!</definedName>
    <definedName name="СП_R196C13">#REF!</definedName>
    <definedName name="СП_R196C14">#REF!</definedName>
    <definedName name="СП_R196C15">#REF!</definedName>
    <definedName name="СП_R196C16">#REF!</definedName>
    <definedName name="СП_R196C17">#REF!</definedName>
    <definedName name="СП_R196C18">#REF!</definedName>
    <definedName name="СП_R196C19">#REF!</definedName>
    <definedName name="СП_R196C20">#REF!</definedName>
    <definedName name="СП_R196C21">#REF!</definedName>
    <definedName name="СП_R196C22">#REF!</definedName>
    <definedName name="СП_R196C23">#REF!</definedName>
    <definedName name="СП_R196C24">#REF!</definedName>
    <definedName name="СП_R196C25">#REF!</definedName>
    <definedName name="СП_R196C26">#REF!</definedName>
    <definedName name="СП_R196C27">#REF!</definedName>
    <definedName name="СП_R196C28">#REF!</definedName>
    <definedName name="СП_R196C3">#REF!</definedName>
    <definedName name="СП_R196C4">#REF!</definedName>
    <definedName name="СП_R196C5">#REF!</definedName>
    <definedName name="СП_R196C6">#REF!</definedName>
    <definedName name="СП_R196C7">#REF!</definedName>
    <definedName name="СП_R196C8">#REF!</definedName>
    <definedName name="СП_R196C9">#REF!</definedName>
    <definedName name="СП_R197C10">#REF!</definedName>
    <definedName name="СП_R197C11">#REF!</definedName>
    <definedName name="СП_R197C12">#REF!</definedName>
    <definedName name="СП_R197C13">#REF!</definedName>
    <definedName name="СП_R197C14">#REF!</definedName>
    <definedName name="СП_R197C15">#REF!</definedName>
    <definedName name="СП_R197C16">#REF!</definedName>
    <definedName name="СП_R197C17">#REF!</definedName>
    <definedName name="СП_R197C18">#REF!</definedName>
    <definedName name="СП_R197C19">#REF!</definedName>
    <definedName name="СП_R197C20">#REF!</definedName>
    <definedName name="СП_R197C21">#REF!</definedName>
    <definedName name="СП_R197C22">#REF!</definedName>
    <definedName name="СП_R197C23">#REF!</definedName>
    <definedName name="СП_R197C24">#REF!</definedName>
    <definedName name="СП_R197C25">#REF!</definedName>
    <definedName name="СП_R197C26">#REF!</definedName>
    <definedName name="СП_R197C27">#REF!</definedName>
    <definedName name="СП_R197C28">#REF!</definedName>
    <definedName name="СП_R197C3">#REF!</definedName>
    <definedName name="СП_R197C4">#REF!</definedName>
    <definedName name="СП_R197C5">#REF!</definedName>
    <definedName name="СП_R197C6">#REF!</definedName>
    <definedName name="СП_R197C7">#REF!</definedName>
    <definedName name="СП_R197C8">#REF!</definedName>
    <definedName name="СП_R197C9">#REF!</definedName>
    <definedName name="СП_R198C10">#REF!</definedName>
    <definedName name="СП_R198C11">#REF!</definedName>
    <definedName name="СП_R198C12">#REF!</definedName>
    <definedName name="СП_R198C13">#REF!</definedName>
    <definedName name="СП_R198C14">#REF!</definedName>
    <definedName name="СП_R198C15">#REF!</definedName>
    <definedName name="СП_R198C16">#REF!</definedName>
    <definedName name="СП_R198C17">#REF!</definedName>
    <definedName name="СП_R198C18">#REF!</definedName>
    <definedName name="СП_R198C19">#REF!</definedName>
    <definedName name="СП_R198C20">#REF!</definedName>
    <definedName name="СП_R198C21">#REF!</definedName>
    <definedName name="СП_R198C22">#REF!</definedName>
    <definedName name="СП_R198C23">#REF!</definedName>
    <definedName name="СП_R198C24">#REF!</definedName>
    <definedName name="СП_R198C25">#REF!</definedName>
    <definedName name="СП_R198C26">#REF!</definedName>
    <definedName name="СП_R198C27">#REF!</definedName>
    <definedName name="СП_R198C28">#REF!</definedName>
    <definedName name="СП_R198C3">#REF!</definedName>
    <definedName name="СП_R198C4">#REF!</definedName>
    <definedName name="СП_R198C5">#REF!</definedName>
    <definedName name="СП_R198C6">#REF!</definedName>
    <definedName name="СП_R198C7">#REF!</definedName>
    <definedName name="СП_R198C8">#REF!</definedName>
    <definedName name="СП_R198C9">#REF!</definedName>
    <definedName name="СП_R199C10">#REF!</definedName>
    <definedName name="СП_R199C11">#REF!</definedName>
    <definedName name="СП_R199C12">#REF!</definedName>
    <definedName name="СП_R199C13">#REF!</definedName>
    <definedName name="СП_R199C14">#REF!</definedName>
    <definedName name="СП_R199C15">#REF!</definedName>
    <definedName name="СП_R199C16">#REF!</definedName>
    <definedName name="СП_R199C17">#REF!</definedName>
    <definedName name="СП_R199C18">#REF!</definedName>
    <definedName name="СП_R199C19">#REF!</definedName>
    <definedName name="СП_R199C20">#REF!</definedName>
    <definedName name="СП_R199C21">#REF!</definedName>
    <definedName name="СП_R199C22">#REF!</definedName>
    <definedName name="СП_R199C23">#REF!</definedName>
    <definedName name="СП_R199C24">#REF!</definedName>
    <definedName name="СП_R199C25">#REF!</definedName>
    <definedName name="СП_R199C26">#REF!</definedName>
    <definedName name="СП_R199C27">#REF!</definedName>
    <definedName name="СП_R199C28">#REF!</definedName>
    <definedName name="СП_R199C3">#REF!</definedName>
    <definedName name="СП_R199C4">#REF!</definedName>
    <definedName name="СП_R199C5">#REF!</definedName>
    <definedName name="СП_R199C6">#REF!</definedName>
    <definedName name="СП_R199C7">#REF!</definedName>
    <definedName name="СП_R199C8">#REF!</definedName>
    <definedName name="СП_R199C9">#REF!</definedName>
    <definedName name="СП_R19C10">#REF!</definedName>
    <definedName name="СП_R19C11">#REF!</definedName>
    <definedName name="СП_R19C12">#REF!</definedName>
    <definedName name="СП_R19C13">#REF!</definedName>
    <definedName name="СП_R19C14">#REF!</definedName>
    <definedName name="СП_R19C15">#REF!</definedName>
    <definedName name="СП_R19C16">#REF!</definedName>
    <definedName name="СП_R19C17">#REF!</definedName>
    <definedName name="СП_R19C18">#REF!</definedName>
    <definedName name="СП_R19C19">#REF!</definedName>
    <definedName name="СП_R19C20">#REF!</definedName>
    <definedName name="СП_R19C21">#REF!</definedName>
    <definedName name="СП_R19C22">#REF!</definedName>
    <definedName name="СП_R19C23">#REF!</definedName>
    <definedName name="СП_R19C24">#REF!</definedName>
    <definedName name="СП_R19C25">#REF!</definedName>
    <definedName name="СП_R19C26">#REF!</definedName>
    <definedName name="СП_R19C27">#REF!</definedName>
    <definedName name="СП_R19C28">#REF!</definedName>
    <definedName name="СП_R19C3">#REF!</definedName>
    <definedName name="СП_R19C4">#REF!</definedName>
    <definedName name="СП_R19C5">#REF!</definedName>
    <definedName name="СП_R19C6">#REF!</definedName>
    <definedName name="СП_R19C7">#REF!</definedName>
    <definedName name="СП_R19C8">#REF!</definedName>
    <definedName name="СП_R19C9">#REF!</definedName>
    <definedName name="СП_R200C10">#REF!</definedName>
    <definedName name="СП_R200C11">#REF!</definedName>
    <definedName name="СП_R200C12">#REF!</definedName>
    <definedName name="СП_R200C13">#REF!</definedName>
    <definedName name="СП_R200C14">#REF!</definedName>
    <definedName name="СП_R200C15">#REF!</definedName>
    <definedName name="СП_R200C16">#REF!</definedName>
    <definedName name="СП_R200C17">#REF!</definedName>
    <definedName name="СП_R200C18">#REF!</definedName>
    <definedName name="СП_R200C19">#REF!</definedName>
    <definedName name="СП_R200C20">#REF!</definedName>
    <definedName name="СП_R200C21">#REF!</definedName>
    <definedName name="СП_R200C22">#REF!</definedName>
    <definedName name="СП_R200C23">#REF!</definedName>
    <definedName name="СП_R200C24">#REF!</definedName>
    <definedName name="СП_R200C25">#REF!</definedName>
    <definedName name="СП_R200C26">#REF!</definedName>
    <definedName name="СП_R200C27">#REF!</definedName>
    <definedName name="СП_R200C28">#REF!</definedName>
    <definedName name="СП_R200C3">#REF!</definedName>
    <definedName name="СП_R200C4">#REF!</definedName>
    <definedName name="СП_R200C5">#REF!</definedName>
    <definedName name="СП_R200C6">#REF!</definedName>
    <definedName name="СП_R200C7">#REF!</definedName>
    <definedName name="СП_R200C8">#REF!</definedName>
    <definedName name="СП_R200C9">#REF!</definedName>
    <definedName name="СП_R201C10">#REF!</definedName>
    <definedName name="СП_R201C11">#REF!</definedName>
    <definedName name="СП_R201C12">#REF!</definedName>
    <definedName name="СП_R201C13">#REF!</definedName>
    <definedName name="СП_R201C14">#REF!</definedName>
    <definedName name="СП_R201C15">#REF!</definedName>
    <definedName name="СП_R201C16">#REF!</definedName>
    <definedName name="СП_R201C17">#REF!</definedName>
    <definedName name="СП_R201C18">#REF!</definedName>
    <definedName name="СП_R201C19">#REF!</definedName>
    <definedName name="СП_R201C20">#REF!</definedName>
    <definedName name="СП_R201C21">#REF!</definedName>
    <definedName name="СП_R201C22">#REF!</definedName>
    <definedName name="СП_R201C23">#REF!</definedName>
    <definedName name="СП_R201C24">#REF!</definedName>
    <definedName name="СП_R201C25">#REF!</definedName>
    <definedName name="СП_R201C26">#REF!</definedName>
    <definedName name="СП_R201C27">#REF!</definedName>
    <definedName name="СП_R201C28">#REF!</definedName>
    <definedName name="СП_R201C3">#REF!</definedName>
    <definedName name="СП_R201C4">#REF!</definedName>
    <definedName name="СП_R201C5">#REF!</definedName>
    <definedName name="СП_R201C6">#REF!</definedName>
    <definedName name="СП_R201C7">#REF!</definedName>
    <definedName name="СП_R201C8">#REF!</definedName>
    <definedName name="СП_R201C9">#REF!</definedName>
    <definedName name="СП_R202C10">#REF!</definedName>
    <definedName name="СП_R202C11">#REF!</definedName>
    <definedName name="СП_R202C12">#REF!</definedName>
    <definedName name="СП_R202C13">#REF!</definedName>
    <definedName name="СП_R202C14">#REF!</definedName>
    <definedName name="СП_R202C15">#REF!</definedName>
    <definedName name="СП_R202C16">#REF!</definedName>
    <definedName name="СП_R202C17">#REF!</definedName>
    <definedName name="СП_R202C18">#REF!</definedName>
    <definedName name="СП_R202C19">#REF!</definedName>
    <definedName name="СП_R202C20">#REF!</definedName>
    <definedName name="СП_R202C21">#REF!</definedName>
    <definedName name="СП_R202C22">#REF!</definedName>
    <definedName name="СП_R202C23">#REF!</definedName>
    <definedName name="СП_R202C24">#REF!</definedName>
    <definedName name="СП_R202C25">#REF!</definedName>
    <definedName name="СП_R202C26">#REF!</definedName>
    <definedName name="СП_R202C27">#REF!</definedName>
    <definedName name="СП_R202C28">#REF!</definedName>
    <definedName name="СП_R202C3">#REF!</definedName>
    <definedName name="СП_R202C4">#REF!</definedName>
    <definedName name="СП_R202C5">#REF!</definedName>
    <definedName name="СП_R202C6">#REF!</definedName>
    <definedName name="СП_R202C7">#REF!</definedName>
    <definedName name="СП_R202C8">#REF!</definedName>
    <definedName name="СП_R202C9">#REF!</definedName>
    <definedName name="СП_R203C10">#REF!</definedName>
    <definedName name="СП_R203C11">#REF!</definedName>
    <definedName name="СП_R203C12">#REF!</definedName>
    <definedName name="СП_R203C13">#REF!</definedName>
    <definedName name="СП_R203C14">#REF!</definedName>
    <definedName name="СП_R203C15">#REF!</definedName>
    <definedName name="СП_R203C16">#REF!</definedName>
    <definedName name="СП_R203C17">#REF!</definedName>
    <definedName name="СП_R203C18">#REF!</definedName>
    <definedName name="СП_R203C19">#REF!</definedName>
    <definedName name="СП_R203C20">#REF!</definedName>
    <definedName name="СП_R203C21">#REF!</definedName>
    <definedName name="СП_R203C22">#REF!</definedName>
    <definedName name="СП_R203C23">#REF!</definedName>
    <definedName name="СП_R203C24">#REF!</definedName>
    <definedName name="СП_R203C25">#REF!</definedName>
    <definedName name="СП_R203C26">#REF!</definedName>
    <definedName name="СП_R203C27">#REF!</definedName>
    <definedName name="СП_R203C28">#REF!</definedName>
    <definedName name="СП_R203C3">#REF!</definedName>
    <definedName name="СП_R203C4">#REF!</definedName>
    <definedName name="СП_R203C5">#REF!</definedName>
    <definedName name="СП_R203C6">#REF!</definedName>
    <definedName name="СП_R203C7">#REF!</definedName>
    <definedName name="СП_R203C8">#REF!</definedName>
    <definedName name="СП_R203C9">#REF!</definedName>
    <definedName name="СП_R204C10">#REF!</definedName>
    <definedName name="СП_R204C11">#REF!</definedName>
    <definedName name="СП_R204C12">#REF!</definedName>
    <definedName name="СП_R204C13">#REF!</definedName>
    <definedName name="СП_R204C14">#REF!</definedName>
    <definedName name="СП_R204C15">#REF!</definedName>
    <definedName name="СП_R204C16">#REF!</definedName>
    <definedName name="СП_R204C17">#REF!</definedName>
    <definedName name="СП_R204C18">#REF!</definedName>
    <definedName name="СП_R204C19">#REF!</definedName>
    <definedName name="СП_R204C20">#REF!</definedName>
    <definedName name="СП_R204C21">#REF!</definedName>
    <definedName name="СП_R204C22">#REF!</definedName>
    <definedName name="СП_R204C23">#REF!</definedName>
    <definedName name="СП_R204C24">#REF!</definedName>
    <definedName name="СП_R204C25">#REF!</definedName>
    <definedName name="СП_R204C26">#REF!</definedName>
    <definedName name="СП_R204C27">#REF!</definedName>
    <definedName name="СП_R204C28">#REF!</definedName>
    <definedName name="СП_R204C3">#REF!</definedName>
    <definedName name="СП_R204C4">#REF!</definedName>
    <definedName name="СП_R204C5">#REF!</definedName>
    <definedName name="СП_R204C6">#REF!</definedName>
    <definedName name="СП_R204C7">#REF!</definedName>
    <definedName name="СП_R204C8">#REF!</definedName>
    <definedName name="СП_R204C9">#REF!</definedName>
    <definedName name="СП_R205C10">#REF!</definedName>
    <definedName name="СП_R205C11">#REF!</definedName>
    <definedName name="СП_R205C12">#REF!</definedName>
    <definedName name="СП_R205C13">#REF!</definedName>
    <definedName name="СП_R205C14">#REF!</definedName>
    <definedName name="СП_R205C15">#REF!</definedName>
    <definedName name="СП_R205C16">#REF!</definedName>
    <definedName name="СП_R205C17">#REF!</definedName>
    <definedName name="СП_R205C18">#REF!</definedName>
    <definedName name="СП_R205C19">#REF!</definedName>
    <definedName name="СП_R205C20">#REF!</definedName>
    <definedName name="СП_R205C21">#REF!</definedName>
    <definedName name="СП_R205C22">#REF!</definedName>
    <definedName name="СП_R205C23">#REF!</definedName>
    <definedName name="СП_R205C24">#REF!</definedName>
    <definedName name="СП_R205C25">#REF!</definedName>
    <definedName name="СП_R205C26">#REF!</definedName>
    <definedName name="СП_R205C27">#REF!</definedName>
    <definedName name="СП_R205C28">#REF!</definedName>
    <definedName name="СП_R205C3">#REF!</definedName>
    <definedName name="СП_R205C4">#REF!</definedName>
    <definedName name="СП_R205C5">#REF!</definedName>
    <definedName name="СП_R205C6">#REF!</definedName>
    <definedName name="СП_R205C7">#REF!</definedName>
    <definedName name="СП_R205C8">#REF!</definedName>
    <definedName name="СП_R205C9">#REF!</definedName>
    <definedName name="СП_R206C10">#REF!</definedName>
    <definedName name="СП_R206C11">#REF!</definedName>
    <definedName name="СП_R206C12">#REF!</definedName>
    <definedName name="СП_R206C13">#REF!</definedName>
    <definedName name="СП_R206C14">#REF!</definedName>
    <definedName name="СП_R206C15">#REF!</definedName>
    <definedName name="СП_R206C16">#REF!</definedName>
    <definedName name="СП_R206C17">#REF!</definedName>
    <definedName name="СП_R206C18">#REF!</definedName>
    <definedName name="СП_R206C19">#REF!</definedName>
    <definedName name="СП_R206C20">#REF!</definedName>
    <definedName name="СП_R206C21">#REF!</definedName>
    <definedName name="СП_R206C22">#REF!</definedName>
    <definedName name="СП_R206C23">#REF!</definedName>
    <definedName name="СП_R206C24">#REF!</definedName>
    <definedName name="СП_R206C25">#REF!</definedName>
    <definedName name="СП_R206C26">#REF!</definedName>
    <definedName name="СП_R206C27">#REF!</definedName>
    <definedName name="СП_R206C28">#REF!</definedName>
    <definedName name="СП_R206C3">#REF!</definedName>
    <definedName name="СП_R206C4">#REF!</definedName>
    <definedName name="СП_R206C5">#REF!</definedName>
    <definedName name="СП_R206C6">#REF!</definedName>
    <definedName name="СП_R206C7">#REF!</definedName>
    <definedName name="СП_R206C8">#REF!</definedName>
    <definedName name="СП_R206C9">#REF!</definedName>
    <definedName name="СП_R207C10">#REF!</definedName>
    <definedName name="СП_R207C11">#REF!</definedName>
    <definedName name="СП_R207C12">#REF!</definedName>
    <definedName name="СП_R207C13">#REF!</definedName>
    <definedName name="СП_R207C14">#REF!</definedName>
    <definedName name="СП_R207C15">#REF!</definedName>
    <definedName name="СП_R207C16">#REF!</definedName>
    <definedName name="СП_R207C17">#REF!</definedName>
    <definedName name="СП_R207C18">#REF!</definedName>
    <definedName name="СП_R207C19">#REF!</definedName>
    <definedName name="СП_R207C20">#REF!</definedName>
    <definedName name="СП_R207C21">#REF!</definedName>
    <definedName name="СП_R207C22">#REF!</definedName>
    <definedName name="СП_R207C23">#REF!</definedName>
    <definedName name="СП_R207C24">#REF!</definedName>
    <definedName name="СП_R207C25">#REF!</definedName>
    <definedName name="СП_R207C26">#REF!</definedName>
    <definedName name="СП_R207C27">#REF!</definedName>
    <definedName name="СП_R207C28">#REF!</definedName>
    <definedName name="СП_R207C3">#REF!</definedName>
    <definedName name="СП_R207C4">#REF!</definedName>
    <definedName name="СП_R207C5">#REF!</definedName>
    <definedName name="СП_R207C6">#REF!</definedName>
    <definedName name="СП_R207C7">#REF!</definedName>
    <definedName name="СП_R207C8">#REF!</definedName>
    <definedName name="СП_R207C9">#REF!</definedName>
    <definedName name="СП_R208C10">#REF!</definedName>
    <definedName name="СП_R208C11">#REF!</definedName>
    <definedName name="СП_R208C12">#REF!</definedName>
    <definedName name="СП_R208C13">#REF!</definedName>
    <definedName name="СП_R208C14">#REF!</definedName>
    <definedName name="СП_R208C15">#REF!</definedName>
    <definedName name="СП_R208C16">#REF!</definedName>
    <definedName name="СП_R208C17">#REF!</definedName>
    <definedName name="СП_R208C18">#REF!</definedName>
    <definedName name="СП_R208C19">#REF!</definedName>
    <definedName name="СП_R208C20">#REF!</definedName>
    <definedName name="СП_R208C21">#REF!</definedName>
    <definedName name="СП_R208C22">#REF!</definedName>
    <definedName name="СП_R208C23">#REF!</definedName>
    <definedName name="СП_R208C24">#REF!</definedName>
    <definedName name="СП_R208C25">#REF!</definedName>
    <definedName name="СП_R208C26">#REF!</definedName>
    <definedName name="СП_R208C27">#REF!</definedName>
    <definedName name="СП_R208C28">#REF!</definedName>
    <definedName name="СП_R208C3">#REF!</definedName>
    <definedName name="СП_R208C4">#REF!</definedName>
    <definedName name="СП_R208C5">#REF!</definedName>
    <definedName name="СП_R208C6">#REF!</definedName>
    <definedName name="СП_R208C7">#REF!</definedName>
    <definedName name="СП_R208C8">#REF!</definedName>
    <definedName name="СП_R208C9">#REF!</definedName>
    <definedName name="СП_R209C10">#REF!</definedName>
    <definedName name="СП_R209C11">#REF!</definedName>
    <definedName name="СП_R209C12">#REF!</definedName>
    <definedName name="СП_R209C13">#REF!</definedName>
    <definedName name="СП_R209C14">#REF!</definedName>
    <definedName name="СП_R209C15">#REF!</definedName>
    <definedName name="СП_R209C16">#REF!</definedName>
    <definedName name="СП_R209C17">#REF!</definedName>
    <definedName name="СП_R209C18">#REF!</definedName>
    <definedName name="СП_R209C19">#REF!</definedName>
    <definedName name="СП_R209C20">#REF!</definedName>
    <definedName name="СП_R209C21">#REF!</definedName>
    <definedName name="СП_R209C22">#REF!</definedName>
    <definedName name="СП_R209C23">#REF!</definedName>
    <definedName name="СП_R209C24">#REF!</definedName>
    <definedName name="СП_R209C25">#REF!</definedName>
    <definedName name="СП_R209C26">#REF!</definedName>
    <definedName name="СП_R209C27">#REF!</definedName>
    <definedName name="СП_R209C28">#REF!</definedName>
    <definedName name="СП_R209C3">#REF!</definedName>
    <definedName name="СП_R209C4">#REF!</definedName>
    <definedName name="СП_R209C5">#REF!</definedName>
    <definedName name="СП_R209C6">#REF!</definedName>
    <definedName name="СП_R209C7">#REF!</definedName>
    <definedName name="СП_R209C8">#REF!</definedName>
    <definedName name="СП_R209C9">#REF!</definedName>
    <definedName name="СП_R20C10">#REF!</definedName>
    <definedName name="СП_R20C11">#REF!</definedName>
    <definedName name="СП_R20C12">#REF!</definedName>
    <definedName name="СП_R20C13">#REF!</definedName>
    <definedName name="СП_R20C14">#REF!</definedName>
    <definedName name="СП_R20C15">#REF!</definedName>
    <definedName name="СП_R20C16">#REF!</definedName>
    <definedName name="СП_R20C17">#REF!</definedName>
    <definedName name="СП_R20C18">#REF!</definedName>
    <definedName name="СП_R20C19">#REF!</definedName>
    <definedName name="СП_R20C20">#REF!</definedName>
    <definedName name="СП_R20C21">#REF!</definedName>
    <definedName name="СП_R20C22">#REF!</definedName>
    <definedName name="СП_R20C23">#REF!</definedName>
    <definedName name="СП_R20C24">#REF!</definedName>
    <definedName name="СП_R20C25">#REF!</definedName>
    <definedName name="СП_R20C26">#REF!</definedName>
    <definedName name="СП_R20C27">#REF!</definedName>
    <definedName name="СП_R20C28">#REF!</definedName>
    <definedName name="СП_R20C3">#REF!</definedName>
    <definedName name="СП_R20C4">#REF!</definedName>
    <definedName name="СП_R20C5">#REF!</definedName>
    <definedName name="СП_R20C6">#REF!</definedName>
    <definedName name="СП_R20C7">#REF!</definedName>
    <definedName name="СП_R20C8">#REF!</definedName>
    <definedName name="СП_R20C9">#REF!</definedName>
    <definedName name="СП_R210C10">#REF!</definedName>
    <definedName name="СП_R210C11">#REF!</definedName>
    <definedName name="СП_R210C12">#REF!</definedName>
    <definedName name="СП_R210C13">#REF!</definedName>
    <definedName name="СП_R210C14">#REF!</definedName>
    <definedName name="СП_R210C15">#REF!</definedName>
    <definedName name="СП_R210C16">#REF!</definedName>
    <definedName name="СП_R210C17">#REF!</definedName>
    <definedName name="СП_R210C18">#REF!</definedName>
    <definedName name="СП_R210C19">#REF!</definedName>
    <definedName name="СП_R210C20">#REF!</definedName>
    <definedName name="СП_R210C21">#REF!</definedName>
    <definedName name="СП_R210C22">#REF!</definedName>
    <definedName name="СП_R210C23">#REF!</definedName>
    <definedName name="СП_R210C24">#REF!</definedName>
    <definedName name="СП_R210C25">#REF!</definedName>
    <definedName name="СП_R210C26">#REF!</definedName>
    <definedName name="СП_R210C27">#REF!</definedName>
    <definedName name="СП_R210C28">#REF!</definedName>
    <definedName name="СП_R210C3">#REF!</definedName>
    <definedName name="СП_R210C4">#REF!</definedName>
    <definedName name="СП_R210C5">#REF!</definedName>
    <definedName name="СП_R210C6">#REF!</definedName>
    <definedName name="СП_R210C7">#REF!</definedName>
    <definedName name="СП_R210C8">#REF!</definedName>
    <definedName name="СП_R210C9">#REF!</definedName>
    <definedName name="СП_R211C10">#REF!</definedName>
    <definedName name="СП_R211C11">#REF!</definedName>
    <definedName name="СП_R211C12">#REF!</definedName>
    <definedName name="СП_R211C13">#REF!</definedName>
    <definedName name="СП_R211C14">#REF!</definedName>
    <definedName name="СП_R211C15">#REF!</definedName>
    <definedName name="СП_R211C16">#REF!</definedName>
    <definedName name="СП_R211C17">#REF!</definedName>
    <definedName name="СП_R211C18">#REF!</definedName>
    <definedName name="СП_R211C19">#REF!</definedName>
    <definedName name="СП_R211C20">#REF!</definedName>
    <definedName name="СП_R211C21">#REF!</definedName>
    <definedName name="СП_R211C22">#REF!</definedName>
    <definedName name="СП_R211C23">#REF!</definedName>
    <definedName name="СП_R211C24">#REF!</definedName>
    <definedName name="СП_R211C25">#REF!</definedName>
    <definedName name="СП_R211C26">#REF!</definedName>
    <definedName name="СП_R211C27">#REF!</definedName>
    <definedName name="СП_R211C28">#REF!</definedName>
    <definedName name="СП_R211C3">#REF!</definedName>
    <definedName name="СП_R211C4">#REF!</definedName>
    <definedName name="СП_R211C5">#REF!</definedName>
    <definedName name="СП_R211C6">#REF!</definedName>
    <definedName name="СП_R211C7">#REF!</definedName>
    <definedName name="СП_R211C8">#REF!</definedName>
    <definedName name="СП_R211C9">#REF!</definedName>
    <definedName name="СП_R212C10">#REF!</definedName>
    <definedName name="СП_R212C11">#REF!</definedName>
    <definedName name="СП_R212C12">#REF!</definedName>
    <definedName name="СП_R212C13">#REF!</definedName>
    <definedName name="СП_R212C14">#REF!</definedName>
    <definedName name="СП_R212C15">#REF!</definedName>
    <definedName name="СП_R212C16">#REF!</definedName>
    <definedName name="СП_R212C17">#REF!</definedName>
    <definedName name="СП_R212C18">#REF!</definedName>
    <definedName name="СП_R212C19">#REF!</definedName>
    <definedName name="СП_R212C20">#REF!</definedName>
    <definedName name="СП_R212C21">#REF!</definedName>
    <definedName name="СП_R212C22">#REF!</definedName>
    <definedName name="СП_R212C23">#REF!</definedName>
    <definedName name="СП_R212C24">#REF!</definedName>
    <definedName name="СП_R212C25">#REF!</definedName>
    <definedName name="СП_R212C26">#REF!</definedName>
    <definedName name="СП_R212C27">#REF!</definedName>
    <definedName name="СП_R212C28">#REF!</definedName>
    <definedName name="СП_R212C3">#REF!</definedName>
    <definedName name="СП_R212C4">#REF!</definedName>
    <definedName name="СП_R212C5">#REF!</definedName>
    <definedName name="СП_R212C6">#REF!</definedName>
    <definedName name="СП_R212C7">#REF!</definedName>
    <definedName name="СП_R212C8">#REF!</definedName>
    <definedName name="СП_R212C9">#REF!</definedName>
    <definedName name="СП_R213C10">#REF!</definedName>
    <definedName name="СП_R213C11">#REF!</definedName>
    <definedName name="СП_R213C12">#REF!</definedName>
    <definedName name="СП_R213C13">#REF!</definedName>
    <definedName name="СП_R213C14">#REF!</definedName>
    <definedName name="СП_R213C15">#REF!</definedName>
    <definedName name="СП_R213C16">#REF!</definedName>
    <definedName name="СП_R213C17">#REF!</definedName>
    <definedName name="СП_R213C18">#REF!</definedName>
    <definedName name="СП_R213C19">#REF!</definedName>
    <definedName name="СП_R213C20">#REF!</definedName>
    <definedName name="СП_R213C21">#REF!</definedName>
    <definedName name="СП_R213C22">#REF!</definedName>
    <definedName name="СП_R213C23">#REF!</definedName>
    <definedName name="СП_R213C24">#REF!</definedName>
    <definedName name="СП_R213C25">#REF!</definedName>
    <definedName name="СП_R213C26">#REF!</definedName>
    <definedName name="СП_R213C27">#REF!</definedName>
    <definedName name="СП_R213C28">#REF!</definedName>
    <definedName name="СП_R213C3">#REF!</definedName>
    <definedName name="СП_R213C4">#REF!</definedName>
    <definedName name="СП_R213C5">#REF!</definedName>
    <definedName name="СП_R213C6">#REF!</definedName>
    <definedName name="СП_R213C7">#REF!</definedName>
    <definedName name="СП_R213C8">#REF!</definedName>
    <definedName name="СП_R213C9">#REF!</definedName>
    <definedName name="СП_R214C10">#REF!</definedName>
    <definedName name="СП_R214C11">#REF!</definedName>
    <definedName name="СП_R214C12">#REF!</definedName>
    <definedName name="СП_R214C13">#REF!</definedName>
    <definedName name="СП_R214C14">#REF!</definedName>
    <definedName name="СП_R214C15">#REF!</definedName>
    <definedName name="СП_R214C16">#REF!</definedName>
    <definedName name="СП_R214C17">#REF!</definedName>
    <definedName name="СП_R214C18">#REF!</definedName>
    <definedName name="СП_R214C19">#REF!</definedName>
    <definedName name="СП_R214C20">#REF!</definedName>
    <definedName name="СП_R214C21">#REF!</definedName>
    <definedName name="СП_R214C22">#REF!</definedName>
    <definedName name="СП_R214C23">#REF!</definedName>
    <definedName name="СП_R214C24">#REF!</definedName>
    <definedName name="СП_R214C25">#REF!</definedName>
    <definedName name="СП_R214C26">#REF!</definedName>
    <definedName name="СП_R214C27">#REF!</definedName>
    <definedName name="СП_R214C28">#REF!</definedName>
    <definedName name="СП_R214C3">#REF!</definedName>
    <definedName name="СП_R214C4">#REF!</definedName>
    <definedName name="СП_R214C5">#REF!</definedName>
    <definedName name="СП_R214C6">#REF!</definedName>
    <definedName name="СП_R214C7">#REF!</definedName>
    <definedName name="СП_R214C8">#REF!</definedName>
    <definedName name="СП_R214C9">#REF!</definedName>
    <definedName name="СП_R215C10">#REF!</definedName>
    <definedName name="СП_R215C11">#REF!</definedName>
    <definedName name="СП_R215C12">#REF!</definedName>
    <definedName name="СП_R215C13">#REF!</definedName>
    <definedName name="СП_R215C14">#REF!</definedName>
    <definedName name="СП_R215C15">#REF!</definedName>
    <definedName name="СП_R215C16">#REF!</definedName>
    <definedName name="СП_R215C17">#REF!</definedName>
    <definedName name="СП_R215C18">#REF!</definedName>
    <definedName name="СП_R215C19">#REF!</definedName>
    <definedName name="СП_R215C20">#REF!</definedName>
    <definedName name="СП_R215C21">#REF!</definedName>
    <definedName name="СП_R215C22">#REF!</definedName>
    <definedName name="СП_R215C23">#REF!</definedName>
    <definedName name="СП_R215C24">#REF!</definedName>
    <definedName name="СП_R215C25">#REF!</definedName>
    <definedName name="СП_R215C26">#REF!</definedName>
    <definedName name="СП_R215C27">#REF!</definedName>
    <definedName name="СП_R215C28">#REF!</definedName>
    <definedName name="СП_R215C3">#REF!</definedName>
    <definedName name="СП_R215C4">#REF!</definedName>
    <definedName name="СП_R215C5">#REF!</definedName>
    <definedName name="СП_R215C6">#REF!</definedName>
    <definedName name="СП_R215C7">#REF!</definedName>
    <definedName name="СП_R215C8">#REF!</definedName>
    <definedName name="СП_R215C9">#REF!</definedName>
    <definedName name="СП_R216C10">#REF!</definedName>
    <definedName name="СП_R216C11">#REF!</definedName>
    <definedName name="СП_R216C12">#REF!</definedName>
    <definedName name="СП_R216C13">#REF!</definedName>
    <definedName name="СП_R216C14">#REF!</definedName>
    <definedName name="СП_R216C15">#REF!</definedName>
    <definedName name="СП_R216C16">#REF!</definedName>
    <definedName name="СП_R216C17">#REF!</definedName>
    <definedName name="СП_R216C18">#REF!</definedName>
    <definedName name="СП_R216C19">#REF!</definedName>
    <definedName name="СП_R216C20">#REF!</definedName>
    <definedName name="СП_R216C21">#REF!</definedName>
    <definedName name="СП_R216C22">#REF!</definedName>
    <definedName name="СП_R216C23">#REF!</definedName>
    <definedName name="СП_R216C24">#REF!</definedName>
    <definedName name="СП_R216C25">#REF!</definedName>
    <definedName name="СП_R216C26">#REF!</definedName>
    <definedName name="СП_R216C27">#REF!</definedName>
    <definedName name="СП_R216C28">#REF!</definedName>
    <definedName name="СП_R216C3">#REF!</definedName>
    <definedName name="СП_R216C4">#REF!</definedName>
    <definedName name="СП_R216C5">#REF!</definedName>
    <definedName name="СП_R216C6">#REF!</definedName>
    <definedName name="СП_R216C7">#REF!</definedName>
    <definedName name="СП_R216C8">#REF!</definedName>
    <definedName name="СП_R216C9">#REF!</definedName>
    <definedName name="СП_R217C10">#REF!</definedName>
    <definedName name="СП_R217C11">#REF!</definedName>
    <definedName name="СП_R217C12">#REF!</definedName>
    <definedName name="СП_R217C13">#REF!</definedName>
    <definedName name="СП_R217C14">#REF!</definedName>
    <definedName name="СП_R217C15">#REF!</definedName>
    <definedName name="СП_R217C16">#REF!</definedName>
    <definedName name="СП_R217C17">#REF!</definedName>
    <definedName name="СП_R217C18">#REF!</definedName>
    <definedName name="СП_R217C19">#REF!</definedName>
    <definedName name="СП_R217C20">#REF!</definedName>
    <definedName name="СП_R217C21">#REF!</definedName>
    <definedName name="СП_R217C22">#REF!</definedName>
    <definedName name="СП_R217C23">#REF!</definedName>
    <definedName name="СП_R217C24">#REF!</definedName>
    <definedName name="СП_R217C25">#REF!</definedName>
    <definedName name="СП_R217C26">#REF!</definedName>
    <definedName name="СП_R217C27">#REF!</definedName>
    <definedName name="СП_R217C28">#REF!</definedName>
    <definedName name="СП_R217C3">#REF!</definedName>
    <definedName name="СП_R217C4">#REF!</definedName>
    <definedName name="СП_R217C5">#REF!</definedName>
    <definedName name="СП_R217C6">#REF!</definedName>
    <definedName name="СП_R217C7">#REF!</definedName>
    <definedName name="СП_R217C8">#REF!</definedName>
    <definedName name="СП_R217C9">#REF!</definedName>
    <definedName name="СП_R218C10">#REF!</definedName>
    <definedName name="СП_R218C11">#REF!</definedName>
    <definedName name="СП_R218C12">#REF!</definedName>
    <definedName name="СП_R218C13">#REF!</definedName>
    <definedName name="СП_R218C14">#REF!</definedName>
    <definedName name="СП_R218C15">#REF!</definedName>
    <definedName name="СП_R218C16">#REF!</definedName>
    <definedName name="СП_R218C17">#REF!</definedName>
    <definedName name="СП_R218C18">#REF!</definedName>
    <definedName name="СП_R218C19">#REF!</definedName>
    <definedName name="СП_R218C20">#REF!</definedName>
    <definedName name="СП_R218C21">#REF!</definedName>
    <definedName name="СП_R218C22">#REF!</definedName>
    <definedName name="СП_R218C23">#REF!</definedName>
    <definedName name="СП_R218C24">#REF!</definedName>
    <definedName name="СП_R218C25">#REF!</definedName>
    <definedName name="СП_R218C26">#REF!</definedName>
    <definedName name="СП_R218C27">#REF!</definedName>
    <definedName name="СП_R218C28">#REF!</definedName>
    <definedName name="СП_R218C3">#REF!</definedName>
    <definedName name="СП_R218C4">#REF!</definedName>
    <definedName name="СП_R218C5">#REF!</definedName>
    <definedName name="СП_R218C6">#REF!</definedName>
    <definedName name="СП_R218C7">#REF!</definedName>
    <definedName name="СП_R218C8">#REF!</definedName>
    <definedName name="СП_R218C9">#REF!</definedName>
    <definedName name="СП_R219C10">#REF!</definedName>
    <definedName name="СП_R219C11">#REF!</definedName>
    <definedName name="СП_R219C12">#REF!</definedName>
    <definedName name="СП_R219C13">#REF!</definedName>
    <definedName name="СП_R219C14">#REF!</definedName>
    <definedName name="СП_R219C15">#REF!</definedName>
    <definedName name="СП_R219C16">#REF!</definedName>
    <definedName name="СП_R219C17">#REF!</definedName>
    <definedName name="СП_R219C18">#REF!</definedName>
    <definedName name="СП_R219C19">#REF!</definedName>
    <definedName name="СП_R219C20">#REF!</definedName>
    <definedName name="СП_R219C21">#REF!</definedName>
    <definedName name="СП_R219C22">#REF!</definedName>
    <definedName name="СП_R219C23">#REF!</definedName>
    <definedName name="СП_R219C24">#REF!</definedName>
    <definedName name="СП_R219C25">#REF!</definedName>
    <definedName name="СП_R219C26">#REF!</definedName>
    <definedName name="СП_R219C27">#REF!</definedName>
    <definedName name="СП_R219C28">#REF!</definedName>
    <definedName name="СП_R219C3">#REF!</definedName>
    <definedName name="СП_R219C4">#REF!</definedName>
    <definedName name="СП_R219C5">#REF!</definedName>
    <definedName name="СП_R219C6">#REF!</definedName>
    <definedName name="СП_R219C7">#REF!</definedName>
    <definedName name="СП_R219C8">#REF!</definedName>
    <definedName name="СП_R219C9">#REF!</definedName>
    <definedName name="СП_R21C10">#REF!</definedName>
    <definedName name="СП_R21C11">#REF!</definedName>
    <definedName name="СП_R21C12">#REF!</definedName>
    <definedName name="СП_R21C13">#REF!</definedName>
    <definedName name="СП_R21C14">#REF!</definedName>
    <definedName name="СП_R21C15">#REF!</definedName>
    <definedName name="СП_R21C16">#REF!</definedName>
    <definedName name="СП_R21C17">#REF!</definedName>
    <definedName name="СП_R21C18">#REF!</definedName>
    <definedName name="СП_R21C19">#REF!</definedName>
    <definedName name="СП_R21C20">#REF!</definedName>
    <definedName name="СП_R21C21">#REF!</definedName>
    <definedName name="СП_R21C22">#REF!</definedName>
    <definedName name="СП_R21C23">#REF!</definedName>
    <definedName name="СП_R21C24">#REF!</definedName>
    <definedName name="СП_R21C25">#REF!</definedName>
    <definedName name="СП_R21C26">#REF!</definedName>
    <definedName name="СП_R21C27">#REF!</definedName>
    <definedName name="СП_R21C28">#REF!</definedName>
    <definedName name="СП_R21C3">#REF!</definedName>
    <definedName name="СП_R21C4">#REF!</definedName>
    <definedName name="СП_R21C5">#REF!</definedName>
    <definedName name="СП_R21C6">#REF!</definedName>
    <definedName name="СП_R21C7">#REF!</definedName>
    <definedName name="СП_R21C8">#REF!</definedName>
    <definedName name="СП_R21C9">#REF!</definedName>
    <definedName name="СП_R220C10">#REF!</definedName>
    <definedName name="СП_R220C11">#REF!</definedName>
    <definedName name="СП_R220C12">#REF!</definedName>
    <definedName name="СП_R220C13">#REF!</definedName>
    <definedName name="СП_R220C14">#REF!</definedName>
    <definedName name="СП_R220C15">#REF!</definedName>
    <definedName name="СП_R220C16">#REF!</definedName>
    <definedName name="СП_R220C17">#REF!</definedName>
    <definedName name="СП_R220C18">#REF!</definedName>
    <definedName name="СП_R220C19">#REF!</definedName>
    <definedName name="СП_R220C20">#REF!</definedName>
    <definedName name="СП_R220C21">#REF!</definedName>
    <definedName name="СП_R220C22">#REF!</definedName>
    <definedName name="СП_R220C23">#REF!</definedName>
    <definedName name="СП_R220C24">#REF!</definedName>
    <definedName name="СП_R220C25">#REF!</definedName>
    <definedName name="СП_R220C26">#REF!</definedName>
    <definedName name="СП_R220C27">#REF!</definedName>
    <definedName name="СП_R220C28">#REF!</definedName>
    <definedName name="СП_R220C3">#REF!</definedName>
    <definedName name="СП_R220C4">#REF!</definedName>
    <definedName name="СП_R220C5">#REF!</definedName>
    <definedName name="СП_R220C6">#REF!</definedName>
    <definedName name="СП_R220C7">#REF!</definedName>
    <definedName name="СП_R220C8">#REF!</definedName>
    <definedName name="СП_R220C9">#REF!</definedName>
    <definedName name="СП_R221C10">#REF!</definedName>
    <definedName name="СП_R221C11">#REF!</definedName>
    <definedName name="СП_R221C12">#REF!</definedName>
    <definedName name="СП_R221C13">#REF!</definedName>
    <definedName name="СП_R221C14">#REF!</definedName>
    <definedName name="СП_R221C15">#REF!</definedName>
    <definedName name="СП_R221C16">#REF!</definedName>
    <definedName name="СП_R221C17">#REF!</definedName>
    <definedName name="СП_R221C18">#REF!</definedName>
    <definedName name="СП_R221C19">#REF!</definedName>
    <definedName name="СП_R221C20">#REF!</definedName>
    <definedName name="СП_R221C21">#REF!</definedName>
    <definedName name="СП_R221C22">#REF!</definedName>
    <definedName name="СП_R221C23">#REF!</definedName>
    <definedName name="СП_R221C24">#REF!</definedName>
    <definedName name="СП_R221C25">#REF!</definedName>
    <definedName name="СП_R221C26">#REF!</definedName>
    <definedName name="СП_R221C27">#REF!</definedName>
    <definedName name="СП_R221C28">#REF!</definedName>
    <definedName name="СП_R221C3">#REF!</definedName>
    <definedName name="СП_R221C4">#REF!</definedName>
    <definedName name="СП_R221C5">#REF!</definedName>
    <definedName name="СП_R221C6">#REF!</definedName>
    <definedName name="СП_R221C7">#REF!</definedName>
    <definedName name="СП_R221C8">#REF!</definedName>
    <definedName name="СП_R221C9">#REF!</definedName>
    <definedName name="СП_R222C10">#REF!</definedName>
    <definedName name="СП_R222C11">#REF!</definedName>
    <definedName name="СП_R222C12">#REF!</definedName>
    <definedName name="СП_R222C13">#REF!</definedName>
    <definedName name="СП_R222C14">#REF!</definedName>
    <definedName name="СП_R222C15">#REF!</definedName>
    <definedName name="СП_R222C16">#REF!</definedName>
    <definedName name="СП_R222C17">#REF!</definedName>
    <definedName name="СП_R222C18">#REF!</definedName>
    <definedName name="СП_R222C19">#REF!</definedName>
    <definedName name="СП_R222C20">#REF!</definedName>
    <definedName name="СП_R222C21">#REF!</definedName>
    <definedName name="СП_R222C22">#REF!</definedName>
    <definedName name="СП_R222C23">#REF!</definedName>
    <definedName name="СП_R222C24">#REF!</definedName>
    <definedName name="СП_R222C25">#REF!</definedName>
    <definedName name="СП_R222C26">#REF!</definedName>
    <definedName name="СП_R222C27">#REF!</definedName>
    <definedName name="СП_R222C28">#REF!</definedName>
    <definedName name="СП_R222C3">#REF!</definedName>
    <definedName name="СП_R222C4">#REF!</definedName>
    <definedName name="СП_R222C5">#REF!</definedName>
    <definedName name="СП_R222C6">#REF!</definedName>
    <definedName name="СП_R222C7">#REF!</definedName>
    <definedName name="СП_R222C8">#REF!</definedName>
    <definedName name="СП_R222C9">#REF!</definedName>
    <definedName name="СП_R223C10">#REF!</definedName>
    <definedName name="СП_R223C11">#REF!</definedName>
    <definedName name="СП_R223C12">#REF!</definedName>
    <definedName name="СП_R223C13">#REF!</definedName>
    <definedName name="СП_R223C14">#REF!</definedName>
    <definedName name="СП_R223C15">#REF!</definedName>
    <definedName name="СП_R223C16">#REF!</definedName>
    <definedName name="СП_R223C17">#REF!</definedName>
    <definedName name="СП_R223C18">#REF!</definedName>
    <definedName name="СП_R223C19">#REF!</definedName>
    <definedName name="СП_R223C20">#REF!</definedName>
    <definedName name="СП_R223C21">#REF!</definedName>
    <definedName name="СП_R223C22">#REF!</definedName>
    <definedName name="СП_R223C23">#REF!</definedName>
    <definedName name="СП_R223C24">#REF!</definedName>
    <definedName name="СП_R223C25">#REF!</definedName>
    <definedName name="СП_R223C26">#REF!</definedName>
    <definedName name="СП_R223C27">#REF!</definedName>
    <definedName name="СП_R223C28">#REF!</definedName>
    <definedName name="СП_R223C3">#REF!</definedName>
    <definedName name="СП_R223C4">#REF!</definedName>
    <definedName name="СП_R223C5">#REF!</definedName>
    <definedName name="СП_R223C6">#REF!</definedName>
    <definedName name="СП_R223C7">#REF!</definedName>
    <definedName name="СП_R223C8">#REF!</definedName>
    <definedName name="СП_R223C9">#REF!</definedName>
    <definedName name="СП_R224C10">#REF!</definedName>
    <definedName name="СП_R224C11">#REF!</definedName>
    <definedName name="СП_R224C12">#REF!</definedName>
    <definedName name="СП_R224C13">#REF!</definedName>
    <definedName name="СП_R224C14">#REF!</definedName>
    <definedName name="СП_R224C15">#REF!</definedName>
    <definedName name="СП_R224C16">#REF!</definedName>
    <definedName name="СП_R224C17">#REF!</definedName>
    <definedName name="СП_R224C18">#REF!</definedName>
    <definedName name="СП_R224C19">#REF!</definedName>
    <definedName name="СП_R224C20">#REF!</definedName>
    <definedName name="СП_R224C21">#REF!</definedName>
    <definedName name="СП_R224C22">#REF!</definedName>
    <definedName name="СП_R224C23">#REF!</definedName>
    <definedName name="СП_R224C24">#REF!</definedName>
    <definedName name="СП_R224C25">#REF!</definedName>
    <definedName name="СП_R224C26">#REF!</definedName>
    <definedName name="СП_R224C27">#REF!</definedName>
    <definedName name="СП_R224C28">#REF!</definedName>
    <definedName name="СП_R224C3">#REF!</definedName>
    <definedName name="СП_R224C4">#REF!</definedName>
    <definedName name="СП_R224C5">#REF!</definedName>
    <definedName name="СП_R224C6">#REF!</definedName>
    <definedName name="СП_R224C7">#REF!</definedName>
    <definedName name="СП_R224C8">#REF!</definedName>
    <definedName name="СП_R224C9">#REF!</definedName>
    <definedName name="СП_R225C10">#REF!</definedName>
    <definedName name="СП_R225C11">#REF!</definedName>
    <definedName name="СП_R225C12">#REF!</definedName>
    <definedName name="СП_R225C13">#REF!</definedName>
    <definedName name="СП_R225C14">#REF!</definedName>
    <definedName name="СП_R225C15">#REF!</definedName>
    <definedName name="СП_R225C16">#REF!</definedName>
    <definedName name="СП_R225C17">#REF!</definedName>
    <definedName name="СП_R225C18">#REF!</definedName>
    <definedName name="СП_R225C19">#REF!</definedName>
    <definedName name="СП_R225C20">#REF!</definedName>
    <definedName name="СП_R225C21">#REF!</definedName>
    <definedName name="СП_R225C22">#REF!</definedName>
    <definedName name="СП_R225C23">#REF!</definedName>
    <definedName name="СП_R225C24">#REF!</definedName>
    <definedName name="СП_R225C25">#REF!</definedName>
    <definedName name="СП_R225C26">#REF!</definedName>
    <definedName name="СП_R225C27">#REF!</definedName>
    <definedName name="СП_R225C28">#REF!</definedName>
    <definedName name="СП_R225C3">#REF!</definedName>
    <definedName name="СП_R225C4">#REF!</definedName>
    <definedName name="СП_R225C5">#REF!</definedName>
    <definedName name="СП_R225C6">#REF!</definedName>
    <definedName name="СП_R225C7">#REF!</definedName>
    <definedName name="СП_R225C8">#REF!</definedName>
    <definedName name="СП_R225C9">#REF!</definedName>
    <definedName name="СП_R226C10">#REF!</definedName>
    <definedName name="СП_R226C11">#REF!</definedName>
    <definedName name="СП_R226C12">#REF!</definedName>
    <definedName name="СП_R226C13">#REF!</definedName>
    <definedName name="СП_R226C14">#REF!</definedName>
    <definedName name="СП_R226C15">#REF!</definedName>
    <definedName name="СП_R226C16">#REF!</definedName>
    <definedName name="СП_R226C17">#REF!</definedName>
    <definedName name="СП_R226C18">#REF!</definedName>
    <definedName name="СП_R226C19">#REF!</definedName>
    <definedName name="СП_R226C20">#REF!</definedName>
    <definedName name="СП_R226C21">#REF!</definedName>
    <definedName name="СП_R226C22">#REF!</definedName>
    <definedName name="СП_R226C23">#REF!</definedName>
    <definedName name="СП_R226C24">#REF!</definedName>
    <definedName name="СП_R226C25">#REF!</definedName>
    <definedName name="СП_R226C26">#REF!</definedName>
    <definedName name="СП_R226C27">#REF!</definedName>
    <definedName name="СП_R226C28">#REF!</definedName>
    <definedName name="СП_R226C3">#REF!</definedName>
    <definedName name="СП_R226C4">#REF!</definedName>
    <definedName name="СП_R226C5">#REF!</definedName>
    <definedName name="СП_R226C6">#REF!</definedName>
    <definedName name="СП_R226C7">#REF!</definedName>
    <definedName name="СП_R226C8">#REF!</definedName>
    <definedName name="СП_R226C9">#REF!</definedName>
    <definedName name="СП_R227C10">#REF!</definedName>
    <definedName name="СП_R227C11">#REF!</definedName>
    <definedName name="СП_R227C12">#REF!</definedName>
    <definedName name="СП_R227C13">#REF!</definedName>
    <definedName name="СП_R227C14">#REF!</definedName>
    <definedName name="СП_R227C15">#REF!</definedName>
    <definedName name="СП_R227C16">#REF!</definedName>
    <definedName name="СП_R227C17">#REF!</definedName>
    <definedName name="СП_R227C18">#REF!</definedName>
    <definedName name="СП_R227C19">#REF!</definedName>
    <definedName name="СП_R227C20">#REF!</definedName>
    <definedName name="СП_R227C21">#REF!</definedName>
    <definedName name="СП_R227C22">#REF!</definedName>
    <definedName name="СП_R227C23">#REF!</definedName>
    <definedName name="СП_R227C24">#REF!</definedName>
    <definedName name="СП_R227C25">#REF!</definedName>
    <definedName name="СП_R227C26">#REF!</definedName>
    <definedName name="СП_R227C27">#REF!</definedName>
    <definedName name="СП_R227C28">#REF!</definedName>
    <definedName name="СП_R227C3">#REF!</definedName>
    <definedName name="СП_R227C4">#REF!</definedName>
    <definedName name="СП_R227C5">#REF!</definedName>
    <definedName name="СП_R227C6">#REF!</definedName>
    <definedName name="СП_R227C7">#REF!</definedName>
    <definedName name="СП_R227C8">#REF!</definedName>
    <definedName name="СП_R227C9">#REF!</definedName>
    <definedName name="СП_R228C10">#REF!</definedName>
    <definedName name="СП_R228C11">#REF!</definedName>
    <definedName name="СП_R228C12">#REF!</definedName>
    <definedName name="СП_R228C13">#REF!</definedName>
    <definedName name="СП_R228C14">#REF!</definedName>
    <definedName name="СП_R228C15">#REF!</definedName>
    <definedName name="СП_R228C16">#REF!</definedName>
    <definedName name="СП_R228C17">#REF!</definedName>
    <definedName name="СП_R228C18">#REF!</definedName>
    <definedName name="СП_R228C19">#REF!</definedName>
    <definedName name="СП_R228C20">#REF!</definedName>
    <definedName name="СП_R228C21">#REF!</definedName>
    <definedName name="СП_R228C22">#REF!</definedName>
    <definedName name="СП_R228C23">#REF!</definedName>
    <definedName name="СП_R228C24">#REF!</definedName>
    <definedName name="СП_R228C25">#REF!</definedName>
    <definedName name="СП_R228C26">#REF!</definedName>
    <definedName name="СП_R228C27">#REF!</definedName>
    <definedName name="СП_R228C28">#REF!</definedName>
    <definedName name="СП_R228C3">#REF!</definedName>
    <definedName name="СП_R228C4">#REF!</definedName>
    <definedName name="СП_R228C5">#REF!</definedName>
    <definedName name="СП_R228C6">#REF!</definedName>
    <definedName name="СП_R228C7">#REF!</definedName>
    <definedName name="СП_R228C8">#REF!</definedName>
    <definedName name="СП_R228C9">#REF!</definedName>
    <definedName name="СП_R229C10">#REF!</definedName>
    <definedName name="СП_R229C11">#REF!</definedName>
    <definedName name="СП_R229C12">#REF!</definedName>
    <definedName name="СП_R229C13">#REF!</definedName>
    <definedName name="СП_R229C14">#REF!</definedName>
    <definedName name="СП_R229C15">#REF!</definedName>
    <definedName name="СП_R229C16">#REF!</definedName>
    <definedName name="СП_R229C17">#REF!</definedName>
    <definedName name="СП_R229C18">#REF!</definedName>
    <definedName name="СП_R229C19">#REF!</definedName>
    <definedName name="СП_R229C20">#REF!</definedName>
    <definedName name="СП_R229C21">#REF!</definedName>
    <definedName name="СП_R229C22">#REF!</definedName>
    <definedName name="СП_R229C23">#REF!</definedName>
    <definedName name="СП_R229C24">#REF!</definedName>
    <definedName name="СП_R229C25">#REF!</definedName>
    <definedName name="СП_R229C26">#REF!</definedName>
    <definedName name="СП_R229C27">#REF!</definedName>
    <definedName name="СП_R229C28">#REF!</definedName>
    <definedName name="СП_R229C3">#REF!</definedName>
    <definedName name="СП_R229C4">#REF!</definedName>
    <definedName name="СП_R229C5">#REF!</definedName>
    <definedName name="СП_R229C6">#REF!</definedName>
    <definedName name="СП_R229C7">#REF!</definedName>
    <definedName name="СП_R229C8">#REF!</definedName>
    <definedName name="СП_R229C9">#REF!</definedName>
    <definedName name="СП_R22C10">#REF!</definedName>
    <definedName name="СП_R22C11">#REF!</definedName>
    <definedName name="СП_R22C12">#REF!</definedName>
    <definedName name="СП_R22C13">#REF!</definedName>
    <definedName name="СП_R22C14">#REF!</definedName>
    <definedName name="СП_R22C15">#REF!</definedName>
    <definedName name="СП_R22C16">#REF!</definedName>
    <definedName name="СП_R22C17">#REF!</definedName>
    <definedName name="СП_R22C18">#REF!</definedName>
    <definedName name="СП_R22C19">#REF!</definedName>
    <definedName name="СП_R22C20">#REF!</definedName>
    <definedName name="СП_R22C21">#REF!</definedName>
    <definedName name="СП_R22C22">#REF!</definedName>
    <definedName name="СП_R22C23">#REF!</definedName>
    <definedName name="СП_R22C24">#REF!</definedName>
    <definedName name="СП_R22C25">#REF!</definedName>
    <definedName name="СП_R22C26">#REF!</definedName>
    <definedName name="СП_R22C27">#REF!</definedName>
    <definedName name="СП_R22C28">#REF!</definedName>
    <definedName name="СП_R22C3">#REF!</definedName>
    <definedName name="СП_R22C4">#REF!</definedName>
    <definedName name="СП_R22C5">#REF!</definedName>
    <definedName name="СП_R22C6">#REF!</definedName>
    <definedName name="СП_R22C7">#REF!</definedName>
    <definedName name="СП_R22C8">#REF!</definedName>
    <definedName name="СП_R22C9">#REF!</definedName>
    <definedName name="СП_R230C10">#REF!</definedName>
    <definedName name="СП_R230C11">#REF!</definedName>
    <definedName name="СП_R230C12">#REF!</definedName>
    <definedName name="СП_R230C13">#REF!</definedName>
    <definedName name="СП_R230C14">#REF!</definedName>
    <definedName name="СП_R230C15">#REF!</definedName>
    <definedName name="СП_R230C16">#REF!</definedName>
    <definedName name="СП_R230C17">#REF!</definedName>
    <definedName name="СП_R230C18">#REF!</definedName>
    <definedName name="СП_R230C19">#REF!</definedName>
    <definedName name="СП_R230C20">#REF!</definedName>
    <definedName name="СП_R230C21">#REF!</definedName>
    <definedName name="СП_R230C22">#REF!</definedName>
    <definedName name="СП_R230C23">#REF!</definedName>
    <definedName name="СП_R230C24">#REF!</definedName>
    <definedName name="СП_R230C25">#REF!</definedName>
    <definedName name="СП_R230C26">#REF!</definedName>
    <definedName name="СП_R230C27">#REF!</definedName>
    <definedName name="СП_R230C28">#REF!</definedName>
    <definedName name="СП_R230C3">#REF!</definedName>
    <definedName name="СП_R230C4">#REF!</definedName>
    <definedName name="СП_R230C5">#REF!</definedName>
    <definedName name="СП_R230C6">#REF!</definedName>
    <definedName name="СП_R230C7">#REF!</definedName>
    <definedName name="СП_R230C8">#REF!</definedName>
    <definedName name="СП_R230C9">#REF!</definedName>
    <definedName name="СП_R231C10">#REF!</definedName>
    <definedName name="СП_R231C11">#REF!</definedName>
    <definedName name="СП_R231C12">#REF!</definedName>
    <definedName name="СП_R231C13">#REF!</definedName>
    <definedName name="СП_R231C14">#REF!</definedName>
    <definedName name="СП_R231C15">#REF!</definedName>
    <definedName name="СП_R231C16">#REF!</definedName>
    <definedName name="СП_R231C17">#REF!</definedName>
    <definedName name="СП_R231C18">#REF!</definedName>
    <definedName name="СП_R231C19">#REF!</definedName>
    <definedName name="СП_R231C20">#REF!</definedName>
    <definedName name="СП_R231C21">#REF!</definedName>
    <definedName name="СП_R231C22">#REF!</definedName>
    <definedName name="СП_R231C23">#REF!</definedName>
    <definedName name="СП_R231C24">#REF!</definedName>
    <definedName name="СП_R231C25">#REF!</definedName>
    <definedName name="СП_R231C26">#REF!</definedName>
    <definedName name="СП_R231C27">#REF!</definedName>
    <definedName name="СП_R231C28">#REF!</definedName>
    <definedName name="СП_R231C3">#REF!</definedName>
    <definedName name="СП_R231C4">#REF!</definedName>
    <definedName name="СП_R231C5">#REF!</definedName>
    <definedName name="СП_R231C6">#REF!</definedName>
    <definedName name="СП_R231C7">#REF!</definedName>
    <definedName name="СП_R231C8">#REF!</definedName>
    <definedName name="СП_R231C9">#REF!</definedName>
    <definedName name="СП_R232C10">#REF!</definedName>
    <definedName name="СП_R232C11">#REF!</definedName>
    <definedName name="СП_R232C12">#REF!</definedName>
    <definedName name="СП_R232C13">#REF!</definedName>
    <definedName name="СП_R232C14">#REF!</definedName>
    <definedName name="СП_R232C15">#REF!</definedName>
    <definedName name="СП_R232C16">#REF!</definedName>
    <definedName name="СП_R232C17">#REF!</definedName>
    <definedName name="СП_R232C18">#REF!</definedName>
    <definedName name="СП_R232C19">#REF!</definedName>
    <definedName name="СП_R232C20">#REF!</definedName>
    <definedName name="СП_R232C21">#REF!</definedName>
    <definedName name="СП_R232C22">#REF!</definedName>
    <definedName name="СП_R232C23">#REF!</definedName>
    <definedName name="СП_R232C24">#REF!</definedName>
    <definedName name="СП_R232C25">#REF!</definedName>
    <definedName name="СП_R232C26">#REF!</definedName>
    <definedName name="СП_R232C27">#REF!</definedName>
    <definedName name="СП_R232C28">#REF!</definedName>
    <definedName name="СП_R232C3">#REF!</definedName>
    <definedName name="СП_R232C4">#REF!</definedName>
    <definedName name="СП_R232C5">#REF!</definedName>
    <definedName name="СП_R232C6">#REF!</definedName>
    <definedName name="СП_R232C7">#REF!</definedName>
    <definedName name="СП_R232C8">#REF!</definedName>
    <definedName name="СП_R232C9">#REF!</definedName>
    <definedName name="СП_R233C10">#REF!</definedName>
    <definedName name="СП_R233C11">#REF!</definedName>
    <definedName name="СП_R233C12">#REF!</definedName>
    <definedName name="СП_R233C13">#REF!</definedName>
    <definedName name="СП_R233C14">#REF!</definedName>
    <definedName name="СП_R233C15">#REF!</definedName>
    <definedName name="СП_R233C16">#REF!</definedName>
    <definedName name="СП_R233C17">#REF!</definedName>
    <definedName name="СП_R233C18">#REF!</definedName>
    <definedName name="СП_R233C19">#REF!</definedName>
    <definedName name="СП_R233C20">#REF!</definedName>
    <definedName name="СП_R233C21">#REF!</definedName>
    <definedName name="СП_R233C22">#REF!</definedName>
    <definedName name="СП_R233C23">#REF!</definedName>
    <definedName name="СП_R233C24">#REF!</definedName>
    <definedName name="СП_R233C25">#REF!</definedName>
    <definedName name="СП_R233C26">#REF!</definedName>
    <definedName name="СП_R233C27">#REF!</definedName>
    <definedName name="СП_R233C28">#REF!</definedName>
    <definedName name="СП_R233C3">#REF!</definedName>
    <definedName name="СП_R233C4">#REF!</definedName>
    <definedName name="СП_R233C5">#REF!</definedName>
    <definedName name="СП_R233C6">#REF!</definedName>
    <definedName name="СП_R233C7">#REF!</definedName>
    <definedName name="СП_R233C8">#REF!</definedName>
    <definedName name="СП_R233C9">#REF!</definedName>
    <definedName name="СП_R234C10">#REF!</definedName>
    <definedName name="СП_R234C11">#REF!</definedName>
    <definedName name="СП_R234C12">#REF!</definedName>
    <definedName name="СП_R234C13">#REF!</definedName>
    <definedName name="СП_R234C14">#REF!</definedName>
    <definedName name="СП_R234C15">#REF!</definedName>
    <definedName name="СП_R234C16">#REF!</definedName>
    <definedName name="СП_R234C17">#REF!</definedName>
    <definedName name="СП_R234C18">#REF!</definedName>
    <definedName name="СП_R234C19">#REF!</definedName>
    <definedName name="СП_R234C20">#REF!</definedName>
    <definedName name="СП_R234C21">#REF!</definedName>
    <definedName name="СП_R234C22">#REF!</definedName>
    <definedName name="СП_R234C23">#REF!</definedName>
    <definedName name="СП_R234C24">#REF!</definedName>
    <definedName name="СП_R234C25">#REF!</definedName>
    <definedName name="СП_R234C26">#REF!</definedName>
    <definedName name="СП_R234C27">#REF!</definedName>
    <definedName name="СП_R234C28">#REF!</definedName>
    <definedName name="СП_R234C3">#REF!</definedName>
    <definedName name="СП_R234C4">#REF!</definedName>
    <definedName name="СП_R234C5">#REF!</definedName>
    <definedName name="СП_R234C6">#REF!</definedName>
    <definedName name="СП_R234C7">#REF!</definedName>
    <definedName name="СП_R234C8">#REF!</definedName>
    <definedName name="СП_R234C9">#REF!</definedName>
    <definedName name="СП_R235C10">#REF!</definedName>
    <definedName name="СП_R235C11">#REF!</definedName>
    <definedName name="СП_R235C12">#REF!</definedName>
    <definedName name="СП_R235C13">#REF!</definedName>
    <definedName name="СП_R235C14">#REF!</definedName>
    <definedName name="СП_R235C15">#REF!</definedName>
    <definedName name="СП_R235C16">#REF!</definedName>
    <definedName name="СП_R235C17">#REF!</definedName>
    <definedName name="СП_R235C18">#REF!</definedName>
    <definedName name="СП_R235C19">#REF!</definedName>
    <definedName name="СП_R235C20">#REF!</definedName>
    <definedName name="СП_R235C21">#REF!</definedName>
    <definedName name="СП_R235C22">#REF!</definedName>
    <definedName name="СП_R235C23">#REF!</definedName>
    <definedName name="СП_R235C24">#REF!</definedName>
    <definedName name="СП_R235C25">#REF!</definedName>
    <definedName name="СП_R235C26">#REF!</definedName>
    <definedName name="СП_R235C27">#REF!</definedName>
    <definedName name="СП_R235C28">#REF!</definedName>
    <definedName name="СП_R235C3">#REF!</definedName>
    <definedName name="СП_R235C4">#REF!</definedName>
    <definedName name="СП_R235C5">#REF!</definedName>
    <definedName name="СП_R235C6">#REF!</definedName>
    <definedName name="СП_R235C7">#REF!</definedName>
    <definedName name="СП_R235C8">#REF!</definedName>
    <definedName name="СП_R235C9">#REF!</definedName>
    <definedName name="СП_R236C10">#REF!</definedName>
    <definedName name="СП_R236C11">#REF!</definedName>
    <definedName name="СП_R236C12">#REF!</definedName>
    <definedName name="СП_R236C13">#REF!</definedName>
    <definedName name="СП_R236C14">#REF!</definedName>
    <definedName name="СП_R236C15">#REF!</definedName>
    <definedName name="СП_R236C16">#REF!</definedName>
    <definedName name="СП_R236C17">#REF!</definedName>
    <definedName name="СП_R236C18">#REF!</definedName>
    <definedName name="СП_R236C19">#REF!</definedName>
    <definedName name="СП_R236C20">#REF!</definedName>
    <definedName name="СП_R236C21">#REF!</definedName>
    <definedName name="СП_R236C22">#REF!</definedName>
    <definedName name="СП_R236C23">#REF!</definedName>
    <definedName name="СП_R236C24">#REF!</definedName>
    <definedName name="СП_R236C25">#REF!</definedName>
    <definedName name="СП_R236C26">#REF!</definedName>
    <definedName name="СП_R236C27">#REF!</definedName>
    <definedName name="СП_R236C28">#REF!</definedName>
    <definedName name="СП_R236C3">#REF!</definedName>
    <definedName name="СП_R236C4">#REF!</definedName>
    <definedName name="СП_R236C5">#REF!</definedName>
    <definedName name="СП_R236C6">#REF!</definedName>
    <definedName name="СП_R236C7">#REF!</definedName>
    <definedName name="СП_R236C8">#REF!</definedName>
    <definedName name="СП_R236C9">#REF!</definedName>
    <definedName name="СП_R237C10">#REF!</definedName>
    <definedName name="СП_R237C11">#REF!</definedName>
    <definedName name="СП_R237C12">#REF!</definedName>
    <definedName name="СП_R237C13">#REF!</definedName>
    <definedName name="СП_R237C14">#REF!</definedName>
    <definedName name="СП_R237C15">#REF!</definedName>
    <definedName name="СП_R237C16">#REF!</definedName>
    <definedName name="СП_R237C17">#REF!</definedName>
    <definedName name="СП_R237C18">#REF!</definedName>
    <definedName name="СП_R237C19">#REF!</definedName>
    <definedName name="СП_R237C20">#REF!</definedName>
    <definedName name="СП_R237C21">#REF!</definedName>
    <definedName name="СП_R237C22">#REF!</definedName>
    <definedName name="СП_R237C23">#REF!</definedName>
    <definedName name="СП_R237C24">#REF!</definedName>
    <definedName name="СП_R237C25">#REF!</definedName>
    <definedName name="СП_R237C26">#REF!</definedName>
    <definedName name="СП_R237C27">#REF!</definedName>
    <definedName name="СП_R237C28">#REF!</definedName>
    <definedName name="СП_R237C3">#REF!</definedName>
    <definedName name="СП_R237C4">#REF!</definedName>
    <definedName name="СП_R237C5">#REF!</definedName>
    <definedName name="СП_R237C6">#REF!</definedName>
    <definedName name="СП_R237C7">#REF!</definedName>
    <definedName name="СП_R237C8">#REF!</definedName>
    <definedName name="СП_R237C9">#REF!</definedName>
    <definedName name="СП_R238C10">#REF!</definedName>
    <definedName name="СП_R238C11">#REF!</definedName>
    <definedName name="СП_R238C12">#REF!</definedName>
    <definedName name="СП_R238C13">#REF!</definedName>
    <definedName name="СП_R238C14">#REF!</definedName>
    <definedName name="СП_R238C15">#REF!</definedName>
    <definedName name="СП_R238C16">#REF!</definedName>
    <definedName name="СП_R238C17">#REF!</definedName>
    <definedName name="СП_R238C18">#REF!</definedName>
    <definedName name="СП_R238C19">#REF!</definedName>
    <definedName name="СП_R238C20">#REF!</definedName>
    <definedName name="СП_R238C21">#REF!</definedName>
    <definedName name="СП_R238C22">#REF!</definedName>
    <definedName name="СП_R238C23">#REF!</definedName>
    <definedName name="СП_R238C24">#REF!</definedName>
    <definedName name="СП_R238C25">#REF!</definedName>
    <definedName name="СП_R238C26">#REF!</definedName>
    <definedName name="СП_R238C27">#REF!</definedName>
    <definedName name="СП_R238C28">#REF!</definedName>
    <definedName name="СП_R238C3">#REF!</definedName>
    <definedName name="СП_R238C4">#REF!</definedName>
    <definedName name="СП_R238C5">#REF!</definedName>
    <definedName name="СП_R238C6">#REF!</definedName>
    <definedName name="СП_R238C7">#REF!</definedName>
    <definedName name="СП_R238C8">#REF!</definedName>
    <definedName name="СП_R238C9">#REF!</definedName>
    <definedName name="СП_R239C10">#REF!</definedName>
    <definedName name="СП_R239C11">#REF!</definedName>
    <definedName name="СП_R239C12">#REF!</definedName>
    <definedName name="СП_R239C13">#REF!</definedName>
    <definedName name="СП_R239C14">#REF!</definedName>
    <definedName name="СП_R239C15">#REF!</definedName>
    <definedName name="СП_R239C16">#REF!</definedName>
    <definedName name="СП_R239C17">#REF!</definedName>
    <definedName name="СП_R239C18">#REF!</definedName>
    <definedName name="СП_R239C19">#REF!</definedName>
    <definedName name="СП_R239C20">#REF!</definedName>
    <definedName name="СП_R239C21">#REF!</definedName>
    <definedName name="СП_R239C22">#REF!</definedName>
    <definedName name="СП_R239C23">#REF!</definedName>
    <definedName name="СП_R239C24">#REF!</definedName>
    <definedName name="СП_R239C25">#REF!</definedName>
    <definedName name="СП_R239C26">#REF!</definedName>
    <definedName name="СП_R239C27">#REF!</definedName>
    <definedName name="СП_R239C28">#REF!</definedName>
    <definedName name="СП_R239C3">#REF!</definedName>
    <definedName name="СП_R239C4">#REF!</definedName>
    <definedName name="СП_R239C5">#REF!</definedName>
    <definedName name="СП_R239C6">#REF!</definedName>
    <definedName name="СП_R239C7">#REF!</definedName>
    <definedName name="СП_R239C8">#REF!</definedName>
    <definedName name="СП_R239C9">#REF!</definedName>
    <definedName name="СП_R23C10">#REF!</definedName>
    <definedName name="СП_R23C11">#REF!</definedName>
    <definedName name="СП_R23C12">#REF!</definedName>
    <definedName name="СП_R23C13">#REF!</definedName>
    <definedName name="СП_R23C14">#REF!</definedName>
    <definedName name="СП_R23C15">#REF!</definedName>
    <definedName name="СП_R23C16">#REF!</definedName>
    <definedName name="СП_R23C17">#REF!</definedName>
    <definedName name="СП_R23C18">#REF!</definedName>
    <definedName name="СП_R23C19">#REF!</definedName>
    <definedName name="СП_R23C20">#REF!</definedName>
    <definedName name="СП_R23C21">#REF!</definedName>
    <definedName name="СП_R23C22">#REF!</definedName>
    <definedName name="СП_R23C23">#REF!</definedName>
    <definedName name="СП_R23C24">#REF!</definedName>
    <definedName name="СП_R23C25">#REF!</definedName>
    <definedName name="СП_R23C26">#REF!</definedName>
    <definedName name="СП_R23C27">#REF!</definedName>
    <definedName name="СП_R23C28">#REF!</definedName>
    <definedName name="СП_R23C3">#REF!</definedName>
    <definedName name="СП_R23C4">#REF!</definedName>
    <definedName name="СП_R23C5">#REF!</definedName>
    <definedName name="СП_R23C6">#REF!</definedName>
    <definedName name="СП_R23C7">#REF!</definedName>
    <definedName name="СП_R23C8">#REF!</definedName>
    <definedName name="СП_R23C9">#REF!</definedName>
    <definedName name="СП_R240C10">#REF!</definedName>
    <definedName name="СП_R240C11">#REF!</definedName>
    <definedName name="СП_R240C12">#REF!</definedName>
    <definedName name="СП_R240C13">#REF!</definedName>
    <definedName name="СП_R240C14">#REF!</definedName>
    <definedName name="СП_R240C15">#REF!</definedName>
    <definedName name="СП_R240C16">#REF!</definedName>
    <definedName name="СП_R240C17">#REF!</definedName>
    <definedName name="СП_R240C18">#REF!</definedName>
    <definedName name="СП_R240C19">#REF!</definedName>
    <definedName name="СП_R240C20">#REF!</definedName>
    <definedName name="СП_R240C21">#REF!</definedName>
    <definedName name="СП_R240C22">#REF!</definedName>
    <definedName name="СП_R240C23">#REF!</definedName>
    <definedName name="СП_R240C24">#REF!</definedName>
    <definedName name="СП_R240C25">#REF!</definedName>
    <definedName name="СП_R240C26">#REF!</definedName>
    <definedName name="СП_R240C27">#REF!</definedName>
    <definedName name="СП_R240C28">#REF!</definedName>
    <definedName name="СП_R240C3">#REF!</definedName>
    <definedName name="СП_R240C4">#REF!</definedName>
    <definedName name="СП_R240C5">#REF!</definedName>
    <definedName name="СП_R240C6">#REF!</definedName>
    <definedName name="СП_R240C7">#REF!</definedName>
    <definedName name="СП_R240C8">#REF!</definedName>
    <definedName name="СП_R240C9">#REF!</definedName>
    <definedName name="СП_R241C10">#REF!</definedName>
    <definedName name="СП_R241C11">#REF!</definedName>
    <definedName name="СП_R241C12">#REF!</definedName>
    <definedName name="СП_R241C13">#REF!</definedName>
    <definedName name="СП_R241C14">#REF!</definedName>
    <definedName name="СП_R241C15">#REF!</definedName>
    <definedName name="СП_R241C16">#REF!</definedName>
    <definedName name="СП_R241C17">#REF!</definedName>
    <definedName name="СП_R241C18">#REF!</definedName>
    <definedName name="СП_R241C19">#REF!</definedName>
    <definedName name="СП_R241C20">#REF!</definedName>
    <definedName name="СП_R241C21">#REF!</definedName>
    <definedName name="СП_R241C22">#REF!</definedName>
    <definedName name="СП_R241C23">#REF!</definedName>
    <definedName name="СП_R241C24">#REF!</definedName>
    <definedName name="СП_R241C25">#REF!</definedName>
    <definedName name="СП_R241C26">#REF!</definedName>
    <definedName name="СП_R241C27">#REF!</definedName>
    <definedName name="СП_R241C28">#REF!</definedName>
    <definedName name="СП_R241C3">#REF!</definedName>
    <definedName name="СП_R241C4">#REF!</definedName>
    <definedName name="СП_R241C5">#REF!</definedName>
    <definedName name="СП_R241C6">#REF!</definedName>
    <definedName name="СП_R241C7">#REF!</definedName>
    <definedName name="СП_R241C8">#REF!</definedName>
    <definedName name="СП_R241C9">#REF!</definedName>
    <definedName name="СП_R242C10">#REF!</definedName>
    <definedName name="СП_R242C11">#REF!</definedName>
    <definedName name="СП_R242C12">#REF!</definedName>
    <definedName name="СП_R242C13">#REF!</definedName>
    <definedName name="СП_R242C14">#REF!</definedName>
    <definedName name="СП_R242C15">#REF!</definedName>
    <definedName name="СП_R242C16">#REF!</definedName>
    <definedName name="СП_R242C17">#REF!</definedName>
    <definedName name="СП_R242C18">#REF!</definedName>
    <definedName name="СП_R242C19">#REF!</definedName>
    <definedName name="СП_R242C20">#REF!</definedName>
    <definedName name="СП_R242C21">#REF!</definedName>
    <definedName name="СП_R242C22">#REF!</definedName>
    <definedName name="СП_R242C23">#REF!</definedName>
    <definedName name="СП_R242C24">#REF!</definedName>
    <definedName name="СП_R242C25">#REF!</definedName>
    <definedName name="СП_R242C26">#REF!</definedName>
    <definedName name="СП_R242C27">#REF!</definedName>
    <definedName name="СП_R242C28">#REF!</definedName>
    <definedName name="СП_R242C3">#REF!</definedName>
    <definedName name="СП_R242C4">#REF!</definedName>
    <definedName name="СП_R242C5">#REF!</definedName>
    <definedName name="СП_R242C6">#REF!</definedName>
    <definedName name="СП_R242C7">#REF!</definedName>
    <definedName name="СП_R242C8">#REF!</definedName>
    <definedName name="СП_R242C9">#REF!</definedName>
    <definedName name="СП_R243C10">#REF!</definedName>
    <definedName name="СП_R243C11">#REF!</definedName>
    <definedName name="СП_R243C12">#REF!</definedName>
    <definedName name="СП_R243C13">#REF!</definedName>
    <definedName name="СП_R243C14">#REF!</definedName>
    <definedName name="СП_R243C15">#REF!</definedName>
    <definedName name="СП_R243C16">#REF!</definedName>
    <definedName name="СП_R243C17">#REF!</definedName>
    <definedName name="СП_R243C18">#REF!</definedName>
    <definedName name="СП_R243C19">#REF!</definedName>
    <definedName name="СП_R243C20">#REF!</definedName>
    <definedName name="СП_R243C21">#REF!</definedName>
    <definedName name="СП_R243C22">#REF!</definedName>
    <definedName name="СП_R243C23">#REF!</definedName>
    <definedName name="СП_R243C24">#REF!</definedName>
    <definedName name="СП_R243C25">#REF!</definedName>
    <definedName name="СП_R243C26">#REF!</definedName>
    <definedName name="СП_R243C27">#REF!</definedName>
    <definedName name="СП_R243C28">#REF!</definedName>
    <definedName name="СП_R243C3">#REF!</definedName>
    <definedName name="СП_R243C4">#REF!</definedName>
    <definedName name="СП_R243C5">#REF!</definedName>
    <definedName name="СП_R243C6">#REF!</definedName>
    <definedName name="СП_R243C7">#REF!</definedName>
    <definedName name="СП_R243C8">#REF!</definedName>
    <definedName name="СП_R243C9">#REF!</definedName>
    <definedName name="СП_R244C10">#REF!</definedName>
    <definedName name="СП_R244C11">#REF!</definedName>
    <definedName name="СП_R244C12">#REF!</definedName>
    <definedName name="СП_R244C13">#REF!</definedName>
    <definedName name="СП_R244C14">#REF!</definedName>
    <definedName name="СП_R244C15">#REF!</definedName>
    <definedName name="СП_R244C16">#REF!</definedName>
    <definedName name="СП_R244C17">#REF!</definedName>
    <definedName name="СП_R244C18">#REF!</definedName>
    <definedName name="СП_R244C19">#REF!</definedName>
    <definedName name="СП_R244C20">#REF!</definedName>
    <definedName name="СП_R244C21">#REF!</definedName>
    <definedName name="СП_R244C22">#REF!</definedName>
    <definedName name="СП_R244C23">#REF!</definedName>
    <definedName name="СП_R244C24">#REF!</definedName>
    <definedName name="СП_R244C25">#REF!</definedName>
    <definedName name="СП_R244C26">#REF!</definedName>
    <definedName name="СП_R244C27">#REF!</definedName>
    <definedName name="СП_R244C28">#REF!</definedName>
    <definedName name="СП_R244C3">#REF!</definedName>
    <definedName name="СП_R244C4">#REF!</definedName>
    <definedName name="СП_R244C5">#REF!</definedName>
    <definedName name="СП_R244C6">#REF!</definedName>
    <definedName name="СП_R244C7">#REF!</definedName>
    <definedName name="СП_R244C8">#REF!</definedName>
    <definedName name="СП_R244C9">#REF!</definedName>
    <definedName name="СП_R245C10">#REF!</definedName>
    <definedName name="СП_R245C11">#REF!</definedName>
    <definedName name="СП_R245C12">#REF!</definedName>
    <definedName name="СП_R245C13">#REF!</definedName>
    <definedName name="СП_R245C14">#REF!</definedName>
    <definedName name="СП_R245C15">#REF!</definedName>
    <definedName name="СП_R245C16">#REF!</definedName>
    <definedName name="СП_R245C17">#REF!</definedName>
    <definedName name="СП_R245C18">#REF!</definedName>
    <definedName name="СП_R245C19">#REF!</definedName>
    <definedName name="СП_R245C20">#REF!</definedName>
    <definedName name="СП_R245C21">#REF!</definedName>
    <definedName name="СП_R245C22">#REF!</definedName>
    <definedName name="СП_R245C23">#REF!</definedName>
    <definedName name="СП_R245C24">#REF!</definedName>
    <definedName name="СП_R245C25">#REF!</definedName>
    <definedName name="СП_R245C26">#REF!</definedName>
    <definedName name="СП_R245C27">#REF!</definedName>
    <definedName name="СП_R245C28">#REF!</definedName>
    <definedName name="СП_R245C3">#REF!</definedName>
    <definedName name="СП_R245C4">#REF!</definedName>
    <definedName name="СП_R245C5">#REF!</definedName>
    <definedName name="СП_R245C6">#REF!</definedName>
    <definedName name="СП_R245C7">#REF!</definedName>
    <definedName name="СП_R245C8">#REF!</definedName>
    <definedName name="СП_R245C9">#REF!</definedName>
    <definedName name="СП_R246C10">#REF!</definedName>
    <definedName name="СП_R246C11">#REF!</definedName>
    <definedName name="СП_R246C12">#REF!</definedName>
    <definedName name="СП_R246C13">#REF!</definedName>
    <definedName name="СП_R246C14">#REF!</definedName>
    <definedName name="СП_R246C15">#REF!</definedName>
    <definedName name="СП_R246C16">#REF!</definedName>
    <definedName name="СП_R246C17">#REF!</definedName>
    <definedName name="СП_R246C18">#REF!</definedName>
    <definedName name="СП_R246C19">#REF!</definedName>
    <definedName name="СП_R246C20">#REF!</definedName>
    <definedName name="СП_R246C21">#REF!</definedName>
    <definedName name="СП_R246C22">#REF!</definedName>
    <definedName name="СП_R246C23">#REF!</definedName>
    <definedName name="СП_R246C24">#REF!</definedName>
    <definedName name="СП_R246C25">#REF!</definedName>
    <definedName name="СП_R246C26">#REF!</definedName>
    <definedName name="СП_R246C27">#REF!</definedName>
    <definedName name="СП_R246C28">#REF!</definedName>
    <definedName name="СП_R246C3">#REF!</definedName>
    <definedName name="СП_R246C4">#REF!</definedName>
    <definedName name="СП_R246C5">#REF!</definedName>
    <definedName name="СП_R246C6">#REF!</definedName>
    <definedName name="СП_R246C7">#REF!</definedName>
    <definedName name="СП_R246C8">#REF!</definedName>
    <definedName name="СП_R246C9">#REF!</definedName>
    <definedName name="СП_R247C10">#REF!</definedName>
    <definedName name="СП_R247C11">#REF!</definedName>
    <definedName name="СП_R247C12">#REF!</definedName>
    <definedName name="СП_R247C13">#REF!</definedName>
    <definedName name="СП_R247C14">#REF!</definedName>
    <definedName name="СП_R247C15">#REF!</definedName>
    <definedName name="СП_R247C16">#REF!</definedName>
    <definedName name="СП_R247C17">#REF!</definedName>
    <definedName name="СП_R247C18">#REF!</definedName>
    <definedName name="СП_R247C19">#REF!</definedName>
    <definedName name="СП_R247C20">#REF!</definedName>
    <definedName name="СП_R247C21">#REF!</definedName>
    <definedName name="СП_R247C22">#REF!</definedName>
    <definedName name="СП_R247C23">#REF!</definedName>
    <definedName name="СП_R247C24">#REF!</definedName>
    <definedName name="СП_R247C25">#REF!</definedName>
    <definedName name="СП_R247C26">#REF!</definedName>
    <definedName name="СП_R247C27">#REF!</definedName>
    <definedName name="СП_R247C28">#REF!</definedName>
    <definedName name="СП_R247C3">#REF!</definedName>
    <definedName name="СП_R247C4">#REF!</definedName>
    <definedName name="СП_R247C5">#REF!</definedName>
    <definedName name="СП_R247C6">#REF!</definedName>
    <definedName name="СП_R247C7">#REF!</definedName>
    <definedName name="СП_R247C8">#REF!</definedName>
    <definedName name="СП_R247C9">#REF!</definedName>
    <definedName name="СП_R248C10">#REF!</definedName>
    <definedName name="СП_R248C11">#REF!</definedName>
    <definedName name="СП_R248C12">#REF!</definedName>
    <definedName name="СП_R248C13">#REF!</definedName>
    <definedName name="СП_R248C14">#REF!</definedName>
    <definedName name="СП_R248C15">#REF!</definedName>
    <definedName name="СП_R248C16">#REF!</definedName>
    <definedName name="СП_R248C17">#REF!</definedName>
    <definedName name="СП_R248C18">#REF!</definedName>
    <definedName name="СП_R248C19">#REF!</definedName>
    <definedName name="СП_R248C20">#REF!</definedName>
    <definedName name="СП_R248C21">#REF!</definedName>
    <definedName name="СП_R248C22">#REF!</definedName>
    <definedName name="СП_R248C23">#REF!</definedName>
    <definedName name="СП_R248C24">#REF!</definedName>
    <definedName name="СП_R248C25">#REF!</definedName>
    <definedName name="СП_R248C26">#REF!</definedName>
    <definedName name="СП_R248C27">#REF!</definedName>
    <definedName name="СП_R248C28">#REF!</definedName>
    <definedName name="СП_R248C3">#REF!</definedName>
    <definedName name="СП_R248C4">#REF!</definedName>
    <definedName name="СП_R248C5">#REF!</definedName>
    <definedName name="СП_R248C6">#REF!</definedName>
    <definedName name="СП_R248C7">#REF!</definedName>
    <definedName name="СП_R248C8">#REF!</definedName>
    <definedName name="СП_R248C9">#REF!</definedName>
    <definedName name="СП_R249C10">#REF!</definedName>
    <definedName name="СП_R249C11">#REF!</definedName>
    <definedName name="СП_R249C12">#REF!</definedName>
    <definedName name="СП_R249C13">#REF!</definedName>
    <definedName name="СП_R249C14">#REF!</definedName>
    <definedName name="СП_R249C15">#REF!</definedName>
    <definedName name="СП_R249C16">#REF!</definedName>
    <definedName name="СП_R249C17">#REF!</definedName>
    <definedName name="СП_R249C18">#REF!</definedName>
    <definedName name="СП_R249C19">#REF!</definedName>
    <definedName name="СП_R249C20">#REF!</definedName>
    <definedName name="СП_R249C21">#REF!</definedName>
    <definedName name="СП_R249C22">#REF!</definedName>
    <definedName name="СП_R249C23">#REF!</definedName>
    <definedName name="СП_R249C24">#REF!</definedName>
    <definedName name="СП_R249C25">#REF!</definedName>
    <definedName name="СП_R249C26">#REF!</definedName>
    <definedName name="СП_R249C27">#REF!</definedName>
    <definedName name="СП_R249C28">#REF!</definedName>
    <definedName name="СП_R249C3">#REF!</definedName>
    <definedName name="СП_R249C4">#REF!</definedName>
    <definedName name="СП_R249C5">#REF!</definedName>
    <definedName name="СП_R249C6">#REF!</definedName>
    <definedName name="СП_R249C7">#REF!</definedName>
    <definedName name="СП_R249C8">#REF!</definedName>
    <definedName name="СП_R249C9">#REF!</definedName>
    <definedName name="СП_R24C10">#REF!</definedName>
    <definedName name="СП_R24C11">#REF!</definedName>
    <definedName name="СП_R24C12">#REF!</definedName>
    <definedName name="СП_R24C13">#REF!</definedName>
    <definedName name="СП_R24C14">#REF!</definedName>
    <definedName name="СП_R24C15">#REF!</definedName>
    <definedName name="СП_R24C16">#REF!</definedName>
    <definedName name="СП_R24C17">#REF!</definedName>
    <definedName name="СП_R24C18">#REF!</definedName>
    <definedName name="СП_R24C19">#REF!</definedName>
    <definedName name="СП_R24C20">#REF!</definedName>
    <definedName name="СП_R24C21">#REF!</definedName>
    <definedName name="СП_R24C22">#REF!</definedName>
    <definedName name="СП_R24C23">#REF!</definedName>
    <definedName name="СП_R24C24">#REF!</definedName>
    <definedName name="СП_R24C25">#REF!</definedName>
    <definedName name="СП_R24C26">#REF!</definedName>
    <definedName name="СП_R24C27">#REF!</definedName>
    <definedName name="СП_R24C28">#REF!</definedName>
    <definedName name="СП_R24C3">#REF!</definedName>
    <definedName name="СП_R24C4">#REF!</definedName>
    <definedName name="СП_R24C5">#REF!</definedName>
    <definedName name="СП_R24C6">#REF!</definedName>
    <definedName name="СП_R24C7">#REF!</definedName>
    <definedName name="СП_R24C8">#REF!</definedName>
    <definedName name="СП_R24C9">#REF!</definedName>
    <definedName name="СП_R250C10">#REF!</definedName>
    <definedName name="СП_R250C11">#REF!</definedName>
    <definedName name="СП_R250C12">#REF!</definedName>
    <definedName name="СП_R250C13">#REF!</definedName>
    <definedName name="СП_R250C14">#REF!</definedName>
    <definedName name="СП_R250C15">#REF!</definedName>
    <definedName name="СП_R250C16">#REF!</definedName>
    <definedName name="СП_R250C17">#REF!</definedName>
    <definedName name="СП_R250C18">#REF!</definedName>
    <definedName name="СП_R250C19">#REF!</definedName>
    <definedName name="СП_R250C20">#REF!</definedName>
    <definedName name="СП_R250C21">#REF!</definedName>
    <definedName name="СП_R250C22">#REF!</definedName>
    <definedName name="СП_R250C23">#REF!</definedName>
    <definedName name="СП_R250C24">#REF!</definedName>
    <definedName name="СП_R250C25">#REF!</definedName>
    <definedName name="СП_R250C26">#REF!</definedName>
    <definedName name="СП_R250C27">#REF!</definedName>
    <definedName name="СП_R250C28">#REF!</definedName>
    <definedName name="СП_R250C3">#REF!</definedName>
    <definedName name="СП_R250C4">#REF!</definedName>
    <definedName name="СП_R250C5">#REF!</definedName>
    <definedName name="СП_R250C6">#REF!</definedName>
    <definedName name="СП_R250C7">#REF!</definedName>
    <definedName name="СП_R250C8">#REF!</definedName>
    <definedName name="СП_R250C9">#REF!</definedName>
    <definedName name="СП_R251C10">#REF!</definedName>
    <definedName name="СП_R251C11">#REF!</definedName>
    <definedName name="СП_R251C12">#REF!</definedName>
    <definedName name="СП_R251C13">#REF!</definedName>
    <definedName name="СП_R251C14">#REF!</definedName>
    <definedName name="СП_R251C15">#REF!</definedName>
    <definedName name="СП_R251C16">#REF!</definedName>
    <definedName name="СП_R251C17">#REF!</definedName>
    <definedName name="СП_R251C18">#REF!</definedName>
    <definedName name="СП_R251C19">#REF!</definedName>
    <definedName name="СП_R251C20">#REF!</definedName>
    <definedName name="СП_R251C21">#REF!</definedName>
    <definedName name="СП_R251C22">#REF!</definedName>
    <definedName name="СП_R251C23">#REF!</definedName>
    <definedName name="СП_R251C24">#REF!</definedName>
    <definedName name="СП_R251C25">#REF!</definedName>
    <definedName name="СП_R251C26">#REF!</definedName>
    <definedName name="СП_R251C27">#REF!</definedName>
    <definedName name="СП_R251C28">#REF!</definedName>
    <definedName name="СП_R251C3">#REF!</definedName>
    <definedName name="СП_R251C4">#REF!</definedName>
    <definedName name="СП_R251C5">#REF!</definedName>
    <definedName name="СП_R251C6">#REF!</definedName>
    <definedName name="СП_R251C7">#REF!</definedName>
    <definedName name="СП_R251C8">#REF!</definedName>
    <definedName name="СП_R251C9">#REF!</definedName>
    <definedName name="СП_R252C10">#REF!</definedName>
    <definedName name="СП_R252C11">#REF!</definedName>
    <definedName name="СП_R252C12">#REF!</definedName>
    <definedName name="СП_R252C13">#REF!</definedName>
    <definedName name="СП_R252C14">#REF!</definedName>
    <definedName name="СП_R252C15">#REF!</definedName>
    <definedName name="СП_R252C16">#REF!</definedName>
    <definedName name="СП_R252C17">#REF!</definedName>
    <definedName name="СП_R252C18">#REF!</definedName>
    <definedName name="СП_R252C19">#REF!</definedName>
    <definedName name="СП_R252C20">#REF!</definedName>
    <definedName name="СП_R252C21">#REF!</definedName>
    <definedName name="СП_R252C22">#REF!</definedName>
    <definedName name="СП_R252C23">#REF!</definedName>
    <definedName name="СП_R252C24">#REF!</definedName>
    <definedName name="СП_R252C25">#REF!</definedName>
    <definedName name="СП_R252C26">#REF!</definedName>
    <definedName name="СП_R252C27">#REF!</definedName>
    <definedName name="СП_R252C28">#REF!</definedName>
    <definedName name="СП_R252C3">#REF!</definedName>
    <definedName name="СП_R252C4">#REF!</definedName>
    <definedName name="СП_R252C5">#REF!</definedName>
    <definedName name="СП_R252C6">#REF!</definedName>
    <definedName name="СП_R252C7">#REF!</definedName>
    <definedName name="СП_R252C8">#REF!</definedName>
    <definedName name="СП_R252C9">#REF!</definedName>
    <definedName name="СП_R253C10">#REF!</definedName>
    <definedName name="СП_R253C11">#REF!</definedName>
    <definedName name="СП_R253C12">#REF!</definedName>
    <definedName name="СП_R253C13">#REF!</definedName>
    <definedName name="СП_R253C14">#REF!</definedName>
    <definedName name="СП_R253C15">#REF!</definedName>
    <definedName name="СП_R253C16">#REF!</definedName>
    <definedName name="СП_R253C17">#REF!</definedName>
    <definedName name="СП_R253C18">#REF!</definedName>
    <definedName name="СП_R253C19">#REF!</definedName>
    <definedName name="СП_R253C20">#REF!</definedName>
    <definedName name="СП_R253C21">#REF!</definedName>
    <definedName name="СП_R253C22">#REF!</definedName>
    <definedName name="СП_R253C23">#REF!</definedName>
    <definedName name="СП_R253C24">#REF!</definedName>
    <definedName name="СП_R253C25">#REF!</definedName>
    <definedName name="СП_R253C26">#REF!</definedName>
    <definedName name="СП_R253C27">#REF!</definedName>
    <definedName name="СП_R253C28">#REF!</definedName>
    <definedName name="СП_R253C3">#REF!</definedName>
    <definedName name="СП_R253C4">#REF!</definedName>
    <definedName name="СП_R253C5">#REF!</definedName>
    <definedName name="СП_R253C6">#REF!</definedName>
    <definedName name="СП_R253C7">#REF!</definedName>
    <definedName name="СП_R253C8">#REF!</definedName>
    <definedName name="СП_R253C9">#REF!</definedName>
    <definedName name="СП_R254C10">#REF!</definedName>
    <definedName name="СП_R254C11">#REF!</definedName>
    <definedName name="СП_R254C12">#REF!</definedName>
    <definedName name="СП_R254C13">#REF!</definedName>
    <definedName name="СП_R254C14">#REF!</definedName>
    <definedName name="СП_R254C15">#REF!</definedName>
    <definedName name="СП_R254C16">#REF!</definedName>
    <definedName name="СП_R254C17">#REF!</definedName>
    <definedName name="СП_R254C18">#REF!</definedName>
    <definedName name="СП_R254C19">#REF!</definedName>
    <definedName name="СП_R254C20">#REF!</definedName>
    <definedName name="СП_R254C21">#REF!</definedName>
    <definedName name="СП_R254C22">#REF!</definedName>
    <definedName name="СП_R254C23">#REF!</definedName>
    <definedName name="СП_R254C24">#REF!</definedName>
    <definedName name="СП_R254C25">#REF!</definedName>
    <definedName name="СП_R254C26">#REF!</definedName>
    <definedName name="СП_R254C27">#REF!</definedName>
    <definedName name="СП_R254C28">#REF!</definedName>
    <definedName name="СП_R254C3">#REF!</definedName>
    <definedName name="СП_R254C4">#REF!</definedName>
    <definedName name="СП_R254C5">#REF!</definedName>
    <definedName name="СП_R254C6">#REF!</definedName>
    <definedName name="СП_R254C7">#REF!</definedName>
    <definedName name="СП_R254C8">#REF!</definedName>
    <definedName name="СП_R254C9">#REF!</definedName>
    <definedName name="СП_R255C10">#REF!</definedName>
    <definedName name="СП_R255C11">#REF!</definedName>
    <definedName name="СП_R255C12">#REF!</definedName>
    <definedName name="СП_R255C13">#REF!</definedName>
    <definedName name="СП_R255C14">#REF!</definedName>
    <definedName name="СП_R255C15">#REF!</definedName>
    <definedName name="СП_R255C16">#REF!</definedName>
    <definedName name="СП_R255C17">#REF!</definedName>
    <definedName name="СП_R255C18">#REF!</definedName>
    <definedName name="СП_R255C19">#REF!</definedName>
    <definedName name="СП_R255C20">#REF!</definedName>
    <definedName name="СП_R255C21">#REF!</definedName>
    <definedName name="СП_R255C22">#REF!</definedName>
    <definedName name="СП_R255C23">#REF!</definedName>
    <definedName name="СП_R255C24">#REF!</definedName>
    <definedName name="СП_R255C25">#REF!</definedName>
    <definedName name="СП_R255C26">#REF!</definedName>
    <definedName name="СП_R255C27">#REF!</definedName>
    <definedName name="СП_R255C28">#REF!</definedName>
    <definedName name="СП_R255C3">#REF!</definedName>
    <definedName name="СП_R255C4">#REF!</definedName>
    <definedName name="СП_R255C5">#REF!</definedName>
    <definedName name="СП_R255C6">#REF!</definedName>
    <definedName name="СП_R255C7">#REF!</definedName>
    <definedName name="СП_R255C8">#REF!</definedName>
    <definedName name="СП_R255C9">#REF!</definedName>
    <definedName name="СП_R256C10">#REF!</definedName>
    <definedName name="СП_R256C11">#REF!</definedName>
    <definedName name="СП_R256C12">#REF!</definedName>
    <definedName name="СП_R256C13">#REF!</definedName>
    <definedName name="СП_R256C14">#REF!</definedName>
    <definedName name="СП_R256C15">#REF!</definedName>
    <definedName name="СП_R256C16">#REF!</definedName>
    <definedName name="СП_R256C17">#REF!</definedName>
    <definedName name="СП_R256C18">#REF!</definedName>
    <definedName name="СП_R256C19">#REF!</definedName>
    <definedName name="СП_R256C20">#REF!</definedName>
    <definedName name="СП_R256C21">#REF!</definedName>
    <definedName name="СП_R256C22">#REF!</definedName>
    <definedName name="СП_R256C23">#REF!</definedName>
    <definedName name="СП_R256C24">#REF!</definedName>
    <definedName name="СП_R256C25">#REF!</definedName>
    <definedName name="СП_R256C26">#REF!</definedName>
    <definedName name="СП_R256C27">#REF!</definedName>
    <definedName name="СП_R256C28">#REF!</definedName>
    <definedName name="СП_R256C3">#REF!</definedName>
    <definedName name="СП_R256C4">#REF!</definedName>
    <definedName name="СП_R256C5">#REF!</definedName>
    <definedName name="СП_R256C6">#REF!</definedName>
    <definedName name="СП_R256C7">#REF!</definedName>
    <definedName name="СП_R256C8">#REF!</definedName>
    <definedName name="СП_R256C9">#REF!</definedName>
    <definedName name="СП_R257C10">#REF!</definedName>
    <definedName name="СП_R257C11">#REF!</definedName>
    <definedName name="СП_R257C12">#REF!</definedName>
    <definedName name="СП_R257C13">#REF!</definedName>
    <definedName name="СП_R257C14">#REF!</definedName>
    <definedName name="СП_R257C15">#REF!</definedName>
    <definedName name="СП_R257C16">#REF!</definedName>
    <definedName name="СП_R257C17">#REF!</definedName>
    <definedName name="СП_R257C18">#REF!</definedName>
    <definedName name="СП_R257C19">#REF!</definedName>
    <definedName name="СП_R257C20">#REF!</definedName>
    <definedName name="СП_R257C21">#REF!</definedName>
    <definedName name="СП_R257C22">#REF!</definedName>
    <definedName name="СП_R257C23">#REF!</definedName>
    <definedName name="СП_R257C24">#REF!</definedName>
    <definedName name="СП_R257C25">#REF!</definedName>
    <definedName name="СП_R257C26">#REF!</definedName>
    <definedName name="СП_R257C27">#REF!</definedName>
    <definedName name="СП_R257C28">#REF!</definedName>
    <definedName name="СП_R257C3">#REF!</definedName>
    <definedName name="СП_R257C4">#REF!</definedName>
    <definedName name="СП_R257C5">#REF!</definedName>
    <definedName name="СП_R257C6">#REF!</definedName>
    <definedName name="СП_R257C7">#REF!</definedName>
    <definedName name="СП_R257C8">#REF!</definedName>
    <definedName name="СП_R257C9">#REF!</definedName>
    <definedName name="СП_R258C10">#REF!</definedName>
    <definedName name="СП_R258C11">#REF!</definedName>
    <definedName name="СП_R258C12">#REF!</definedName>
    <definedName name="СП_R258C13">#REF!</definedName>
    <definedName name="СП_R258C14">#REF!</definedName>
    <definedName name="СП_R258C15">#REF!</definedName>
    <definedName name="СП_R258C16">#REF!</definedName>
    <definedName name="СП_R258C17">#REF!</definedName>
    <definedName name="СП_R258C18">#REF!</definedName>
    <definedName name="СП_R258C19">#REF!</definedName>
    <definedName name="СП_R258C20">#REF!</definedName>
    <definedName name="СП_R258C21">#REF!</definedName>
    <definedName name="СП_R258C22">#REF!</definedName>
    <definedName name="СП_R258C23">#REF!</definedName>
    <definedName name="СП_R258C24">#REF!</definedName>
    <definedName name="СП_R258C25">#REF!</definedName>
    <definedName name="СП_R258C26">#REF!</definedName>
    <definedName name="СП_R258C27">#REF!</definedName>
    <definedName name="СП_R258C28">#REF!</definedName>
    <definedName name="СП_R258C3">#REF!</definedName>
    <definedName name="СП_R258C4">#REF!</definedName>
    <definedName name="СП_R258C5">#REF!</definedName>
    <definedName name="СП_R258C6">#REF!</definedName>
    <definedName name="СП_R258C7">#REF!</definedName>
    <definedName name="СП_R258C8">#REF!</definedName>
    <definedName name="СП_R258C9">#REF!</definedName>
    <definedName name="СП_R259C10">#REF!</definedName>
    <definedName name="СП_R259C11">#REF!</definedName>
    <definedName name="СП_R259C12">#REF!</definedName>
    <definedName name="СП_R259C13">#REF!</definedName>
    <definedName name="СП_R259C14">#REF!</definedName>
    <definedName name="СП_R259C15">#REF!</definedName>
    <definedName name="СП_R259C16">#REF!</definedName>
    <definedName name="СП_R259C17">#REF!</definedName>
    <definedName name="СП_R259C18">#REF!</definedName>
    <definedName name="СП_R259C19">#REF!</definedName>
    <definedName name="СП_R259C20">#REF!</definedName>
    <definedName name="СП_R259C21">#REF!</definedName>
    <definedName name="СП_R259C22">#REF!</definedName>
    <definedName name="СП_R259C23">#REF!</definedName>
    <definedName name="СП_R259C24">#REF!</definedName>
    <definedName name="СП_R259C25">#REF!</definedName>
    <definedName name="СП_R259C26">#REF!</definedName>
    <definedName name="СП_R259C27">#REF!</definedName>
    <definedName name="СП_R259C28">#REF!</definedName>
    <definedName name="СП_R259C3">#REF!</definedName>
    <definedName name="СП_R259C4">#REF!</definedName>
    <definedName name="СП_R259C5">#REF!</definedName>
    <definedName name="СП_R259C6">#REF!</definedName>
    <definedName name="СП_R259C7">#REF!</definedName>
    <definedName name="СП_R259C8">#REF!</definedName>
    <definedName name="СП_R259C9">#REF!</definedName>
    <definedName name="СП_R25C10">#REF!</definedName>
    <definedName name="СП_R25C11">#REF!</definedName>
    <definedName name="СП_R25C12">#REF!</definedName>
    <definedName name="СП_R25C13">#REF!</definedName>
    <definedName name="СП_R25C14">#REF!</definedName>
    <definedName name="СП_R25C15">#REF!</definedName>
    <definedName name="СП_R25C16">#REF!</definedName>
    <definedName name="СП_R25C17">#REF!</definedName>
    <definedName name="СП_R25C18">#REF!</definedName>
    <definedName name="СП_R25C19">#REF!</definedName>
    <definedName name="СП_R25C20">#REF!</definedName>
    <definedName name="СП_R25C21">#REF!</definedName>
    <definedName name="СП_R25C22">#REF!</definedName>
    <definedName name="СП_R25C23">#REF!</definedName>
    <definedName name="СП_R25C24">#REF!</definedName>
    <definedName name="СП_R25C25">#REF!</definedName>
    <definedName name="СП_R25C26">#REF!</definedName>
    <definedName name="СП_R25C27">#REF!</definedName>
    <definedName name="СП_R25C28">#REF!</definedName>
    <definedName name="СП_R25C3">#REF!</definedName>
    <definedName name="СП_R25C4">#REF!</definedName>
    <definedName name="СП_R25C5">#REF!</definedName>
    <definedName name="СП_R25C6">#REF!</definedName>
    <definedName name="СП_R25C7">#REF!</definedName>
    <definedName name="СП_R25C8">#REF!</definedName>
    <definedName name="СП_R25C9">#REF!</definedName>
    <definedName name="СП_R260C10">#REF!</definedName>
    <definedName name="СП_R260C11">#REF!</definedName>
    <definedName name="СП_R260C12">#REF!</definedName>
    <definedName name="СП_R260C13">#REF!</definedName>
    <definedName name="СП_R260C14">#REF!</definedName>
    <definedName name="СП_R260C15">#REF!</definedName>
    <definedName name="СП_R260C16">#REF!</definedName>
    <definedName name="СП_R260C17">#REF!</definedName>
    <definedName name="СП_R260C18">#REF!</definedName>
    <definedName name="СП_R260C19">#REF!</definedName>
    <definedName name="СП_R260C20">#REF!</definedName>
    <definedName name="СП_R260C21">#REF!</definedName>
    <definedName name="СП_R260C22">#REF!</definedName>
    <definedName name="СП_R260C23">#REF!</definedName>
    <definedName name="СП_R260C24">#REF!</definedName>
    <definedName name="СП_R260C25">#REF!</definedName>
    <definedName name="СП_R260C26">#REF!</definedName>
    <definedName name="СП_R260C27">#REF!</definedName>
    <definedName name="СП_R260C28">#REF!</definedName>
    <definedName name="СП_R260C3">#REF!</definedName>
    <definedName name="СП_R260C4">#REF!</definedName>
    <definedName name="СП_R260C5">#REF!</definedName>
    <definedName name="СП_R260C6">#REF!</definedName>
    <definedName name="СП_R260C7">#REF!</definedName>
    <definedName name="СП_R260C8">#REF!</definedName>
    <definedName name="СП_R260C9">#REF!</definedName>
    <definedName name="СП_R261C10">#REF!</definedName>
    <definedName name="СП_R261C11">#REF!</definedName>
    <definedName name="СП_R261C12">#REF!</definedName>
    <definedName name="СП_R261C13">#REF!</definedName>
    <definedName name="СП_R261C14">#REF!</definedName>
    <definedName name="СП_R261C15">#REF!</definedName>
    <definedName name="СП_R261C16">#REF!</definedName>
    <definedName name="СП_R261C17">#REF!</definedName>
    <definedName name="СП_R261C18">#REF!</definedName>
    <definedName name="СП_R261C19">#REF!</definedName>
    <definedName name="СП_R261C20">#REF!</definedName>
    <definedName name="СП_R261C21">#REF!</definedName>
    <definedName name="СП_R261C22">#REF!</definedName>
    <definedName name="СП_R261C23">#REF!</definedName>
    <definedName name="СП_R261C24">#REF!</definedName>
    <definedName name="СП_R261C25">#REF!</definedName>
    <definedName name="СП_R261C26">#REF!</definedName>
    <definedName name="СП_R261C27">#REF!</definedName>
    <definedName name="СП_R261C28">#REF!</definedName>
    <definedName name="СП_R261C3">#REF!</definedName>
    <definedName name="СП_R261C4">#REF!</definedName>
    <definedName name="СП_R261C5">#REF!</definedName>
    <definedName name="СП_R261C6">#REF!</definedName>
    <definedName name="СП_R261C7">#REF!</definedName>
    <definedName name="СП_R261C8">#REF!</definedName>
    <definedName name="СП_R261C9">#REF!</definedName>
    <definedName name="СП_R262C10">#REF!</definedName>
    <definedName name="СП_R262C11">#REF!</definedName>
    <definedName name="СП_R262C12">#REF!</definedName>
    <definedName name="СП_R262C13">#REF!</definedName>
    <definedName name="СП_R262C14">#REF!</definedName>
    <definedName name="СП_R262C15">#REF!</definedName>
    <definedName name="СП_R262C16">#REF!</definedName>
    <definedName name="СП_R262C17">#REF!</definedName>
    <definedName name="СП_R262C18">#REF!</definedName>
    <definedName name="СП_R262C19">#REF!</definedName>
    <definedName name="СП_R262C20">#REF!</definedName>
    <definedName name="СП_R262C21">#REF!</definedName>
    <definedName name="СП_R262C22">#REF!</definedName>
    <definedName name="СП_R262C23">#REF!</definedName>
    <definedName name="СП_R262C24">#REF!</definedName>
    <definedName name="СП_R262C25">#REF!</definedName>
    <definedName name="СП_R262C26">#REF!</definedName>
    <definedName name="СП_R262C27">#REF!</definedName>
    <definedName name="СП_R262C28">#REF!</definedName>
    <definedName name="СП_R262C3">#REF!</definedName>
    <definedName name="СП_R262C4">#REF!</definedName>
    <definedName name="СП_R262C5">#REF!</definedName>
    <definedName name="СП_R262C6">#REF!</definedName>
    <definedName name="СП_R262C7">#REF!</definedName>
    <definedName name="СП_R262C8">#REF!</definedName>
    <definedName name="СП_R262C9">#REF!</definedName>
    <definedName name="СП_R263C10">#REF!</definedName>
    <definedName name="СП_R263C11">#REF!</definedName>
    <definedName name="СП_R263C12">#REF!</definedName>
    <definedName name="СП_R263C13">#REF!</definedName>
    <definedName name="СП_R263C14">#REF!</definedName>
    <definedName name="СП_R263C15">#REF!</definedName>
    <definedName name="СП_R263C16">#REF!</definedName>
    <definedName name="СП_R263C17">#REF!</definedName>
    <definedName name="СП_R263C18">#REF!</definedName>
    <definedName name="СП_R263C19">#REF!</definedName>
    <definedName name="СП_R263C20">#REF!</definedName>
    <definedName name="СП_R263C21">#REF!</definedName>
    <definedName name="СП_R263C22">#REF!</definedName>
    <definedName name="СП_R263C23">#REF!</definedName>
    <definedName name="СП_R263C24">#REF!</definedName>
    <definedName name="СП_R263C25">#REF!</definedName>
    <definedName name="СП_R263C26">#REF!</definedName>
    <definedName name="СП_R263C27">#REF!</definedName>
    <definedName name="СП_R263C28">#REF!</definedName>
    <definedName name="СП_R263C3">#REF!</definedName>
    <definedName name="СП_R263C4">#REF!</definedName>
    <definedName name="СП_R263C5">#REF!</definedName>
    <definedName name="СП_R263C6">#REF!</definedName>
    <definedName name="СП_R263C7">#REF!</definedName>
    <definedName name="СП_R263C8">#REF!</definedName>
    <definedName name="СП_R263C9">#REF!</definedName>
    <definedName name="СП_R264C10">#REF!</definedName>
    <definedName name="СП_R264C11">#REF!</definedName>
    <definedName name="СП_R264C12">#REF!</definedName>
    <definedName name="СП_R264C13">#REF!</definedName>
    <definedName name="СП_R264C14">#REF!</definedName>
    <definedName name="СП_R264C15">#REF!</definedName>
    <definedName name="СП_R264C16">#REF!</definedName>
    <definedName name="СП_R264C17">#REF!</definedName>
    <definedName name="СП_R264C18">#REF!</definedName>
    <definedName name="СП_R264C19">#REF!</definedName>
    <definedName name="СП_R264C20">#REF!</definedName>
    <definedName name="СП_R264C21">#REF!</definedName>
    <definedName name="СП_R264C22">#REF!</definedName>
    <definedName name="СП_R264C23">#REF!</definedName>
    <definedName name="СП_R264C24">#REF!</definedName>
    <definedName name="СП_R264C25">#REF!</definedName>
    <definedName name="СП_R264C26">#REF!</definedName>
    <definedName name="СП_R264C27">#REF!</definedName>
    <definedName name="СП_R264C28">#REF!</definedName>
    <definedName name="СП_R264C3">#REF!</definedName>
    <definedName name="СП_R264C4">#REF!</definedName>
    <definedName name="СП_R264C5">#REF!</definedName>
    <definedName name="СП_R264C6">#REF!</definedName>
    <definedName name="СП_R264C7">#REF!</definedName>
    <definedName name="СП_R264C8">#REF!</definedName>
    <definedName name="СП_R264C9">#REF!</definedName>
    <definedName name="СП_R265C10">#REF!</definedName>
    <definedName name="СП_R265C11">#REF!</definedName>
    <definedName name="СП_R265C12">#REF!</definedName>
    <definedName name="СП_R265C13">#REF!</definedName>
    <definedName name="СП_R265C14">#REF!</definedName>
    <definedName name="СП_R265C15">#REF!</definedName>
    <definedName name="СП_R265C16">#REF!</definedName>
    <definedName name="СП_R265C17">#REF!</definedName>
    <definedName name="СП_R265C18">#REF!</definedName>
    <definedName name="СП_R265C19">#REF!</definedName>
    <definedName name="СП_R265C20">#REF!</definedName>
    <definedName name="СП_R265C21">#REF!</definedName>
    <definedName name="СП_R265C22">#REF!</definedName>
    <definedName name="СП_R265C23">#REF!</definedName>
    <definedName name="СП_R265C24">#REF!</definedName>
    <definedName name="СП_R265C25">#REF!</definedName>
    <definedName name="СП_R265C26">#REF!</definedName>
    <definedName name="СП_R265C27">#REF!</definedName>
    <definedName name="СП_R265C28">#REF!</definedName>
    <definedName name="СП_R265C3">#REF!</definedName>
    <definedName name="СП_R265C4">#REF!</definedName>
    <definedName name="СП_R265C5">#REF!</definedName>
    <definedName name="СП_R265C6">#REF!</definedName>
    <definedName name="СП_R265C7">#REF!</definedName>
    <definedName name="СП_R265C8">#REF!</definedName>
    <definedName name="СП_R265C9">#REF!</definedName>
    <definedName name="СП_R266C10">#REF!</definedName>
    <definedName name="СП_R266C11">#REF!</definedName>
    <definedName name="СП_R266C12">#REF!</definedName>
    <definedName name="СП_R266C13">#REF!</definedName>
    <definedName name="СП_R266C14">#REF!</definedName>
    <definedName name="СП_R266C15">#REF!</definedName>
    <definedName name="СП_R266C16">#REF!</definedName>
    <definedName name="СП_R266C17">#REF!</definedName>
    <definedName name="СП_R266C18">#REF!</definedName>
    <definedName name="СП_R266C19">#REF!</definedName>
    <definedName name="СП_R266C20">#REF!</definedName>
    <definedName name="СП_R266C21">#REF!</definedName>
    <definedName name="СП_R266C22">#REF!</definedName>
    <definedName name="СП_R266C23">#REF!</definedName>
    <definedName name="СП_R266C24">#REF!</definedName>
    <definedName name="СП_R266C25">#REF!</definedName>
    <definedName name="СП_R266C26">#REF!</definedName>
    <definedName name="СП_R266C27">#REF!</definedName>
    <definedName name="СП_R266C28">#REF!</definedName>
    <definedName name="СП_R266C3">#REF!</definedName>
    <definedName name="СП_R266C4">#REF!</definedName>
    <definedName name="СП_R266C5">#REF!</definedName>
    <definedName name="СП_R266C6">#REF!</definedName>
    <definedName name="СП_R266C7">#REF!</definedName>
    <definedName name="СП_R266C8">#REF!</definedName>
    <definedName name="СП_R266C9">#REF!</definedName>
    <definedName name="СП_R267C10">#REF!</definedName>
    <definedName name="СП_R267C11">#REF!</definedName>
    <definedName name="СП_R267C12">#REF!</definedName>
    <definedName name="СП_R267C13">#REF!</definedName>
    <definedName name="СП_R267C14">#REF!</definedName>
    <definedName name="СП_R267C15">#REF!</definedName>
    <definedName name="СП_R267C16">#REF!</definedName>
    <definedName name="СП_R267C17">#REF!</definedName>
    <definedName name="СП_R267C18">#REF!</definedName>
    <definedName name="СП_R267C19">#REF!</definedName>
    <definedName name="СП_R267C20">#REF!</definedName>
    <definedName name="СП_R267C21">#REF!</definedName>
    <definedName name="СП_R267C22">#REF!</definedName>
    <definedName name="СП_R267C23">#REF!</definedName>
    <definedName name="СП_R267C24">#REF!</definedName>
    <definedName name="СП_R267C25">#REF!</definedName>
    <definedName name="СП_R267C26">#REF!</definedName>
    <definedName name="СП_R267C27">#REF!</definedName>
    <definedName name="СП_R267C28">#REF!</definedName>
    <definedName name="СП_R267C3">#REF!</definedName>
    <definedName name="СП_R267C4">#REF!</definedName>
    <definedName name="СП_R267C5">#REF!</definedName>
    <definedName name="СП_R267C6">#REF!</definedName>
    <definedName name="СП_R267C7">#REF!</definedName>
    <definedName name="СП_R267C8">#REF!</definedName>
    <definedName name="СП_R267C9">#REF!</definedName>
    <definedName name="СП_R268C10">#REF!</definedName>
    <definedName name="СП_R268C11">#REF!</definedName>
    <definedName name="СП_R268C12">#REF!</definedName>
    <definedName name="СП_R268C13">#REF!</definedName>
    <definedName name="СП_R268C14">#REF!</definedName>
    <definedName name="СП_R268C15">#REF!</definedName>
    <definedName name="СП_R268C16">#REF!</definedName>
    <definedName name="СП_R268C17">#REF!</definedName>
    <definedName name="СП_R268C18">#REF!</definedName>
    <definedName name="СП_R268C19">#REF!</definedName>
    <definedName name="СП_R268C20">#REF!</definedName>
    <definedName name="СП_R268C21">#REF!</definedName>
    <definedName name="СП_R268C22">#REF!</definedName>
    <definedName name="СП_R268C23">#REF!</definedName>
    <definedName name="СП_R268C24">#REF!</definedName>
    <definedName name="СП_R268C25">#REF!</definedName>
    <definedName name="СП_R268C26">#REF!</definedName>
    <definedName name="СП_R268C27">#REF!</definedName>
    <definedName name="СП_R268C28">#REF!</definedName>
    <definedName name="СП_R268C3">#REF!</definedName>
    <definedName name="СП_R268C4">#REF!</definedName>
    <definedName name="СП_R268C5">#REF!</definedName>
    <definedName name="СП_R268C6">#REF!</definedName>
    <definedName name="СП_R268C7">#REF!</definedName>
    <definedName name="СП_R268C8">#REF!</definedName>
    <definedName name="СП_R268C9">#REF!</definedName>
    <definedName name="СП_R269C10">#REF!</definedName>
    <definedName name="СП_R269C11">#REF!</definedName>
    <definedName name="СП_R269C12">#REF!</definedName>
    <definedName name="СП_R269C13">#REF!</definedName>
    <definedName name="СП_R269C14">#REF!</definedName>
    <definedName name="СП_R269C15">#REF!</definedName>
    <definedName name="СП_R269C16">#REF!</definedName>
    <definedName name="СП_R269C17">#REF!</definedName>
    <definedName name="СП_R269C18">#REF!</definedName>
    <definedName name="СП_R269C19">#REF!</definedName>
    <definedName name="СП_R269C20">#REF!</definedName>
    <definedName name="СП_R269C21">#REF!</definedName>
    <definedName name="СП_R269C22">#REF!</definedName>
    <definedName name="СП_R269C23">#REF!</definedName>
    <definedName name="СП_R269C24">#REF!</definedName>
    <definedName name="СП_R269C25">#REF!</definedName>
    <definedName name="СП_R269C26">#REF!</definedName>
    <definedName name="СП_R269C27">#REF!</definedName>
    <definedName name="СП_R269C28">#REF!</definedName>
    <definedName name="СП_R269C3">#REF!</definedName>
    <definedName name="СП_R269C4">#REF!</definedName>
    <definedName name="СП_R269C5">#REF!</definedName>
    <definedName name="СП_R269C6">#REF!</definedName>
    <definedName name="СП_R269C7">#REF!</definedName>
    <definedName name="СП_R269C8">#REF!</definedName>
    <definedName name="СП_R269C9">#REF!</definedName>
    <definedName name="СП_R26C10">#REF!</definedName>
    <definedName name="СП_R26C11">#REF!</definedName>
    <definedName name="СП_R26C12">#REF!</definedName>
    <definedName name="СП_R26C13">#REF!</definedName>
    <definedName name="СП_R26C14">#REF!</definedName>
    <definedName name="СП_R26C15">#REF!</definedName>
    <definedName name="СП_R26C16">#REF!</definedName>
    <definedName name="СП_R26C17">#REF!</definedName>
    <definedName name="СП_R26C18">#REF!</definedName>
    <definedName name="СП_R26C19">#REF!</definedName>
    <definedName name="СП_R26C20">#REF!</definedName>
    <definedName name="СП_R26C21">#REF!</definedName>
    <definedName name="СП_R26C22">#REF!</definedName>
    <definedName name="СП_R26C23">#REF!</definedName>
    <definedName name="СП_R26C24">#REF!</definedName>
    <definedName name="СП_R26C25">#REF!</definedName>
    <definedName name="СП_R26C26">#REF!</definedName>
    <definedName name="СП_R26C27">#REF!</definedName>
    <definedName name="СП_R26C28">#REF!</definedName>
    <definedName name="СП_R26C3">#REF!</definedName>
    <definedName name="СП_R26C4">#REF!</definedName>
    <definedName name="СП_R26C5">#REF!</definedName>
    <definedName name="СП_R26C6">#REF!</definedName>
    <definedName name="СП_R26C7">#REF!</definedName>
    <definedName name="СП_R26C8">#REF!</definedName>
    <definedName name="СП_R26C9">#REF!</definedName>
    <definedName name="СП_R270C10">#REF!</definedName>
    <definedName name="СП_R270C11">#REF!</definedName>
    <definedName name="СП_R270C12">#REF!</definedName>
    <definedName name="СП_R270C13">#REF!</definedName>
    <definedName name="СП_R270C14">#REF!</definedName>
    <definedName name="СП_R270C15">#REF!</definedName>
    <definedName name="СП_R270C16">#REF!</definedName>
    <definedName name="СП_R270C17">#REF!</definedName>
    <definedName name="СП_R270C18">#REF!</definedName>
    <definedName name="СП_R270C19">#REF!</definedName>
    <definedName name="СП_R270C20">#REF!</definedName>
    <definedName name="СП_R270C21">#REF!</definedName>
    <definedName name="СП_R270C22">#REF!</definedName>
    <definedName name="СП_R270C23">#REF!</definedName>
    <definedName name="СП_R270C24">#REF!</definedName>
    <definedName name="СП_R270C25">#REF!</definedName>
    <definedName name="СП_R270C26">#REF!</definedName>
    <definedName name="СП_R270C27">#REF!</definedName>
    <definedName name="СП_R270C28">#REF!</definedName>
    <definedName name="СП_R270C3">#REF!</definedName>
    <definedName name="СП_R270C4">#REF!</definedName>
    <definedName name="СП_R270C5">#REF!</definedName>
    <definedName name="СП_R270C6">#REF!</definedName>
    <definedName name="СП_R270C7">#REF!</definedName>
    <definedName name="СП_R270C8">#REF!</definedName>
    <definedName name="СП_R270C9">#REF!</definedName>
    <definedName name="СП_R271C10">#REF!</definedName>
    <definedName name="СП_R271C11">#REF!</definedName>
    <definedName name="СП_R271C12">#REF!</definedName>
    <definedName name="СП_R271C13">#REF!</definedName>
    <definedName name="СП_R271C14">#REF!</definedName>
    <definedName name="СП_R271C15">#REF!</definedName>
    <definedName name="СП_R271C16">#REF!</definedName>
    <definedName name="СП_R271C17">#REF!</definedName>
    <definedName name="СП_R271C18">#REF!</definedName>
    <definedName name="СП_R271C19">#REF!</definedName>
    <definedName name="СП_R271C20">#REF!</definedName>
    <definedName name="СП_R271C21">#REF!</definedName>
    <definedName name="СП_R271C22">#REF!</definedName>
    <definedName name="СП_R271C23">#REF!</definedName>
    <definedName name="СП_R271C24">#REF!</definedName>
    <definedName name="СП_R271C25">#REF!</definedName>
    <definedName name="СП_R271C26">#REF!</definedName>
    <definedName name="СП_R271C27">#REF!</definedName>
    <definedName name="СП_R271C28">#REF!</definedName>
    <definedName name="СП_R271C3">#REF!</definedName>
    <definedName name="СП_R271C4">#REF!</definedName>
    <definedName name="СП_R271C5">#REF!</definedName>
    <definedName name="СП_R271C6">#REF!</definedName>
    <definedName name="СП_R271C7">#REF!</definedName>
    <definedName name="СП_R271C8">#REF!</definedName>
    <definedName name="СП_R271C9">#REF!</definedName>
    <definedName name="СП_R272C10">#REF!</definedName>
    <definedName name="СП_R272C11">#REF!</definedName>
    <definedName name="СП_R272C12">#REF!</definedName>
    <definedName name="СП_R272C13">#REF!</definedName>
    <definedName name="СП_R272C14">#REF!</definedName>
    <definedName name="СП_R272C15">#REF!</definedName>
    <definedName name="СП_R272C16">#REF!</definedName>
    <definedName name="СП_R272C17">#REF!</definedName>
    <definedName name="СП_R272C18">#REF!</definedName>
    <definedName name="СП_R272C19">#REF!</definedName>
    <definedName name="СП_R272C20">#REF!</definedName>
    <definedName name="СП_R272C21">#REF!</definedName>
    <definedName name="СП_R272C22">#REF!</definedName>
    <definedName name="СП_R272C23">#REF!</definedName>
    <definedName name="СП_R272C24">#REF!</definedName>
    <definedName name="СП_R272C25">#REF!</definedName>
    <definedName name="СП_R272C26">#REF!</definedName>
    <definedName name="СП_R272C27">#REF!</definedName>
    <definedName name="СП_R272C28">#REF!</definedName>
    <definedName name="СП_R272C3">#REF!</definedName>
    <definedName name="СП_R272C4">#REF!</definedName>
    <definedName name="СП_R272C5">#REF!</definedName>
    <definedName name="СП_R272C6">#REF!</definedName>
    <definedName name="СП_R272C7">#REF!</definedName>
    <definedName name="СП_R272C8">#REF!</definedName>
    <definedName name="СП_R272C9">#REF!</definedName>
    <definedName name="СП_R273C10">#REF!</definedName>
    <definedName name="СП_R273C11">#REF!</definedName>
    <definedName name="СП_R273C12">#REF!</definedName>
    <definedName name="СП_R273C13">#REF!</definedName>
    <definedName name="СП_R273C14">#REF!</definedName>
    <definedName name="СП_R273C15">#REF!</definedName>
    <definedName name="СП_R273C16">#REF!</definedName>
    <definedName name="СП_R273C17">#REF!</definedName>
    <definedName name="СП_R273C18">#REF!</definedName>
    <definedName name="СП_R273C19">#REF!</definedName>
    <definedName name="СП_R273C20">#REF!</definedName>
    <definedName name="СП_R273C21">#REF!</definedName>
    <definedName name="СП_R273C22">#REF!</definedName>
    <definedName name="СП_R273C23">#REF!</definedName>
    <definedName name="СП_R273C24">#REF!</definedName>
    <definedName name="СП_R273C25">#REF!</definedName>
    <definedName name="СП_R273C26">#REF!</definedName>
    <definedName name="СП_R273C27">#REF!</definedName>
    <definedName name="СП_R273C28">#REF!</definedName>
    <definedName name="СП_R273C3">#REF!</definedName>
    <definedName name="СП_R273C4">#REF!</definedName>
    <definedName name="СП_R273C5">#REF!</definedName>
    <definedName name="СП_R273C6">#REF!</definedName>
    <definedName name="СП_R273C7">#REF!</definedName>
    <definedName name="СП_R273C8">#REF!</definedName>
    <definedName name="СП_R273C9">#REF!</definedName>
    <definedName name="СП_R274C10">#REF!</definedName>
    <definedName name="СП_R274C11">#REF!</definedName>
    <definedName name="СП_R274C12">#REF!</definedName>
    <definedName name="СП_R274C13">#REF!</definedName>
    <definedName name="СП_R274C14">#REF!</definedName>
    <definedName name="СП_R274C15">#REF!</definedName>
    <definedName name="СП_R274C16">#REF!</definedName>
    <definedName name="СП_R274C17">#REF!</definedName>
    <definedName name="СП_R274C18">#REF!</definedName>
    <definedName name="СП_R274C19">#REF!</definedName>
    <definedName name="СП_R274C20">#REF!</definedName>
    <definedName name="СП_R274C21">#REF!</definedName>
    <definedName name="СП_R274C22">#REF!</definedName>
    <definedName name="СП_R274C23">#REF!</definedName>
    <definedName name="СП_R274C24">#REF!</definedName>
    <definedName name="СП_R274C25">#REF!</definedName>
    <definedName name="СП_R274C26">#REF!</definedName>
    <definedName name="СП_R274C27">#REF!</definedName>
    <definedName name="СП_R274C28">#REF!</definedName>
    <definedName name="СП_R274C3">#REF!</definedName>
    <definedName name="СП_R274C4">#REF!</definedName>
    <definedName name="СП_R274C5">#REF!</definedName>
    <definedName name="СП_R274C6">#REF!</definedName>
    <definedName name="СП_R274C7">#REF!</definedName>
    <definedName name="СП_R274C8">#REF!</definedName>
    <definedName name="СП_R274C9">#REF!</definedName>
    <definedName name="СП_R275C10">#REF!</definedName>
    <definedName name="СП_R275C11">#REF!</definedName>
    <definedName name="СП_R275C12">#REF!</definedName>
    <definedName name="СП_R275C13">#REF!</definedName>
    <definedName name="СП_R275C14">#REF!</definedName>
    <definedName name="СП_R275C15">#REF!</definedName>
    <definedName name="СП_R275C16">#REF!</definedName>
    <definedName name="СП_R275C17">#REF!</definedName>
    <definedName name="СП_R275C18">#REF!</definedName>
    <definedName name="СП_R275C19">#REF!</definedName>
    <definedName name="СП_R275C20">#REF!</definedName>
    <definedName name="СП_R275C21">#REF!</definedName>
    <definedName name="СП_R275C22">#REF!</definedName>
    <definedName name="СП_R275C23">#REF!</definedName>
    <definedName name="СП_R275C24">#REF!</definedName>
    <definedName name="СП_R275C25">#REF!</definedName>
    <definedName name="СП_R275C26">#REF!</definedName>
    <definedName name="СП_R275C27">#REF!</definedName>
    <definedName name="СП_R275C28">#REF!</definedName>
    <definedName name="СП_R275C3">#REF!</definedName>
    <definedName name="СП_R275C4">#REF!</definedName>
    <definedName name="СП_R275C5">#REF!</definedName>
    <definedName name="СП_R275C6">#REF!</definedName>
    <definedName name="СП_R275C7">#REF!</definedName>
    <definedName name="СП_R275C8">#REF!</definedName>
    <definedName name="СП_R275C9">#REF!</definedName>
    <definedName name="СП_R276C10">#REF!</definedName>
    <definedName name="СП_R276C11">#REF!</definedName>
    <definedName name="СП_R276C12">#REF!</definedName>
    <definedName name="СП_R276C13">#REF!</definedName>
    <definedName name="СП_R276C14">#REF!</definedName>
    <definedName name="СП_R276C15">#REF!</definedName>
    <definedName name="СП_R276C16">#REF!</definedName>
    <definedName name="СП_R276C17">#REF!</definedName>
    <definedName name="СП_R276C18">#REF!</definedName>
    <definedName name="СП_R276C19">#REF!</definedName>
    <definedName name="СП_R276C20">#REF!</definedName>
    <definedName name="СП_R276C21">#REF!</definedName>
    <definedName name="СП_R276C22">#REF!</definedName>
    <definedName name="СП_R276C23">#REF!</definedName>
    <definedName name="СП_R276C24">#REF!</definedName>
    <definedName name="СП_R276C25">#REF!</definedName>
    <definedName name="СП_R276C26">#REF!</definedName>
    <definedName name="СП_R276C27">#REF!</definedName>
    <definedName name="СП_R276C28">#REF!</definedName>
    <definedName name="СП_R276C3">#REF!</definedName>
    <definedName name="СП_R276C4">#REF!</definedName>
    <definedName name="СП_R276C5">#REF!</definedName>
    <definedName name="СП_R276C6">#REF!</definedName>
    <definedName name="СП_R276C7">#REF!</definedName>
    <definedName name="СП_R276C8">#REF!</definedName>
    <definedName name="СП_R276C9">#REF!</definedName>
    <definedName name="СП_R27C10">#REF!</definedName>
    <definedName name="СП_R27C11">#REF!</definedName>
    <definedName name="СП_R27C12">#REF!</definedName>
    <definedName name="СП_R27C13">#REF!</definedName>
    <definedName name="СП_R27C14">#REF!</definedName>
    <definedName name="СП_R27C15">#REF!</definedName>
    <definedName name="СП_R27C16">#REF!</definedName>
    <definedName name="СП_R27C17">#REF!</definedName>
    <definedName name="СП_R27C18">#REF!</definedName>
    <definedName name="СП_R27C19">#REF!</definedName>
    <definedName name="СП_R27C20">#REF!</definedName>
    <definedName name="СП_R27C21">#REF!</definedName>
    <definedName name="СП_R27C22">#REF!</definedName>
    <definedName name="СП_R27C23">#REF!</definedName>
    <definedName name="СП_R27C24">#REF!</definedName>
    <definedName name="СП_R27C25">#REF!</definedName>
    <definedName name="СП_R27C26">#REF!</definedName>
    <definedName name="СП_R27C27">#REF!</definedName>
    <definedName name="СП_R27C28">#REF!</definedName>
    <definedName name="СП_R27C3">#REF!</definedName>
    <definedName name="СП_R27C4">#REF!</definedName>
    <definedName name="СП_R27C5">#REF!</definedName>
    <definedName name="СП_R27C6">#REF!</definedName>
    <definedName name="СП_R27C7">#REF!</definedName>
    <definedName name="СП_R27C8">#REF!</definedName>
    <definedName name="СП_R27C9">#REF!</definedName>
    <definedName name="СП_R28C10">#REF!</definedName>
    <definedName name="СП_R28C11">#REF!</definedName>
    <definedName name="СП_R28C12">#REF!</definedName>
    <definedName name="СП_R28C13">#REF!</definedName>
    <definedName name="СП_R28C14">#REF!</definedName>
    <definedName name="СП_R28C15">#REF!</definedName>
    <definedName name="СП_R28C16">#REF!</definedName>
    <definedName name="СП_R28C17">#REF!</definedName>
    <definedName name="СП_R28C18">#REF!</definedName>
    <definedName name="СП_R28C19">#REF!</definedName>
    <definedName name="СП_R28C20">#REF!</definedName>
    <definedName name="СП_R28C21">#REF!</definedName>
    <definedName name="СП_R28C22">#REF!</definedName>
    <definedName name="СП_R28C23">#REF!</definedName>
    <definedName name="СП_R28C24">#REF!</definedName>
    <definedName name="СП_R28C25">#REF!</definedName>
    <definedName name="СП_R28C26">#REF!</definedName>
    <definedName name="СП_R28C27">#REF!</definedName>
    <definedName name="СП_R28C28">#REF!</definedName>
    <definedName name="СП_R28C3">#REF!</definedName>
    <definedName name="СП_R28C4">#REF!</definedName>
    <definedName name="СП_R28C5">#REF!</definedName>
    <definedName name="СП_R28C6">#REF!</definedName>
    <definedName name="СП_R28C7">#REF!</definedName>
    <definedName name="СП_R28C8">#REF!</definedName>
    <definedName name="СП_R28C9">#REF!</definedName>
    <definedName name="СП_R29C10">#REF!</definedName>
    <definedName name="СП_R29C11">#REF!</definedName>
    <definedName name="СП_R29C12">#REF!</definedName>
    <definedName name="СП_R29C13">#REF!</definedName>
    <definedName name="СП_R29C14">#REF!</definedName>
    <definedName name="СП_R29C15">#REF!</definedName>
    <definedName name="СП_R29C16">#REF!</definedName>
    <definedName name="СП_R29C17">#REF!</definedName>
    <definedName name="СП_R29C18">#REF!</definedName>
    <definedName name="СП_R29C19">#REF!</definedName>
    <definedName name="СП_R29C20">#REF!</definedName>
    <definedName name="СП_R29C21">#REF!</definedName>
    <definedName name="СП_R29C22">#REF!</definedName>
    <definedName name="СП_R29C23">#REF!</definedName>
    <definedName name="СП_R29C24">#REF!</definedName>
    <definedName name="СП_R29C25">#REF!</definedName>
    <definedName name="СП_R29C26">#REF!</definedName>
    <definedName name="СП_R29C27">#REF!</definedName>
    <definedName name="СП_R29C28">#REF!</definedName>
    <definedName name="СП_R29C3">#REF!</definedName>
    <definedName name="СП_R29C4">#REF!</definedName>
    <definedName name="СП_R29C5">#REF!</definedName>
    <definedName name="СП_R29C6">#REF!</definedName>
    <definedName name="СП_R29C7">#REF!</definedName>
    <definedName name="СП_R29C8">#REF!</definedName>
    <definedName name="СП_R29C9">#REF!</definedName>
    <definedName name="СП_R30C10">#REF!</definedName>
    <definedName name="СП_R30C11">#REF!</definedName>
    <definedName name="СП_R30C12">#REF!</definedName>
    <definedName name="СП_R30C13">#REF!</definedName>
    <definedName name="СП_R30C14">#REF!</definedName>
    <definedName name="СП_R30C15">#REF!</definedName>
    <definedName name="СП_R30C16">#REF!</definedName>
    <definedName name="СП_R30C17">#REF!</definedName>
    <definedName name="СП_R30C18">#REF!</definedName>
    <definedName name="СП_R30C19">#REF!</definedName>
    <definedName name="СП_R30C20">#REF!</definedName>
    <definedName name="СП_R30C21">#REF!</definedName>
    <definedName name="СП_R30C22">#REF!</definedName>
    <definedName name="СП_R30C23">#REF!</definedName>
    <definedName name="СП_R30C24">#REF!</definedName>
    <definedName name="СП_R30C25">#REF!</definedName>
    <definedName name="СП_R30C26">#REF!</definedName>
    <definedName name="СП_R30C27">#REF!</definedName>
    <definedName name="СП_R30C28">#REF!</definedName>
    <definedName name="СП_R30C3">#REF!</definedName>
    <definedName name="СП_R30C4">#REF!</definedName>
    <definedName name="СП_R30C5">#REF!</definedName>
    <definedName name="СП_R30C6">#REF!</definedName>
    <definedName name="СП_R30C7">#REF!</definedName>
    <definedName name="СП_R30C8">#REF!</definedName>
    <definedName name="СП_R30C9">#REF!</definedName>
    <definedName name="СП_R31C10">#REF!</definedName>
    <definedName name="СП_R31C11">#REF!</definedName>
    <definedName name="СП_R31C12">#REF!</definedName>
    <definedName name="СП_R31C13">#REF!</definedName>
    <definedName name="СП_R31C14">#REF!</definedName>
    <definedName name="СП_R31C15">#REF!</definedName>
    <definedName name="СП_R31C16">#REF!</definedName>
    <definedName name="СП_R31C17">#REF!</definedName>
    <definedName name="СП_R31C18">#REF!</definedName>
    <definedName name="СП_R31C19">#REF!</definedName>
    <definedName name="СП_R31C20">#REF!</definedName>
    <definedName name="СП_R31C21">#REF!</definedName>
    <definedName name="СП_R31C22">#REF!</definedName>
    <definedName name="СП_R31C23">#REF!</definedName>
    <definedName name="СП_R31C24">#REF!</definedName>
    <definedName name="СП_R31C25">#REF!</definedName>
    <definedName name="СП_R31C26">#REF!</definedName>
    <definedName name="СП_R31C27">#REF!</definedName>
    <definedName name="СП_R31C28">#REF!</definedName>
    <definedName name="СП_R31C3">#REF!</definedName>
    <definedName name="СП_R31C4">#REF!</definedName>
    <definedName name="СП_R31C5">#REF!</definedName>
    <definedName name="СП_R31C6">#REF!</definedName>
    <definedName name="СП_R31C7">#REF!</definedName>
    <definedName name="СП_R31C8">#REF!</definedName>
    <definedName name="СП_R31C9">#REF!</definedName>
    <definedName name="СП_R32C10">#REF!</definedName>
    <definedName name="СП_R32C11">#REF!</definedName>
    <definedName name="СП_R32C12">#REF!</definedName>
    <definedName name="СП_R32C13">#REF!</definedName>
    <definedName name="СП_R32C14">#REF!</definedName>
    <definedName name="СП_R32C15">#REF!</definedName>
    <definedName name="СП_R32C16">#REF!</definedName>
    <definedName name="СП_R32C17">#REF!</definedName>
    <definedName name="СП_R32C18">#REF!</definedName>
    <definedName name="СП_R32C19">#REF!</definedName>
    <definedName name="СП_R32C20">#REF!</definedName>
    <definedName name="СП_R32C21">#REF!</definedName>
    <definedName name="СП_R32C22">#REF!</definedName>
    <definedName name="СП_R32C23">#REF!</definedName>
    <definedName name="СП_R32C24">#REF!</definedName>
    <definedName name="СП_R32C25">#REF!</definedName>
    <definedName name="СП_R32C26">#REF!</definedName>
    <definedName name="СП_R32C27">#REF!</definedName>
    <definedName name="СП_R32C28">#REF!</definedName>
    <definedName name="СП_R32C3">#REF!</definedName>
    <definedName name="СП_R32C4">#REF!</definedName>
    <definedName name="СП_R32C5">#REF!</definedName>
    <definedName name="СП_R32C6">#REF!</definedName>
    <definedName name="СП_R32C7">#REF!</definedName>
    <definedName name="СП_R32C8">#REF!</definedName>
    <definedName name="СП_R32C9">#REF!</definedName>
    <definedName name="СП_R33C10">#REF!</definedName>
    <definedName name="СП_R33C11">#REF!</definedName>
    <definedName name="СП_R33C12">#REF!</definedName>
    <definedName name="СП_R33C13">#REF!</definedName>
    <definedName name="СП_R33C14">#REF!</definedName>
    <definedName name="СП_R33C15">#REF!</definedName>
    <definedName name="СП_R33C16">#REF!</definedName>
    <definedName name="СП_R33C17">#REF!</definedName>
    <definedName name="СП_R33C18">#REF!</definedName>
    <definedName name="СП_R33C19">#REF!</definedName>
    <definedName name="СП_R33C20">#REF!</definedName>
    <definedName name="СП_R33C21">#REF!</definedName>
    <definedName name="СП_R33C22">#REF!</definedName>
    <definedName name="СП_R33C23">#REF!</definedName>
    <definedName name="СП_R33C24">#REF!</definedName>
    <definedName name="СП_R33C25">#REF!</definedName>
    <definedName name="СП_R33C26">#REF!</definedName>
    <definedName name="СП_R33C27">#REF!</definedName>
    <definedName name="СП_R33C28">#REF!</definedName>
    <definedName name="СП_R33C3">#REF!</definedName>
    <definedName name="СП_R33C4">#REF!</definedName>
    <definedName name="СП_R33C5">#REF!</definedName>
    <definedName name="СП_R33C6">#REF!</definedName>
    <definedName name="СП_R33C7">#REF!</definedName>
    <definedName name="СП_R33C8">#REF!</definedName>
    <definedName name="СП_R33C9">#REF!</definedName>
    <definedName name="СП_R34C10">#REF!</definedName>
    <definedName name="СП_R34C11">#REF!</definedName>
    <definedName name="СП_R34C12">#REF!</definedName>
    <definedName name="СП_R34C13">#REF!</definedName>
    <definedName name="СП_R34C14">#REF!</definedName>
    <definedName name="СП_R34C15">#REF!</definedName>
    <definedName name="СП_R34C16">#REF!</definedName>
    <definedName name="СП_R34C17">#REF!</definedName>
    <definedName name="СП_R34C18">#REF!</definedName>
    <definedName name="СП_R34C19">#REF!</definedName>
    <definedName name="СП_R34C20">#REF!</definedName>
    <definedName name="СП_R34C21">#REF!</definedName>
    <definedName name="СП_R34C22">#REF!</definedName>
    <definedName name="СП_R34C23">#REF!</definedName>
    <definedName name="СП_R34C24">#REF!</definedName>
    <definedName name="СП_R34C25">#REF!</definedName>
    <definedName name="СП_R34C26">#REF!</definedName>
    <definedName name="СП_R34C27">#REF!</definedName>
    <definedName name="СП_R34C28">#REF!</definedName>
    <definedName name="СП_R34C3">#REF!</definedName>
    <definedName name="СП_R34C4">#REF!</definedName>
    <definedName name="СП_R34C5">#REF!</definedName>
    <definedName name="СП_R34C6">#REF!</definedName>
    <definedName name="СП_R34C7">#REF!</definedName>
    <definedName name="СП_R34C8">#REF!</definedName>
    <definedName name="СП_R34C9">#REF!</definedName>
    <definedName name="СП_R35C10">#REF!</definedName>
    <definedName name="СП_R35C11">#REF!</definedName>
    <definedName name="СП_R35C12">#REF!</definedName>
    <definedName name="СП_R35C13">#REF!</definedName>
    <definedName name="СП_R35C14">#REF!</definedName>
    <definedName name="СП_R35C15">#REF!</definedName>
    <definedName name="СП_R35C16">#REF!</definedName>
    <definedName name="СП_R35C17">#REF!</definedName>
    <definedName name="СП_R35C18">#REF!</definedName>
    <definedName name="СП_R35C19">#REF!</definedName>
    <definedName name="СП_R35C20">#REF!</definedName>
    <definedName name="СП_R35C21">#REF!</definedName>
    <definedName name="СП_R35C22">#REF!</definedName>
    <definedName name="СП_R35C23">#REF!</definedName>
    <definedName name="СП_R35C24">#REF!</definedName>
    <definedName name="СП_R35C25">#REF!</definedName>
    <definedName name="СП_R35C26">#REF!</definedName>
    <definedName name="СП_R35C27">#REF!</definedName>
    <definedName name="СП_R35C28">#REF!</definedName>
    <definedName name="СП_R35C3">#REF!</definedName>
    <definedName name="СП_R35C4">#REF!</definedName>
    <definedName name="СП_R35C5">#REF!</definedName>
    <definedName name="СП_R35C6">#REF!</definedName>
    <definedName name="СП_R35C7">#REF!</definedName>
    <definedName name="СП_R35C8">#REF!</definedName>
    <definedName name="СП_R35C9">#REF!</definedName>
    <definedName name="СП_R36C10">#REF!</definedName>
    <definedName name="СП_R36C11">#REF!</definedName>
    <definedName name="СП_R36C12">#REF!</definedName>
    <definedName name="СП_R36C13">#REF!</definedName>
    <definedName name="СП_R36C14">#REF!</definedName>
    <definedName name="СП_R36C15">#REF!</definedName>
    <definedName name="СП_R36C16">#REF!</definedName>
    <definedName name="СП_R36C17">#REF!</definedName>
    <definedName name="СП_R36C18">#REF!</definedName>
    <definedName name="СП_R36C19">#REF!</definedName>
    <definedName name="СП_R36C20">#REF!</definedName>
    <definedName name="СП_R36C21">#REF!</definedName>
    <definedName name="СП_R36C22">#REF!</definedName>
    <definedName name="СП_R36C23">#REF!</definedName>
    <definedName name="СП_R36C24">#REF!</definedName>
    <definedName name="СП_R36C25">#REF!</definedName>
    <definedName name="СП_R36C26">#REF!</definedName>
    <definedName name="СП_R36C27">#REF!</definedName>
    <definedName name="СП_R36C28">#REF!</definedName>
    <definedName name="СП_R36C3">#REF!</definedName>
    <definedName name="СП_R36C4">#REF!</definedName>
    <definedName name="СП_R36C5">#REF!</definedName>
    <definedName name="СП_R36C6">#REF!</definedName>
    <definedName name="СП_R36C7">#REF!</definedName>
    <definedName name="СП_R36C8">#REF!</definedName>
    <definedName name="СП_R36C9">#REF!</definedName>
    <definedName name="СП_R37C10">#REF!</definedName>
    <definedName name="СП_R37C11">#REF!</definedName>
    <definedName name="СП_R37C12">#REF!</definedName>
    <definedName name="СП_R37C13">#REF!</definedName>
    <definedName name="СП_R37C14">#REF!</definedName>
    <definedName name="СП_R37C15">#REF!</definedName>
    <definedName name="СП_R37C16">#REF!</definedName>
    <definedName name="СП_R37C17">#REF!</definedName>
    <definedName name="СП_R37C18">#REF!</definedName>
    <definedName name="СП_R37C19">#REF!</definedName>
    <definedName name="СП_R37C20">#REF!</definedName>
    <definedName name="СП_R37C21">#REF!</definedName>
    <definedName name="СП_R37C22">#REF!</definedName>
    <definedName name="СП_R37C23">#REF!</definedName>
    <definedName name="СП_R37C24">#REF!</definedName>
    <definedName name="СП_R37C25">#REF!</definedName>
    <definedName name="СП_R37C26">#REF!</definedName>
    <definedName name="СП_R37C27">#REF!</definedName>
    <definedName name="СП_R37C28">#REF!</definedName>
    <definedName name="СП_R37C3">#REF!</definedName>
    <definedName name="СП_R37C4">#REF!</definedName>
    <definedName name="СП_R37C5">#REF!</definedName>
    <definedName name="СП_R37C6">#REF!</definedName>
    <definedName name="СП_R37C7">#REF!</definedName>
    <definedName name="СП_R37C8">#REF!</definedName>
    <definedName name="СП_R37C9">#REF!</definedName>
    <definedName name="СП_R38C10">#REF!</definedName>
    <definedName name="СП_R38C11">#REF!</definedName>
    <definedName name="СП_R38C12">#REF!</definedName>
    <definedName name="СП_R38C13">#REF!</definedName>
    <definedName name="СП_R38C14">#REF!</definedName>
    <definedName name="СП_R38C15">#REF!</definedName>
    <definedName name="СП_R38C16">#REF!</definedName>
    <definedName name="СП_R38C17">#REF!</definedName>
    <definedName name="СП_R38C18">#REF!</definedName>
    <definedName name="СП_R38C19">#REF!</definedName>
    <definedName name="СП_R38C20">#REF!</definedName>
    <definedName name="СП_R38C21">#REF!</definedName>
    <definedName name="СП_R38C22">#REF!</definedName>
    <definedName name="СП_R38C23">#REF!</definedName>
    <definedName name="СП_R38C24">#REF!</definedName>
    <definedName name="СП_R38C25">#REF!</definedName>
    <definedName name="СП_R38C26">#REF!</definedName>
    <definedName name="СП_R38C27">#REF!</definedName>
    <definedName name="СП_R38C28">#REF!</definedName>
    <definedName name="СП_R38C3">#REF!</definedName>
    <definedName name="СП_R38C4">#REF!</definedName>
    <definedName name="СП_R38C5">#REF!</definedName>
    <definedName name="СП_R38C6">#REF!</definedName>
    <definedName name="СП_R38C7">#REF!</definedName>
    <definedName name="СП_R38C8">#REF!</definedName>
    <definedName name="СП_R38C9">#REF!</definedName>
    <definedName name="СП_R39C10">#REF!</definedName>
    <definedName name="СП_R39C11">#REF!</definedName>
    <definedName name="СП_R39C12">#REF!</definedName>
    <definedName name="СП_R39C13">#REF!</definedName>
    <definedName name="СП_R39C14">#REF!</definedName>
    <definedName name="СП_R39C15">#REF!</definedName>
    <definedName name="СП_R39C16">#REF!</definedName>
    <definedName name="СП_R39C17">#REF!</definedName>
    <definedName name="СП_R39C18">#REF!</definedName>
    <definedName name="СП_R39C19">#REF!</definedName>
    <definedName name="СП_R39C20">#REF!</definedName>
    <definedName name="СП_R39C21">#REF!</definedName>
    <definedName name="СП_R39C22">#REF!</definedName>
    <definedName name="СП_R39C23">#REF!</definedName>
    <definedName name="СП_R39C24">#REF!</definedName>
    <definedName name="СП_R39C25">#REF!</definedName>
    <definedName name="СП_R39C26">#REF!</definedName>
    <definedName name="СП_R39C27">#REF!</definedName>
    <definedName name="СП_R39C28">#REF!</definedName>
    <definedName name="СП_R39C3">#REF!</definedName>
    <definedName name="СП_R39C4">#REF!</definedName>
    <definedName name="СП_R39C5">#REF!</definedName>
    <definedName name="СП_R39C6">#REF!</definedName>
    <definedName name="СП_R39C7">#REF!</definedName>
    <definedName name="СП_R39C8">#REF!</definedName>
    <definedName name="СП_R39C9">#REF!</definedName>
    <definedName name="СП_R40C10">#REF!</definedName>
    <definedName name="СП_R40C11">#REF!</definedName>
    <definedName name="СП_R40C12">#REF!</definedName>
    <definedName name="СП_R40C13">#REF!</definedName>
    <definedName name="СП_R40C14">#REF!</definedName>
    <definedName name="СП_R40C15">#REF!</definedName>
    <definedName name="СП_R40C16">#REF!</definedName>
    <definedName name="СП_R40C17">#REF!</definedName>
    <definedName name="СП_R40C18">#REF!</definedName>
    <definedName name="СП_R40C19">#REF!</definedName>
    <definedName name="СП_R40C20">#REF!</definedName>
    <definedName name="СП_R40C21">#REF!</definedName>
    <definedName name="СП_R40C22">#REF!</definedName>
    <definedName name="СП_R40C23">#REF!</definedName>
    <definedName name="СП_R40C24">#REF!</definedName>
    <definedName name="СП_R40C25">#REF!</definedName>
    <definedName name="СП_R40C26">#REF!</definedName>
    <definedName name="СП_R40C27">#REF!</definedName>
    <definedName name="СП_R40C28">#REF!</definedName>
    <definedName name="СП_R40C3">#REF!</definedName>
    <definedName name="СП_R40C4">#REF!</definedName>
    <definedName name="СП_R40C5">#REF!</definedName>
    <definedName name="СП_R40C6">#REF!</definedName>
    <definedName name="СП_R40C7">#REF!</definedName>
    <definedName name="СП_R40C8">#REF!</definedName>
    <definedName name="СП_R40C9">#REF!</definedName>
    <definedName name="СП_R41C10">#REF!</definedName>
    <definedName name="СП_R41C11">#REF!</definedName>
    <definedName name="СП_R41C12">#REF!</definedName>
    <definedName name="СП_R41C13">#REF!</definedName>
    <definedName name="СП_R41C14">#REF!</definedName>
    <definedName name="СП_R41C15">#REF!</definedName>
    <definedName name="СП_R41C16">#REF!</definedName>
    <definedName name="СП_R41C17">#REF!</definedName>
    <definedName name="СП_R41C18">#REF!</definedName>
    <definedName name="СП_R41C19">#REF!</definedName>
    <definedName name="СП_R41C20">#REF!</definedName>
    <definedName name="СП_R41C21">#REF!</definedName>
    <definedName name="СП_R41C22">#REF!</definedName>
    <definedName name="СП_R41C23">#REF!</definedName>
    <definedName name="СП_R41C24">#REF!</definedName>
    <definedName name="СП_R41C25">#REF!</definedName>
    <definedName name="СП_R41C26">#REF!</definedName>
    <definedName name="СП_R41C27">#REF!</definedName>
    <definedName name="СП_R41C28">#REF!</definedName>
    <definedName name="СП_R41C3">#REF!</definedName>
    <definedName name="СП_R41C4">#REF!</definedName>
    <definedName name="СП_R41C5">#REF!</definedName>
    <definedName name="СП_R41C6">#REF!</definedName>
    <definedName name="СП_R41C7">#REF!</definedName>
    <definedName name="СП_R41C8">#REF!</definedName>
    <definedName name="СП_R41C9">#REF!</definedName>
    <definedName name="СП_R42C10">#REF!</definedName>
    <definedName name="СП_R42C11">#REF!</definedName>
    <definedName name="СП_R42C12">#REF!</definedName>
    <definedName name="СП_R42C13">#REF!</definedName>
    <definedName name="СП_R42C14">#REF!</definedName>
    <definedName name="СП_R42C15">#REF!</definedName>
    <definedName name="СП_R42C16">#REF!</definedName>
    <definedName name="СП_R42C17">#REF!</definedName>
    <definedName name="СП_R42C18">#REF!</definedName>
    <definedName name="СП_R42C19">#REF!</definedName>
    <definedName name="СП_R42C20">#REF!</definedName>
    <definedName name="СП_R42C21">#REF!</definedName>
    <definedName name="СП_R42C22">#REF!</definedName>
    <definedName name="СП_R42C23">#REF!</definedName>
    <definedName name="СП_R42C24">#REF!</definedName>
    <definedName name="СП_R42C25">#REF!</definedName>
    <definedName name="СП_R42C26">#REF!</definedName>
    <definedName name="СП_R42C27">#REF!</definedName>
    <definedName name="СП_R42C28">#REF!</definedName>
    <definedName name="СП_R42C3">#REF!</definedName>
    <definedName name="СП_R42C4">#REF!</definedName>
    <definedName name="СП_R42C5">#REF!</definedName>
    <definedName name="СП_R42C6">#REF!</definedName>
    <definedName name="СП_R42C7">#REF!</definedName>
    <definedName name="СП_R42C8">#REF!</definedName>
    <definedName name="СП_R42C9">#REF!</definedName>
    <definedName name="СП_R43C10">#REF!</definedName>
    <definedName name="СП_R43C11">#REF!</definedName>
    <definedName name="СП_R43C12">#REF!</definedName>
    <definedName name="СП_R43C13">#REF!</definedName>
    <definedName name="СП_R43C14">#REF!</definedName>
    <definedName name="СП_R43C15">#REF!</definedName>
    <definedName name="СП_R43C16">#REF!</definedName>
    <definedName name="СП_R43C17">#REF!</definedName>
    <definedName name="СП_R43C18">#REF!</definedName>
    <definedName name="СП_R43C19">#REF!</definedName>
    <definedName name="СП_R43C20">#REF!</definedName>
    <definedName name="СП_R43C21">#REF!</definedName>
    <definedName name="СП_R43C22">#REF!</definedName>
    <definedName name="СП_R43C23">#REF!</definedName>
    <definedName name="СП_R43C24">#REF!</definedName>
    <definedName name="СП_R43C25">#REF!</definedName>
    <definedName name="СП_R43C26">#REF!</definedName>
    <definedName name="СП_R43C27">#REF!</definedName>
    <definedName name="СП_R43C28">#REF!</definedName>
    <definedName name="СП_R43C3">#REF!</definedName>
    <definedName name="СП_R43C4">#REF!</definedName>
    <definedName name="СП_R43C5">#REF!</definedName>
    <definedName name="СП_R43C6">#REF!</definedName>
    <definedName name="СП_R43C7">#REF!</definedName>
    <definedName name="СП_R43C8">#REF!</definedName>
    <definedName name="СП_R43C9">#REF!</definedName>
    <definedName name="СП_R44C10">#REF!</definedName>
    <definedName name="СП_R44C11">#REF!</definedName>
    <definedName name="СП_R44C12">#REF!</definedName>
    <definedName name="СП_R44C13">#REF!</definedName>
    <definedName name="СП_R44C14">#REF!</definedName>
    <definedName name="СП_R44C15">#REF!</definedName>
    <definedName name="СП_R44C16">#REF!</definedName>
    <definedName name="СП_R44C17">#REF!</definedName>
    <definedName name="СП_R44C18">#REF!</definedName>
    <definedName name="СП_R44C19">#REF!</definedName>
    <definedName name="СП_R44C20">#REF!</definedName>
    <definedName name="СП_R44C21">#REF!</definedName>
    <definedName name="СП_R44C22">#REF!</definedName>
    <definedName name="СП_R44C23">#REF!</definedName>
    <definedName name="СП_R44C24">#REF!</definedName>
    <definedName name="СП_R44C25">#REF!</definedName>
    <definedName name="СП_R44C26">#REF!</definedName>
    <definedName name="СП_R44C27">#REF!</definedName>
    <definedName name="СП_R44C28">#REF!</definedName>
    <definedName name="СП_R44C3">#REF!</definedName>
    <definedName name="СП_R44C4">#REF!</definedName>
    <definedName name="СП_R44C5">#REF!</definedName>
    <definedName name="СП_R44C6">#REF!</definedName>
    <definedName name="СП_R44C7">#REF!</definedName>
    <definedName name="СП_R44C8">#REF!</definedName>
    <definedName name="СП_R44C9">#REF!</definedName>
    <definedName name="СП_R45C10">#REF!</definedName>
    <definedName name="СП_R45C11">#REF!</definedName>
    <definedName name="СП_R45C12">#REF!</definedName>
    <definedName name="СП_R45C13">#REF!</definedName>
    <definedName name="СП_R45C14">#REF!</definedName>
    <definedName name="СП_R45C15">#REF!</definedName>
    <definedName name="СП_R45C16">#REF!</definedName>
    <definedName name="СП_R45C17">#REF!</definedName>
    <definedName name="СП_R45C18">#REF!</definedName>
    <definedName name="СП_R45C19">#REF!</definedName>
    <definedName name="СП_R45C20">#REF!</definedName>
    <definedName name="СП_R45C21">#REF!</definedName>
    <definedName name="СП_R45C22">#REF!</definedName>
    <definedName name="СП_R45C23">#REF!</definedName>
    <definedName name="СП_R45C24">#REF!</definedName>
    <definedName name="СП_R45C25">#REF!</definedName>
    <definedName name="СП_R45C26">#REF!</definedName>
    <definedName name="СП_R45C27">#REF!</definedName>
    <definedName name="СП_R45C28">#REF!</definedName>
    <definedName name="СП_R45C3">#REF!</definedName>
    <definedName name="СП_R45C4">#REF!</definedName>
    <definedName name="СП_R45C5">#REF!</definedName>
    <definedName name="СП_R45C6">#REF!</definedName>
    <definedName name="СП_R45C7">#REF!</definedName>
    <definedName name="СП_R45C8">#REF!</definedName>
    <definedName name="СП_R45C9">#REF!</definedName>
    <definedName name="СП_R46C10">#REF!</definedName>
    <definedName name="СП_R46C11">#REF!</definedName>
    <definedName name="СП_R46C12">#REF!</definedName>
    <definedName name="СП_R46C13">#REF!</definedName>
    <definedName name="СП_R46C14">#REF!</definedName>
    <definedName name="СП_R46C15">#REF!</definedName>
    <definedName name="СП_R46C16">#REF!</definedName>
    <definedName name="СП_R46C17">#REF!</definedName>
    <definedName name="СП_R46C18">#REF!</definedName>
    <definedName name="СП_R46C19">#REF!</definedName>
    <definedName name="СП_R46C20">#REF!</definedName>
    <definedName name="СП_R46C21">#REF!</definedName>
    <definedName name="СП_R46C22">#REF!</definedName>
    <definedName name="СП_R46C23">#REF!</definedName>
    <definedName name="СП_R46C24">#REF!</definedName>
    <definedName name="СП_R46C25">#REF!</definedName>
    <definedName name="СП_R46C26">#REF!</definedName>
    <definedName name="СП_R46C27">#REF!</definedName>
    <definedName name="СП_R46C28">#REF!</definedName>
    <definedName name="СП_R46C3">#REF!</definedName>
    <definedName name="СП_R46C4">#REF!</definedName>
    <definedName name="СП_R46C5">#REF!</definedName>
    <definedName name="СП_R46C6">#REF!</definedName>
    <definedName name="СП_R46C7">#REF!</definedName>
    <definedName name="СП_R46C8">#REF!</definedName>
    <definedName name="СП_R46C9">#REF!</definedName>
    <definedName name="СП_R47C10">#REF!</definedName>
    <definedName name="СП_R47C11">#REF!</definedName>
    <definedName name="СП_R47C12">#REF!</definedName>
    <definedName name="СП_R47C13">#REF!</definedName>
    <definedName name="СП_R47C14">#REF!</definedName>
    <definedName name="СП_R47C15">#REF!</definedName>
    <definedName name="СП_R47C16">#REF!</definedName>
    <definedName name="СП_R47C17">#REF!</definedName>
    <definedName name="СП_R47C18">#REF!</definedName>
    <definedName name="СП_R47C19">#REF!</definedName>
    <definedName name="СП_R47C20">#REF!</definedName>
    <definedName name="СП_R47C21">#REF!</definedName>
    <definedName name="СП_R47C22">#REF!</definedName>
    <definedName name="СП_R47C23">#REF!</definedName>
    <definedName name="СП_R47C24">#REF!</definedName>
    <definedName name="СП_R47C25">#REF!</definedName>
    <definedName name="СП_R47C26">#REF!</definedName>
    <definedName name="СП_R47C27">#REF!</definedName>
    <definedName name="СП_R47C28">#REF!</definedName>
    <definedName name="СП_R47C3">#REF!</definedName>
    <definedName name="СП_R47C4">#REF!</definedName>
    <definedName name="СП_R47C5">#REF!</definedName>
    <definedName name="СП_R47C6">#REF!</definedName>
    <definedName name="СП_R47C7">#REF!</definedName>
    <definedName name="СП_R47C8">#REF!</definedName>
    <definedName name="СП_R47C9">#REF!</definedName>
    <definedName name="СП_R48C10">#REF!</definedName>
    <definedName name="СП_R48C11">#REF!</definedName>
    <definedName name="СП_R48C12">#REF!</definedName>
    <definedName name="СП_R48C13">#REF!</definedName>
    <definedName name="СП_R48C14">#REF!</definedName>
    <definedName name="СП_R48C15">#REF!</definedName>
    <definedName name="СП_R48C16">#REF!</definedName>
    <definedName name="СП_R48C17">#REF!</definedName>
    <definedName name="СП_R48C18">#REF!</definedName>
    <definedName name="СП_R48C19">#REF!</definedName>
    <definedName name="СП_R48C20">#REF!</definedName>
    <definedName name="СП_R48C21">#REF!</definedName>
    <definedName name="СП_R48C22">#REF!</definedName>
    <definedName name="СП_R48C23">#REF!</definedName>
    <definedName name="СП_R48C24">#REF!</definedName>
    <definedName name="СП_R48C25">#REF!</definedName>
    <definedName name="СП_R48C26">#REF!</definedName>
    <definedName name="СП_R48C27">#REF!</definedName>
    <definedName name="СП_R48C28">#REF!</definedName>
    <definedName name="СП_R48C3">#REF!</definedName>
    <definedName name="СП_R48C4">#REF!</definedName>
    <definedName name="СП_R48C5">#REF!</definedName>
    <definedName name="СП_R48C6">#REF!</definedName>
    <definedName name="СП_R48C7">#REF!</definedName>
    <definedName name="СП_R48C8">#REF!</definedName>
    <definedName name="СП_R48C9">#REF!</definedName>
    <definedName name="СП_R49C10">#REF!</definedName>
    <definedName name="СП_R49C11">#REF!</definedName>
    <definedName name="СП_R49C12">#REF!</definedName>
    <definedName name="СП_R49C13">#REF!</definedName>
    <definedName name="СП_R49C14">#REF!</definedName>
    <definedName name="СП_R49C15">#REF!</definedName>
    <definedName name="СП_R49C16">#REF!</definedName>
    <definedName name="СП_R49C17">#REF!</definedName>
    <definedName name="СП_R49C18">#REF!</definedName>
    <definedName name="СП_R49C19">#REF!</definedName>
    <definedName name="СП_R49C20">#REF!</definedName>
    <definedName name="СП_R49C21">#REF!</definedName>
    <definedName name="СП_R49C22">#REF!</definedName>
    <definedName name="СП_R49C23">#REF!</definedName>
    <definedName name="СП_R49C24">#REF!</definedName>
    <definedName name="СП_R49C25">#REF!</definedName>
    <definedName name="СП_R49C26">#REF!</definedName>
    <definedName name="СП_R49C27">#REF!</definedName>
    <definedName name="СП_R49C28">#REF!</definedName>
    <definedName name="СП_R49C3">#REF!</definedName>
    <definedName name="СП_R49C4">#REF!</definedName>
    <definedName name="СП_R49C5">#REF!</definedName>
    <definedName name="СП_R49C6">#REF!</definedName>
    <definedName name="СП_R49C7">#REF!</definedName>
    <definedName name="СП_R49C8">#REF!</definedName>
    <definedName name="СП_R49C9">#REF!</definedName>
    <definedName name="СП_R50C10">#REF!</definedName>
    <definedName name="СП_R50C11">#REF!</definedName>
    <definedName name="СП_R50C12">#REF!</definedName>
    <definedName name="СП_R50C13">#REF!</definedName>
    <definedName name="СП_R50C14">#REF!</definedName>
    <definedName name="СП_R50C15">#REF!</definedName>
    <definedName name="СП_R50C16">#REF!</definedName>
    <definedName name="СП_R50C17">#REF!</definedName>
    <definedName name="СП_R50C18">#REF!</definedName>
    <definedName name="СП_R50C19">#REF!</definedName>
    <definedName name="СП_R50C20">#REF!</definedName>
    <definedName name="СП_R50C21">#REF!</definedName>
    <definedName name="СП_R50C22">#REF!</definedName>
    <definedName name="СП_R50C23">#REF!</definedName>
    <definedName name="СП_R50C24">#REF!</definedName>
    <definedName name="СП_R50C25">#REF!</definedName>
    <definedName name="СП_R50C26">#REF!</definedName>
    <definedName name="СП_R50C27">#REF!</definedName>
    <definedName name="СП_R50C28">#REF!</definedName>
    <definedName name="СП_R50C3">#REF!</definedName>
    <definedName name="СП_R50C4">#REF!</definedName>
    <definedName name="СП_R50C5">#REF!</definedName>
    <definedName name="СП_R50C6">#REF!</definedName>
    <definedName name="СП_R50C7">#REF!</definedName>
    <definedName name="СП_R50C8">#REF!</definedName>
    <definedName name="СП_R50C9">#REF!</definedName>
    <definedName name="СП_R51C10">#REF!</definedName>
    <definedName name="СП_R51C11">#REF!</definedName>
    <definedName name="СП_R51C12">#REF!</definedName>
    <definedName name="СП_R51C13">#REF!</definedName>
    <definedName name="СП_R51C14">#REF!</definedName>
    <definedName name="СП_R51C15">#REF!</definedName>
    <definedName name="СП_R51C16">#REF!</definedName>
    <definedName name="СП_R51C17">#REF!</definedName>
    <definedName name="СП_R51C18">#REF!</definedName>
    <definedName name="СП_R51C19">#REF!</definedName>
    <definedName name="СП_R51C20">#REF!</definedName>
    <definedName name="СП_R51C21">#REF!</definedName>
    <definedName name="СП_R51C22">#REF!</definedName>
    <definedName name="СП_R51C23">#REF!</definedName>
    <definedName name="СП_R51C24">#REF!</definedName>
    <definedName name="СП_R51C25">#REF!</definedName>
    <definedName name="СП_R51C26">#REF!</definedName>
    <definedName name="СП_R51C27">#REF!</definedName>
    <definedName name="СП_R51C28">#REF!</definedName>
    <definedName name="СП_R51C3">#REF!</definedName>
    <definedName name="СП_R51C4">#REF!</definedName>
    <definedName name="СП_R51C5">#REF!</definedName>
    <definedName name="СП_R51C6">#REF!</definedName>
    <definedName name="СП_R51C7">#REF!</definedName>
    <definedName name="СП_R51C8">#REF!</definedName>
    <definedName name="СП_R51C9">#REF!</definedName>
    <definedName name="СП_R52C10">#REF!</definedName>
    <definedName name="СП_R52C11">#REF!</definedName>
    <definedName name="СП_R52C12">#REF!</definedName>
    <definedName name="СП_R52C13">#REF!</definedName>
    <definedName name="СП_R52C14">#REF!</definedName>
    <definedName name="СП_R52C15">#REF!</definedName>
    <definedName name="СП_R52C16">#REF!</definedName>
    <definedName name="СП_R52C17">#REF!</definedName>
    <definedName name="СП_R52C18">#REF!</definedName>
    <definedName name="СП_R52C19">#REF!</definedName>
    <definedName name="СП_R52C20">#REF!</definedName>
    <definedName name="СП_R52C21">#REF!</definedName>
    <definedName name="СП_R52C22">#REF!</definedName>
    <definedName name="СП_R52C23">#REF!</definedName>
    <definedName name="СП_R52C24">#REF!</definedName>
    <definedName name="СП_R52C25">#REF!</definedName>
    <definedName name="СП_R52C26">#REF!</definedName>
    <definedName name="СП_R52C27">#REF!</definedName>
    <definedName name="СП_R52C28">#REF!</definedName>
    <definedName name="СП_R52C3">#REF!</definedName>
    <definedName name="СП_R52C4">#REF!</definedName>
    <definedName name="СП_R52C5">#REF!</definedName>
    <definedName name="СП_R52C6">#REF!</definedName>
    <definedName name="СП_R52C7">#REF!</definedName>
    <definedName name="СП_R52C8">#REF!</definedName>
    <definedName name="СП_R52C9">#REF!</definedName>
    <definedName name="СП_R53C10">#REF!</definedName>
    <definedName name="СП_R53C11">#REF!</definedName>
    <definedName name="СП_R53C12">#REF!</definedName>
    <definedName name="СП_R53C13">#REF!</definedName>
    <definedName name="СП_R53C14">#REF!</definedName>
    <definedName name="СП_R53C15">#REF!</definedName>
    <definedName name="СП_R53C16">#REF!</definedName>
    <definedName name="СП_R53C17">#REF!</definedName>
    <definedName name="СП_R53C18">#REF!</definedName>
    <definedName name="СП_R53C19">#REF!</definedName>
    <definedName name="СП_R53C20">#REF!</definedName>
    <definedName name="СП_R53C21">#REF!</definedName>
    <definedName name="СП_R53C22">#REF!</definedName>
    <definedName name="СП_R53C23">#REF!</definedName>
    <definedName name="СП_R53C24">#REF!</definedName>
    <definedName name="СП_R53C25">#REF!</definedName>
    <definedName name="СП_R53C26">#REF!</definedName>
    <definedName name="СП_R53C27">#REF!</definedName>
    <definedName name="СП_R53C28">#REF!</definedName>
    <definedName name="СП_R53C3">#REF!</definedName>
    <definedName name="СП_R53C4">#REF!</definedName>
    <definedName name="СП_R53C5">#REF!</definedName>
    <definedName name="СП_R53C6">#REF!</definedName>
    <definedName name="СП_R53C7">#REF!</definedName>
    <definedName name="СП_R53C8">#REF!</definedName>
    <definedName name="СП_R53C9">#REF!</definedName>
    <definedName name="СП_R54C10">#REF!</definedName>
    <definedName name="СП_R54C11">#REF!</definedName>
    <definedName name="СП_R54C12">#REF!</definedName>
    <definedName name="СП_R54C13">#REF!</definedName>
    <definedName name="СП_R54C14">#REF!</definedName>
    <definedName name="СП_R54C15">#REF!</definedName>
    <definedName name="СП_R54C16">#REF!</definedName>
    <definedName name="СП_R54C17">#REF!</definedName>
    <definedName name="СП_R54C18">#REF!</definedName>
    <definedName name="СП_R54C19">#REF!</definedName>
    <definedName name="СП_R54C20">#REF!</definedName>
    <definedName name="СП_R54C21">#REF!</definedName>
    <definedName name="СП_R54C22">#REF!</definedName>
    <definedName name="СП_R54C23">#REF!</definedName>
    <definedName name="СП_R54C24">#REF!</definedName>
    <definedName name="СП_R54C25">#REF!</definedName>
    <definedName name="СП_R54C26">#REF!</definedName>
    <definedName name="СП_R54C27">#REF!</definedName>
    <definedName name="СП_R54C28">#REF!</definedName>
    <definedName name="СП_R54C3">#REF!</definedName>
    <definedName name="СП_R54C4">#REF!</definedName>
    <definedName name="СП_R54C5">#REF!</definedName>
    <definedName name="СП_R54C6">#REF!</definedName>
    <definedName name="СП_R54C7">#REF!</definedName>
    <definedName name="СП_R54C8">#REF!</definedName>
    <definedName name="СП_R54C9">#REF!</definedName>
    <definedName name="СП_R55C10">#REF!</definedName>
    <definedName name="СП_R55C11">#REF!</definedName>
    <definedName name="СП_R55C12">#REF!</definedName>
    <definedName name="СП_R55C13">#REF!</definedName>
    <definedName name="СП_R55C14">#REF!</definedName>
    <definedName name="СП_R55C15">#REF!</definedName>
    <definedName name="СП_R55C16">#REF!</definedName>
    <definedName name="СП_R55C17">#REF!</definedName>
    <definedName name="СП_R55C18">#REF!</definedName>
    <definedName name="СП_R55C19">#REF!</definedName>
    <definedName name="СП_R55C20">#REF!</definedName>
    <definedName name="СП_R55C21">#REF!</definedName>
    <definedName name="СП_R55C22">#REF!</definedName>
    <definedName name="СП_R55C23">#REF!</definedName>
    <definedName name="СП_R55C24">#REF!</definedName>
    <definedName name="СП_R55C25">#REF!</definedName>
    <definedName name="СП_R55C26">#REF!</definedName>
    <definedName name="СП_R55C27">#REF!</definedName>
    <definedName name="СП_R55C28">#REF!</definedName>
    <definedName name="СП_R55C3">#REF!</definedName>
    <definedName name="СП_R55C4">#REF!</definedName>
    <definedName name="СП_R55C5">#REF!</definedName>
    <definedName name="СП_R55C6">#REF!</definedName>
    <definedName name="СП_R55C7">#REF!</definedName>
    <definedName name="СП_R55C8">#REF!</definedName>
    <definedName name="СП_R55C9">#REF!</definedName>
    <definedName name="СП_R56C10">#REF!</definedName>
    <definedName name="СП_R56C11">#REF!</definedName>
    <definedName name="СП_R56C12">#REF!</definedName>
    <definedName name="СП_R56C13">#REF!</definedName>
    <definedName name="СП_R56C14">#REF!</definedName>
    <definedName name="СП_R56C15">#REF!</definedName>
    <definedName name="СП_R56C16">#REF!</definedName>
    <definedName name="СП_R56C17">#REF!</definedName>
    <definedName name="СП_R56C18">#REF!</definedName>
    <definedName name="СП_R56C19">#REF!</definedName>
    <definedName name="СП_R56C20">#REF!</definedName>
    <definedName name="СП_R56C21">#REF!</definedName>
    <definedName name="СП_R56C22">#REF!</definedName>
    <definedName name="СП_R56C23">#REF!</definedName>
    <definedName name="СП_R56C24">#REF!</definedName>
    <definedName name="СП_R56C25">#REF!</definedName>
    <definedName name="СП_R56C26">#REF!</definedName>
    <definedName name="СП_R56C27">#REF!</definedName>
    <definedName name="СП_R56C28">#REF!</definedName>
    <definedName name="СП_R56C3">#REF!</definedName>
    <definedName name="СП_R56C4">#REF!</definedName>
    <definedName name="СП_R56C5">#REF!</definedName>
    <definedName name="СП_R56C6">#REF!</definedName>
    <definedName name="СП_R56C7">#REF!</definedName>
    <definedName name="СП_R56C8">#REF!</definedName>
    <definedName name="СП_R56C9">#REF!</definedName>
    <definedName name="СП_R57C10">#REF!</definedName>
    <definedName name="СП_R57C11">#REF!</definedName>
    <definedName name="СП_R57C12">#REF!</definedName>
    <definedName name="СП_R57C13">#REF!</definedName>
    <definedName name="СП_R57C14">#REF!</definedName>
    <definedName name="СП_R57C15">#REF!</definedName>
    <definedName name="СП_R57C16">#REF!</definedName>
    <definedName name="СП_R57C17">#REF!</definedName>
    <definedName name="СП_R57C18">#REF!</definedName>
    <definedName name="СП_R57C19">#REF!</definedName>
    <definedName name="СП_R57C20">#REF!</definedName>
    <definedName name="СП_R57C21">#REF!</definedName>
    <definedName name="СП_R57C22">#REF!</definedName>
    <definedName name="СП_R57C23">#REF!</definedName>
    <definedName name="СП_R57C24">#REF!</definedName>
    <definedName name="СП_R57C25">#REF!</definedName>
    <definedName name="СП_R57C26">#REF!</definedName>
    <definedName name="СП_R57C27">#REF!</definedName>
    <definedName name="СП_R57C28">#REF!</definedName>
    <definedName name="СП_R57C3">#REF!</definedName>
    <definedName name="СП_R57C4">#REF!</definedName>
    <definedName name="СП_R57C5">#REF!</definedName>
    <definedName name="СП_R57C6">#REF!</definedName>
    <definedName name="СП_R57C7">#REF!</definedName>
    <definedName name="СП_R57C8">#REF!</definedName>
    <definedName name="СП_R57C9">#REF!</definedName>
    <definedName name="СП_R58C10">#REF!</definedName>
    <definedName name="СП_R58C11">#REF!</definedName>
    <definedName name="СП_R58C12">#REF!</definedName>
    <definedName name="СП_R58C13">#REF!</definedName>
    <definedName name="СП_R58C14">#REF!</definedName>
    <definedName name="СП_R58C15">#REF!</definedName>
    <definedName name="СП_R58C16">#REF!</definedName>
    <definedName name="СП_R58C17">#REF!</definedName>
    <definedName name="СП_R58C18">#REF!</definedName>
    <definedName name="СП_R58C19">#REF!</definedName>
    <definedName name="СП_R58C20">#REF!</definedName>
    <definedName name="СП_R58C21">#REF!</definedName>
    <definedName name="СП_R58C22">#REF!</definedName>
    <definedName name="СП_R58C23">#REF!</definedName>
    <definedName name="СП_R58C24">#REF!</definedName>
    <definedName name="СП_R58C25">#REF!</definedName>
    <definedName name="СП_R58C26">#REF!</definedName>
    <definedName name="СП_R58C27">#REF!</definedName>
    <definedName name="СП_R58C28">#REF!</definedName>
    <definedName name="СП_R58C3">#REF!</definedName>
    <definedName name="СП_R58C4">#REF!</definedName>
    <definedName name="СП_R58C5">#REF!</definedName>
    <definedName name="СП_R58C6">#REF!</definedName>
    <definedName name="СП_R58C7">#REF!</definedName>
    <definedName name="СП_R58C8">#REF!</definedName>
    <definedName name="СП_R58C9">#REF!</definedName>
    <definedName name="СП_R59C10">#REF!</definedName>
    <definedName name="СП_R59C11">#REF!</definedName>
    <definedName name="СП_R59C12">#REF!</definedName>
    <definedName name="СП_R59C13">#REF!</definedName>
    <definedName name="СП_R59C14">#REF!</definedName>
    <definedName name="СП_R59C15">#REF!</definedName>
    <definedName name="СП_R59C16">#REF!</definedName>
    <definedName name="СП_R59C17">#REF!</definedName>
    <definedName name="СП_R59C18">#REF!</definedName>
    <definedName name="СП_R59C19">#REF!</definedName>
    <definedName name="СП_R59C20">#REF!</definedName>
    <definedName name="СП_R59C21">#REF!</definedName>
    <definedName name="СП_R59C22">#REF!</definedName>
    <definedName name="СП_R59C23">#REF!</definedName>
    <definedName name="СП_R59C24">#REF!</definedName>
    <definedName name="СП_R59C25">#REF!</definedName>
    <definedName name="СП_R59C26">#REF!</definedName>
    <definedName name="СП_R59C27">#REF!</definedName>
    <definedName name="СП_R59C28">#REF!</definedName>
    <definedName name="СП_R59C3">#REF!</definedName>
    <definedName name="СП_R59C4">#REF!</definedName>
    <definedName name="СП_R59C5">#REF!</definedName>
    <definedName name="СП_R59C6">#REF!</definedName>
    <definedName name="СП_R59C7">#REF!</definedName>
    <definedName name="СП_R59C8">#REF!</definedName>
    <definedName name="СП_R59C9">#REF!</definedName>
    <definedName name="СП_R60C10">#REF!</definedName>
    <definedName name="СП_R60C11">#REF!</definedName>
    <definedName name="СП_R60C12">#REF!</definedName>
    <definedName name="СП_R60C13">#REF!</definedName>
    <definedName name="СП_R60C14">#REF!</definedName>
    <definedName name="СП_R60C15">#REF!</definedName>
    <definedName name="СП_R60C16">#REF!</definedName>
    <definedName name="СП_R60C17">#REF!</definedName>
    <definedName name="СП_R60C18">#REF!</definedName>
    <definedName name="СП_R60C19">#REF!</definedName>
    <definedName name="СП_R60C20">#REF!</definedName>
    <definedName name="СП_R60C21">#REF!</definedName>
    <definedName name="СП_R60C22">#REF!</definedName>
    <definedName name="СП_R60C23">#REF!</definedName>
    <definedName name="СП_R60C24">#REF!</definedName>
    <definedName name="СП_R60C25">#REF!</definedName>
    <definedName name="СП_R60C26">#REF!</definedName>
    <definedName name="СП_R60C27">#REF!</definedName>
    <definedName name="СП_R60C28">#REF!</definedName>
    <definedName name="СП_R60C3">#REF!</definedName>
    <definedName name="СП_R60C4">#REF!</definedName>
    <definedName name="СП_R60C5">#REF!</definedName>
    <definedName name="СП_R60C6">#REF!</definedName>
    <definedName name="СП_R60C7">#REF!</definedName>
    <definedName name="СП_R60C8">#REF!</definedName>
    <definedName name="СП_R60C9">#REF!</definedName>
    <definedName name="СП_R61C10">#REF!</definedName>
    <definedName name="СП_R61C11">#REF!</definedName>
    <definedName name="СП_R61C12">#REF!</definedName>
    <definedName name="СП_R61C13">#REF!</definedName>
    <definedName name="СП_R61C14">#REF!</definedName>
    <definedName name="СП_R61C15">#REF!</definedName>
    <definedName name="СП_R61C16">#REF!</definedName>
    <definedName name="СП_R61C17">#REF!</definedName>
    <definedName name="СП_R61C18">#REF!</definedName>
    <definedName name="СП_R61C19">#REF!</definedName>
    <definedName name="СП_R61C20">#REF!</definedName>
    <definedName name="СП_R61C21">#REF!</definedName>
    <definedName name="СП_R61C22">#REF!</definedName>
    <definedName name="СП_R61C23">#REF!</definedName>
    <definedName name="СП_R61C24">#REF!</definedName>
    <definedName name="СП_R61C25">#REF!</definedName>
    <definedName name="СП_R61C26">#REF!</definedName>
    <definedName name="СП_R61C27">#REF!</definedName>
    <definedName name="СП_R61C28">#REF!</definedName>
    <definedName name="СП_R61C3">#REF!</definedName>
    <definedName name="СП_R61C4">#REF!</definedName>
    <definedName name="СП_R61C5">#REF!</definedName>
    <definedName name="СП_R61C6">#REF!</definedName>
    <definedName name="СП_R61C7">#REF!</definedName>
    <definedName name="СП_R61C8">#REF!</definedName>
    <definedName name="СП_R61C9">#REF!</definedName>
    <definedName name="СП_R62C10">#REF!</definedName>
    <definedName name="СП_R62C11">#REF!</definedName>
    <definedName name="СП_R62C12">#REF!</definedName>
    <definedName name="СП_R62C13">#REF!</definedName>
    <definedName name="СП_R62C14">#REF!</definedName>
    <definedName name="СП_R62C15">#REF!</definedName>
    <definedName name="СП_R62C16">#REF!</definedName>
    <definedName name="СП_R62C17">#REF!</definedName>
    <definedName name="СП_R62C18">#REF!</definedName>
    <definedName name="СП_R62C19">#REF!</definedName>
    <definedName name="СП_R62C20">#REF!</definedName>
    <definedName name="СП_R62C21">#REF!</definedName>
    <definedName name="СП_R62C22">#REF!</definedName>
    <definedName name="СП_R62C23">#REF!</definedName>
    <definedName name="СП_R62C24">#REF!</definedName>
    <definedName name="СП_R62C25">#REF!</definedName>
    <definedName name="СП_R62C26">#REF!</definedName>
    <definedName name="СП_R62C27">#REF!</definedName>
    <definedName name="СП_R62C28">#REF!</definedName>
    <definedName name="СП_R62C3">#REF!</definedName>
    <definedName name="СП_R62C4">#REF!</definedName>
    <definedName name="СП_R62C5">#REF!</definedName>
    <definedName name="СП_R62C6">#REF!</definedName>
    <definedName name="СП_R62C7">#REF!</definedName>
    <definedName name="СП_R62C8">#REF!</definedName>
    <definedName name="СП_R62C9">#REF!</definedName>
    <definedName name="СП_R63C10">#REF!</definedName>
    <definedName name="СП_R63C11">#REF!</definedName>
    <definedName name="СП_R63C12">#REF!</definedName>
    <definedName name="СП_R63C13">#REF!</definedName>
    <definedName name="СП_R63C14">#REF!</definedName>
    <definedName name="СП_R63C15">#REF!</definedName>
    <definedName name="СП_R63C16">#REF!</definedName>
    <definedName name="СП_R63C17">#REF!</definedName>
    <definedName name="СП_R63C18">#REF!</definedName>
    <definedName name="СП_R63C19">#REF!</definedName>
    <definedName name="СП_R63C20">#REF!</definedName>
    <definedName name="СП_R63C21">#REF!</definedName>
    <definedName name="СП_R63C22">#REF!</definedName>
    <definedName name="СП_R63C23">#REF!</definedName>
    <definedName name="СП_R63C24">#REF!</definedName>
    <definedName name="СП_R63C25">#REF!</definedName>
    <definedName name="СП_R63C26">#REF!</definedName>
    <definedName name="СП_R63C27">#REF!</definedName>
    <definedName name="СП_R63C28">#REF!</definedName>
    <definedName name="СП_R63C3">#REF!</definedName>
    <definedName name="СП_R63C4">#REF!</definedName>
    <definedName name="СП_R63C5">#REF!</definedName>
    <definedName name="СП_R63C6">#REF!</definedName>
    <definedName name="СП_R63C7">#REF!</definedName>
    <definedName name="СП_R63C8">#REF!</definedName>
    <definedName name="СП_R63C9">#REF!</definedName>
    <definedName name="СП_R64C10">#REF!</definedName>
    <definedName name="СП_R64C11">#REF!</definedName>
    <definedName name="СП_R64C12">#REF!</definedName>
    <definedName name="СП_R64C13">#REF!</definedName>
    <definedName name="СП_R64C14">#REF!</definedName>
    <definedName name="СП_R64C15">#REF!</definedName>
    <definedName name="СП_R64C16">#REF!</definedName>
    <definedName name="СП_R64C17">#REF!</definedName>
    <definedName name="СП_R64C18">#REF!</definedName>
    <definedName name="СП_R64C19">#REF!</definedName>
    <definedName name="СП_R64C20">#REF!</definedName>
    <definedName name="СП_R64C21">#REF!</definedName>
    <definedName name="СП_R64C22">#REF!</definedName>
    <definedName name="СП_R64C23">#REF!</definedName>
    <definedName name="СП_R64C24">#REF!</definedName>
    <definedName name="СП_R64C25">#REF!</definedName>
    <definedName name="СП_R64C26">#REF!</definedName>
    <definedName name="СП_R64C27">#REF!</definedName>
    <definedName name="СП_R64C28">#REF!</definedName>
    <definedName name="СП_R64C3">#REF!</definedName>
    <definedName name="СП_R64C4">#REF!</definedName>
    <definedName name="СП_R64C5">#REF!</definedName>
    <definedName name="СП_R64C6">#REF!</definedName>
    <definedName name="СП_R64C7">#REF!</definedName>
    <definedName name="СП_R64C8">#REF!</definedName>
    <definedName name="СП_R64C9">#REF!</definedName>
    <definedName name="СП_R65C10">#REF!</definedName>
    <definedName name="СП_R65C11">#REF!</definedName>
    <definedName name="СП_R65C12">#REF!</definedName>
    <definedName name="СП_R65C13">#REF!</definedName>
    <definedName name="СП_R65C14">#REF!</definedName>
    <definedName name="СП_R65C15">#REF!</definedName>
    <definedName name="СП_R65C16">#REF!</definedName>
    <definedName name="СП_R65C17">#REF!</definedName>
    <definedName name="СП_R65C18">#REF!</definedName>
    <definedName name="СП_R65C19">#REF!</definedName>
    <definedName name="СП_R65C20">#REF!</definedName>
    <definedName name="СП_R65C21">#REF!</definedName>
    <definedName name="СП_R65C22">#REF!</definedName>
    <definedName name="СП_R65C23">#REF!</definedName>
    <definedName name="СП_R65C24">#REF!</definedName>
    <definedName name="СП_R65C25">#REF!</definedName>
    <definedName name="СП_R65C26">#REF!</definedName>
    <definedName name="СП_R65C27">#REF!</definedName>
    <definedName name="СП_R65C28">#REF!</definedName>
    <definedName name="СП_R65C3">#REF!</definedName>
    <definedName name="СП_R65C4">#REF!</definedName>
    <definedName name="СП_R65C5">#REF!</definedName>
    <definedName name="СП_R65C6">#REF!</definedName>
    <definedName name="СП_R65C7">#REF!</definedName>
    <definedName name="СП_R65C8">#REF!</definedName>
    <definedName name="СП_R65C9">#REF!</definedName>
    <definedName name="СП_R66C10">#REF!</definedName>
    <definedName name="СП_R66C11">#REF!</definedName>
    <definedName name="СП_R66C12">#REF!</definedName>
    <definedName name="СП_R66C13">#REF!</definedName>
    <definedName name="СП_R66C14">#REF!</definedName>
    <definedName name="СП_R66C15">#REF!</definedName>
    <definedName name="СП_R66C16">#REF!</definedName>
    <definedName name="СП_R66C17">#REF!</definedName>
    <definedName name="СП_R66C18">#REF!</definedName>
    <definedName name="СП_R66C19">#REF!</definedName>
    <definedName name="СП_R66C20">#REF!</definedName>
    <definedName name="СП_R66C21">#REF!</definedName>
    <definedName name="СП_R66C22">#REF!</definedName>
    <definedName name="СП_R66C23">#REF!</definedName>
    <definedName name="СП_R66C24">#REF!</definedName>
    <definedName name="СП_R66C25">#REF!</definedName>
    <definedName name="СП_R66C26">#REF!</definedName>
    <definedName name="СП_R66C27">#REF!</definedName>
    <definedName name="СП_R66C28">#REF!</definedName>
    <definedName name="СП_R66C3">#REF!</definedName>
    <definedName name="СП_R66C4">#REF!</definedName>
    <definedName name="СП_R66C5">#REF!</definedName>
    <definedName name="СП_R66C6">#REF!</definedName>
    <definedName name="СП_R66C7">#REF!</definedName>
    <definedName name="СП_R66C8">#REF!</definedName>
    <definedName name="СП_R66C9">#REF!</definedName>
    <definedName name="СП_R67C10">#REF!</definedName>
    <definedName name="СП_R67C11">#REF!</definedName>
    <definedName name="СП_R67C12">#REF!</definedName>
    <definedName name="СП_R67C13">#REF!</definedName>
    <definedName name="СП_R67C14">#REF!</definedName>
    <definedName name="СП_R67C15">#REF!</definedName>
    <definedName name="СП_R67C16">#REF!</definedName>
    <definedName name="СП_R67C17">#REF!</definedName>
    <definedName name="СП_R67C18">#REF!</definedName>
    <definedName name="СП_R67C19">#REF!</definedName>
    <definedName name="СП_R67C20">#REF!</definedName>
    <definedName name="СП_R67C21">#REF!</definedName>
    <definedName name="СП_R67C22">#REF!</definedName>
    <definedName name="СП_R67C23">#REF!</definedName>
    <definedName name="СП_R67C24">#REF!</definedName>
    <definedName name="СП_R67C25">#REF!</definedName>
    <definedName name="СП_R67C26">#REF!</definedName>
    <definedName name="СП_R67C27">#REF!</definedName>
    <definedName name="СП_R67C28">#REF!</definedName>
    <definedName name="СП_R67C3">#REF!</definedName>
    <definedName name="СП_R67C4">#REF!</definedName>
    <definedName name="СП_R67C5">#REF!</definedName>
    <definedName name="СП_R67C6">#REF!</definedName>
    <definedName name="СП_R67C7">#REF!</definedName>
    <definedName name="СП_R67C8">#REF!</definedName>
    <definedName name="СП_R67C9">#REF!</definedName>
    <definedName name="СП_R68C10">#REF!</definedName>
    <definedName name="СП_R68C11">#REF!</definedName>
    <definedName name="СП_R68C12">#REF!</definedName>
    <definedName name="СП_R68C13">#REF!</definedName>
    <definedName name="СП_R68C14">#REF!</definedName>
    <definedName name="СП_R68C15">#REF!</definedName>
    <definedName name="СП_R68C16">#REF!</definedName>
    <definedName name="СП_R68C17">#REF!</definedName>
    <definedName name="СП_R68C18">#REF!</definedName>
    <definedName name="СП_R68C19">#REF!</definedName>
    <definedName name="СП_R68C20">#REF!</definedName>
    <definedName name="СП_R68C21">#REF!</definedName>
    <definedName name="СП_R68C22">#REF!</definedName>
    <definedName name="СП_R68C23">#REF!</definedName>
    <definedName name="СП_R68C24">#REF!</definedName>
    <definedName name="СП_R68C25">#REF!</definedName>
    <definedName name="СП_R68C26">#REF!</definedName>
    <definedName name="СП_R68C27">#REF!</definedName>
    <definedName name="СП_R68C28">#REF!</definedName>
    <definedName name="СП_R68C3">#REF!</definedName>
    <definedName name="СП_R68C4">#REF!</definedName>
    <definedName name="СП_R68C5">#REF!</definedName>
    <definedName name="СП_R68C6">#REF!</definedName>
    <definedName name="СП_R68C7">#REF!</definedName>
    <definedName name="СП_R68C8">#REF!</definedName>
    <definedName name="СП_R68C9">#REF!</definedName>
    <definedName name="СП_R69C10">#REF!</definedName>
    <definedName name="СП_R69C11">#REF!</definedName>
    <definedName name="СП_R69C12">#REF!</definedName>
    <definedName name="СП_R69C13">#REF!</definedName>
    <definedName name="СП_R69C14">#REF!</definedName>
    <definedName name="СП_R69C15">#REF!</definedName>
    <definedName name="СП_R69C16">#REF!</definedName>
    <definedName name="СП_R69C17">#REF!</definedName>
    <definedName name="СП_R69C18">#REF!</definedName>
    <definedName name="СП_R69C19">#REF!</definedName>
    <definedName name="СП_R69C20">#REF!</definedName>
    <definedName name="СП_R69C21">#REF!</definedName>
    <definedName name="СП_R69C22">#REF!</definedName>
    <definedName name="СП_R69C23">#REF!</definedName>
    <definedName name="СП_R69C24">#REF!</definedName>
    <definedName name="СП_R69C25">#REF!</definedName>
    <definedName name="СП_R69C26">#REF!</definedName>
    <definedName name="СП_R69C27">#REF!</definedName>
    <definedName name="СП_R69C28">#REF!</definedName>
    <definedName name="СП_R69C3">#REF!</definedName>
    <definedName name="СП_R69C4">#REF!</definedName>
    <definedName name="СП_R69C5">#REF!</definedName>
    <definedName name="СП_R69C6">#REF!</definedName>
    <definedName name="СП_R69C7">#REF!</definedName>
    <definedName name="СП_R69C8">#REF!</definedName>
    <definedName name="СП_R69C9">#REF!</definedName>
    <definedName name="СП_R6C10">#REF!</definedName>
    <definedName name="СП_R6C11">#REF!</definedName>
    <definedName name="СП_R6C12">#REF!</definedName>
    <definedName name="СП_R6C13">#REF!</definedName>
    <definedName name="СП_R6C14">#REF!</definedName>
    <definedName name="СП_R6C15">#REF!</definedName>
    <definedName name="СП_R6C16">#REF!</definedName>
    <definedName name="СП_R6C17">#REF!</definedName>
    <definedName name="СП_R6C18">#REF!</definedName>
    <definedName name="СП_R6C19">#REF!</definedName>
    <definedName name="СП_R6C20">#REF!</definedName>
    <definedName name="СП_R6C21">#REF!</definedName>
    <definedName name="СП_R6C22">#REF!</definedName>
    <definedName name="СП_R6C23">#REF!</definedName>
    <definedName name="СП_R6C24">#REF!</definedName>
    <definedName name="СП_R6C25">#REF!</definedName>
    <definedName name="СП_R6C26">#REF!</definedName>
    <definedName name="СП_R6C27">#REF!</definedName>
    <definedName name="СП_R6C28">#REF!</definedName>
    <definedName name="СП_R6C3">#REF!</definedName>
    <definedName name="СП_R6C4">#REF!</definedName>
    <definedName name="СП_R6C5">#REF!</definedName>
    <definedName name="СП_R6C6">#REF!</definedName>
    <definedName name="СП_R6C7">#REF!</definedName>
    <definedName name="СП_R6C8">#REF!</definedName>
    <definedName name="СП_R6C9">#REF!</definedName>
    <definedName name="СП_R70C10">#REF!</definedName>
    <definedName name="СП_R70C11">#REF!</definedName>
    <definedName name="СП_R70C12">#REF!</definedName>
    <definedName name="СП_R70C13">#REF!</definedName>
    <definedName name="СП_R70C14">#REF!</definedName>
    <definedName name="СП_R70C15">#REF!</definedName>
    <definedName name="СП_R70C16">#REF!</definedName>
    <definedName name="СП_R70C17">#REF!</definedName>
    <definedName name="СП_R70C18">#REF!</definedName>
    <definedName name="СП_R70C19">#REF!</definedName>
    <definedName name="СП_R70C20">#REF!</definedName>
    <definedName name="СП_R70C21">#REF!</definedName>
    <definedName name="СП_R70C22">#REF!</definedName>
    <definedName name="СП_R70C23">#REF!</definedName>
    <definedName name="СП_R70C24">#REF!</definedName>
    <definedName name="СП_R70C25">#REF!</definedName>
    <definedName name="СП_R70C26">#REF!</definedName>
    <definedName name="СП_R70C27">#REF!</definedName>
    <definedName name="СП_R70C28">#REF!</definedName>
    <definedName name="СП_R70C3">#REF!</definedName>
    <definedName name="СП_R70C4">#REF!</definedName>
    <definedName name="СП_R70C5">#REF!</definedName>
    <definedName name="СП_R70C6">#REF!</definedName>
    <definedName name="СП_R70C7">#REF!</definedName>
    <definedName name="СП_R70C8">#REF!</definedName>
    <definedName name="СП_R70C9">#REF!</definedName>
    <definedName name="СП_R71C10">#REF!</definedName>
    <definedName name="СП_R71C11">#REF!</definedName>
    <definedName name="СП_R71C12">#REF!</definedName>
    <definedName name="СП_R71C13">#REF!</definedName>
    <definedName name="СП_R71C14">#REF!</definedName>
    <definedName name="СП_R71C15">#REF!</definedName>
    <definedName name="СП_R71C16">#REF!</definedName>
    <definedName name="СП_R71C17">#REF!</definedName>
    <definedName name="СП_R71C18">#REF!</definedName>
    <definedName name="СП_R71C19">#REF!</definedName>
    <definedName name="СП_R71C20">#REF!</definedName>
    <definedName name="СП_R71C21">#REF!</definedName>
    <definedName name="СП_R71C22">#REF!</definedName>
    <definedName name="СП_R71C23">#REF!</definedName>
    <definedName name="СП_R71C24">#REF!</definedName>
    <definedName name="СП_R71C25">#REF!</definedName>
    <definedName name="СП_R71C26">#REF!</definedName>
    <definedName name="СП_R71C27">#REF!</definedName>
    <definedName name="СП_R71C28">#REF!</definedName>
    <definedName name="СП_R71C3">#REF!</definedName>
    <definedName name="СП_R71C4">#REF!</definedName>
    <definedName name="СП_R71C5">#REF!</definedName>
    <definedName name="СП_R71C6">#REF!</definedName>
    <definedName name="СП_R71C7">#REF!</definedName>
    <definedName name="СП_R71C8">#REF!</definedName>
    <definedName name="СП_R71C9">#REF!</definedName>
    <definedName name="СП_R72C10">#REF!</definedName>
    <definedName name="СП_R72C11">#REF!</definedName>
    <definedName name="СП_R72C12">#REF!</definedName>
    <definedName name="СП_R72C13">#REF!</definedName>
    <definedName name="СП_R72C14">#REF!</definedName>
    <definedName name="СП_R72C15">#REF!</definedName>
    <definedName name="СП_R72C16">#REF!</definedName>
    <definedName name="СП_R72C17">#REF!</definedName>
    <definedName name="СП_R72C18">#REF!</definedName>
    <definedName name="СП_R72C19">#REF!</definedName>
    <definedName name="СП_R72C20">#REF!</definedName>
    <definedName name="СП_R72C21">#REF!</definedName>
    <definedName name="СП_R72C22">#REF!</definedName>
    <definedName name="СП_R72C23">#REF!</definedName>
    <definedName name="СП_R72C24">#REF!</definedName>
    <definedName name="СП_R72C25">#REF!</definedName>
    <definedName name="СП_R72C26">#REF!</definedName>
    <definedName name="СП_R72C27">#REF!</definedName>
    <definedName name="СП_R72C28">#REF!</definedName>
    <definedName name="СП_R72C3">#REF!</definedName>
    <definedName name="СП_R72C4">#REF!</definedName>
    <definedName name="СП_R72C5">#REF!</definedName>
    <definedName name="СП_R72C6">#REF!</definedName>
    <definedName name="СП_R72C7">#REF!</definedName>
    <definedName name="СП_R72C8">#REF!</definedName>
    <definedName name="СП_R72C9">#REF!</definedName>
    <definedName name="СП_R73C10">#REF!</definedName>
    <definedName name="СП_R73C11">#REF!</definedName>
    <definedName name="СП_R73C12">#REF!</definedName>
    <definedName name="СП_R73C13">#REF!</definedName>
    <definedName name="СП_R73C14">#REF!</definedName>
    <definedName name="СП_R73C15">#REF!</definedName>
    <definedName name="СП_R73C16">#REF!</definedName>
    <definedName name="СП_R73C17">#REF!</definedName>
    <definedName name="СП_R73C18">#REF!</definedName>
    <definedName name="СП_R73C19">#REF!</definedName>
    <definedName name="СП_R73C20">#REF!</definedName>
    <definedName name="СП_R73C21">#REF!</definedName>
    <definedName name="СП_R73C22">#REF!</definedName>
    <definedName name="СП_R73C23">#REF!</definedName>
    <definedName name="СП_R73C24">#REF!</definedName>
    <definedName name="СП_R73C25">#REF!</definedName>
    <definedName name="СП_R73C26">#REF!</definedName>
    <definedName name="СП_R73C27">#REF!</definedName>
    <definedName name="СП_R73C28">#REF!</definedName>
    <definedName name="СП_R73C3">#REF!</definedName>
    <definedName name="СП_R73C4">#REF!</definedName>
    <definedName name="СП_R73C5">#REF!</definedName>
    <definedName name="СП_R73C6">#REF!</definedName>
    <definedName name="СП_R73C7">#REF!</definedName>
    <definedName name="СП_R73C8">#REF!</definedName>
    <definedName name="СП_R73C9">#REF!</definedName>
    <definedName name="СП_R74C10">#REF!</definedName>
    <definedName name="СП_R74C11">#REF!</definedName>
    <definedName name="СП_R74C12">#REF!</definedName>
    <definedName name="СП_R74C13">#REF!</definedName>
    <definedName name="СП_R74C14">#REF!</definedName>
    <definedName name="СП_R74C15">#REF!</definedName>
    <definedName name="СП_R74C16">#REF!</definedName>
    <definedName name="СП_R74C17">#REF!</definedName>
    <definedName name="СП_R74C18">#REF!</definedName>
    <definedName name="СП_R74C19">#REF!</definedName>
    <definedName name="СП_R74C20">#REF!</definedName>
    <definedName name="СП_R74C21">#REF!</definedName>
    <definedName name="СП_R74C22">#REF!</definedName>
    <definedName name="СП_R74C23">#REF!</definedName>
    <definedName name="СП_R74C24">#REF!</definedName>
    <definedName name="СП_R74C25">#REF!</definedName>
    <definedName name="СП_R74C26">#REF!</definedName>
    <definedName name="СП_R74C27">#REF!</definedName>
    <definedName name="СП_R74C28">#REF!</definedName>
    <definedName name="СП_R74C3">#REF!</definedName>
    <definedName name="СП_R74C4">#REF!</definedName>
    <definedName name="СП_R74C5">#REF!</definedName>
    <definedName name="СП_R74C6">#REF!</definedName>
    <definedName name="СП_R74C7">#REF!</definedName>
    <definedName name="СП_R74C8">#REF!</definedName>
    <definedName name="СП_R74C9">#REF!</definedName>
    <definedName name="СП_R75C10">#REF!</definedName>
    <definedName name="СП_R75C11">#REF!</definedName>
    <definedName name="СП_R75C12">#REF!</definedName>
    <definedName name="СП_R75C13">#REF!</definedName>
    <definedName name="СП_R75C14">#REF!</definedName>
    <definedName name="СП_R75C15">#REF!</definedName>
    <definedName name="СП_R75C16">#REF!</definedName>
    <definedName name="СП_R75C17">#REF!</definedName>
    <definedName name="СП_R75C18">#REF!</definedName>
    <definedName name="СП_R75C19">#REF!</definedName>
    <definedName name="СП_R75C20">#REF!</definedName>
    <definedName name="СП_R75C21">#REF!</definedName>
    <definedName name="СП_R75C22">#REF!</definedName>
    <definedName name="СП_R75C23">#REF!</definedName>
    <definedName name="СП_R75C24">#REF!</definedName>
    <definedName name="СП_R75C25">#REF!</definedName>
    <definedName name="СП_R75C26">#REF!</definedName>
    <definedName name="СП_R75C27">#REF!</definedName>
    <definedName name="СП_R75C28">#REF!</definedName>
    <definedName name="СП_R75C3">#REF!</definedName>
    <definedName name="СП_R75C4">#REF!</definedName>
    <definedName name="СП_R75C5">#REF!</definedName>
    <definedName name="СП_R75C6">#REF!</definedName>
    <definedName name="СП_R75C7">#REF!</definedName>
    <definedName name="СП_R75C8">#REF!</definedName>
    <definedName name="СП_R75C9">#REF!</definedName>
    <definedName name="СП_R76C10">#REF!</definedName>
    <definedName name="СП_R76C11">#REF!</definedName>
    <definedName name="СП_R76C12">#REF!</definedName>
    <definedName name="СП_R76C13">#REF!</definedName>
    <definedName name="СП_R76C14">#REF!</definedName>
    <definedName name="СП_R76C15">#REF!</definedName>
    <definedName name="СП_R76C16">#REF!</definedName>
    <definedName name="СП_R76C17">#REF!</definedName>
    <definedName name="СП_R76C18">#REF!</definedName>
    <definedName name="СП_R76C19">#REF!</definedName>
    <definedName name="СП_R76C20">#REF!</definedName>
    <definedName name="СП_R76C21">#REF!</definedName>
    <definedName name="СП_R76C22">#REF!</definedName>
    <definedName name="СП_R76C23">#REF!</definedName>
    <definedName name="СП_R76C24">#REF!</definedName>
    <definedName name="СП_R76C25">#REF!</definedName>
    <definedName name="СП_R76C26">#REF!</definedName>
    <definedName name="СП_R76C27">#REF!</definedName>
    <definedName name="СП_R76C28">#REF!</definedName>
    <definedName name="СП_R76C3">#REF!</definedName>
    <definedName name="СП_R76C4">#REF!</definedName>
    <definedName name="СП_R76C5">#REF!</definedName>
    <definedName name="СП_R76C6">#REF!</definedName>
    <definedName name="СП_R76C7">#REF!</definedName>
    <definedName name="СП_R76C8">#REF!</definedName>
    <definedName name="СП_R76C9">#REF!</definedName>
    <definedName name="СП_R77C10">#REF!</definedName>
    <definedName name="СП_R77C11">#REF!</definedName>
    <definedName name="СП_R77C12">#REF!</definedName>
    <definedName name="СП_R77C13">#REF!</definedName>
    <definedName name="СП_R77C14">#REF!</definedName>
    <definedName name="СП_R77C15">#REF!</definedName>
    <definedName name="СП_R77C16">#REF!</definedName>
    <definedName name="СП_R77C17">#REF!</definedName>
    <definedName name="СП_R77C18">#REF!</definedName>
    <definedName name="СП_R77C19">#REF!</definedName>
    <definedName name="СП_R77C20">#REF!</definedName>
    <definedName name="СП_R77C21">#REF!</definedName>
    <definedName name="СП_R77C22">#REF!</definedName>
    <definedName name="СП_R77C23">#REF!</definedName>
    <definedName name="СП_R77C24">#REF!</definedName>
    <definedName name="СП_R77C25">#REF!</definedName>
    <definedName name="СП_R77C26">#REF!</definedName>
    <definedName name="СП_R77C27">#REF!</definedName>
    <definedName name="СП_R77C28">#REF!</definedName>
    <definedName name="СП_R77C3">#REF!</definedName>
    <definedName name="СП_R77C4">#REF!</definedName>
    <definedName name="СП_R77C5">#REF!</definedName>
    <definedName name="СП_R77C6">#REF!</definedName>
    <definedName name="СП_R77C7">#REF!</definedName>
    <definedName name="СП_R77C8">#REF!</definedName>
    <definedName name="СП_R77C9">#REF!</definedName>
    <definedName name="СП_R78C10">#REF!</definedName>
    <definedName name="СП_R78C11">#REF!</definedName>
    <definedName name="СП_R78C12">#REF!</definedName>
    <definedName name="СП_R78C13">#REF!</definedName>
    <definedName name="СП_R78C14">#REF!</definedName>
    <definedName name="СП_R78C15">#REF!</definedName>
    <definedName name="СП_R78C16">#REF!</definedName>
    <definedName name="СП_R78C17">#REF!</definedName>
    <definedName name="СП_R78C18">#REF!</definedName>
    <definedName name="СП_R78C19">#REF!</definedName>
    <definedName name="СП_R78C20">#REF!</definedName>
    <definedName name="СП_R78C21">#REF!</definedName>
    <definedName name="СП_R78C22">#REF!</definedName>
    <definedName name="СП_R78C23">#REF!</definedName>
    <definedName name="СП_R78C24">#REF!</definedName>
    <definedName name="СП_R78C25">#REF!</definedName>
    <definedName name="СП_R78C26">#REF!</definedName>
    <definedName name="СП_R78C27">#REF!</definedName>
    <definedName name="СП_R78C28">#REF!</definedName>
    <definedName name="СП_R78C3">#REF!</definedName>
    <definedName name="СП_R78C4">#REF!</definedName>
    <definedName name="СП_R78C5">#REF!</definedName>
    <definedName name="СП_R78C6">#REF!</definedName>
    <definedName name="СП_R78C7">#REF!</definedName>
    <definedName name="СП_R78C8">#REF!</definedName>
    <definedName name="СП_R78C9">#REF!</definedName>
    <definedName name="СП_R79C10">#REF!</definedName>
    <definedName name="СП_R79C11">#REF!</definedName>
    <definedName name="СП_R79C12">#REF!</definedName>
    <definedName name="СП_R79C13">#REF!</definedName>
    <definedName name="СП_R79C14">#REF!</definedName>
    <definedName name="СП_R79C15">#REF!</definedName>
    <definedName name="СП_R79C16">#REF!</definedName>
    <definedName name="СП_R79C17">#REF!</definedName>
    <definedName name="СП_R79C18">#REF!</definedName>
    <definedName name="СП_R79C19">#REF!</definedName>
    <definedName name="СП_R79C20">#REF!</definedName>
    <definedName name="СП_R79C21">#REF!</definedName>
    <definedName name="СП_R79C22">#REF!</definedName>
    <definedName name="СП_R79C23">#REF!</definedName>
    <definedName name="СП_R79C24">#REF!</definedName>
    <definedName name="СП_R79C25">#REF!</definedName>
    <definedName name="СП_R79C26">#REF!</definedName>
    <definedName name="СП_R79C27">#REF!</definedName>
    <definedName name="СП_R79C28">#REF!</definedName>
    <definedName name="СП_R79C3">#REF!</definedName>
    <definedName name="СП_R79C4">#REF!</definedName>
    <definedName name="СП_R79C5">#REF!</definedName>
    <definedName name="СП_R79C6">#REF!</definedName>
    <definedName name="СП_R79C7">#REF!</definedName>
    <definedName name="СП_R79C8">#REF!</definedName>
    <definedName name="СП_R79C9">#REF!</definedName>
    <definedName name="СП_R7C10">#REF!</definedName>
    <definedName name="СП_R7C11">#REF!</definedName>
    <definedName name="СП_R7C12">#REF!</definedName>
    <definedName name="СП_R7C13">#REF!</definedName>
    <definedName name="СП_R7C14">#REF!</definedName>
    <definedName name="СП_R7C15">#REF!</definedName>
    <definedName name="СП_R7C16">#REF!</definedName>
    <definedName name="СП_R7C17">#REF!</definedName>
    <definedName name="СП_R7C18">#REF!</definedName>
    <definedName name="СП_R7C19">#REF!</definedName>
    <definedName name="СП_R7C20">#REF!</definedName>
    <definedName name="СП_R7C21">#REF!</definedName>
    <definedName name="СП_R7C22">#REF!</definedName>
    <definedName name="СП_R7C23">#REF!</definedName>
    <definedName name="СП_R7C24">#REF!</definedName>
    <definedName name="СП_R7C25">#REF!</definedName>
    <definedName name="СП_R7C26">#REF!</definedName>
    <definedName name="СП_R7C27">#REF!</definedName>
    <definedName name="СП_R7C28">#REF!</definedName>
    <definedName name="СП_R7C3">#REF!</definedName>
    <definedName name="СП_R7C4">#REF!</definedName>
    <definedName name="СП_R7C5">#REF!</definedName>
    <definedName name="СП_R7C6">#REF!</definedName>
    <definedName name="СП_R7C7">#REF!</definedName>
    <definedName name="СП_R7C8">#REF!</definedName>
    <definedName name="СП_R7C9">#REF!</definedName>
    <definedName name="СП_R80C10">#REF!</definedName>
    <definedName name="СП_R80C11">#REF!</definedName>
    <definedName name="СП_R80C12">#REF!</definedName>
    <definedName name="СП_R80C13">#REF!</definedName>
    <definedName name="СП_R80C14">#REF!</definedName>
    <definedName name="СП_R80C15">#REF!</definedName>
    <definedName name="СП_R80C16">#REF!</definedName>
    <definedName name="СП_R80C17">#REF!</definedName>
    <definedName name="СП_R80C18">#REF!</definedName>
    <definedName name="СП_R80C19">#REF!</definedName>
    <definedName name="СП_R80C20">#REF!</definedName>
    <definedName name="СП_R80C21">#REF!</definedName>
    <definedName name="СП_R80C22">#REF!</definedName>
    <definedName name="СП_R80C23">#REF!</definedName>
    <definedName name="СП_R80C24">#REF!</definedName>
    <definedName name="СП_R80C25">#REF!</definedName>
    <definedName name="СП_R80C26">#REF!</definedName>
    <definedName name="СП_R80C27">#REF!</definedName>
    <definedName name="СП_R80C28">#REF!</definedName>
    <definedName name="СП_R80C3">#REF!</definedName>
    <definedName name="СП_R80C4">#REF!</definedName>
    <definedName name="СП_R80C5">#REF!</definedName>
    <definedName name="СП_R80C6">#REF!</definedName>
    <definedName name="СП_R80C7">#REF!</definedName>
    <definedName name="СП_R80C8">#REF!</definedName>
    <definedName name="СП_R80C9">#REF!</definedName>
    <definedName name="СП_R81C10">#REF!</definedName>
    <definedName name="СП_R81C11">#REF!</definedName>
    <definedName name="СП_R81C12">#REF!</definedName>
    <definedName name="СП_R81C13">#REF!</definedName>
    <definedName name="СП_R81C14">#REF!</definedName>
    <definedName name="СП_R81C15">#REF!</definedName>
    <definedName name="СП_R81C16">#REF!</definedName>
    <definedName name="СП_R81C17">#REF!</definedName>
    <definedName name="СП_R81C18">#REF!</definedName>
    <definedName name="СП_R81C19">#REF!</definedName>
    <definedName name="СП_R81C20">#REF!</definedName>
    <definedName name="СП_R81C21">#REF!</definedName>
    <definedName name="СП_R81C22">#REF!</definedName>
    <definedName name="СП_R81C23">#REF!</definedName>
    <definedName name="СП_R81C24">#REF!</definedName>
    <definedName name="СП_R81C25">#REF!</definedName>
    <definedName name="СП_R81C26">#REF!</definedName>
    <definedName name="СП_R81C27">#REF!</definedName>
    <definedName name="СП_R81C28">#REF!</definedName>
    <definedName name="СП_R81C3">#REF!</definedName>
    <definedName name="СП_R81C4">#REF!</definedName>
    <definedName name="СП_R81C5">#REF!</definedName>
    <definedName name="СП_R81C6">#REF!</definedName>
    <definedName name="СП_R81C7">#REF!</definedName>
    <definedName name="СП_R81C8">#REF!</definedName>
    <definedName name="СП_R81C9">#REF!</definedName>
    <definedName name="СП_R82C10">#REF!</definedName>
    <definedName name="СП_R82C11">#REF!</definedName>
    <definedName name="СП_R82C12">#REF!</definedName>
    <definedName name="СП_R82C13">#REF!</definedName>
    <definedName name="СП_R82C14">#REF!</definedName>
    <definedName name="СП_R82C15">#REF!</definedName>
    <definedName name="СП_R82C16">#REF!</definedName>
    <definedName name="СП_R82C17">#REF!</definedName>
    <definedName name="СП_R82C18">#REF!</definedName>
    <definedName name="СП_R82C19">#REF!</definedName>
    <definedName name="СП_R82C20">#REF!</definedName>
    <definedName name="СП_R82C21">#REF!</definedName>
    <definedName name="СП_R82C22">#REF!</definedName>
    <definedName name="СП_R82C23">#REF!</definedName>
    <definedName name="СП_R82C24">#REF!</definedName>
    <definedName name="СП_R82C25">#REF!</definedName>
    <definedName name="СП_R82C26">#REF!</definedName>
    <definedName name="СП_R82C27">#REF!</definedName>
    <definedName name="СП_R82C28">#REF!</definedName>
    <definedName name="СП_R82C3">#REF!</definedName>
    <definedName name="СП_R82C4">#REF!</definedName>
    <definedName name="СП_R82C5">#REF!</definedName>
    <definedName name="СП_R82C6">#REF!</definedName>
    <definedName name="СП_R82C7">#REF!</definedName>
    <definedName name="СП_R82C8">#REF!</definedName>
    <definedName name="СП_R82C9">#REF!</definedName>
    <definedName name="СП_R83C10">#REF!</definedName>
    <definedName name="СП_R83C11">#REF!</definedName>
    <definedName name="СП_R83C12">#REF!</definedName>
    <definedName name="СП_R83C13">#REF!</definedName>
    <definedName name="СП_R83C14">#REF!</definedName>
    <definedName name="СП_R83C15">#REF!</definedName>
    <definedName name="СП_R83C16">#REF!</definedName>
    <definedName name="СП_R83C17">#REF!</definedName>
    <definedName name="СП_R83C18">#REF!</definedName>
    <definedName name="СП_R83C19">#REF!</definedName>
    <definedName name="СП_R83C20">#REF!</definedName>
    <definedName name="СП_R83C21">#REF!</definedName>
    <definedName name="СП_R83C22">#REF!</definedName>
    <definedName name="СП_R83C23">#REF!</definedName>
    <definedName name="СП_R83C24">#REF!</definedName>
    <definedName name="СП_R83C25">#REF!</definedName>
    <definedName name="СП_R83C26">#REF!</definedName>
    <definedName name="СП_R83C27">#REF!</definedName>
    <definedName name="СП_R83C28">#REF!</definedName>
    <definedName name="СП_R83C3">#REF!</definedName>
    <definedName name="СП_R83C4">#REF!</definedName>
    <definedName name="СП_R83C5">#REF!</definedName>
    <definedName name="СП_R83C6">#REF!</definedName>
    <definedName name="СП_R83C7">#REF!</definedName>
    <definedName name="СП_R83C8">#REF!</definedName>
    <definedName name="СП_R83C9">#REF!</definedName>
    <definedName name="СП_R84C10">#REF!</definedName>
    <definedName name="СП_R84C11">#REF!</definedName>
    <definedName name="СП_R84C12">#REF!</definedName>
    <definedName name="СП_R84C13">#REF!</definedName>
    <definedName name="СП_R84C14">#REF!</definedName>
    <definedName name="СП_R84C15">#REF!</definedName>
    <definedName name="СП_R84C16">#REF!</definedName>
    <definedName name="СП_R84C17">#REF!</definedName>
    <definedName name="СП_R84C18">#REF!</definedName>
    <definedName name="СП_R84C19">#REF!</definedName>
    <definedName name="СП_R84C20">#REF!</definedName>
    <definedName name="СП_R84C21">#REF!</definedName>
    <definedName name="СП_R84C22">#REF!</definedName>
    <definedName name="СП_R84C23">#REF!</definedName>
    <definedName name="СП_R84C24">#REF!</definedName>
    <definedName name="СП_R84C25">#REF!</definedName>
    <definedName name="СП_R84C26">#REF!</definedName>
    <definedName name="СП_R84C27">#REF!</definedName>
    <definedName name="СП_R84C28">#REF!</definedName>
    <definedName name="СП_R84C3">#REF!</definedName>
    <definedName name="СП_R84C4">#REF!</definedName>
    <definedName name="СП_R84C5">#REF!</definedName>
    <definedName name="СП_R84C6">#REF!</definedName>
    <definedName name="СП_R84C7">#REF!</definedName>
    <definedName name="СП_R84C8">#REF!</definedName>
    <definedName name="СП_R84C9">#REF!</definedName>
    <definedName name="СП_R85C10">#REF!</definedName>
    <definedName name="СП_R85C11">#REF!</definedName>
    <definedName name="СП_R85C12">#REF!</definedName>
    <definedName name="СП_R85C13">#REF!</definedName>
    <definedName name="СП_R85C14">#REF!</definedName>
    <definedName name="СП_R85C15">#REF!</definedName>
    <definedName name="СП_R85C16">#REF!</definedName>
    <definedName name="СП_R85C17">#REF!</definedName>
    <definedName name="СП_R85C18">#REF!</definedName>
    <definedName name="СП_R85C19">#REF!</definedName>
    <definedName name="СП_R85C20">#REF!</definedName>
    <definedName name="СП_R85C21">#REF!</definedName>
    <definedName name="СП_R85C22">#REF!</definedName>
    <definedName name="СП_R85C23">#REF!</definedName>
    <definedName name="СП_R85C24">#REF!</definedName>
    <definedName name="СП_R85C25">#REF!</definedName>
    <definedName name="СП_R85C26">#REF!</definedName>
    <definedName name="СП_R85C27">#REF!</definedName>
    <definedName name="СП_R85C28">#REF!</definedName>
    <definedName name="СП_R85C3">#REF!</definedName>
    <definedName name="СП_R85C4">#REF!</definedName>
    <definedName name="СП_R85C5">#REF!</definedName>
    <definedName name="СП_R85C6">#REF!</definedName>
    <definedName name="СП_R85C7">#REF!</definedName>
    <definedName name="СП_R85C8">#REF!</definedName>
    <definedName name="СП_R85C9">#REF!</definedName>
    <definedName name="СП_R86C10">#REF!</definedName>
    <definedName name="СП_R86C11">#REF!</definedName>
    <definedName name="СП_R86C12">#REF!</definedName>
    <definedName name="СП_R86C13">#REF!</definedName>
    <definedName name="СП_R86C14">#REF!</definedName>
    <definedName name="СП_R86C15">#REF!</definedName>
    <definedName name="СП_R86C16">#REF!</definedName>
    <definedName name="СП_R86C17">#REF!</definedName>
    <definedName name="СП_R86C18">#REF!</definedName>
    <definedName name="СП_R86C19">#REF!</definedName>
    <definedName name="СП_R86C20">#REF!</definedName>
    <definedName name="СП_R86C21">#REF!</definedName>
    <definedName name="СП_R86C22">#REF!</definedName>
    <definedName name="СП_R86C23">#REF!</definedName>
    <definedName name="СП_R86C24">#REF!</definedName>
    <definedName name="СП_R86C25">#REF!</definedName>
    <definedName name="СП_R86C26">#REF!</definedName>
    <definedName name="СП_R86C27">#REF!</definedName>
    <definedName name="СП_R86C28">#REF!</definedName>
    <definedName name="СП_R86C3">#REF!</definedName>
    <definedName name="СП_R86C4">#REF!</definedName>
    <definedName name="СП_R86C5">#REF!</definedName>
    <definedName name="СП_R86C6">#REF!</definedName>
    <definedName name="СП_R86C7">#REF!</definedName>
    <definedName name="СП_R86C8">#REF!</definedName>
    <definedName name="СП_R86C9">#REF!</definedName>
    <definedName name="СП_R87C10">#REF!</definedName>
    <definedName name="СП_R87C11">#REF!</definedName>
    <definedName name="СП_R87C12">#REF!</definedName>
    <definedName name="СП_R87C13">#REF!</definedName>
    <definedName name="СП_R87C14">#REF!</definedName>
    <definedName name="СП_R87C15">#REF!</definedName>
    <definedName name="СП_R87C16">#REF!</definedName>
    <definedName name="СП_R87C17">#REF!</definedName>
    <definedName name="СП_R87C18">#REF!</definedName>
    <definedName name="СП_R87C19">#REF!</definedName>
    <definedName name="СП_R87C20">#REF!</definedName>
    <definedName name="СП_R87C21">#REF!</definedName>
    <definedName name="СП_R87C22">#REF!</definedName>
    <definedName name="СП_R87C23">#REF!</definedName>
    <definedName name="СП_R87C24">#REF!</definedName>
    <definedName name="СП_R87C25">#REF!</definedName>
    <definedName name="СП_R87C26">#REF!</definedName>
    <definedName name="СП_R87C27">#REF!</definedName>
    <definedName name="СП_R87C28">#REF!</definedName>
    <definedName name="СП_R87C3">#REF!</definedName>
    <definedName name="СП_R87C4">#REF!</definedName>
    <definedName name="СП_R87C5">#REF!</definedName>
    <definedName name="СП_R87C6">#REF!</definedName>
    <definedName name="СП_R87C7">#REF!</definedName>
    <definedName name="СП_R87C8">#REF!</definedName>
    <definedName name="СП_R87C9">#REF!</definedName>
    <definedName name="СП_R88C10">#REF!</definedName>
    <definedName name="СП_R88C11">#REF!</definedName>
    <definedName name="СП_R88C12">#REF!</definedName>
    <definedName name="СП_R88C13">#REF!</definedName>
    <definedName name="СП_R88C14">#REF!</definedName>
    <definedName name="СП_R88C15">#REF!</definedName>
    <definedName name="СП_R88C16">#REF!</definedName>
    <definedName name="СП_R88C17">#REF!</definedName>
    <definedName name="СП_R88C18">#REF!</definedName>
    <definedName name="СП_R88C19">#REF!</definedName>
    <definedName name="СП_R88C20">#REF!</definedName>
    <definedName name="СП_R88C21">#REF!</definedName>
    <definedName name="СП_R88C22">#REF!</definedName>
    <definedName name="СП_R88C23">#REF!</definedName>
    <definedName name="СП_R88C24">#REF!</definedName>
    <definedName name="СП_R88C25">#REF!</definedName>
    <definedName name="СП_R88C26">#REF!</definedName>
    <definedName name="СП_R88C27">#REF!</definedName>
    <definedName name="СП_R88C28">#REF!</definedName>
    <definedName name="СП_R88C3">#REF!</definedName>
    <definedName name="СП_R88C4">#REF!</definedName>
    <definedName name="СП_R88C5">#REF!</definedName>
    <definedName name="СП_R88C6">#REF!</definedName>
    <definedName name="СП_R88C7">#REF!</definedName>
    <definedName name="СП_R88C8">#REF!</definedName>
    <definedName name="СП_R88C9">#REF!</definedName>
    <definedName name="СП_R89C10">#REF!</definedName>
    <definedName name="СП_R89C11">#REF!</definedName>
    <definedName name="СП_R89C12">#REF!</definedName>
    <definedName name="СП_R89C13">#REF!</definedName>
    <definedName name="СП_R89C14">#REF!</definedName>
    <definedName name="СП_R89C15">#REF!</definedName>
    <definedName name="СП_R89C16">#REF!</definedName>
    <definedName name="СП_R89C17">#REF!</definedName>
    <definedName name="СП_R89C18">#REF!</definedName>
    <definedName name="СП_R89C19">#REF!</definedName>
    <definedName name="СП_R89C20">#REF!</definedName>
    <definedName name="СП_R89C21">#REF!</definedName>
    <definedName name="СП_R89C22">#REF!</definedName>
    <definedName name="СП_R89C23">#REF!</definedName>
    <definedName name="СП_R89C24">#REF!</definedName>
    <definedName name="СП_R89C25">#REF!</definedName>
    <definedName name="СП_R89C26">#REF!</definedName>
    <definedName name="СП_R89C27">#REF!</definedName>
    <definedName name="СП_R89C28">#REF!</definedName>
    <definedName name="СП_R89C3">#REF!</definedName>
    <definedName name="СП_R89C4">#REF!</definedName>
    <definedName name="СП_R89C5">#REF!</definedName>
    <definedName name="СП_R89C6">#REF!</definedName>
    <definedName name="СП_R89C7">#REF!</definedName>
    <definedName name="СП_R89C8">#REF!</definedName>
    <definedName name="СП_R89C9">#REF!</definedName>
    <definedName name="СП_R8C10">#REF!</definedName>
    <definedName name="СП_R8C11">#REF!</definedName>
    <definedName name="СП_R8C12">#REF!</definedName>
    <definedName name="СП_R8C13">#REF!</definedName>
    <definedName name="СП_R8C14">#REF!</definedName>
    <definedName name="СП_R8C15">#REF!</definedName>
    <definedName name="СП_R8C16">#REF!</definedName>
    <definedName name="СП_R8C17">#REF!</definedName>
    <definedName name="СП_R8C18">#REF!</definedName>
    <definedName name="СП_R8C19">#REF!</definedName>
    <definedName name="СП_R8C20">#REF!</definedName>
    <definedName name="СП_R8C21">#REF!</definedName>
    <definedName name="СП_R8C22">#REF!</definedName>
    <definedName name="СП_R8C23">#REF!</definedName>
    <definedName name="СП_R8C24">#REF!</definedName>
    <definedName name="СП_R8C25">#REF!</definedName>
    <definedName name="СП_R8C26">#REF!</definedName>
    <definedName name="СП_R8C27">#REF!</definedName>
    <definedName name="СП_R8C28">#REF!</definedName>
    <definedName name="СП_R8C3">#REF!</definedName>
    <definedName name="СП_R8C4">#REF!</definedName>
    <definedName name="СП_R8C5">#REF!</definedName>
    <definedName name="СП_R8C6">#REF!</definedName>
    <definedName name="СП_R8C7">#REF!</definedName>
    <definedName name="СП_R8C8">#REF!</definedName>
    <definedName name="СП_R8C9">#REF!</definedName>
    <definedName name="СП_R90C10">#REF!</definedName>
    <definedName name="СП_R90C11">#REF!</definedName>
    <definedName name="СП_R90C12">#REF!</definedName>
    <definedName name="СП_R90C13">#REF!</definedName>
    <definedName name="СП_R90C14">#REF!</definedName>
    <definedName name="СП_R90C15">#REF!</definedName>
    <definedName name="СП_R90C16">#REF!</definedName>
    <definedName name="СП_R90C17">#REF!</definedName>
    <definedName name="СП_R90C18">#REF!</definedName>
    <definedName name="СП_R90C19">#REF!</definedName>
    <definedName name="СП_R90C20">#REF!</definedName>
    <definedName name="СП_R90C21">#REF!</definedName>
    <definedName name="СП_R90C22">#REF!</definedName>
    <definedName name="СП_R90C23">#REF!</definedName>
    <definedName name="СП_R90C24">#REF!</definedName>
    <definedName name="СП_R90C25">#REF!</definedName>
    <definedName name="СП_R90C26">#REF!</definedName>
    <definedName name="СП_R90C27">#REF!</definedName>
    <definedName name="СП_R90C28">#REF!</definedName>
    <definedName name="СП_R90C3">#REF!</definedName>
    <definedName name="СП_R90C4">#REF!</definedName>
    <definedName name="СП_R90C5">#REF!</definedName>
    <definedName name="СП_R90C6">#REF!</definedName>
    <definedName name="СП_R90C7">#REF!</definedName>
    <definedName name="СП_R90C8">#REF!</definedName>
    <definedName name="СП_R90C9">#REF!</definedName>
    <definedName name="СП_R91C10">#REF!</definedName>
    <definedName name="СП_R91C11">#REF!</definedName>
    <definedName name="СП_R91C12">#REF!</definedName>
    <definedName name="СП_R91C13">#REF!</definedName>
    <definedName name="СП_R91C14">#REF!</definedName>
    <definedName name="СП_R91C15">#REF!</definedName>
    <definedName name="СП_R91C16">#REF!</definedName>
    <definedName name="СП_R91C17">#REF!</definedName>
    <definedName name="СП_R91C18">#REF!</definedName>
    <definedName name="СП_R91C19">#REF!</definedName>
    <definedName name="СП_R91C20">#REF!</definedName>
    <definedName name="СП_R91C21">#REF!</definedName>
    <definedName name="СП_R91C22">#REF!</definedName>
    <definedName name="СП_R91C23">#REF!</definedName>
    <definedName name="СП_R91C24">#REF!</definedName>
    <definedName name="СП_R91C25">#REF!</definedName>
    <definedName name="СП_R91C26">#REF!</definedName>
    <definedName name="СП_R91C27">#REF!</definedName>
    <definedName name="СП_R91C28">#REF!</definedName>
    <definedName name="СП_R91C3">#REF!</definedName>
    <definedName name="СП_R91C4">#REF!</definedName>
    <definedName name="СП_R91C5">#REF!</definedName>
    <definedName name="СП_R91C6">#REF!</definedName>
    <definedName name="СП_R91C7">#REF!</definedName>
    <definedName name="СП_R91C8">#REF!</definedName>
    <definedName name="СП_R91C9">#REF!</definedName>
    <definedName name="СП_R92C10">#REF!</definedName>
    <definedName name="СП_R92C11">#REF!</definedName>
    <definedName name="СП_R92C12">#REF!</definedName>
    <definedName name="СП_R92C13">#REF!</definedName>
    <definedName name="СП_R92C14">#REF!</definedName>
    <definedName name="СП_R92C15">#REF!</definedName>
    <definedName name="СП_R92C16">#REF!</definedName>
    <definedName name="СП_R92C17">#REF!</definedName>
    <definedName name="СП_R92C18">#REF!</definedName>
    <definedName name="СП_R92C19">#REF!</definedName>
    <definedName name="СП_R92C20">#REF!</definedName>
    <definedName name="СП_R92C21">#REF!</definedName>
    <definedName name="СП_R92C22">#REF!</definedName>
    <definedName name="СП_R92C23">#REF!</definedName>
    <definedName name="СП_R92C24">#REF!</definedName>
    <definedName name="СП_R92C25">#REF!</definedName>
    <definedName name="СП_R92C26">#REF!</definedName>
    <definedName name="СП_R92C27">#REF!</definedName>
    <definedName name="СП_R92C28">#REF!</definedName>
    <definedName name="СП_R92C3">#REF!</definedName>
    <definedName name="СП_R92C4">#REF!</definedName>
    <definedName name="СП_R92C5">#REF!</definedName>
    <definedName name="СП_R92C6">#REF!</definedName>
    <definedName name="СП_R92C7">#REF!</definedName>
    <definedName name="СП_R92C8">#REF!</definedName>
    <definedName name="СП_R92C9">#REF!</definedName>
    <definedName name="СП_R93C10">#REF!</definedName>
    <definedName name="СП_R93C11">#REF!</definedName>
    <definedName name="СП_R93C12">#REF!</definedName>
    <definedName name="СП_R93C13">#REF!</definedName>
    <definedName name="СП_R93C14">#REF!</definedName>
    <definedName name="СП_R93C15">#REF!</definedName>
    <definedName name="СП_R93C16">#REF!</definedName>
    <definedName name="СП_R93C17">#REF!</definedName>
    <definedName name="СП_R93C18">#REF!</definedName>
    <definedName name="СП_R93C19">#REF!</definedName>
    <definedName name="СП_R93C20">#REF!</definedName>
    <definedName name="СП_R93C21">#REF!</definedName>
    <definedName name="СП_R93C22">#REF!</definedName>
    <definedName name="СП_R93C23">#REF!</definedName>
    <definedName name="СП_R93C24">#REF!</definedName>
    <definedName name="СП_R93C25">#REF!</definedName>
    <definedName name="СП_R93C26">#REF!</definedName>
    <definedName name="СП_R93C27">#REF!</definedName>
    <definedName name="СП_R93C28">#REF!</definedName>
    <definedName name="СП_R93C3">#REF!</definedName>
    <definedName name="СП_R93C4">#REF!</definedName>
    <definedName name="СП_R93C5">#REF!</definedName>
    <definedName name="СП_R93C6">#REF!</definedName>
    <definedName name="СП_R93C7">#REF!</definedName>
    <definedName name="СП_R93C8">#REF!</definedName>
    <definedName name="СП_R93C9">#REF!</definedName>
    <definedName name="СП_R94C10">#REF!</definedName>
    <definedName name="СП_R94C11">#REF!</definedName>
    <definedName name="СП_R94C12">#REF!</definedName>
    <definedName name="СП_R94C13">#REF!</definedName>
    <definedName name="СП_R94C14">#REF!</definedName>
    <definedName name="СП_R94C15">#REF!</definedName>
    <definedName name="СП_R94C16">#REF!</definedName>
    <definedName name="СП_R94C17">#REF!</definedName>
    <definedName name="СП_R94C18">#REF!</definedName>
    <definedName name="СП_R94C19">#REF!</definedName>
    <definedName name="СП_R94C20">#REF!</definedName>
    <definedName name="СП_R94C21">#REF!</definedName>
    <definedName name="СП_R94C22">#REF!</definedName>
    <definedName name="СП_R94C23">#REF!</definedName>
    <definedName name="СП_R94C24">#REF!</definedName>
    <definedName name="СП_R94C25">#REF!</definedName>
    <definedName name="СП_R94C26">#REF!</definedName>
    <definedName name="СП_R94C27">#REF!</definedName>
    <definedName name="СП_R94C28">#REF!</definedName>
    <definedName name="СП_R94C3">#REF!</definedName>
    <definedName name="СП_R94C4">#REF!</definedName>
    <definedName name="СП_R94C5">#REF!</definedName>
    <definedName name="СП_R94C6">#REF!</definedName>
    <definedName name="СП_R94C7">#REF!</definedName>
    <definedName name="СП_R94C8">#REF!</definedName>
    <definedName name="СП_R94C9">#REF!</definedName>
    <definedName name="СП_R95C10">#REF!</definedName>
    <definedName name="СП_R95C11">#REF!</definedName>
    <definedName name="СП_R95C12">#REF!</definedName>
    <definedName name="СП_R95C13">#REF!</definedName>
    <definedName name="СП_R95C14">#REF!</definedName>
    <definedName name="СП_R95C15">#REF!</definedName>
    <definedName name="СП_R95C16">#REF!</definedName>
    <definedName name="СП_R95C17">#REF!</definedName>
    <definedName name="СП_R95C18">#REF!</definedName>
    <definedName name="СП_R95C19">#REF!</definedName>
    <definedName name="СП_R95C20">#REF!</definedName>
    <definedName name="СП_R95C21">#REF!</definedName>
    <definedName name="СП_R95C22">#REF!</definedName>
    <definedName name="СП_R95C23">#REF!</definedName>
    <definedName name="СП_R95C24">#REF!</definedName>
    <definedName name="СП_R95C25">#REF!</definedName>
    <definedName name="СП_R95C26">#REF!</definedName>
    <definedName name="СП_R95C27">#REF!</definedName>
    <definedName name="СП_R95C28">#REF!</definedName>
    <definedName name="СП_R95C3">#REF!</definedName>
    <definedName name="СП_R95C4">#REF!</definedName>
    <definedName name="СП_R95C5">#REF!</definedName>
    <definedName name="СП_R95C6">#REF!</definedName>
    <definedName name="СП_R95C7">#REF!</definedName>
    <definedName name="СП_R95C8">#REF!</definedName>
    <definedName name="СП_R95C9">#REF!</definedName>
    <definedName name="СП_R96C10">#REF!</definedName>
    <definedName name="СП_R96C11">#REF!</definedName>
    <definedName name="СП_R96C12">#REF!</definedName>
    <definedName name="СП_R96C13">#REF!</definedName>
    <definedName name="СП_R96C14">#REF!</definedName>
    <definedName name="СП_R96C15">#REF!</definedName>
    <definedName name="СП_R96C16">#REF!</definedName>
    <definedName name="СП_R96C17">#REF!</definedName>
    <definedName name="СП_R96C18">#REF!</definedName>
    <definedName name="СП_R96C19">#REF!</definedName>
    <definedName name="СП_R96C20">#REF!</definedName>
    <definedName name="СП_R96C21">#REF!</definedName>
    <definedName name="СП_R96C22">#REF!</definedName>
    <definedName name="СП_R96C23">#REF!</definedName>
    <definedName name="СП_R96C24">#REF!</definedName>
    <definedName name="СП_R96C25">#REF!</definedName>
    <definedName name="СП_R96C26">#REF!</definedName>
    <definedName name="СП_R96C27">#REF!</definedName>
    <definedName name="СП_R96C28">#REF!</definedName>
    <definedName name="СП_R96C3">#REF!</definedName>
    <definedName name="СП_R96C4">#REF!</definedName>
    <definedName name="СП_R96C5">#REF!</definedName>
    <definedName name="СП_R96C6">#REF!</definedName>
    <definedName name="СП_R96C7">#REF!</definedName>
    <definedName name="СП_R96C8">#REF!</definedName>
    <definedName name="СП_R96C9">#REF!</definedName>
    <definedName name="СП_R97C10">#REF!</definedName>
    <definedName name="СП_R97C11">#REF!</definedName>
    <definedName name="СП_R97C12">#REF!</definedName>
    <definedName name="СП_R97C13">#REF!</definedName>
    <definedName name="СП_R97C14">#REF!</definedName>
    <definedName name="СП_R97C15">#REF!</definedName>
    <definedName name="СП_R97C16">#REF!</definedName>
    <definedName name="СП_R97C17">#REF!</definedName>
    <definedName name="СП_R97C18">#REF!</definedName>
    <definedName name="СП_R97C19">#REF!</definedName>
    <definedName name="СП_R97C20">#REF!</definedName>
    <definedName name="СП_R97C21">#REF!</definedName>
    <definedName name="СП_R97C22">#REF!</definedName>
    <definedName name="СП_R97C23">#REF!</definedName>
    <definedName name="СП_R97C24">#REF!</definedName>
    <definedName name="СП_R97C25">#REF!</definedName>
    <definedName name="СП_R97C26">#REF!</definedName>
    <definedName name="СП_R97C27">#REF!</definedName>
    <definedName name="СП_R97C28">#REF!</definedName>
    <definedName name="СП_R97C3">#REF!</definedName>
    <definedName name="СП_R97C4">#REF!</definedName>
    <definedName name="СП_R97C5">#REF!</definedName>
    <definedName name="СП_R97C6">#REF!</definedName>
    <definedName name="СП_R97C7">#REF!</definedName>
    <definedName name="СП_R97C8">#REF!</definedName>
    <definedName name="СП_R97C9">#REF!</definedName>
    <definedName name="СП_R98C10">#REF!</definedName>
    <definedName name="СП_R98C11">#REF!</definedName>
    <definedName name="СП_R98C12">#REF!</definedName>
    <definedName name="СП_R98C13">#REF!</definedName>
    <definedName name="СП_R98C14">#REF!</definedName>
    <definedName name="СП_R98C15">#REF!</definedName>
    <definedName name="СП_R98C16">#REF!</definedName>
    <definedName name="СП_R98C17">#REF!</definedName>
    <definedName name="СП_R98C18">#REF!</definedName>
    <definedName name="СП_R98C19">#REF!</definedName>
    <definedName name="СП_R98C20">#REF!</definedName>
    <definedName name="СП_R98C21">#REF!</definedName>
    <definedName name="СП_R98C22">#REF!</definedName>
    <definedName name="СП_R98C23">#REF!</definedName>
    <definedName name="СП_R98C24">#REF!</definedName>
    <definedName name="СП_R98C25">#REF!</definedName>
    <definedName name="СП_R98C26">#REF!</definedName>
    <definedName name="СП_R98C27">#REF!</definedName>
    <definedName name="СП_R98C28">#REF!</definedName>
    <definedName name="СП_R98C3">#REF!</definedName>
    <definedName name="СП_R98C4">#REF!</definedName>
    <definedName name="СП_R98C5">#REF!</definedName>
    <definedName name="СП_R98C6">#REF!</definedName>
    <definedName name="СП_R98C7">#REF!</definedName>
    <definedName name="СП_R98C8">#REF!</definedName>
    <definedName name="СП_R98C9">#REF!</definedName>
    <definedName name="СП_R99C10">#REF!</definedName>
    <definedName name="СП_R99C11">#REF!</definedName>
    <definedName name="СП_R99C12">#REF!</definedName>
    <definedName name="СП_R99C13">#REF!</definedName>
    <definedName name="СП_R99C14">#REF!</definedName>
    <definedName name="СП_R99C15">#REF!</definedName>
    <definedName name="СП_R99C16">#REF!</definedName>
    <definedName name="СП_R99C17">#REF!</definedName>
    <definedName name="СП_R99C18">#REF!</definedName>
    <definedName name="СП_R99C19">#REF!</definedName>
    <definedName name="СП_R99C20">#REF!</definedName>
    <definedName name="СП_R99C21">#REF!</definedName>
    <definedName name="СП_R99C22">#REF!</definedName>
    <definedName name="СП_R99C23">#REF!</definedName>
    <definedName name="СП_R99C24">#REF!</definedName>
    <definedName name="СП_R99C25">#REF!</definedName>
    <definedName name="СП_R99C26">#REF!</definedName>
    <definedName name="СП_R99C27">#REF!</definedName>
    <definedName name="СП_R99C28">#REF!</definedName>
    <definedName name="СП_R99C3">#REF!</definedName>
    <definedName name="СП_R99C4">#REF!</definedName>
    <definedName name="СП_R99C5">#REF!</definedName>
    <definedName name="СП_R99C6">#REF!</definedName>
    <definedName name="СП_R99C7">#REF!</definedName>
    <definedName name="СП_R99C8">#REF!</definedName>
    <definedName name="СП_R99C9">#REF!</definedName>
    <definedName name="СП_R9C10">#REF!</definedName>
    <definedName name="СП_R9C11">#REF!</definedName>
    <definedName name="СП_R9C12">#REF!</definedName>
    <definedName name="СП_R9C13">#REF!</definedName>
    <definedName name="СП_R9C14">#REF!</definedName>
    <definedName name="СП_R9C15">#REF!</definedName>
    <definedName name="СП_R9C16">#REF!</definedName>
    <definedName name="СП_R9C17">#REF!</definedName>
    <definedName name="СП_R9C18">#REF!</definedName>
    <definedName name="СП_R9C19">#REF!</definedName>
    <definedName name="СП_R9C20">#REF!</definedName>
    <definedName name="СП_R9C21">#REF!</definedName>
    <definedName name="СП_R9C22">#REF!</definedName>
    <definedName name="СП_R9C23">#REF!</definedName>
    <definedName name="СП_R9C24">#REF!</definedName>
    <definedName name="СП_R9C25">#REF!</definedName>
    <definedName name="СП_R9C26">#REF!</definedName>
    <definedName name="СП_R9C27">#REF!</definedName>
    <definedName name="СП_R9C28">#REF!</definedName>
    <definedName name="СП_R9C3">#REF!</definedName>
    <definedName name="СП_R9C4">#REF!</definedName>
    <definedName name="СП_R9C5">#REF!</definedName>
    <definedName name="СП_R9C6">#REF!</definedName>
    <definedName name="СП_R9C7">#REF!</definedName>
    <definedName name="СП_R9C8">#REF!</definedName>
    <definedName name="СП_R9C9">#REF!</definedName>
    <definedName name="Сравн" hidden="1">{"assets",#N/A,FALSE,"historicBS";"liab",#N/A,FALSE,"historicBS";"is",#N/A,FALSE,"historicIS";"ratios",#N/A,FALSE,"ratios"}</definedName>
    <definedName name="сссссс" localSheetId="12" hidden="1">{"'РП (2)'!$A$5:$S$150"}</definedName>
    <definedName name="сссссс" hidden="1">{"'РП (2)'!$A$5:$S$150"}</definedName>
    <definedName name="ссссссссссс" hidden="1">{#N/A,#N/A,FALSE,"Aging Summary";#N/A,#N/A,FALSE,"Ratio Analysis";#N/A,#N/A,FALSE,"Test 120 Day Accts";#N/A,#N/A,FALSE,"Tickmarks"}</definedName>
    <definedName name="сссссссссссммммммммммм" localSheetId="12" hidden="1">{"'РП (2)'!$A$5:$S$150"}</definedName>
    <definedName name="сссссссссссммммммммммм" hidden="1">{"'РП (2)'!$A$5:$S$150"}</definedName>
    <definedName name="сссссссссссссс" localSheetId="12" hidden="1">{"'РП (2)'!$A$5:$S$150"}</definedName>
    <definedName name="сссссссссссссс" hidden="1">{"'РП (2)'!$A$5:$S$150"}</definedName>
    <definedName name="сссссссссссссссссссссс" localSheetId="12" hidden="1">{"'РП (2)'!$A$5:$S$150"}</definedName>
    <definedName name="сссссссссссссссссссссс" hidden="1">{"'РП (2)'!$A$5:$S$150"}</definedName>
    <definedName name="СтатьяОборотов_1">#REF!</definedName>
    <definedName name="СтатьяОборотов_10">#REF!</definedName>
    <definedName name="СтатьяОборотов_100">#REF!</definedName>
    <definedName name="СтатьяОборотов_101">#REF!</definedName>
    <definedName name="СтатьяОборотов_102">#REF!</definedName>
    <definedName name="СтатьяОборотов_103">#REF!</definedName>
    <definedName name="СтатьяОборотов_104">#REF!</definedName>
    <definedName name="СтатьяОборотов_105">#REF!</definedName>
    <definedName name="СтатьяОборотов_106">#REF!</definedName>
    <definedName name="СтатьяОборотов_107">#REF!</definedName>
    <definedName name="СтатьяОборотов_108">#REF!</definedName>
    <definedName name="СтатьяОборотов_109">#REF!</definedName>
    <definedName name="СтатьяОборотов_11">#REF!</definedName>
    <definedName name="СтатьяОборотов_110">#REF!</definedName>
    <definedName name="СтатьяОборотов_111">#REF!</definedName>
    <definedName name="СтатьяОборотов_112">#REF!</definedName>
    <definedName name="СтатьяОборотов_113">#REF!</definedName>
    <definedName name="СтатьяОборотов_114">#REF!</definedName>
    <definedName name="СтатьяОборотов_115">#REF!</definedName>
    <definedName name="СтатьяОборотов_116">#REF!</definedName>
    <definedName name="СтатьяОборотов_117">#REF!</definedName>
    <definedName name="СтатьяОборотов_118">#REF!</definedName>
    <definedName name="СтатьяОборотов_119">#REF!</definedName>
    <definedName name="СтатьяОборотов_12">#REF!</definedName>
    <definedName name="СтатьяОборотов_120">#REF!</definedName>
    <definedName name="СтатьяОборотов_121">#REF!</definedName>
    <definedName name="СтатьяОборотов_122">#REF!</definedName>
    <definedName name="СтатьяОборотов_123">#REF!</definedName>
    <definedName name="СтатьяОборотов_124">#REF!</definedName>
    <definedName name="СтатьяОборотов_125">#REF!</definedName>
    <definedName name="СтатьяОборотов_126">#REF!</definedName>
    <definedName name="СтатьяОборотов_127">#REF!</definedName>
    <definedName name="СтатьяОборотов_128">#REF!</definedName>
    <definedName name="СтатьяОборотов_129">#REF!</definedName>
    <definedName name="СтатьяОборотов_13">#REF!</definedName>
    <definedName name="СтатьяОборотов_130">#REF!</definedName>
    <definedName name="СтатьяОборотов_131">#REF!</definedName>
    <definedName name="СтатьяОборотов_132">#REF!</definedName>
    <definedName name="СтатьяОборотов_133">#REF!</definedName>
    <definedName name="СтатьяОборотов_134">#REF!</definedName>
    <definedName name="СтатьяОборотов_135">#REF!</definedName>
    <definedName name="СтатьяОборотов_136">#REF!</definedName>
    <definedName name="СтатьяОборотов_137">#REF!</definedName>
    <definedName name="СтатьяОборотов_138">#REF!</definedName>
    <definedName name="СтатьяОборотов_139">#REF!</definedName>
    <definedName name="СтатьяОборотов_14">#REF!</definedName>
    <definedName name="СтатьяОборотов_140">#REF!</definedName>
    <definedName name="СтатьяОборотов_141">#REF!</definedName>
    <definedName name="СтатьяОборотов_142">#REF!</definedName>
    <definedName name="СтатьяОборотов_143">#REF!</definedName>
    <definedName name="СтатьяОборотов_144">#REF!</definedName>
    <definedName name="СтатьяОборотов_145">#REF!</definedName>
    <definedName name="СтатьяОборотов_146">#REF!</definedName>
    <definedName name="СтатьяОборотов_147">#REF!</definedName>
    <definedName name="СтатьяОборотов_148">#REF!</definedName>
    <definedName name="СтатьяОборотов_149">#REF!</definedName>
    <definedName name="СтатьяОборотов_15">#REF!</definedName>
    <definedName name="СтатьяОборотов_150">#REF!</definedName>
    <definedName name="СтатьяОборотов_151">#REF!</definedName>
    <definedName name="СтатьяОборотов_152">#REF!</definedName>
    <definedName name="СтатьяОборотов_153">#REF!</definedName>
    <definedName name="СтатьяОборотов_154">#REF!</definedName>
    <definedName name="СтатьяОборотов_155">#REF!</definedName>
    <definedName name="СтатьяОборотов_156">#REF!</definedName>
    <definedName name="СтатьяОборотов_157">#REF!</definedName>
    <definedName name="СтатьяОборотов_158">#REF!</definedName>
    <definedName name="СтатьяОборотов_159">#REF!</definedName>
    <definedName name="СтатьяОборотов_16">#REF!</definedName>
    <definedName name="СтатьяОборотов_160">#REF!</definedName>
    <definedName name="СтатьяОборотов_161">#REF!</definedName>
    <definedName name="СтатьяОборотов_162">#REF!</definedName>
    <definedName name="СтатьяОборотов_163">#REF!</definedName>
    <definedName name="СтатьяОборотов_164">#REF!</definedName>
    <definedName name="СтатьяОборотов_165">#REF!</definedName>
    <definedName name="СтатьяОборотов_166">#REF!</definedName>
    <definedName name="СтатьяОборотов_167">#REF!</definedName>
    <definedName name="СтатьяОборотов_168">#REF!</definedName>
    <definedName name="СтатьяОборотов_169">#REF!</definedName>
    <definedName name="СтатьяОборотов_17">#REF!</definedName>
    <definedName name="СтатьяОборотов_170">#REF!</definedName>
    <definedName name="СтатьяОборотов_171">#REF!</definedName>
    <definedName name="СтатьяОборотов_172">#REF!</definedName>
    <definedName name="СтатьяОборотов_173">#REF!</definedName>
    <definedName name="СтатьяОборотов_174">#REF!</definedName>
    <definedName name="СтатьяОборотов_175">#REF!</definedName>
    <definedName name="СтатьяОборотов_176">#REF!</definedName>
    <definedName name="СтатьяОборотов_177">#REF!</definedName>
    <definedName name="СтатьяОборотов_178">#REF!</definedName>
    <definedName name="СтатьяОборотов_179">#REF!</definedName>
    <definedName name="СтатьяОборотов_18">#REF!</definedName>
    <definedName name="СтатьяОборотов_180">#REF!</definedName>
    <definedName name="СтатьяОборотов_181">#REF!</definedName>
    <definedName name="СтатьяОборотов_182">#REF!</definedName>
    <definedName name="СтатьяОборотов_183">#REF!</definedName>
    <definedName name="СтатьяОборотов_184">#REF!</definedName>
    <definedName name="СтатьяОборотов_185">#REF!</definedName>
    <definedName name="СтатьяОборотов_186">#REF!</definedName>
    <definedName name="СтатьяОборотов_187">#REF!</definedName>
    <definedName name="СтатьяОборотов_188">#REF!</definedName>
    <definedName name="СтатьяОборотов_189">#REF!</definedName>
    <definedName name="СтатьяОборотов_19">#REF!</definedName>
    <definedName name="СтатьяОборотов_190">#REF!</definedName>
    <definedName name="СтатьяОборотов_191">#REF!</definedName>
    <definedName name="СтатьяОборотов_192">#REF!</definedName>
    <definedName name="СтатьяОборотов_193">#REF!</definedName>
    <definedName name="СтатьяОборотов_194">#REF!</definedName>
    <definedName name="СтатьяОборотов_195">#REF!</definedName>
    <definedName name="СтатьяОборотов_196">#REF!</definedName>
    <definedName name="СтатьяОборотов_197">#REF!</definedName>
    <definedName name="СтатьяОборотов_198">#REF!</definedName>
    <definedName name="СтатьяОборотов_199">#REF!</definedName>
    <definedName name="СтатьяОборотов_2">#REF!</definedName>
    <definedName name="СтатьяОборотов_20">#REF!</definedName>
    <definedName name="СтатьяОборотов_200">#REF!</definedName>
    <definedName name="СтатьяОборотов_201">#REF!</definedName>
    <definedName name="СтатьяОборотов_202">#REF!</definedName>
    <definedName name="СтатьяОборотов_203">#REF!</definedName>
    <definedName name="СтатьяОборотов_204">#REF!</definedName>
    <definedName name="СтатьяОборотов_205">#REF!</definedName>
    <definedName name="СтатьяОборотов_206">#REF!</definedName>
    <definedName name="СтатьяОборотов_207">#REF!</definedName>
    <definedName name="СтатьяОборотов_208">#REF!</definedName>
    <definedName name="СтатьяОборотов_209">#REF!</definedName>
    <definedName name="СтатьяОборотов_21">#REF!</definedName>
    <definedName name="СтатьяОборотов_210">#REF!</definedName>
    <definedName name="СтатьяОборотов_211">#REF!</definedName>
    <definedName name="СтатьяОборотов_212">#REF!</definedName>
    <definedName name="СтатьяОборотов_213">#REF!</definedName>
    <definedName name="СтатьяОборотов_214">#REF!</definedName>
    <definedName name="СтатьяОборотов_215">#REF!</definedName>
    <definedName name="СтатьяОборотов_216">#REF!</definedName>
    <definedName name="СтатьяОборотов_217">#REF!</definedName>
    <definedName name="СтатьяОборотов_218">#REF!</definedName>
    <definedName name="СтатьяОборотов_219">#REF!</definedName>
    <definedName name="СтатьяОборотов_22">#REF!</definedName>
    <definedName name="СтатьяОборотов_220">#REF!</definedName>
    <definedName name="СтатьяОборотов_221">#REF!</definedName>
    <definedName name="СтатьяОборотов_222">#REF!</definedName>
    <definedName name="СтатьяОборотов_223">#REF!</definedName>
    <definedName name="СтатьяОборотов_224">#REF!</definedName>
    <definedName name="СтатьяОборотов_225">#REF!</definedName>
    <definedName name="СтатьяОборотов_226">#REF!</definedName>
    <definedName name="СтатьяОборотов_227">#REF!</definedName>
    <definedName name="СтатьяОборотов_228">#REF!</definedName>
    <definedName name="СтатьяОборотов_229">#REF!</definedName>
    <definedName name="СтатьяОборотов_23">#REF!</definedName>
    <definedName name="СтатьяОборотов_230">#REF!</definedName>
    <definedName name="СтатьяОборотов_231">#REF!</definedName>
    <definedName name="СтатьяОборотов_232">#REF!</definedName>
    <definedName name="СтатьяОборотов_233">#REF!</definedName>
    <definedName name="СтатьяОборотов_234">#REF!</definedName>
    <definedName name="СтатьяОборотов_235">#REF!</definedName>
    <definedName name="СтатьяОборотов_236">#REF!</definedName>
    <definedName name="СтатьяОборотов_237">#REF!</definedName>
    <definedName name="СтатьяОборотов_238">#REF!</definedName>
    <definedName name="СтатьяОборотов_239">#REF!</definedName>
    <definedName name="СтатьяОборотов_24">#REF!</definedName>
    <definedName name="СтатьяОборотов_240">#REF!</definedName>
    <definedName name="СтатьяОборотов_241">#REF!</definedName>
    <definedName name="СтатьяОборотов_242">#REF!</definedName>
    <definedName name="СтатьяОборотов_243">#REF!</definedName>
    <definedName name="СтатьяОборотов_244">#REF!</definedName>
    <definedName name="СтатьяОборотов_245">#REF!</definedName>
    <definedName name="СтатьяОборотов_246">#REF!</definedName>
    <definedName name="СтатьяОборотов_247">#REF!</definedName>
    <definedName name="СтатьяОборотов_248">#REF!</definedName>
    <definedName name="СтатьяОборотов_249">#REF!</definedName>
    <definedName name="СтатьяОборотов_25">#REF!</definedName>
    <definedName name="СтатьяОборотов_250">#REF!</definedName>
    <definedName name="СтатьяОборотов_251">#REF!</definedName>
    <definedName name="СтатьяОборотов_252">#REF!</definedName>
    <definedName name="СтатьяОборотов_253">#REF!</definedName>
    <definedName name="СтатьяОборотов_254">#REF!</definedName>
    <definedName name="СтатьяОборотов_255">#REF!</definedName>
    <definedName name="СтатьяОборотов_256">#REF!</definedName>
    <definedName name="СтатьяОборотов_257">#REF!</definedName>
    <definedName name="СтатьяОборотов_258">#REF!</definedName>
    <definedName name="СтатьяОборотов_259">#REF!</definedName>
    <definedName name="СтатьяОборотов_26">#REF!</definedName>
    <definedName name="СтатьяОборотов_260">#REF!</definedName>
    <definedName name="СтатьяОборотов_261">#REF!</definedName>
    <definedName name="СтатьяОборотов_262">#REF!</definedName>
    <definedName name="СтатьяОборотов_263">#REF!</definedName>
    <definedName name="СтатьяОборотов_264">#REF!</definedName>
    <definedName name="СтатьяОборотов_265">#REF!</definedName>
    <definedName name="СтатьяОборотов_266">#REF!</definedName>
    <definedName name="СтатьяОборотов_267">#REF!</definedName>
    <definedName name="СтатьяОборотов_268">#REF!</definedName>
    <definedName name="СтатьяОборотов_269">#REF!</definedName>
    <definedName name="СтатьяОборотов_27">#REF!</definedName>
    <definedName name="СтатьяОборотов_270">#REF!</definedName>
    <definedName name="СтатьяОборотов_271">#REF!</definedName>
    <definedName name="СтатьяОборотов_28">#REF!</definedName>
    <definedName name="СтатьяОборотов_29">#REF!</definedName>
    <definedName name="СтатьяОборотов_3">#REF!</definedName>
    <definedName name="СтатьяОборотов_30">#REF!</definedName>
    <definedName name="СтатьяОборотов_31">#REF!</definedName>
    <definedName name="СтатьяОборотов_32">#REF!</definedName>
    <definedName name="СтатьяОборотов_33">#REF!</definedName>
    <definedName name="СтатьяОборотов_34">#REF!</definedName>
    <definedName name="СтатьяОборотов_35">#REF!</definedName>
    <definedName name="СтатьяОборотов_36">#REF!</definedName>
    <definedName name="СтатьяОборотов_37">#REF!</definedName>
    <definedName name="СтатьяОборотов_38">#REF!</definedName>
    <definedName name="СтатьяОборотов_39">#REF!</definedName>
    <definedName name="СтатьяОборотов_4">#REF!</definedName>
    <definedName name="СтатьяОборотов_40">#REF!</definedName>
    <definedName name="СтатьяОборотов_41">#REF!</definedName>
    <definedName name="СтатьяОборотов_42">#REF!</definedName>
    <definedName name="СтатьяОборотов_43">#REF!</definedName>
    <definedName name="СтатьяОборотов_44">#REF!</definedName>
    <definedName name="СтатьяОборотов_45">#REF!</definedName>
    <definedName name="СтатьяОборотов_46">#REF!</definedName>
    <definedName name="СтатьяОборотов_47">#REF!</definedName>
    <definedName name="СтатьяОборотов_48">#REF!</definedName>
    <definedName name="СтатьяОборотов_49">#REF!</definedName>
    <definedName name="СтатьяОборотов_5">#REF!</definedName>
    <definedName name="СтатьяОборотов_50">#REF!</definedName>
    <definedName name="СтатьяОборотов_51">#REF!</definedName>
    <definedName name="СтатьяОборотов_52">#REF!</definedName>
    <definedName name="СтатьяОборотов_53">#REF!</definedName>
    <definedName name="СтатьяОборотов_54">#REF!</definedName>
    <definedName name="СтатьяОборотов_55">#REF!</definedName>
    <definedName name="СтатьяОборотов_56">#REF!</definedName>
    <definedName name="СтатьяОборотов_57">#REF!</definedName>
    <definedName name="СтатьяОборотов_58">#REF!</definedName>
    <definedName name="СтатьяОборотов_59">#REF!</definedName>
    <definedName name="СтатьяОборотов_6">#REF!</definedName>
    <definedName name="СтатьяОборотов_60">#REF!</definedName>
    <definedName name="СтатьяОборотов_61">#REF!</definedName>
    <definedName name="СтатьяОборотов_62">#REF!</definedName>
    <definedName name="СтатьяОборотов_63">#REF!</definedName>
    <definedName name="СтатьяОборотов_64">#REF!</definedName>
    <definedName name="СтатьяОборотов_65">#REF!</definedName>
    <definedName name="СтатьяОборотов_66">#REF!</definedName>
    <definedName name="СтатьяОборотов_67">#REF!</definedName>
    <definedName name="СтатьяОборотов_68">#REF!</definedName>
    <definedName name="СтатьяОборотов_69">#REF!</definedName>
    <definedName name="СтатьяОборотов_7">#REF!</definedName>
    <definedName name="СтатьяОборотов_70">#REF!</definedName>
    <definedName name="СтатьяОборотов_71">#REF!</definedName>
    <definedName name="СтатьяОборотов_72">#REF!</definedName>
    <definedName name="СтатьяОборотов_73">#REF!</definedName>
    <definedName name="СтатьяОборотов_74">#REF!</definedName>
    <definedName name="СтатьяОборотов_75">#REF!</definedName>
    <definedName name="СтатьяОборотов_76">#REF!</definedName>
    <definedName name="СтатьяОборотов_77">#REF!</definedName>
    <definedName name="СтатьяОборотов_78">#REF!</definedName>
    <definedName name="СтатьяОборотов_79">#REF!</definedName>
    <definedName name="СтатьяОборотов_8">#REF!</definedName>
    <definedName name="СтатьяОборотов_80">#REF!</definedName>
    <definedName name="СтатьяОборотов_81">#REF!</definedName>
    <definedName name="СтатьяОборотов_82">#REF!</definedName>
    <definedName name="СтатьяОборотов_83">#REF!</definedName>
    <definedName name="СтатьяОборотов_84">#REF!</definedName>
    <definedName name="СтатьяОборотов_85">#REF!</definedName>
    <definedName name="СтатьяОборотов_86">#REF!</definedName>
    <definedName name="СтатьяОборотов_87">#REF!</definedName>
    <definedName name="СтатьяОборотов_88">#REF!</definedName>
    <definedName name="СтатьяОборотов_89">#REF!</definedName>
    <definedName name="СтатьяОборотов_9">#REF!</definedName>
    <definedName name="СтатьяОборотов_90">#REF!</definedName>
    <definedName name="СтатьяОборотов_91">#REF!</definedName>
    <definedName name="СтатьяОборотов_92">#REF!</definedName>
    <definedName name="СтатьяОборотов_93">#REF!</definedName>
    <definedName name="СтатьяОборотов_94">#REF!</definedName>
    <definedName name="СтатьяОборотов_95">#REF!</definedName>
    <definedName name="СтатьяОборотов_96">#REF!</definedName>
    <definedName name="СтатьяОборотов_97">#REF!</definedName>
    <definedName name="СтатьяОборотов_98">#REF!</definedName>
    <definedName name="СтатьяОборотов_99">#REF!</definedName>
    <definedName name="счмчсм" hidden="1">#REF!</definedName>
    <definedName name="счмчсмчсм" hidden="1">#REF!</definedName>
    <definedName name="сыч" hidden="1">#REF!</definedName>
    <definedName name="сячсяч" hidden="1">#REF!</definedName>
    <definedName name="Тайм" hidden="1">{"PRINTME",#N/A,FALSE,"FINAL-10"}</definedName>
    <definedName name="тмт" localSheetId="12" hidden="1">{"'РП (2)'!$A$5:$S$150"}</definedName>
    <definedName name="тмт" hidden="1">{"'РП (2)'!$A$5:$S$150"}</definedName>
    <definedName name="томск" localSheetId="12" hidden="1">{"'РП (2)'!$A$5:$S$150"}</definedName>
    <definedName name="томск" hidden="1">{"'РП (2)'!$A$5:$S$150"}</definedName>
    <definedName name="тттт" localSheetId="12" hidden="1">{"'РП (2)'!$A$5:$S$150"}</definedName>
    <definedName name="тттт" hidden="1">{"'РП (2)'!$A$5:$S$150"}</definedName>
    <definedName name="тттттт" localSheetId="12" hidden="1">{"'РП (2)'!$A$5:$S$150"}</definedName>
    <definedName name="тттттт" hidden="1">{"'РП (2)'!$A$5:$S$150"}</definedName>
    <definedName name="ттттттттттттт" localSheetId="12" hidden="1">{"'РП (2)'!$A$5:$S$150"}</definedName>
    <definedName name="ттттттттттттт" hidden="1">{"'РП (2)'!$A$5:$S$150"}</definedName>
    <definedName name="тттттттттттттттттттттт" localSheetId="12" hidden="1">{"'РП (2)'!$A$5:$S$150"}</definedName>
    <definedName name="тттттттттттттттттттттт" hidden="1">{"'РП (2)'!$A$5:$S$150"}</definedName>
    <definedName name="ть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ьб" localSheetId="12" hidden="1">{"'РП (2)'!$A$5:$S$150"}</definedName>
    <definedName name="тьб" hidden="1">{"'РП (2)'!$A$5:$S$150"}</definedName>
    <definedName name="тьтьтьтьт" localSheetId="12" hidden="1">{"'РП (2)'!$A$5:$S$150"}</definedName>
    <definedName name="тьтьтьтьт" hidden="1">{"'РП (2)'!$A$5:$S$150"}</definedName>
    <definedName name="тьтьтььтм" localSheetId="12" hidden="1">{"'РП (2)'!$A$5:$S$150"}</definedName>
    <definedName name="тьтьтььтм" hidden="1">{"'РП (2)'!$A$5:$S$150"}</definedName>
    <definedName name="ТЭО" hidden="1">{"'Prices'!$A$4:$J$27"}</definedName>
    <definedName name="тэп" localSheetId="12" hidden="1">{"'РП (2)'!$A$5:$S$150"}</definedName>
    <definedName name="тэп" hidden="1">{"'РП (2)'!$A$5:$S$150"}</definedName>
    <definedName name="тю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у" hidden="1">#REF!</definedName>
    <definedName name="увуву" hidden="1">#REF!</definedName>
    <definedName name="увчм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еееек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еке" hidden="1">#REF!</definedName>
    <definedName name="уекцу" hidden="1">{#N/A,#N/A,FALSE,"Aging Summary";#N/A,#N/A,FALSE,"Ratio Analysis";#N/A,#N/A,FALSE,"Test 120 Day Accts";#N/A,#N/A,FALSE,"Tickmarks"}</definedName>
    <definedName name="уеуке4е" hidden="1">#REF!</definedName>
    <definedName name="УИ_bc5a3b8a_112b_11f0_bc4f_40a6b720b401">#REF!</definedName>
    <definedName name="ук" hidden="1">{#N/A,#N/A,FALSE,"Aging Summary";#N/A,#N/A,FALSE,"Ratio Analysis";#N/A,#N/A,FALSE,"Test 120 Day Accts";#N/A,#N/A,FALSE,"Tickmarks"}</definedName>
    <definedName name="укее" hidden="1">{#N/A,#N/A,FALSE,"Aging Summary";#N/A,#N/A,FALSE,"Ratio Analysis";#N/A,#N/A,FALSE,"Test 120 Day Accts";#N/A,#N/A,FALSE,"Tickmarks"}</definedName>
    <definedName name="укеку" hidden="1">#REF!</definedName>
    <definedName name="укеуке" hidden="1">#REF!</definedName>
    <definedName name="уккпук" hidden="1">#REF!</definedName>
    <definedName name="укпукп" hidden="1">{"'Prices'!$A$4:$J$27"}</definedName>
    <definedName name="укрр" hidden="1">{"'Prices'!$A$4:$J$27"}</definedName>
    <definedName name="укук" hidden="1">#REF!</definedName>
    <definedName name="укыер" hidden="1">{"'Sheet1'!$A$1:$G$85"}</definedName>
    <definedName name="ункук" hidden="1">{"glcbs",#N/A,FALSE,"GLCBS";"glccsbs",#N/A,FALSE,"GLCCSBS";"glcis",#N/A,FALSE,"GLCIS";"glccsis",#N/A,FALSE,"GLCCSIS";"glcrat1",#N/A,FALSE,"GLC-ratios1"}</definedName>
    <definedName name="уу" localSheetId="12" hidden="1">{"'РП (2)'!$A$5:$S$150"}</definedName>
    <definedName name="уу" hidden="1">{"'РП (2)'!$A$5:$S$150"}</definedName>
    <definedName name="уууууу" localSheetId="12" hidden="1">{"'РП (2)'!$A$5:$S$150"}</definedName>
    <definedName name="уууууу" hidden="1">{"'РП (2)'!$A$5:$S$150"}</definedName>
    <definedName name="ууууууууууууу" localSheetId="12" hidden="1">{"'РП (2)'!$A$5:$S$150"}</definedName>
    <definedName name="ууууууууууууу" hidden="1">{"'РП (2)'!$A$5:$S$150"}</definedName>
    <definedName name="уц" hidden="1">#REF!</definedName>
    <definedName name="уце" hidden="1">{#N/A,"100% Success",TRUE,"Sales Forecast";#N/A,#N/A,TRUE,"Sheet2"}</definedName>
    <definedName name="уцка3" hidden="1">{"glc1",#N/A,FALSE,"GLC";"glc2",#N/A,FALSE,"GLC";"glc3",#N/A,FALSE,"GLC";"glc4",#N/A,FALSE,"GLC";"glc5",#N/A,FALSE,"GLC"}</definedName>
    <definedName name="уцннв" hidden="1">{"glc1",#N/A,FALSE,"GLC";"glc2",#N/A,FALSE,"GLC";"glc3",#N/A,FALSE,"GLC";"glc4",#N/A,FALSE,"GLC";"glc5",#N/A,FALSE,"GLC"}</definedName>
    <definedName name="уцпек" hidden="1">{#N/A,#N/A,FALSE,"Aging Summary";#N/A,#N/A,FALSE,"Ratio Analysis";#N/A,#N/A,FALSE,"Test 120 Day Accts";#N/A,#N/A,FALSE,"Tickmarks"}</definedName>
    <definedName name="уцукц" hidden="1">#REF!</definedName>
    <definedName name="ф" localSheetId="12" hidden="1">{#N/A,#N/A,FALSE,"Aging Summary";#N/A,#N/A,FALSE,"Ratio Analysis";#N/A,#N/A,FALSE,"Test 120 Day Accts";#N/A,#N/A,FALSE,"Tickmarks"}</definedName>
    <definedName name="ф" localSheetId="14" hidden="1">{#N/A,#N/A,FALSE,"Aging Summary";#N/A,#N/A,FALSE,"Ratio Analysis";#N/A,#N/A,FALSE,"Test 120 Day Accts";#N/A,#N/A,FALSE,"Tickmarks"}</definedName>
    <definedName name="ф" hidden="1">{#N/A,#N/A,FALSE,"Aging Summary";#N/A,#N/A,FALSE,"Ratio Analysis";#N/A,#N/A,FALSE,"Test 120 Day Accts";#N/A,#N/A,FALSE,"Tickmarks"}</definedName>
    <definedName name="фв" localSheetId="12" hidden="1">{"'РП (2)'!$A$5:$S$150"}</definedName>
    <definedName name="фв" localSheetId="14" hidden="1">#REF!</definedName>
    <definedName name="фв" hidden="1">{"'РП (2)'!$A$5:$S$150"}</definedName>
    <definedName name="фва" hidden="1">{#N/A,#N/A,FALSE,"Aging Summary";#N/A,#N/A,FALSE,"Ratio Analysis";#N/A,#N/A,FALSE,"Test 120 Day Accts";#N/A,#N/A,FALSE,"Tickmarks"}</definedName>
    <definedName name="фвввц" hidden="1">{#N/A,#N/A,FALSE,"Aging Summary";#N/A,#N/A,FALSE,"Ratio Analysis";#N/A,#N/A,FALSE,"Test 120 Day Accts";#N/A,#N/A,FALSE,"Tickmarks"}</definedName>
    <definedName name="фвп" hidden="1">{#N/A,#N/A,FALSE,"Aging Summary";#N/A,#N/A,FALSE,"Ratio Analysis";#N/A,#N/A,FALSE,"Test 120 Day Accts";#N/A,#N/A,FALSE,"Tickmarks"}</definedName>
    <definedName name="фвуц" hidden="1">{"AnalRSA",#N/A,TRUE,"PL-Anal";"AnalIAS",#N/A,TRUE,"PL-Anal"}</definedName>
    <definedName name="ФинПланФакт" localSheetId="12" hidden="1">{"konoplin - Личное представление",#N/A,TRUE,"ФинПлан_1кв";"konoplin - Личное представление",#N/A,TRUE,"ФинПлан_2кв"}</definedName>
    <definedName name="ФинПланФакт" localSheetId="14" hidden="1">{"konoplin - Личное представление",#N/A,TRUE,"ФинПлан_1кв";"konoplin - Личное представление",#N/A,TRUE,"ФинПлан_2кв"}</definedName>
    <definedName name="ФинПланФакт" hidden="1">{"konoplin - Личное представление",#N/A,TRUE,"ФинПлан_1кв";"konoplin - Личное представление",#N/A,TRUE,"ФинПлан_2кв"}</definedName>
    <definedName name="фпи" hidden="1">{"'Sheet1'!$A$1:$G$85"}</definedName>
    <definedName name="фпи_1" hidden="1">{"'Sheet1'!$A$1:$G$85"}</definedName>
    <definedName name="фпи_1_1" hidden="1">{"'Sheet1'!$A$1:$G$85"}</definedName>
    <definedName name="фпи_2" hidden="1">{"'Sheet1'!$A$1:$G$85"}</definedName>
    <definedName name="фпи_3" hidden="1">{"'Sheet1'!$A$1:$G$85"}</definedName>
    <definedName name="фпи_4" hidden="1">{"'Sheet1'!$A$1:$G$85"}</definedName>
    <definedName name="фффффффф" hidden="1">{"'Sheet1'!$A$1:$G$85"}</definedName>
    <definedName name="ффффффффффффф" localSheetId="12" hidden="1">{"'РП (2)'!$A$5:$S$150"}</definedName>
    <definedName name="ффффффффффффф" hidden="1">{"'РП (2)'!$A$5:$S$150"}</definedName>
    <definedName name="ффыыа" hidden="1">{#N/A,"10% Success",FALSE,"Sales Forecast";#N/A,#N/A,FALSE,"Sheet2"}</definedName>
    <definedName name="фц" localSheetId="12" hidden="1">{"'РП (2)'!$A$5:$S$150"}</definedName>
    <definedName name="фц" localSheetId="14" hidden="1">{"'РП (2)'!$A$5:$S$150"}</definedName>
    <definedName name="фц" hidden="1">{"'РП (2)'!$A$5:$S$150"}</definedName>
    <definedName name="фц_1" hidden="1">{"'РП (2)'!$A$5:$S$150"}</definedName>
    <definedName name="фц_1_1" hidden="1">{"'РП (2)'!$A$5:$S$150"}</definedName>
    <definedName name="фц_2" hidden="1">{"'РП (2)'!$A$5:$S$150"}</definedName>
    <definedName name="фц_3" hidden="1">{"'РП (2)'!$A$5:$S$150"}</definedName>
    <definedName name="фц_4" hidden="1">{"'РП (2)'!$A$5:$S$150"}</definedName>
    <definedName name="фцпу" hidden="1">#REF!</definedName>
    <definedName name="фцуе" hidden="1">{#N/A,#N/A,FALSE,"Aging Summary";#N/A,#N/A,FALSE,"Ratio Analysis";#N/A,#N/A,FALSE,"Test 120 Day Accts";#N/A,#N/A,FALSE,"Tickmarks"}</definedName>
    <definedName name="фцуеп" hidden="1">{"data",#N/A,FALSE,"INPUT"}</definedName>
    <definedName name="фчяяф" hidden="1">{#N/A,"70% Success",FALSE,"Sales Forecast";#N/A,#N/A,FALSE,"Sheet2"}</definedName>
    <definedName name="фыа" hidden="1">#REF!</definedName>
    <definedName name="фыаа" hidden="1">#REF!</definedName>
    <definedName name="фыв" hidden="1">#REF!</definedName>
    <definedName name="фыпек" hidden="1">{#N/A,"70% Success",FALSE,"Sales Forecast";#N/A,#N/A,FALSE,"Sheet2"}</definedName>
    <definedName name="фыц" hidden="1">#REF!</definedName>
    <definedName name="фыыпв" hidden="1">{#N/A,#N/A,FALSE,"Aging Summary";#N/A,#N/A,FALSE,"Ratio Analysis";#N/A,#N/A,FALSE,"Test 120 Day Accts";#N/A,#N/A,FALSE,"Tickmarks"}</definedName>
    <definedName name="хз" hidden="1">#REF!</definedName>
    <definedName name="ххх_" localSheetId="12" hidden="1">{"'РП (2)'!$A$5:$S$150"}</definedName>
    <definedName name="ххх_" hidden="1">{"'РП (2)'!$A$5:$S$150"}</definedName>
    <definedName name="ххххх" localSheetId="12" hidden="1">{"'РП (2)'!$A$5:$S$150"}</definedName>
    <definedName name="ххххх" hidden="1">{"'РП (2)'!$A$5:$S$150"}</definedName>
    <definedName name="ххххххх" localSheetId="12" hidden="1">{"'РП (2)'!$A$5:$S$150"}</definedName>
    <definedName name="ххххххх" hidden="1">{"'РП (2)'!$A$5:$S$150"}</definedName>
    <definedName name="хххххххххххххххххххх" localSheetId="12" hidden="1">{"'РП (2)'!$A$5:$S$150"}</definedName>
    <definedName name="хххххххххххххххххххх" hidden="1">{"'РП (2)'!$A$5:$S$150"}</definedName>
    <definedName name="цвцвцвц" hidden="1">#REF!</definedName>
    <definedName name="це" localSheetId="12" hidden="1">{"'РП (2)'!$A$5:$S$150"}</definedName>
    <definedName name="це" hidden="1">{"'РП (2)'!$A$5:$S$150"}</definedName>
    <definedName name="цйук" hidden="1">{#N/A,#N/A,FALSE,"Aging Summary";#N/A,#N/A,FALSE,"Ratio Analysis";#N/A,#N/A,FALSE,"Test 120 Day Accts";#N/A,#N/A,FALSE,"Tickmarks"}</definedName>
    <definedName name="цк" localSheetId="12" hidden="1">{"'РП (2)'!$A$5:$S$150"}</definedName>
    <definedName name="цк" localSheetId="14" hidden="1">#REF!</definedName>
    <definedName name="цк" hidden="1">{"'РП (2)'!$A$5:$S$150"}</definedName>
    <definedName name="цуее" hidden="1">#REF!</definedName>
    <definedName name="цуеекн" hidden="1">{#N/A,#N/A,FALSE,"Aging Summary";#N/A,#N/A,FALSE,"Ratio Analysis";#N/A,#N/A,FALSE,"Test 120 Day Accts";#N/A,#N/A,FALSE,"Tickmarks"}</definedName>
    <definedName name="цуек" hidden="1">{#N/A,#N/A,FALSE,"Aging Summary";#N/A,#N/A,FALSE,"Ratio Analysis";#N/A,#N/A,FALSE,"Test 120 Day Accts";#N/A,#N/A,FALSE,"Tickmarks"}</definedName>
    <definedName name="цуекуцек" hidden="1">#REF!</definedName>
    <definedName name="цуен" hidden="1">{"'РП (2)'!$A$5:$S$150"}</definedName>
    <definedName name="цуен_1" hidden="1">{"'РП (2)'!$A$5:$S$150"}</definedName>
    <definedName name="цуен_2" hidden="1">{"'РП (2)'!$A$5:$S$150"}</definedName>
    <definedName name="цуен_3" hidden="1">{"'РП (2)'!$A$5:$S$150"}</definedName>
    <definedName name="цуен_4" hidden="1">{"'РП (2)'!$A$5:$S$150"}</definedName>
    <definedName name="цуец" hidden="1">{"data",#N/A,FALSE,"INPUT"}</definedName>
    <definedName name="цуеце" hidden="1">#REF!</definedName>
    <definedName name="цук23" hidden="1">#REF!</definedName>
    <definedName name="цф" localSheetId="12" hidden="1">{"'РП (2)'!$A$5:$S$150"}</definedName>
    <definedName name="цф" hidden="1">{"'РП (2)'!$A$5:$S$150"}</definedName>
    <definedName name="цфуее" hidden="1">{#N/A,#N/A,FALSE,"Aging Summary";#N/A,#N/A,FALSE,"Ratio Analysis";#N/A,#N/A,FALSE,"Test 120 Day Accts";#N/A,#N/A,FALSE,"Tickmarks"}</definedName>
    <definedName name="цц" localSheetId="12" hidden="1">{"'РП (2)'!$A$5:$S$150"}</definedName>
    <definedName name="цц" hidden="1">{"'РП (2)'!$A$5:$S$150"}</definedName>
    <definedName name="ццццц" localSheetId="12" hidden="1">{"'РП (2)'!$A$5:$S$150"}</definedName>
    <definedName name="ццццц" hidden="1">{"'РП (2)'!$A$5:$S$150"}</definedName>
    <definedName name="цццццц" localSheetId="12" hidden="1">{"'РП (2)'!$A$5:$S$150"}</definedName>
    <definedName name="цццццц" hidden="1">{"'РП (2)'!$A$5:$S$150"}</definedName>
    <definedName name="цццццццц" hidden="1">{"'Sheet1'!$A$1:$G$85"}</definedName>
    <definedName name="ццццццццццццццццц" localSheetId="12" hidden="1">{"'РП (2)'!$A$5:$S$150"}</definedName>
    <definedName name="ццццццццццццццццц" hidden="1">{"'РП (2)'!$A$5:$S$150"}</definedName>
    <definedName name="ч" localSheetId="12" hidden="1">{"'РП (2)'!$A$5:$S$150"}</definedName>
    <definedName name="ч" hidden="1">{"'РП (2)'!$A$5:$S$150"}</definedName>
    <definedName name="чвкнвк" hidden="1">{#N/A,#N/A,FALSE,"Infl_fact"}</definedName>
    <definedName name="чвп" hidden="1">{"data",#N/A,FALSE,"INPUT"}</definedName>
    <definedName name="чврннне" hidden="1">{"IAS Mapping",#N/A,TRUE,"RSA_FS"}</definedName>
    <definedName name="Численность" localSheetId="12" hidden="1">{"'РП (2)'!$A$5:$S$150"}</definedName>
    <definedName name="Численность" hidden="1">{"'РП (2)'!$A$5:$S$150"}</definedName>
    <definedName name="чпава" hidden="1">{"'Sheet1'!$A$1:$G$85"}</definedName>
    <definedName name="чпава_1" hidden="1">{"'Sheet1'!$A$1:$G$85"}</definedName>
    <definedName name="чпава_1_1" hidden="1">{"'Sheet1'!$A$1:$G$85"}</definedName>
    <definedName name="чпава_2" hidden="1">{"'Sheet1'!$A$1:$G$85"}</definedName>
    <definedName name="чпава_3" hidden="1">{"'Sheet1'!$A$1:$G$85"}</definedName>
    <definedName name="чпава_4" hidden="1">{"'Sheet1'!$A$1:$G$85"}</definedName>
    <definedName name="чпк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чсмчсмчясм" hidden="1">#REF!</definedName>
    <definedName name="чт" localSheetId="12" hidden="1">{"'РП (2)'!$A$5:$S$150"}</definedName>
    <definedName name="чт" hidden="1">{"'РП (2)'!$A$5:$S$150"}</definedName>
    <definedName name="чч" localSheetId="12" hidden="1">{"'РП (2)'!$A$5:$S$150"}</definedName>
    <definedName name="ЧЧ" localSheetId="14" hidden="1">{"glcbs",#N/A,FALSE,"GLCBS";"glccsbs",#N/A,FALSE,"GLCCSBS";"glcis",#N/A,FALSE,"GLCIS";"glccsis",#N/A,FALSE,"GLCCSIS";"glcrat1",#N/A,FALSE,"GLC-ratios1"}</definedName>
    <definedName name="чч" hidden="1">{"'РП (2)'!$A$5:$S$150"}</definedName>
    <definedName name="ччч" localSheetId="12" hidden="1">{"'РП (2)'!$A$5:$S$150"}</definedName>
    <definedName name="ччч" hidden="1">{"'РП (2)'!$A$5:$S$150"}</definedName>
    <definedName name="чччч" localSheetId="12" hidden="1">{"'РП (2)'!$A$5:$S$150"}</definedName>
    <definedName name="чччч" hidden="1">{"'РП (2)'!$A$5:$S$150"}</definedName>
    <definedName name="ЧЧЧЧЧЧ" hidden="1">#REF!-1 &amp; "." &amp; MAX(1,COUNTA(INDEX(#REF!,MATCH(#REF!-1,#REF!,FALSE)):#REF!))</definedName>
    <definedName name="ччччччч" localSheetId="12" hidden="1">{"'РП (2)'!$A$5:$S$150"}</definedName>
    <definedName name="ччччччч" hidden="1">{"'РП (2)'!$A$5:$S$150"}</definedName>
    <definedName name="ччччччччччччччч" localSheetId="12" hidden="1">{"'РП (2)'!$A$5:$S$150"}</definedName>
    <definedName name="ччччччччччччччч" hidden="1">{"'РП (2)'!$A$5:$S$150"}</definedName>
    <definedName name="чччччччччччччччччч" localSheetId="12" hidden="1">{"'РП (2)'!$A$5:$S$150"}</definedName>
    <definedName name="чччччччччччччччччч" hidden="1">{"'РП (2)'!$A$5:$S$150"}</definedName>
    <definedName name="ш" localSheetId="12" hidden="1">{"'РП (2)'!$A$5:$S$150"}</definedName>
    <definedName name="ш" hidden="1">{"'РП (2)'!$A$5:$S$150"}</definedName>
    <definedName name="шгзлхз" localSheetId="12" hidden="1">{"'РП (2)'!$A$5:$S$150"}</definedName>
    <definedName name="шгзлхз" hidden="1">{"'РП (2)'!$A$5:$S$150"}</definedName>
    <definedName name="шгзщш" localSheetId="12" hidden="1">{"'РП (2)'!$A$5:$S$150"}</definedName>
    <definedName name="шгзщш" hidden="1">{"'РП (2)'!$A$5:$S$150"}</definedName>
    <definedName name="шгн" localSheetId="12" hidden="1">{"'РП (2)'!$A$5:$S$150"}</definedName>
    <definedName name="шгн" hidden="1">{"'РП (2)'!$A$5:$S$150"}</definedName>
    <definedName name="шгшгшг" localSheetId="12" hidden="1">{"'РП (2)'!$A$5:$S$150"}</definedName>
    <definedName name="шгшгшг" hidden="1">{"'РП (2)'!$A$5:$S$150"}</definedName>
    <definedName name="шн" localSheetId="12" hidden="1">{"'РП (2)'!$A$5:$S$150"}</definedName>
    <definedName name="шн" hidden="1">{"'РП (2)'!$A$5:$S$150"}</definedName>
    <definedName name="шшрш" localSheetId="12" hidden="1">{"'РП (2)'!$A$5:$S$150"}</definedName>
    <definedName name="шшрш" hidden="1">{"'РП (2)'!$A$5:$S$150"}</definedName>
    <definedName name="шшшшш" localSheetId="12" hidden="1">{"'РП (2)'!$A$5:$S$150"}</definedName>
    <definedName name="шшшшш" hidden="1">{"'РП (2)'!$A$5:$S$150"}</definedName>
    <definedName name="шшшшшшшшшшшшшш" localSheetId="12" hidden="1">{"'РП (2)'!$A$5:$S$150"}</definedName>
    <definedName name="шшшшшшшшшшшшшш" hidden="1">{"'РП (2)'!$A$5:$S$150"}</definedName>
    <definedName name="щ" localSheetId="12" hidden="1">{"'РП (2)'!$A$5:$S$150"}</definedName>
    <definedName name="щ" hidden="1">{"'РП (2)'!$A$5:$S$150"}</definedName>
    <definedName name="щр" localSheetId="12" hidden="1">{"'РП (2)'!$A$5:$S$150"}</definedName>
    <definedName name="щр" hidden="1">{"'РП (2)'!$A$5:$S$150"}</definedName>
    <definedName name="щшз" hidden="1">#REF!</definedName>
    <definedName name="щшоджл" localSheetId="12" hidden="1">{"'РП (2)'!$A$5:$S$150"}</definedName>
    <definedName name="щшоджл" hidden="1">{"'РП (2)'!$A$5:$S$150"}</definedName>
    <definedName name="щщ" localSheetId="12" hidden="1">{"'РП (2)'!$A$5:$S$150"}</definedName>
    <definedName name="щщ" hidden="1">{"'РП (2)'!$A$5:$S$150"}</definedName>
    <definedName name="щщощщ" localSheetId="12" hidden="1">{"'РП (2)'!$A$5:$S$150"}</definedName>
    <definedName name="щщощщ" hidden="1">{"'РП (2)'!$A$5:$S$150"}</definedName>
    <definedName name="щщщщщ" localSheetId="12" hidden="1">{"'РП (2)'!$A$5:$S$150"}</definedName>
    <definedName name="щщщщщ" hidden="1">{"'РП (2)'!$A$5:$S$150"}</definedName>
    <definedName name="щщщщщщщщщщщщ" localSheetId="12" hidden="1">{"'РП (2)'!$A$5:$S$150"}</definedName>
    <definedName name="щщщщщщщщщщщщ" hidden="1">{"'РП (2)'!$A$5:$S$150"}</definedName>
    <definedName name="ъжъждоп" localSheetId="12" hidden="1">{"'РП (2)'!$A$5:$S$150"}</definedName>
    <definedName name="ъжъждоп" hidden="1">{"'РП (2)'!$A$5:$S$150"}</definedName>
    <definedName name="ъхз" localSheetId="12" hidden="1">{"'РП (2)'!$A$5:$S$150"}</definedName>
    <definedName name="ъхз" hidden="1">{"'РП (2)'!$A$5:$S$150"}</definedName>
    <definedName name="ъъъъъ" localSheetId="12" hidden="1">{"'РП (2)'!$A$5:$S$150"}</definedName>
    <definedName name="ъъъъъ" hidden="1">{"'РП (2)'!$A$5:$S$150"}</definedName>
    <definedName name="ъъъъъъ" localSheetId="12" hidden="1">{"'РП (2)'!$A$5:$S$150"}</definedName>
    <definedName name="ъъъъъъ" hidden="1">{"'РП (2)'!$A$5:$S$150"}</definedName>
    <definedName name="ъъъъъъъъъъъъъъъъъ" localSheetId="12" hidden="1">{"'РП (2)'!$A$5:$S$150"}</definedName>
    <definedName name="ъъъъъъъъъъъъъъъъъ" hidden="1">{"'РП (2)'!$A$5:$S$150"}</definedName>
    <definedName name="ы" hidden="1">#REF!</definedName>
    <definedName name="ыа" hidden="1">#REF!</definedName>
    <definedName name="ЫАиА" hidden="1">{"'Prices'!$A$4:$J$27"}</definedName>
    <definedName name="ываа" hidden="1">#REF!</definedName>
    <definedName name="ывав" hidden="1">#REF!</definedName>
    <definedName name="ываждло" hidden="1">{"glc1",#N/A,FALSE,"GLC";"glc2",#N/A,FALSE,"GLC";"glc3",#N/A,FALSE,"GLC";"glc4",#N/A,FALSE,"GLC";"glc5",#N/A,FALSE,"GLC"}</definedName>
    <definedName name="ывапра" hidden="1">{"'Sheet1'!$A$1:$G$85"}</definedName>
    <definedName name="ывапра_1" hidden="1">{"'Sheet1'!$A$1:$G$85"}</definedName>
    <definedName name="ывапра_1_1" hidden="1">{"'Sheet1'!$A$1:$G$85"}</definedName>
    <definedName name="ывапра_2" hidden="1">{"'Sheet1'!$A$1:$G$85"}</definedName>
    <definedName name="ывапра_3" hidden="1">{"'Sheet1'!$A$1:$G$85"}</definedName>
    <definedName name="ывапра_4" hidden="1">{"'Sheet1'!$A$1:$G$85"}</definedName>
    <definedName name="ывафыв" hidden="1">#REF!</definedName>
    <definedName name="ываыа" hidden="1">#REF!</definedName>
    <definedName name="ываыва" hidden="1">#REF!</definedName>
    <definedName name="Ывмыцкп" hidden="1">{"'Prices'!$A$4:$J$27"}</definedName>
    <definedName name="Ыгь" localSheetId="12" hidden="1">{#N/A,#N/A,FALSE,"Aging Summary";#N/A,#N/A,FALSE,"Ratio Analysis";#N/A,#N/A,FALSE,"Test 120 Day Accts";#N/A,#N/A,FALSE,"Tickmarks"}</definedName>
    <definedName name="Ыгь" localSheetId="14" hidden="1">{#N/A,#N/A,FALSE,"Aging Summary";#N/A,#N/A,FALSE,"Ratio Analysis";#N/A,#N/A,FALSE,"Test 120 Day Accts";#N/A,#N/A,FALSE,"Tickmarks"}</definedName>
    <definedName name="Ыгь" hidden="1">{#N/A,#N/A,FALSE,"Aging Summary";#N/A,#N/A,FALSE,"Ratio Analysis";#N/A,#N/A,FALSE,"Test 120 Day Accts";#N/A,#N/A,FALSE,"Tickmarks"}</definedName>
    <definedName name="ыерот" hidden="1">{"'Prices'!$A$4:$J$27"}</definedName>
    <definedName name="ыка" hidden="1">{"glc1",#N/A,FALSE,"GLC";"glc2",#N/A,FALSE,"GLC";"glc3",#N/A,FALSE,"GLC";"glc4",#N/A,FALSE,"GLC";"glc5",#N/A,FALSE,"GLC"}</definedName>
    <definedName name="ымп" hidden="1">{"'Prices'!$A$4:$J$27"}</definedName>
    <definedName name="ыуееук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ыууу" hidden="1">#REF!</definedName>
    <definedName name="ыфвывамвыам" hidden="1">#REF!</definedName>
    <definedName name="ыы" localSheetId="12" hidden="1">{"'РП (2)'!$A$5:$S$150"}</definedName>
    <definedName name="ыы" hidden="1">{"'РП (2)'!$A$5:$S$150"}</definedName>
    <definedName name="ыывв" localSheetId="12" hidden="1">{"'РП (2)'!$A$5:$S$150"}</definedName>
    <definedName name="ыывв" hidden="1">{"'РП (2)'!$A$5:$S$150"}</definedName>
    <definedName name="ыыы" localSheetId="12" hidden="1">{"'РП (2)'!$A$5:$S$150"}</definedName>
    <definedName name="ыыы" localSheetId="14" hidden="1">{"'РП (2)'!$A$5:$S$150"}</definedName>
    <definedName name="ыыы" hidden="1">{"'РП (2)'!$A$5:$S$150"}</definedName>
    <definedName name="ыыы_1" hidden="1">{"'РП (2)'!$A$5:$S$150"}</definedName>
    <definedName name="ыыы_1_1" hidden="1">{"'РП (2)'!$A$5:$S$150"}</definedName>
    <definedName name="ыыы_2" hidden="1">{"'РП (2)'!$A$5:$S$150"}</definedName>
    <definedName name="ыыы_3" hidden="1">{"'РП (2)'!$A$5:$S$150"}</definedName>
    <definedName name="ыыы_4" hidden="1">{"'РП (2)'!$A$5:$S$150"}</definedName>
    <definedName name="ыыыцй" hidden="1">{#N/A,#N/A,FALSE,"Aging Summary";#N/A,#N/A,FALSE,"Ratio Analysis";#N/A,#N/A,FALSE,"Test 120 Day Accts";#N/A,#N/A,FALSE,"Tickmarks"}</definedName>
    <definedName name="ыыыыыыыыыы" localSheetId="12" hidden="1">{"'РП (2)'!$A$5:$S$150"}</definedName>
    <definedName name="ыыыыыыыыыы" hidden="1">{"'РП (2)'!$A$5:$S$150"}</definedName>
    <definedName name="ыыыыыыыыыыввввввввввввв" localSheetId="12" hidden="1">{"'РП (2)'!$A$5:$S$150"}</definedName>
    <definedName name="ыыыыыыыыыыввввввввввввв" hidden="1">{"'РП (2)'!$A$5:$S$150"}</definedName>
    <definedName name="ь" localSheetId="12" hidden="1">{"'РП (2)'!$A$5:$S$150"}</definedName>
    <definedName name="ь" hidden="1">{"'РП (2)'!$A$5:$S$150"}</definedName>
    <definedName name="ьрпср" hidden="1">{"'Sheet1'!$A$1:$G$85"}</definedName>
    <definedName name="ььь" hidden="1">#REF!</definedName>
    <definedName name="ььььььььь" hidden="1">{"'Sheet1'!$A$1:$G$85"}</definedName>
    <definedName name="ьььььььььььбб" localSheetId="12" hidden="1">{"'РП (2)'!$A$5:$S$150"}</definedName>
    <definedName name="ьььььььььььбб" hidden="1">{"'РП (2)'!$A$5:$S$150"}</definedName>
    <definedName name="ььььььььььььььь" localSheetId="12" hidden="1">{"'РП (2)'!$A$5:$S$150"}</definedName>
    <definedName name="ььььььььььььььь" hidden="1">{"'РП (2)'!$A$5:$S$150"}</definedName>
    <definedName name="ььььььььььььььььььььь" localSheetId="12" hidden="1">{"'РП (2)'!$A$5:$S$150"}</definedName>
    <definedName name="ььььььььььььььььььььь" hidden="1">{"'РП (2)'!$A$5:$S$150"}</definedName>
    <definedName name="эж" localSheetId="12" hidden="1">{"'РП (2)'!$A$5:$S$150"}</definedName>
    <definedName name="эж" hidden="1">{"'РП (2)'!$A$5:$S$150"}</definedName>
    <definedName name="эжд" localSheetId="12" hidden="1">{"'РП (2)'!$A$5:$S$150"}</definedName>
    <definedName name="эжд" hidden="1">{"'РП (2)'!$A$5:$S$150"}</definedName>
    <definedName name="эзп" localSheetId="12" hidden="1">{"'РП (2)'!$A$5:$S$150"}</definedName>
    <definedName name="эзп" hidden="1">{"'РП (2)'!$A$5:$S$150"}</definedName>
    <definedName name="ээээ" hidden="1">{"'Prices'!$A$4:$J$27"}</definedName>
    <definedName name="эээээ" localSheetId="12" hidden="1">{"'РП (2)'!$A$5:$S$150"}</definedName>
    <definedName name="эээээ" hidden="1">{"'РП (2)'!$A$5:$S$150"}</definedName>
    <definedName name="ээээээ" localSheetId="12" hidden="1">{"'РП (2)'!$A$5:$S$150"}</definedName>
    <definedName name="ээээээ" hidden="1">{"'РП (2)'!$A$5:$S$150"}</definedName>
    <definedName name="ээээээээ" localSheetId="12" hidden="1">{"'РП (2)'!$A$5:$S$150"}</definedName>
    <definedName name="ээээээээ" hidden="1">{"'РП (2)'!$A$5:$S$150"}</definedName>
    <definedName name="ээээээээээ" localSheetId="12" hidden="1">{"'РП (2)'!$A$5:$S$150"}</definedName>
    <definedName name="ээээээээээ" hidden="1">{"'РП (2)'!$A$5:$S$150"}</definedName>
    <definedName name="юю" localSheetId="12" hidden="1">{"'РП (2)'!$A$5:$S$150"}</definedName>
    <definedName name="юю" hidden="1">{"'РП (2)'!$A$5:$S$150"}</definedName>
    <definedName name="юююю" localSheetId="12" hidden="1">{"'РП (2)'!$A$5:$S$150"}</definedName>
    <definedName name="юююю" hidden="1">{"'РП (2)'!$A$5:$S$150"}</definedName>
    <definedName name="ююююю" localSheetId="12" hidden="1">{"'РП (2)'!$A$5:$S$150"}</definedName>
    <definedName name="ююююю" hidden="1">{"'РП (2)'!$A$5:$S$150"}</definedName>
    <definedName name="юююююю" localSheetId="12" hidden="1">{"'РП (2)'!$A$5:$S$150"}</definedName>
    <definedName name="юююююю" hidden="1">{"'РП (2)'!$A$5:$S$150"}</definedName>
    <definedName name="ююююююююююююю" localSheetId="12" hidden="1">{"'РП (2)'!$A$5:$S$150"}</definedName>
    <definedName name="ююююююююююююю" hidden="1">{"'РП (2)'!$A$5:$S$150"}</definedName>
    <definedName name="ява" hidden="1">{"'Sheet1'!$A$1:$G$85"}</definedName>
    <definedName name="ява_1" hidden="1">{"'Sheet1'!$A$1:$G$85"}</definedName>
    <definedName name="ява_1_1" hidden="1">{"'Sheet1'!$A$1:$G$85"}</definedName>
    <definedName name="ява_2" hidden="1">{"'Sheet1'!$A$1:$G$85"}</definedName>
    <definedName name="ява_3" hidden="1">{"'Sheet1'!$A$1:$G$85"}</definedName>
    <definedName name="ява_4" hidden="1">{"'Sheet1'!$A$1:$G$85"}</definedName>
    <definedName name="яваи" hidden="1">{"'Sheet1'!$A$1:$G$85"}</definedName>
    <definedName name="яваи_1" hidden="1">{"'Sheet1'!$A$1:$G$85"}</definedName>
    <definedName name="яваи_1_1" hidden="1">{"'Sheet1'!$A$1:$G$85"}</definedName>
    <definedName name="яваи_2" hidden="1">{"'Sheet1'!$A$1:$G$85"}</definedName>
    <definedName name="яваи_3" hidden="1">{"'Sheet1'!$A$1:$G$85"}</definedName>
    <definedName name="яваи_4" hidden="1">{"'Sheet1'!$A$1:$G$85"}</definedName>
    <definedName name="яс" hidden="1">#REF!</definedName>
    <definedName name="ясм" hidden="1">#REF!</definedName>
    <definedName name="яф" hidden="1">{#N/A,#N/A,FALSE,"Aging Summary";#N/A,#N/A,FALSE,"Ratio Analysis";#N/A,#N/A,FALSE,"Test 120 Day Accts";#N/A,#N/A,FALSE,"Tickmarks"}</definedName>
    <definedName name="яч" hidden="1">{#N/A,#N/A,FALSE,"Aging Summary";#N/A,#N/A,FALSE,"Ratio Analysis";#N/A,#N/A,FALSE,"Test 120 Day Accts";#N/A,#N/A,FALSE,"Tickmarks"}</definedName>
    <definedName name="яя" localSheetId="12" hidden="1">{"'РП (2)'!$A$5:$S$150"}</definedName>
    <definedName name="яя" hidden="1">{"'РП (2)'!$A$5:$S$150"}</definedName>
    <definedName name="яяя" localSheetId="12" hidden="1">{"'РП (2)'!$A$5:$S$150"}</definedName>
    <definedName name="яяя" localSheetId="14" hidden="1">{#VALUE!,#N/A,TRUE,0}</definedName>
    <definedName name="яяя" hidden="1">{"'РП (2)'!$A$5:$S$150"}</definedName>
    <definedName name="яяяя" localSheetId="12" hidden="1">{"'РП (2)'!$A$5:$S$150"}</definedName>
    <definedName name="яяяя" hidden="1">{"'РП (2)'!$A$5:$S$150"}</definedName>
    <definedName name="яяяяя" localSheetId="12" hidden="1">{"'РП (2)'!$A$5:$S$150"}</definedName>
    <definedName name="яяяяя" hidden="1">{"'РП (2)'!$A$5:$S$150"}</definedName>
    <definedName name="яяяяяяяяяяяяяяя" localSheetId="12" hidden="1">{"'РП (2)'!$A$5:$S$150"}</definedName>
    <definedName name="яяяяяяяяяяяяяяя" hidden="1">{"'РП (2)'!$A$5:$S$150"}</definedName>
    <definedName name="яяяяяяяяяяяяяяяяяя" localSheetId="12" hidden="1">{"'РП (2)'!$A$5:$S$150"}</definedName>
    <definedName name="яяяяяяяяяяяяяяяяяя" hidden="1">{"'РП (2)'!$A$5:$S$150"}</definedName>
    <definedName name="a" localSheetId="14" hidden="1">#REF!</definedName>
    <definedName name="a" hidden="1">#REF!</definedName>
    <definedName name="AA" localSheetId="1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" localSheetId="14" hidden="1">#REF!</definedName>
    <definedName name="A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" localSheetId="14" hidden="1">{#N/A,#N/A,FALSE,"Aging Summary";#N/A,#N/A,FALSE,"Ratio Analysis";#N/A,#N/A,FALSE,"Test 120 Day Accts";#N/A,#N/A,FALSE,"Tickmarks"}</definedName>
    <definedName name="aaa" hidden="1">#REF!</definedName>
    <definedName name="aaa0" localSheetId="12" hidden="1">{#N/A,#N/A,FALSE,"Aging Summary";#N/A,#N/A,FALSE,"Ratio Analysis";#N/A,#N/A,FALSE,"Test 120 Day Accts";#N/A,#N/A,FALSE,"Tickmarks"}</definedName>
    <definedName name="aaa0" localSheetId="14" hidden="1">{#N/A,#N/A,FALSE,"Aging Summary";#N/A,#N/A,FALSE,"Ratio Analysis";#N/A,#N/A,FALSE,"Test 120 Day Accts";#N/A,#N/A,FALSE,"Tickmarks"}</definedName>
    <definedName name="aaa0" hidden="1">{#N/A,#N/A,FALSE,"Aging Summary";#N/A,#N/A,FALSE,"Ratio Analysis";#N/A,#N/A,FALSE,"Test 120 Day Accts";#N/A,#N/A,FALSE,"Tickmarks"}</definedName>
    <definedName name="aaaa" localSheetId="12" hidden="1">{"suhaznesi1icmal",#N/A,FALSE,"shicm";"suhaznesi2icmal",#N/A,FALSE,"shicm";"suhaznesi3icmal",#N/A,FALSE,"shicm"}</definedName>
    <definedName name="aaaa" hidden="1">{"suhaznesi1icmal",#N/A,FALSE,"shicm";"suhaznesi2icmal",#N/A,FALSE,"shicm";"suhaznesi3icmal",#N/A,FALSE,"shicm"}</definedName>
    <definedName name="aaaaaa" localSheetId="1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aa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A" localSheetId="12" hidden="1">{#N/A,#N/A,FALSE,"sıh_iç_ihz";#N/A,#N/A,FALSE,"sıh_iç_er";#N/A,#N/A,FALSE,"sıh_iç_tut"}</definedName>
    <definedName name="AAAAAAAAA" hidden="1">{#N/A,#N/A,FALSE,"sıh_iç_ihz";#N/A,#N/A,FALSE,"sıh_iç_er";#N/A,#N/A,FALSE,"sıh_iç_tut"}</definedName>
    <definedName name="AAAAAAAAAAAAAAAAA" hidden="1">#REF!</definedName>
    <definedName name="aaea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e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sdf" hidden="1">#REF!</definedName>
    <definedName name="ab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b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BABA" localSheetId="1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BABA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BADB" localSheetId="12" hidden="1">{#N/A,#N/A,FALSE,"TELEFON"}</definedName>
    <definedName name="ABADB" hidden="1">{#N/A,#N/A,FALSE,"TELEFON"}</definedName>
    <definedName name="abc" localSheetId="12" hidden="1">{#N/A,#N/A,FALSE,"Aging Summary";#N/A,#N/A,FALSE,"Ratio Analysis";#N/A,#N/A,FALSE,"Test 120 Day Accts";#N/A,#N/A,FALSE,"Tickmarks"}</definedName>
    <definedName name="abc" localSheetId="14" hidden="1">{#N/A,#N/A,FALSE,"Aging Summary";#N/A,#N/A,FALSE,"Ratio Analysis";#N/A,#N/A,FALSE,"Test 120 Day Accts";#N/A,#N/A,FALSE,"Tickmarks"}</definedName>
    <definedName name="abc" hidden="1">{#N/A,#N/A,FALSE,"Aging Summary";#N/A,#N/A,FALSE,"Ratio Analysis";#N/A,#N/A,FALSE,"Test 120 Day Accts";#N/A,#N/A,FALSE,"Tickmarks"}</definedName>
    <definedName name="ABCD" hidden="1">#REF!</definedName>
    <definedName name="a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cessDatabase" localSheetId="14" hidden="1">"C:\Мои документы\Базовая сводная обязательств1.mdb"</definedName>
    <definedName name="AccessDatabase" hidden="1">"C:\My Documents\vlad\Var_2\can270398v2t05.mdb"</definedName>
    <definedName name="acd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DBA" localSheetId="12" hidden="1">{#N/A,#N/A,FALSE,"müş_iç_ihz";#N/A,#N/A,FALSE,"müş_iç_er";#N/A,#N/A,FALSE,"müş_iç_tut"}</definedName>
    <definedName name="ADBA" hidden="1">{#N/A,#N/A,FALSE,"müş_iç_ihz";#N/A,#N/A,FALSE,"müş_iç_er";#N/A,#N/A,FALSE,"müş_iç_tut"}</definedName>
    <definedName name="adem" localSheetId="12" hidden="1">{#N/A,#N/A,FALSE,"müş_iç_ihz";#N/A,#N/A,FALSE,"müş_iç_er";#N/A,#N/A,FALSE,"müş_iç_tut"}</definedName>
    <definedName name="adem" hidden="1">{#N/A,#N/A,FALSE,"müş_iç_ihz";#N/A,#N/A,FALSE,"müş_iç_er";#N/A,#N/A,FALSE,"müş_iç_tut"}</definedName>
    <definedName name="adf" localSheetId="12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f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ffg" hidden="1">#REF!,#REF!</definedName>
    <definedName name="adsf" localSheetId="12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ds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e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ae" hidden="1">{#VALUE!,#N/A,FALSE,0;#N/A,#N/A,FALSE,0;#N/A,#N/A,FALSE,0;#N/A,#N/A,FALSE,0;#N/A,#N/A,FALSE,0;#N/A,#N/A,FALSE,0;#N/A,#N/A,FALSE,0;#N/A,#N/A,FALSE,0;#N/A,#N/A,FALSE,0;#N/A,#N/A,FALSE,0;#N/A,#N/A,FALSE,0;#N/A,#N/A,FALSE,0}</definedName>
    <definedName name="afAF" localSheetId="1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fA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fSF" localSheetId="12" hidden="1">{#N/A,#N/A,FALSE,"Leasing 6A"}</definedName>
    <definedName name="afSF" hidden="1">{#N/A,#N/A,FALSE,"Leasing 6A"}</definedName>
    <definedName name="agAG" localSheetId="1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gAG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GFD" localSheetId="12" hidden="1">{#N/A,#N/A,FALSE,"NCS INC SCOT";#N/A,#N/A,FALSE,"NCS";#N/A,#N/A,FALSE,"74 NCS";#N/A,#N/A,FALSE,"75 NCS";#N/A,#N/A,FALSE,"76 NCS "}</definedName>
    <definedName name="AGFD" hidden="1">{#N/A,#N/A,FALSE,"NCS INC SCOT";#N/A,#N/A,FALSE,"NCS";#N/A,#N/A,FALSE,"74 NCS";#N/A,#N/A,FALSE,"75 NCS";#N/A,#N/A,FALSE,"76 NCS "}</definedName>
    <definedName name="Aging2" localSheetId="12" hidden="1">{#N/A,#N/A,FALSE,"Aging Summary";#N/A,#N/A,FALSE,"Ratio Analysis";#N/A,#N/A,FALSE,"Test 120 Day Accts";#N/A,#N/A,FALSE,"Tickmarks"}</definedName>
    <definedName name="Aging2" localSheetId="14" hidden="1">{#N/A,#N/A,FALSE,"Aging Summary";#N/A,#N/A,FALSE,"Ratio Analysis";#N/A,#N/A,FALSE,"Test 120 Day Accts";#N/A,#N/A,FALSE,"Tickmarks"}</definedName>
    <definedName name="Aging2" hidden="1">{#N/A,#N/A,FALSE,"Aging Summary";#N/A,#N/A,FALSE,"Ratio Analysis";#N/A,#N/A,FALSE,"Test 120 Day Accts";#N/A,#N/A,FALSE,"Tickmarks"}</definedName>
    <definedName name="aging3" localSheetId="12" hidden="1">{#N/A,#N/A,FALSE,"Aging Summary";#N/A,#N/A,FALSE,"Ratio Analysis";#N/A,#N/A,FALSE,"Test 120 Day Accts";#N/A,#N/A,FALSE,"Tickmarks"}</definedName>
    <definedName name="aging3" localSheetId="14" hidden="1">{#N/A,#N/A,FALSE,"Aging Summary";#N/A,#N/A,FALSE,"Ratio Analysis";#N/A,#N/A,FALSE,"Test 120 Day Accts";#N/A,#N/A,FALSE,"Tickmarks"}</definedName>
    <definedName name="aging3" hidden="1">{#N/A,#N/A,FALSE,"Aging Summary";#N/A,#N/A,FALSE,"Ratio Analysis";#N/A,#N/A,FALSE,"Test 120 Day Accts";#N/A,#N/A,FALSE,"Tickmarks"}</definedName>
    <definedName name="aging5" localSheetId="12" hidden="1">{#N/A,#N/A,FALSE,"Aging Summary";#N/A,#N/A,FALSE,"Ratio Analysis";#N/A,#N/A,FALSE,"Test 120 Day Accts";#N/A,#N/A,FALSE,"Tickmarks"}</definedName>
    <definedName name="aging5" localSheetId="14" hidden="1">{#N/A,#N/A,FALSE,"Aging Summary";#N/A,#N/A,FALSE,"Ratio Analysis";#N/A,#N/A,FALSE,"Test 120 Day Accts";#N/A,#N/A,FALSE,"Tickmarks"}</definedName>
    <definedName name="aging5" hidden="1">{#N/A,#N/A,FALSE,"Aging Summary";#N/A,#N/A,FALSE,"Ratio Analysis";#N/A,#N/A,FALSE,"Test 120 Day Accts";#N/A,#N/A,FALSE,"Tickmarks"}</definedName>
    <definedName name="aging6" localSheetId="12" hidden="1">{#N/A,#N/A,FALSE,"Aging Summary";#N/A,#N/A,FALSE,"Ratio Analysis";#N/A,#N/A,FALSE,"Test 120 Day Accts";#N/A,#N/A,FALSE,"Tickmarks"}</definedName>
    <definedName name="aging6" localSheetId="14" hidden="1">{#N/A,#N/A,FALSE,"Aging Summary";#N/A,#N/A,FALSE,"Ratio Analysis";#N/A,#N/A,FALSE,"Test 120 Day Accts";#N/A,#N/A,FALSE,"Tickmarks"}</definedName>
    <definedName name="aging6" hidden="1">{#N/A,#N/A,FALSE,"Aging Summary";#N/A,#N/A,FALSE,"Ratio Analysis";#N/A,#N/A,FALSE,"Test 120 Day Accts";#N/A,#N/A,FALSE,"Tickmarks"}</definedName>
    <definedName name="ahgfj" hidden="1">8</definedName>
    <definedName name="ahm" localSheetId="12" hidden="1">{#N/A,#N/A,FALSE,"TELEFON"}</definedName>
    <definedName name="ahm" hidden="1">{#N/A,#N/A,FALSE,"TELEFON"}</definedName>
    <definedName name="Ahmet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ieaü" localSheetId="12" hidden="1">{#N/A,#N/A,FALSE,"maff_h1";#N/A,#N/A,FALSE,"maff_h2";#N/A,#N/A,FALSE,"maff_h3";#N/A,#N/A,FALSE,"maff_h4";#N/A,#N/A,FALSE,"maff_h5";#N/A,#N/A,FALSE,"maff_h6";#N/A,#N/A,FALSE,"maff_h7"}</definedName>
    <definedName name="aieaü" hidden="1">{#N/A,#N/A,FALSE,"maff_h1";#N/A,#N/A,FALSE,"maff_h2";#N/A,#N/A,FALSE,"maff_h3";#N/A,#N/A,FALSE,"maff_h4";#N/A,#N/A,FALSE,"maff_h5";#N/A,#N/A,FALSE,"maff_h6";#N/A,#N/A,FALSE,"maff_h7"}</definedName>
    <definedName name="aky" localSheetId="12" hidden="1">{#N/A,#N/A,FALSE,"sıh_iç_ihz";#N/A,#N/A,FALSE,"sıh_iç_er";#N/A,#N/A,FALSE,"sıh_iç_tut"}</definedName>
    <definedName name="aky" hidden="1">{#N/A,#N/A,FALSE,"sıh_iç_ihz";#N/A,#N/A,FALSE,"sıh_iç_er";#N/A,#N/A,FALSE,"sıh_iç_tut"}</definedName>
    <definedName name="al" hidden="1">#REF!</definedName>
    <definedName name="allah" hidden="1">#REF!</definedName>
    <definedName name="anscount" hidden="1">1</definedName>
    <definedName name="antonio" localSheetId="12" hidden="1">{#N/A,"70% Success",FALSE,"Sales Forecast";#N/A,#N/A,FALSE,"Sheet2"}</definedName>
    <definedName name="antonio" localSheetId="14" hidden="1">{#N/A,"70% Success",FALSE,"Sales Forecast";#N/A,#N/A,FALSE,"Sheet2"}</definedName>
    <definedName name="antonio" hidden="1">{#N/A,"70% Success",FALSE,"Sales Forecast";#N/A,#N/A,FALSE,"Sheet2"}</definedName>
    <definedName name="appraisal" localSheetId="12" hidden="1">{#N/A,#N/A,TRUE,"Cover";#N/A,#N/A,TRUE,"Conts";#N/A,#N/A,TRUE,"VOS";#N/A,#N/A,TRUE,"Warrington";#N/A,#N/A,TRUE,"Widnes"}</definedName>
    <definedName name="appraisal" hidden="1">{#N/A,#N/A,TRUE,"Cover";#N/A,#N/A,TRUE,"Conts";#N/A,#N/A,TRUE,"VOS";#N/A,#N/A,TRUE,"Warrington";#N/A,#N/A,TRUE,"Widnes"}</definedName>
    <definedName name="apr" localSheetId="12" hidden="1">{"'РП (2)'!$A$5:$S$150"}</definedName>
    <definedName name="apr" hidden="1">{"'РП (2)'!$A$5:$S$150"}</definedName>
    <definedName name="aqer" hidden="1">{"'Sheet1'!$A$1:$G$85"}</definedName>
    <definedName name="aqer_1" hidden="1">{"'Sheet1'!$A$1:$G$85"}</definedName>
    <definedName name="aqer_1_1" hidden="1">{"'Sheet1'!$A$1:$G$85"}</definedName>
    <definedName name="aqer_2" hidden="1">{"'Sheet1'!$A$1:$G$85"}</definedName>
    <definedName name="aqer_3" hidden="1">{"'Sheet1'!$A$1:$G$85"}</definedName>
    <definedName name="aqer_4" hidden="1">{"'Sheet1'!$A$1:$G$85"}</definedName>
    <definedName name="aqw" localSheetId="12" hidden="1">{#N/A,#N/A,FALSE,"SUBS";#N/A,#N/A,FALSE,"SUPERS";#N/A,#N/A,FALSE,"FINISHES";#N/A,#N/A,FALSE,"FITTINGS";#N/A,#N/A,FALSE,"SERVICES";#N/A,#N/A,FALSE,"SITEWORKS"}</definedName>
    <definedName name="aqw" hidden="1">{#N/A,#N/A,FALSE,"SUBS";#N/A,#N/A,FALSE,"SUPERS";#N/A,#N/A,FALSE,"FINISHES";#N/A,#N/A,FALSE,"FITTINGS";#N/A,#N/A,FALSE,"SERVICES";#N/A,#N/A,FALSE,"SITEWORKS"}</definedName>
    <definedName name="aqww" localSheetId="12" hidden="1">{"mekanik1fiyat",#N/A,FALSE,"mktfiyat";"mekanik2fiyat",#N/A,FALSE,"mktfiyat"}</definedName>
    <definedName name="aqww" hidden="1">{"mekanik1fiyat",#N/A,FALSE,"mktfiyat";"mekanik2fiyat",#N/A,FALSE,"mktfiyat"}</definedName>
    <definedName name="ARGARG" localSheetId="12" hidden="1">{#N/A,#N/A,FALSE,"ihz. icmal";#N/A,#N/A,FALSE,"taahhuk";#N/A,#N/A,FALSE,"hak_rapor";#N/A,#N/A,FALSE,"temın";#N/A,#N/A,FALSE,"icmal";#N/A,#N/A,FALSE,"fat_mlz_ihz";#N/A,#N/A,FALSE,"sözleş_fiyatf"}</definedName>
    <definedName name="ARGARG" hidden="1">{#N/A,#N/A,FALSE,"ihz. icmal";#N/A,#N/A,FALSE,"taahhuk";#N/A,#N/A,FALSE,"hak_rapor";#N/A,#N/A,FALSE,"temın";#N/A,#N/A,FALSE,"icmal";#N/A,#N/A,FALSE,"fat_mlz_ihz";#N/A,#N/A,FALSE,"sözleş_fiyatf"}</definedName>
    <definedName name="arrg" localSheetId="12" hidden="1">{"mekanik1fiyat",#N/A,FALSE,"mktfiyat";"mekanik2fiyat",#N/A,FALSE,"mktfiyat"}</definedName>
    <definedName name="arrg" hidden="1">{"mekanik1fiyat",#N/A,FALSE,"mktfiyat";"mekanik2fiyat",#N/A,FALSE,"mktfiyat"}</definedName>
    <definedName name="a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2DocOpenMode" hidden="1">"AS2DocumentEdit"</definedName>
    <definedName name="AS2NamedRange" hidden="1">18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A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asa" localSheetId="12" hidden="1">{#N/A,#N/A,FALSE,"ihz. icmal";#N/A,#N/A,FALSE,"avans";#N/A,#N/A,FALSE,"mal_FF_icm";#N/A,#N/A,FALSE,"fat_ihz";#N/A,#N/A,FALSE,"söz_fiy_fark";#N/A,#N/A,FALSE,"kap2"}</definedName>
    <definedName name="asasa" hidden="1">{#N/A,#N/A,FALSE,"ihz. icmal";#N/A,#N/A,FALSE,"avans";#N/A,#N/A,FALSE,"mal_FF_icm";#N/A,#N/A,FALSE,"fat_ihz";#N/A,#N/A,FALSE,"söz_fiy_fark";#N/A,#N/A,FALSE,"kap2"}</definedName>
    <definedName name="asasas" localSheetId="12" hidden="1">{#VALUE!,#N/A,TRUE,0;#N/A,#N/A,TRUE,0;#N/A,#N/A,TRUE,0;#N/A,#N/A,TRUE,0;#N/A,#N/A,TRUE,0;#N/A,#N/A,TRUE,0;#N/A,#N/A,TRUE,0}</definedName>
    <definedName name="asasas" hidden="1">{#VALUE!,#N/A,TRUE,0;#N/A,#N/A,TRUE,0;#N/A,#N/A,TRUE,0;#N/A,#N/A,TRUE,0;#N/A,#N/A,TRUE,0;#N/A,#N/A,TRUE,0;#N/A,#N/A,TRUE,0}</definedName>
    <definedName name="asasasa" localSheetId="12" hidden="1">{#N/A,#N/A,FALSE,"ihz. icmal";#N/A,#N/A,FALSE,"avans";#N/A,#N/A,FALSE,"mal_FF_icm";#N/A,#N/A,FALSE,"fat_ihz";#N/A,#N/A,FALSE,"söz_fiy_fark";#N/A,#N/A,FALSE,"kap2"}</definedName>
    <definedName name="asasasa" hidden="1">{#N/A,#N/A,FALSE,"ihz. icmal";#N/A,#N/A,FALSE,"avans";#N/A,#N/A,FALSE,"mal_FF_icm";#N/A,#N/A,FALSE,"fat_ihz";#N/A,#N/A,FALSE,"söz_fiy_fark";#N/A,#N/A,FALSE,"kap2"}</definedName>
    <definedName name="asasdaef" hidden="1">#REF!</definedName>
    <definedName name="asd" localSheetId="12" hidden="1">{"trafo1fiyat",#N/A,FALSE,"trafofiyat"}</definedName>
    <definedName name="asd" hidden="1">{"trafo1fiyat",#N/A,FALSE,"trafofiyat"}</definedName>
    <definedName name="asdadsasdasd" hidden="1">#REF!</definedName>
    <definedName name="asdasd" localSheetId="12" hidden="1">{#N/A,#N/A,FALSE,"Ejector 1";#N/A,#N/A,FALSE,"Ejector 2"}</definedName>
    <definedName name="asdasd" hidden="1">{#N/A,#N/A,FALSE,"Ejector 1";#N/A,#N/A,FALSE,"Ejector 2"}</definedName>
    <definedName name="asdf" localSheetId="12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asdf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asdfadf" localSheetId="1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sdfad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sdfasdf" localSheetId="12" hidden="1">{#N/A,#N/A,FALSE,"ihz. icmal";#N/A,#N/A,FALSE,"avans";#N/A,#N/A,FALSE,"mal_FF_icm";#N/A,#N/A,FALSE,"fat_ihz";#N/A,#N/A,FALSE,"söz_fiy_fark";#N/A,#N/A,FALSE,"kap2"}</definedName>
    <definedName name="asdfasdf" hidden="1">{#N/A,#N/A,FALSE,"ihz. icmal";#N/A,#N/A,FALSE,"avans";#N/A,#N/A,FALSE,"mal_FF_icm";#N/A,#N/A,FALSE,"fat_ihz";#N/A,#N/A,FALSE,"söz_fiy_fark";#N/A,#N/A,FALSE,"kap2"}</definedName>
    <definedName name="asdff" localSheetId="12" hidden="1">{#N/A,#N/A,FALSE,"ihz. icmal";#N/A,#N/A,FALSE,"taahhuk";#N/A,#N/A,FALSE,"hak_rapor";#N/A,#N/A,FALSE,"temın";#N/A,#N/A,FALSE,"icmal";#N/A,#N/A,FALSE,"fat_mlz_ihz";#N/A,#N/A,FALSE,"sözleş_fiyatf"}</definedName>
    <definedName name="asdff" hidden="1">{#N/A,#N/A,FALSE,"ihz. icmal";#N/A,#N/A,FALSE,"taahhuk";#N/A,#N/A,FALSE,"hak_rapor";#N/A,#N/A,FALSE,"temın";#N/A,#N/A,FALSE,"icmal";#N/A,#N/A,FALSE,"fat_mlz_ihz";#N/A,#N/A,FALSE,"sözleş_fiyatf"}</definedName>
    <definedName name="asdfg" localSheetId="12" hidden="1">{"'РП (2)'!$A$5:$S$150"}</definedName>
    <definedName name="asdfg" hidden="1">{"'РП (2)'!$A$5:$S$150"}</definedName>
    <definedName name="ase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kin" localSheetId="12" hidden="1">{#N/A,#N/A,FALSE,"TELEFON"}</definedName>
    <definedName name="askin" hidden="1">{#N/A,#N/A,FALSE,"TELEFON"}</definedName>
    <definedName name="ASS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saa" hidden="1">#REF!</definedName>
    <definedName name="aşsajfkasjfalsdjflkasdjflşaksjdflşkasjfşiajsdşflkajsdşlfkjasşlkfjşalskfdjşlaksjfşlaskjdfşlaksjdşfl" localSheetId="12" hidden="1">{#VALUE!,#N/A,TRUE,0;#N/A,#N/A,TRUE,0;#N/A,#N/A,TRUE,0;#N/A,#N/A,TRUE,0;#N/A,#N/A,TRUE,0;#N/A,#N/A,TRUE,0;#N/A,#N/A,TRUE,0}</definedName>
    <definedName name="aşsajfkasjfalsdjflkasdjflşaksjdflşkasjfşiajsdşflkajsdşlfkjasşlkfjşalskfdjşlaksjfşlaskjdfşlaksjdşfl" hidden="1">{#VALUE!,#N/A,TRUE,0;#N/A,#N/A,TRUE,0;#N/A,#N/A,TRUE,0;#N/A,#N/A,TRUE,0;#N/A,#N/A,TRUE,0;#N/A,#N/A,TRUE,0;#N/A,#N/A,TRUE,0}</definedName>
    <definedName name="ASSSS" localSheetId="12" hidden="1">{#N/A,#N/A,FALSE,"Ejector 1";#N/A,#N/A,FALSE,"Ejector 2"}</definedName>
    <definedName name="ASSSS" hidden="1">{#N/A,#N/A,FALSE,"Ejector 1";#N/A,#N/A,FALSE,"Ejector 2"}</definedName>
    <definedName name="atdh" localSheetId="12" hidden="1">{#N/A,#N/A,FALSE,"Расчет вспомогательных"}</definedName>
    <definedName name="atdh" hidden="1">{#N/A,#N/A,FALSE,"Расчет вспомогательных"}</definedName>
    <definedName name="atrat" hidden="1">{"'Prices'!$A$4:$J$27"}</definedName>
    <definedName name="aüeatt" localSheetId="12" hidden="1">{0,0,0,0;0,0,0,0;0,0,0,0;0,0,0,0;0,0,0,0;0,0,0,0;0,0,0,0;0,0,0,0;0,0,0,0;0,0,0,0;0,0,0,0;0,0,0,0;0,0,0,0;0,0,0,0;0,0,0,0;0,0,0,0;0,0,0,0;0,0,0,0;0,0,0,0;0,0,0,0;0,0,0,0;0,0,0,0;0,0,0,0;0,0,0,0;0,0,0,0;0,0,0,0;0,0,0,0;0,0,0,0;0,0,0,0;0,0,0,0;0,0,0,0;0,0,0,0;0,0,0,0}</definedName>
    <definedName name="aüeatt" hidden="1">{0,0,0,0;0,0,0,0;0,0,0,0;0,0,0,0;0,0,0,0;0,0,0,0;0,0,0,0;0,0,0,0;0,0,0,0;0,0,0,0;0,0,0,0;0,0,0,0;0,0,0,0;0,0,0,0;0,0,0,0;0,0,0,0;0,0,0,0;0,0,0,0;0,0,0,0;0,0,0,0;0,0,0,0;0,0,0,0;0,0,0,0;0,0,0,0;0,0,0,0;0,0,0,0;0,0,0,0;0,0,0,0;0,0,0,0;0,0,0,0;0,0,0,0;0,0,0,0;0,0,0,0}</definedName>
    <definedName name="aüilüz" localSheetId="12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üilüz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xdrth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dr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sdfgf" localSheetId="12" hidden="1">{"elektrik1fiyat",#N/A,FALSE,"elcfiyat";"elektrik2fiyat",#N/A,FALSE,"elcfiyat";"elektrik3fiyat",#N/A,FALSE,"elcfiyat"}</definedName>
    <definedName name="axsdfgf" hidden="1">{"elektrik1fiyat",#N/A,FALSE,"elcfiyat";"elektrik2fiyat",#N/A,FALSE,"elcfiyat";"elektrik3fiyat",#N/A,FALSE,"elcfiyat"}</definedName>
    <definedName name="b" hidden="1">#REF!</definedName>
    <definedName name="B.F.İŞL." localSheetId="1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İHZARAT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ZARA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acklogEentity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entity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ntity_new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ntity_new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b" localSheetId="12" hidden="1">{#N/A,#N/A,FALSE,"Aging Summary";#N/A,#N/A,FALSE,"Ratio Analysis";#N/A,#N/A,FALSE,"Test 120 Day Accts";#N/A,#N/A,FALSE,"Tickmarks"}</definedName>
    <definedName name="bb" localSheetId="14" hidden="1">{#N/A,#N/A,FALSE,"Aging Summary";#N/A,#N/A,FALSE,"Ratio Analysis";#N/A,#N/A,FALSE,"Test 120 Day Accts";#N/A,#N/A,FALSE,"Tickmarks"}</definedName>
    <definedName name="bb" hidden="1">{#N/A,#N/A,FALSE,"Aging Summary";#N/A,#N/A,FALSE,"Ratio Analysis";#N/A,#N/A,FALSE,"Test 120 Day Accts";#N/A,#N/A,FALSE,"Tickmarks"}</definedName>
    <definedName name="bbb" localSheetId="12" hidden="1">{#N/A,#N/A,FALSE,"Aging Summary";#N/A,#N/A,FALSE,"Ratio Analysis";#N/A,#N/A,FALSE,"Test 120 Day Accts";#N/A,#N/A,FALSE,"Tickmarks"}</definedName>
    <definedName name="bbb" localSheetId="14" hidden="1">{#N/A,#N/A,FALSE,"Aging Summary";#N/A,#N/A,FALSE,"Ratio Analysis";#N/A,#N/A,FALSE,"Test 120 Day Accts";#N/A,#N/A,FALSE,"Tickmarks"}</definedName>
    <definedName name="bbb" hidden="1">{#N/A,#N/A,FALSE,"Aging Summary";#N/A,#N/A,FALSE,"Ratio Analysis";#N/A,#N/A,FALSE,"Test 120 Day Accts";#N/A,#N/A,FALSE,"Tickmarks"}</definedName>
    <definedName name="BERK" hidden="1">#REF!</definedName>
    <definedName name="bf" localSheetId="1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ai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fa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fd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f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G_Del" hidden="1">15</definedName>
    <definedName name="BG_Ins" hidden="1">4</definedName>
    <definedName name="BG_Mod" hidden="1">6</definedName>
    <definedName name="bh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g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h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ij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lokaj" localSheetId="12" hidden="1">{"mekanik1fiyat",#N/A,FALSE,"mktfiyat";"mekanik2fiyat",#N/A,FALSE,"mktfiyat"}</definedName>
    <definedName name="Blokaj" hidden="1">{"mekanik1fiyat",#N/A,FALSE,"mktfiyat";"mekanik2fiyat",#N/A,FALSE,"mktfiyat"}</definedName>
    <definedName name="bloomberg" hidden="1">{"glc1",#N/A,FALSE,"GLC";"glc2",#N/A,FALSE,"GLC";"glc3",#N/A,FALSE,"GLC";"glc4",#N/A,FALSE,"GLC";"glc5",#N/A,FALSE,"GLC"}</definedName>
    <definedName name="BLPH1" localSheetId="14" hidden="1">#REF!</definedName>
    <definedName name="BLPH1" hidden="1">#REF!</definedName>
    <definedName name="BLPH2" localSheetId="14" hidden="1">#REF!</definedName>
    <definedName name="BLPH2" hidden="1">#REF!</definedName>
    <definedName name="BNBNBNV" localSheetId="12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NBNBNV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nju" hidden="1">{"glcbs",#N/A,FALSE,"GLCBS";"glccsbs",#N/A,FALSE,"GLCCSBS";"glcis",#N/A,FALSE,"GLCIS";"glccsis",#N/A,FALSE,"GLCCSIS";"glcrat1",#N/A,FALSE,"GLC-ratios1"}</definedName>
    <definedName name="bs_rus" hidden="1">{#N/A,#N/A,FALSE,"Aging Summary";#N/A,#N/A,FALSE,"Ratio Analysis";#N/A,#N/A,FALSE,"Test 120 Day Accts";#N/A,#N/A,FALSE,"Tickmarks"}</definedName>
    <definedName name="BTGB" localSheetId="12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BTGB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büz" hidden="1">#REF!</definedName>
    <definedName name="BV" hidden="1">#REF!</definedName>
    <definedName name="ç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ç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CA" hidden="1">#REF!</definedName>
    <definedName name="carlos" localSheetId="12" hidden="1">{#N/A,"10% Success",FALSE,"Sales Forecast";#N/A,#N/A,FALSE,"Sheet2"}</definedName>
    <definedName name="carlos" localSheetId="14" hidden="1">{#N/A,"10% Success",FALSE,"Sales Forecast";#N/A,#N/A,FALSE,"Sheet2"}</definedName>
    <definedName name="carlos" hidden="1">{#N/A,"10% Success",FALSE,"Sales Forecast";#N/A,#N/A,FALSE,"Sheet2"}</definedName>
    <definedName name="cashfl" localSheetId="12" hidden="1">{#N/A,#N/A,TRUE,"Cover";#N/A,#N/A,TRUE,"Conts";#N/A,#N/A,TRUE,"VOS";#N/A,#N/A,TRUE,"Warrington";#N/A,#N/A,TRUE,"Widnes"}</definedName>
    <definedName name="cashfl" hidden="1">{#N/A,#N/A,TRUE,"Cover";#N/A,#N/A,TRUE,"Conts";#N/A,#N/A,TRUE,"VOS";#N/A,#N/A,TRUE,"Warrington";#N/A,#N/A,TRUE,"Widnes"}</definedName>
    <definedName name="çatı" localSheetId="12" hidden="1">{#N/A,#N/A,FALSE,"avans";#N/A,#N/A,FALSE,"teminat_mektubu";#N/A,#N/A,FALSE,"ihz. icmal";#N/A,#N/A,FALSE,"söz_fiy_fark";#N/A,#N/A,FALSE,"kap2";#N/A,#N/A,FALSE,"mal_FF_icm";#N/A,#N/A,FALSE,"kap1"}</definedName>
    <definedName name="çatı" hidden="1">{#N/A,#N/A,FALSE,"avans";#N/A,#N/A,FALSE,"teminat_mektubu";#N/A,#N/A,FALSE,"ihz. icmal";#N/A,#N/A,FALSE,"söz_fiy_fark";#N/A,#N/A,FALSE,"kap2";#N/A,#N/A,FALSE,"mal_FF_icm";#N/A,#N/A,FALSE,"kap1"}</definedName>
    <definedName name="çç" localSheetId="12" hidden="1">{#N/A,#N/A,FALSE,"maff_h1";#N/A,#N/A,FALSE,"maff_h2";#N/A,#N/A,FALSE,"maff_h3";#N/A,#N/A,FALSE,"maff_h4";#N/A,#N/A,FALSE,"maff_h5";#N/A,#N/A,FALSE,"maff_h6";#N/A,#N/A,FALSE,"maff_h7"}</definedName>
    <definedName name="çç" hidden="1">{#N/A,#N/A,FALSE,"maff_h1";#N/A,#N/A,FALSE,"maff_h2";#N/A,#N/A,FALSE,"maff_h3";#N/A,#N/A,FALSE,"maff_h4";#N/A,#N/A,FALSE,"maff_h5";#N/A,#N/A,FALSE,"maff_h6";#N/A,#N/A,FALSE,"maff_h7"}</definedName>
    <definedName name="ccbv" hidden="1">#REF!</definedName>
    <definedName name="cc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ÇÇÇ" localSheetId="12" hidden="1">{#N/A,#N/A,FALSE,"sıh_iç_ihz";#N/A,#N/A,FALSE,"sıh_iç_er";#N/A,#N/A,FALSE,"sıh_iç_tut"}</definedName>
    <definedName name="ÇÇÇ" hidden="1">{#N/A,#N/A,FALSE,"sıh_iç_ihz";#N/A,#N/A,FALSE,"sıh_iç_er";#N/A,#N/A,FALSE,"sıh_iç_tut"}</definedName>
    <definedName name="ÇÇÇÇ" localSheetId="1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ÇÇÇÇ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CL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R" localSheetId="12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d" localSheetId="1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DH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D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ds" localSheetId="12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ds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f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h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U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U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IP" hidden="1">{"PRINTME",#N/A,FALSE,"FINAL-10"}</definedName>
    <definedName name="claudia" localSheetId="12" hidden="1">{#N/A,"70% Success",FALSE,"Sales Forecast";#N/A,#N/A,FALSE,"Sheet2"}</definedName>
    <definedName name="claudia" localSheetId="14" hidden="1">{#N/A,"70% Success",FALSE,"Sales Forecast";#N/A,#N/A,FALSE,"Sheet2"}</definedName>
    <definedName name="claudia" hidden="1">{#N/A,"70% Success",FALSE,"Sales Forecast";#N/A,#N/A,FALSE,"Sheet2"}</definedName>
    <definedName name="Control" localSheetId="12" hidden="1">{"'РП (2)'!$A$5:$S$150"}</definedName>
    <definedName name="Control" hidden="1">{"'РП (2)'!$A$5:$S$150"}</definedName>
    <definedName name="COVER1" localSheetId="12" hidden="1">{#N/A,#N/A,FALSE,"Ejector 1";#N/A,#N/A,FALSE,"Ejector 2"}</definedName>
    <definedName name="COVER1" hidden="1">{#N/A,#N/A,FALSE,"Ejector 1";#N/A,#N/A,FALSE,"Ejector 2"}</definedName>
    <definedName name="cu" localSheetId="12" hidden="1">{#N/A,#N/A,FALSE,"kal_iç_ihz";#N/A,#N/A,FALSE,"kal_iç_er";#N/A,#N/A,FALSE,"kal_iç_tut"}</definedName>
    <definedName name="cu" hidden="1">{#N/A,#N/A,FALSE,"kal_iç_ihz";#N/A,#N/A,FALSE,"kal_iç_er";#N/A,#N/A,FALSE,"kal_iç_tut"}</definedName>
    <definedName name="cu00.UserArea" hidden="1">#REF!</definedName>
    <definedName name="CUSPassword" hidden="1">"MDL238GBWP678SDA16)E^CBC"</definedName>
    <definedName name="cxz" hidden="1">#REF!</definedName>
    <definedName name="d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" localSheetId="14" hidden="1">#REF!</definedName>
    <definedName name="d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adadwdwda" hidden="1">{"assets",#N/A,FALSE,"historicBS";"liab",#N/A,FALSE,"historicBS";"is",#N/A,FALSE,"historicIS";"ratios",#N/A,FALSE,"ratios"}</definedName>
    <definedName name="dasd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sdasd" localSheetId="12" hidden="1">{#N/A,#N/A,FALSE,"ihz. icmal";#N/A,#N/A,FALSE,"avans";#N/A,#N/A,FALSE,"mal_FF_icm";#N/A,#N/A,FALSE,"fat_ihz";#N/A,#N/A,FALSE,"söz_fiy_fark";#N/A,#N/A,FALSE,"kap2"}</definedName>
    <definedName name="dasdasd" hidden="1">{#N/A,#N/A,FALSE,"ihz. icmal";#N/A,#N/A,FALSE,"avans";#N/A,#N/A,FALSE,"mal_FF_icm";#N/A,#N/A,FALSE,"fat_ihz";#N/A,#N/A,FALSE,"söz_fiy_fark";#N/A,#N/A,FALSE,"kap2"}</definedName>
    <definedName name="dasf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asf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ata" hidden="1">{"data",#N/A,FALSE,"INPUT"}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2" hidden="1">{"data",#N/A,FALSE,"INPUT"}</definedName>
    <definedName name="DCBDFHF" localSheetId="1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BDFHF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F" hidden="1">#REF!</definedName>
    <definedName name="dd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d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ddd" localSheetId="12" hidden="1">{"terfi1icmal",#N/A,FALSE,"tericm";"terfi2icmal",#N/A,FALSE,"tericm";"terfi3icmal",#N/A,FALSE,"tericm"}</definedName>
    <definedName name="ddd" hidden="1">{"terfi1icmal",#N/A,FALSE,"tericm";"terfi2icmal",#N/A,FALSE,"tericm";"terfi3icmal",#N/A,FALSE,"tericm"}</definedName>
    <definedName name="DDDD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DD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dddd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" localSheetId="12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GDFGDFG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DDGDFGDFG" hidden="1">{#VALUE!,#N/A,FALSE,0;#N/A,#N/A,FALSE,0;#N/A,#N/A,FALSE,0;#N/A,#N/A,FALSE,0;#N/A,#N/A,FALSE,0;#N/A,#N/A,FALSE,0;#N/A,#N/A,FALSE,0;#N/A,#N/A,FALSE,0;#N/A,#N/A,FALSE,0;#N/A,#N/A,FALSE,0;#N/A,#N/A,FALSE,0;#N/A,#N/A,FALSE,0}</definedName>
    <definedName name="de" localSheetId="12" hidden="1">{#N/A,#N/A,FALSE,"Ejector 1";#N/A,#N/A,FALSE,"Ejector 2"}</definedName>
    <definedName name="de" hidden="1">{#N/A,#N/A,FALSE,"Ejector 1";#N/A,#N/A,FALSE,"Ejector 2"}</definedName>
    <definedName name="deee" localSheetId="12" hidden="1">{#N/A,#N/A,FALSE,"ihz. icmal";#N/A,#N/A,FALSE,"avans";#N/A,#N/A,FALSE,"mal_FF_icm";#N/A,#N/A,FALSE,"fat_ihz";#N/A,#N/A,FALSE,"söz_fiy_fark";#N/A,#N/A,FALSE,"kap2"}</definedName>
    <definedName name="deee" hidden="1">{#N/A,#N/A,FALSE,"ihz. icmal";#N/A,#N/A,FALSE,"avans";#N/A,#N/A,FALSE,"mal_FF_icm";#N/A,#N/A,FALSE,"fat_ihz";#N/A,#N/A,FALSE,"söz_fiy_fark";#N/A,#N/A,FALSE,"kap2"}</definedName>
    <definedName name="dfb" hidden="1">#REF!</definedName>
    <definedName name="dfdfdf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f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s" localSheetId="12" hidden="1">{#VALUE!,#N/A,FALSE,0;#N/A,#N/A,FALSE,0;#N/A,#N/A,FALSE,0;#N/A,#N/A,FALSE,0;#N/A,#N/A,FALSE,0;#N/A,#N/A,FALSE,0;#N/A,#N/A,FALSE,0;#N/A,#N/A,FALSE,0}</definedName>
    <definedName name="dfds" hidden="1">{#VALUE!,#N/A,FALSE,0;#N/A,#N/A,FALSE,0;#N/A,#N/A,FALSE,0;#N/A,#N/A,FALSE,0;#N/A,#N/A,FALSE,0;#N/A,#N/A,FALSE,0;#N/A,#N/A,FALSE,0;#N/A,#N/A,FALSE,0}</definedName>
    <definedName name="dfdsf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dfdsf" hidden="1">{#VALUE!,#N/A,FALSE,0;#N/A,#N/A,FALSE,0;#N/A,#N/A,FALSE,0;#N/A,#N/A,FALSE,0;#N/A,#N/A,FALSE,0;#N/A,#N/A,FALSE,0;#N/A,#N/A,FALSE,0;#N/A,#N/A,FALSE,0;#N/A,#N/A,FALSE,0;#N/A,#N/A,FALSE,0;#N/A,#N/A,FALSE,0;#N/A,#N/A,FALSE,0}</definedName>
    <definedName name="DFF" localSheetId="12" hidden="1">{#N/A,#N/A,FALSE,"kal_iç_ihz";#N/A,#N/A,FALSE,"kal_iç_er";#N/A,#N/A,FALSE,"kal_iç_tut"}</definedName>
    <definedName name="DFF" hidden="1">{#N/A,#N/A,FALSE,"kal_iç_ihz";#N/A,#N/A,FALSE,"kal_iç_er";#N/A,#N/A,FALSE,"kal_iç_tut"}</definedName>
    <definedName name="dffef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fe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ff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" localSheetId="14" hidden="1">{#N/A,#N/A,FALSE,"Aging Summary";#N/A,#N/A,FALSE,"Ratio Analysis";#N/A,#N/A,FALSE,"Test 120 Day Accts";#N/A,#N/A,FALSE,"Tickmarks"}</definedName>
    <definedName name="df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asgv" localSheetId="1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dfgasg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dfgdf" hidden="1">{"glc1",#N/A,FALSE,"GLC";"glc2",#N/A,FALSE,"GLC";"glc3",#N/A,FALSE,"GLC";"glc4",#N/A,FALSE,"GLC";"glc5",#N/A,FALSE,"GLC"}</definedName>
    <definedName name="dfgdfhfv" hidden="1">1</definedName>
    <definedName name="dfgfhg" hidden="1">{"glc1",#N/A,FALSE,"GLC";"glc2",#N/A,FALSE,"GLC";"glc3",#N/A,FALSE,"GLC";"glc4",#N/A,FALSE,"GLC";"glc5",#N/A,FALSE,"GLC"}</definedName>
    <definedName name="dfgh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h" localSheetId="14" hidden="1">{"glc1",#N/A,FALSE,"GLC";"glc2",#N/A,FALSE,"GLC";"glc3",#N/A,FALSE,"GLC";"glc4",#N/A,FALSE,"GLC";"glc5",#N/A,FALSE,"GLC"}</definedName>
    <definedName name="dfg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hfg" hidden="1">{"'Sheet1'!$A$1:$G$85"}</definedName>
    <definedName name="dfghfg_1" hidden="1">{"'Sheet1'!$A$1:$G$85"}</definedName>
    <definedName name="dfghfg_1_1" hidden="1">{"'Sheet1'!$A$1:$G$85"}</definedName>
    <definedName name="dfghfg_2" hidden="1">{"'Sheet1'!$A$1:$G$85"}</definedName>
    <definedName name="dfghfg_3" hidden="1">{"'Sheet1'!$A$1:$G$85"}</definedName>
    <definedName name="dfghfg_4" hidden="1">{"'Sheet1'!$A$1:$G$85"}</definedName>
    <definedName name="dfgs" hidden="1">{"glc1",#N/A,FALSE,"GLC";"glc2",#N/A,FALSE,"GLC";"glc3",#N/A,FALSE,"GLC";"glc4",#N/A,FALSE,"GLC";"glc5",#N/A,FALSE,"GLC"}</definedName>
    <definedName name="DFLGFADJKHGF" hidden="1">26</definedName>
    <definedName name="dfsdfsdf" localSheetId="12" hidden="1">{#VALUE!,#N/A,FALSE,0;#N/A,#N/A,FALSE,0;#N/A,#N/A,FALSE,0;#N/A,#N/A,FALSE,0;#N/A,#N/A,FALSE,0;#N/A,#N/A,FALSE,0;#N/A,#N/A,FALSE,0}</definedName>
    <definedName name="dfsdfsdf" hidden="1">{#VALUE!,#N/A,FALSE,0;#N/A,#N/A,FALSE,0;#N/A,#N/A,FALSE,0;#N/A,#N/A,FALSE,0;#N/A,#N/A,FALSE,0;#N/A,#N/A,FALSE,0;#N/A,#N/A,FALSE,0}</definedName>
    <definedName name="dfzb" hidden="1">#REF!</definedName>
    <definedName name="dgf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sdg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gfsd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oncaster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1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1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ren" localSheetId="12" hidden="1">{"suhaznesi1fiyat",#N/A,FALSE,"shfiyat";"suhaznesi2fiyat",#N/A,FALSE,"shfiyat"}</definedName>
    <definedName name="dren" hidden="1">{"suhaznesi1fiyat",#N/A,FALSE,"shfiyat";"suhaznesi2fiyat",#N/A,FALSE,"shfiyat"}</definedName>
    <definedName name="dsadasd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dsd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S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DSD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fd" localSheetId="12" hidden="1">{#N/A,#N/A,FALSE,"Aging Summary";#N/A,#N/A,FALSE,"Ratio Analysis";#N/A,#N/A,FALSE,"Test 120 Day Accts";#N/A,#N/A,FALSE,"Tickmarks"}</definedName>
    <definedName name="dsfd" localSheetId="14" hidden="1">{#N/A,#N/A,FALSE,"Aging Summary";#N/A,#N/A,FALSE,"Ratio Analysis";#N/A,#N/A,FALSE,"Test 120 Day Accts";#N/A,#N/A,FALSE,"Tickmarks"}</definedName>
    <definedName name="dsfd" hidden="1">{#N/A,#N/A,FALSE,"Aging Summary";#N/A,#N/A,FALSE,"Ratio Analysis";#N/A,#N/A,FALSE,"Test 120 Day Accts";#N/A,#N/A,FALSE,"Tickmarks"}</definedName>
    <definedName name="dsfsdfdf" localSheetId="12" hidden="1">{#VALUE!,#N/A,TRUE,0;#N/A,#N/A,TRUE,0;#N/A,#N/A,TRUE,0;#N/A,#N/A,TRUE,0;#N/A,#N/A,TRUE,0;#N/A,#N/A,TRUE,0;#N/A,#N/A,TRUE,0}</definedName>
    <definedName name="dsfsdfdf" hidden="1">{#VALUE!,#N/A,TRUE,0;#N/A,#N/A,TRUE,0;#N/A,#N/A,TRUE,0;#N/A,#N/A,TRUE,0;#N/A,#N/A,TRUE,0;#N/A,#N/A,TRUE,0;#N/A,#N/A,TRUE,0}</definedName>
    <definedName name="dsfsdfsdf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sfsdfs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sgsg" hidden="1">#REF!</definedName>
    <definedName name="dtj" hidden="1">#REF!</definedName>
    <definedName name="du" localSheetId="12" hidden="1">{#N/A,#N/A,FALSE,"maff_h1";#N/A,#N/A,FALSE,"maff_h2";#N/A,#N/A,FALSE,"maff_h3";#N/A,#N/A,FALSE,"maff_h4";#N/A,#N/A,FALSE,"maff_h5";#N/A,#N/A,FALSE,"maff_h6";#N/A,#N/A,FALSE,"maff_h7"}</definedName>
    <definedName name="du" hidden="1">{#N/A,#N/A,FALSE,"maff_h1";#N/A,#N/A,FALSE,"maff_h2";#N/A,#N/A,FALSE,"maff_h3";#N/A,#N/A,FALSE,"maff_h4";#N/A,#N/A,FALSE,"maff_h5";#N/A,#N/A,FALSE,"maff_h6";#N/A,#N/A,FALSE,"maff_h7"}</definedName>
    <definedName name="dvbg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fasdf" localSheetId="12" hidden="1">{#N/A,#N/A,FALSE,"TELEFON"}</definedName>
    <definedName name="dvfasdf" hidden="1">{#N/A,#N/A,FALSE,"TELEFON"}</definedName>
    <definedName name="dyj" hidden="1">#REF!</definedName>
    <definedName name="é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é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ea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ea" hidden="1">{#VALUE!,#N/A,FALSE,0;#N/A,#N/A,FALSE,0;#N/A,#N/A,FALSE,0;#N/A,#N/A,FALSE,0;#N/A,#N/A,FALSE,0;#N/A,#N/A,FALSE,0;#N/A,#N/A,FALSE,0;#N/A,#N/A,FALSE,0;#N/A,#N/A,FALSE,0;#N/A,#N/A,FALSE,0;#N/A,#N/A,FALSE,0;#N/A,#N/A,FALSE,0}</definedName>
    <definedName name="eai" localSheetId="12" hidden="1">{#N/A,#N/A,FALSE,"kal_iç_ihz";#N/A,#N/A,FALSE,"kal_iç_er";#N/A,#N/A,FALSE,"kal_iç_tut"}</definedName>
    <definedName name="eai" hidden="1">{#N/A,#N/A,FALSE,"kal_iç_ihz";#N/A,#N/A,FALSE,"kal_iç_er";#N/A,#N/A,FALSE,"kal_iç_tut"}</definedName>
    <definedName name="eatüa" localSheetId="12" hidden="1">{#VALUE!,#N/A,FALSE,0;#N/A,#N/A,FALSE,0;#N/A,#N/A,FALSE,0;#N/A,#N/A,FALSE,0}</definedName>
    <definedName name="eatüa" hidden="1">{#VALUE!,#N/A,FALSE,0;#N/A,#N/A,FALSE,0;#N/A,#N/A,FALSE,0;#N/A,#N/A,FALSE,0}</definedName>
    <definedName name="eaüaü.l" localSheetId="1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aüaü.l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D" localSheetId="12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ED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edcvfr" localSheetId="12" hidden="1">{"mekanik1fiyat",#N/A,FALSE,"mktfiyat";"mekanik2fiyat",#N/A,FALSE,"mktfiyat"}</definedName>
    <definedName name="edcvfr" hidden="1">{"mekanik1fiyat",#N/A,FALSE,"mktfiyat";"mekanik2fiyat",#N/A,FALSE,"mktfiyat"}</definedName>
    <definedName name="edcxsw" localSheetId="12" hidden="1">{"elektrik1fiyat",#N/A,FALSE,"elcfiyat";"elektrik2fiyat",#N/A,FALSE,"elcfiyat";"elektrik3fiyat",#N/A,FALSE,"elcfiyat"}</definedName>
    <definedName name="edcxsw" hidden="1">{"elektrik1fiyat",#N/A,FALSE,"elcfiyat";"elektrik2fiyat",#N/A,FALSE,"elcfiyat";"elektrik3fiyat",#N/A,FALSE,"elcfiyat"}</definedName>
    <definedName name="edf" localSheetId="12" hidden="1">{#N/A,#N/A,FALSE,"ihz. icmal";#N/A,#N/A,FALSE,"avans";#N/A,#N/A,FALSE,"mal_FF_icm";#N/A,#N/A,FALSE,"fat_ihz";#N/A,#N/A,FALSE,"söz_fiy_fark";#N/A,#N/A,FALSE,"kap2"}</definedName>
    <definedName name="edf" hidden="1">{#N/A,#N/A,FALSE,"ihz. icmal";#N/A,#N/A,FALSE,"avans";#N/A,#N/A,FALSE,"mal_FF_icm";#N/A,#N/A,FALSE,"fat_ihz";#N/A,#N/A,FALSE,"söz_fiy_fark";#N/A,#N/A,FALSE,"kap2"}</definedName>
    <definedName name="edsc" localSheetId="1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dsc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e" localSheetId="12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e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ee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ee" localSheetId="12" hidden="1">{"'Sheet1'!$A$1:$X$25"}</definedName>
    <definedName name="eeeee" hidden="1">{"'Sheet1'!$A$1:$X$25"}</definedName>
    <definedName name="eefedf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fe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fsefsefse" hidden="1">{#N/A,#N/A,FALSE,"Aging Summary";#N/A,#N/A,FALSE,"Ratio Analysis";#N/A,#N/A,FALSE,"Test 120 Day Accts";#N/A,#N/A,FALSE,"Tickmarks"}</definedName>
    <definedName name="efwef" hidden="1">#REF!</definedName>
    <definedName name="Ele" localSheetId="12" hidden="1">{"'Break down'!$A$4"}</definedName>
    <definedName name="Ele" hidden="1">{"'Break down'!$A$4"}</definedName>
    <definedName name="Eltes" localSheetId="12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Eltes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emir" localSheetId="12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mir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PR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EP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ercan" hidden="1">#REF!</definedName>
    <definedName name="erere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er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fer" localSheetId="12" hidden="1">{"elektrik1fiyat",#N/A,FALSE,"elcfiyat";"elektrik2fiyat",#N/A,FALSE,"elcfiyat";"elektrik3fiyat",#N/A,FALSE,"elcfiyat"}</definedName>
    <definedName name="erfer" hidden="1">{"elektrik1fiyat",#N/A,FALSE,"elcfiyat";"elektrik2fiyat",#N/A,FALSE,"elcfiyat";"elektrik3fiyat",#N/A,FALSE,"elcfiyat"}</definedName>
    <definedName name="ERR" hidden="1">#REF!,#REF!</definedName>
    <definedName name="ers" hidden="1">#REF!</definedName>
    <definedName name="ert" localSheetId="12" hidden="1">{#N/A,#N/A,FALSE,"Aging Summary";#N/A,#N/A,FALSE,"Ratio Analysis";#N/A,#N/A,FALSE,"Test 120 Day Accts";#N/A,#N/A,FALSE,"Tickmarks"}</definedName>
    <definedName name="ert" localSheetId="14" hidden="1">{#N/A,#N/A,FALSE,"Aging Summary";#N/A,#N/A,FALSE,"Ratio Analysis";#N/A,#N/A,FALSE,"Test 120 Day Accts";#N/A,#N/A,FALSE,"Tickmarks"}</definedName>
    <definedName name="ert" hidden="1">{#N/A,#N/A,FALSE,"Aging Summary";#N/A,#N/A,FALSE,"Ratio Analysis";#N/A,#N/A,FALSE,"Test 120 Day Accts";#N/A,#N/A,FALSE,"Tickmarks"}</definedName>
    <definedName name="erw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erwere" localSheetId="12" hidden="1">{#VALUE!,#N/A,FALSE,0;#N/A,#N/A,FALSE,0;#N/A,#N/A,FALSE,0;#N/A,#N/A,FALSE,0;#N/A,#N/A,FALSE,0}</definedName>
    <definedName name="erwerwere" hidden="1">{#VALUE!,#N/A,FALSE,0;#N/A,#N/A,FALSE,0;#N/A,#N/A,FALSE,0;#N/A,#N/A,FALSE,0;#N/A,#N/A,FALSE,0}</definedName>
    <definedName name="esnrc7c1" hidden="1">#REF!</definedName>
    <definedName name="estimateb" localSheetId="12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wew" localSheetId="12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ewew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ewewew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ewewew" hidden="1">{#VALUE!,#N/A,FALSE,0;#N/A,#N/A,FALSE,0;#N/A,#N/A,FALSE,0;#N/A,#N/A,FALSE,0;#N/A,#N/A,FALSE,0;#N/A,#N/A,FALSE,0;#N/A,#N/A,FALSE,0;#N/A,#N/A,FALSE,0;#N/A,#N/A,FALSE,0;#N/A,#N/A,FALSE,0;#N/A,#N/A,FALSE,0;#N/A,#N/A,FALSE,0}</definedName>
    <definedName name="EWRWERE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EWRWER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ewrwerq" localSheetId="12" hidden="1">{#VALUE!,#N/A,TRUE,0;#N/A,#N/A,TRUE,0;#N/A,#N/A,TRUE,0;#N/A,#N/A,TRUE,0;#N/A,#N/A,TRUE,0;#N/A,#N/A,TRUE,0;#N/A,#N/A,TRUE,0}</definedName>
    <definedName name="ewrwerq" hidden="1">{#VALUE!,#N/A,TRUE,0;#N/A,#N/A,TRUE,0;#N/A,#N/A,TRUE,0;#N/A,#N/A,TRUE,0;#N/A,#N/A,TRUE,0;#N/A,#N/A,TRUE,0;#N/A,#N/A,TRUE,0}</definedName>
    <definedName name="ewww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ww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XCLUSIONS" hidden="1">#REF!</definedName>
    <definedName name="F" hidden="1">#REF!</definedName>
    <definedName name="fad" localSheetId="12" hidden="1">{#N/A,"70% Success",FALSE,"Sales Forecast";#N/A,#N/A,FALSE,"Sheet2"}</definedName>
    <definedName name="fad" localSheetId="14" hidden="1">{#N/A,"70% Success",FALSE,"Sales Forecast";#N/A,#N/A,FALSE,"Sheet2"}</definedName>
    <definedName name="fad" hidden="1">{#N/A,"70% Success",FALSE,"Sales Forecast";#N/A,#N/A,FALSE,"Sheet2"}</definedName>
    <definedName name="faerrsegersg" localSheetId="12" hidden="1">{"trafo1fiyat",#N/A,FALSE,"trafofiyat"}</definedName>
    <definedName name="faerrsegersg" hidden="1">{"trafo1fiyat",#N/A,FALSE,"trafofiyat"}</definedName>
    <definedName name="Farlington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arling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ddfdfdf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dfdfd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ffffff" localSheetId="12" hidden="1">{#VALUE!,#N/A,FALSE,0;#N/A,#N/A,FALSE,0;#N/A,#N/A,FALSE,0;#N/A,#N/A,FALSE,0;#N/A,#N/A,FALSE,0;#N/A,#N/A,FALSE,0;#N/A,#N/A,FALSE,0;#N/A,#N/A,FALSE,0}</definedName>
    <definedName name="fdffffffff" hidden="1">{#VALUE!,#N/A,FALSE,0;#N/A,#N/A,FALSE,0;#N/A,#N/A,FALSE,0;#N/A,#N/A,FALSE,0;#N/A,#N/A,FALSE,0;#N/A,#N/A,FALSE,0;#N/A,#N/A,FALSE,0;#N/A,#N/A,FALSE,0}</definedName>
    <definedName name="fdgggg" hidden="1">"3RHIIYBU7DN3F5E7HSRIG7OTJ"</definedName>
    <definedName name="fdsg" hidden="1">#REF!</definedName>
    <definedName name="ferwf3ef" hidden="1">#REF!</definedName>
    <definedName name="fewfwehgh" hidden="1">#REF!</definedName>
    <definedName name="ff" hidden="1">#REF!</definedName>
    <definedName name="fff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fff" localSheetId="14" hidden="1">{#N/A,#N/A,FALSE,"Aging Summary";#N/A,#N/A,FALSE,"Ratio Analysis";#N/A,#N/A,FALSE,"Test 120 Day Accts";#N/A,#N/A,FALSE,"Tickmarks"}</definedName>
    <definedName name="ff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fg" localSheetId="12" hidden="1">{#N/A,#N/A,TRUE,"Cover";#N/A,#N/A,TRUE,"Conts";#N/A,#N/A,TRUE,"VOS";#N/A,#N/A,TRUE,"Warrington";#N/A,#N/A,TRUE,"Widnes"}</definedName>
    <definedName name="fg" localSheetId="14" hidden="1">ПРОДАЖИ!fg</definedName>
    <definedName name="fg" hidden="1">{#N/A,#N/A,TRUE,"Cover";#N/A,#N/A,TRUE,"Conts";#N/A,#N/A,TRUE,"VOS";#N/A,#N/A,TRUE,"Warrington";#N/A,#N/A,TRUE,"Widnes"}</definedName>
    <definedName name="fg_1" hidden="1">{"'Sheet1'!$A$1:$G$85"}</definedName>
    <definedName name="fg_1_1" hidden="1">{"'Sheet1'!$A$1:$G$85"}</definedName>
    <definedName name="fg_2" hidden="1">{"'Sheet1'!$A$1:$G$85"}</definedName>
    <definedName name="fgd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s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fgfg" localSheetId="12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h" localSheetId="12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g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gh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hidden="1">#REF!</definedName>
    <definedName name="FGHFHADBGDF" hidden="1">26</definedName>
    <definedName name="FGH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vgvb" localSheetId="12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fgvgvb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fgy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gy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gyj" hidden="1">#REF!</definedName>
    <definedName name="fjhgd" hidden="1">{"'Sheet1'!$A$1:$G$85"}</definedName>
    <definedName name="fjhgd_1" hidden="1">{"'Sheet1'!$A$1:$G$85"}</definedName>
    <definedName name="fjhgd_1_1" hidden="1">{"'Sheet1'!$A$1:$G$85"}</definedName>
    <definedName name="fjhgd_2" hidden="1">{"'Sheet1'!$A$1:$G$85"}</definedName>
    <definedName name="fjhgd_3" hidden="1">{"'Sheet1'!$A$1:$G$85"}</definedName>
    <definedName name="fjhgd_4" hidden="1">{"'Sheet1'!$A$1:$G$85"}</definedName>
    <definedName name="FJK" hidden="1">"3MXAD5LO7CKS15J6SZUAVPLRB"</definedName>
    <definedName name="fngfn" localSheetId="12" hidden="1">{"taşkınsuyu1icmal",#N/A,FALSE,"tsicm";"taşkınsuyu2icmal",#N/A,FALSE,"tsicm"}</definedName>
    <definedName name="fngfn" hidden="1">{"taşkınsuyu1icmal",#N/A,FALSE,"tsicm";"taşkınsuyu2icmal",#N/A,FALSE,"tsicm"}</definedName>
    <definedName name="ForestHill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l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ransızca" localSheetId="12" hidden="1">{#N/A,#N/A,FALSE,"Ejector 1";#N/A,#N/A,FALSE,"Ejector 2"}</definedName>
    <definedName name="fransızca" hidden="1">{#N/A,#N/A,FALSE,"Ejector 1";#N/A,#N/A,FALSE,"Ejector 2"}</definedName>
    <definedName name="fre" localSheetId="12" hidden="1">{#N/A,#N/A,TRUE,"Cover";#N/A,#N/A,TRUE,"Conts";#N/A,#N/A,TRUE,"VOS";#N/A,#N/A,TRUE,"Warrington";#N/A,#N/A,TRUE,"Widnes"}</definedName>
    <definedName name="fre" hidden="1">{#N/A,#N/A,TRUE,"Cover";#N/A,#N/A,TRUE,"Conts";#N/A,#N/A,TRUE,"VOS";#N/A,#N/A,TRUE,"Warrington";#N/A,#N/A,TRUE,"Widnes"}</definedName>
    <definedName name="fvcasdv" localSheetId="1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fvcasd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fvfbgfh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ğ" localSheetId="12" hidden="1">{"çewre1icmal",#N/A,FALSE,"çticm";"çewre2icmal",#N/A,FALSE,"çticm"}</definedName>
    <definedName name="ğ" hidden="1">{"çewre1icmal",#N/A,FALSE,"çticm";"çewre2icmal",#N/A,FALSE,"çticm"}</definedName>
    <definedName name="G2G2G" localSheetId="12" hidden="1">{#N/A,#N/A,FALSE,"TELEFON"}</definedName>
    <definedName name="G2G2G" hidden="1">{#N/A,#N/A,FALSE,"TELEFON"}</definedName>
    <definedName name="gbf" localSheetId="1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b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dsf" localSheetId="12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f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eneral_exp." localSheetId="12" hidden="1">{#N/A,"100% Success",TRUE,"Sales Forecast";#N/A,#N/A,TRUE,"Sheet2"}</definedName>
    <definedName name="general_exp." localSheetId="14" hidden="1">{#N/A,"100% Success",TRUE,"Sales Forecast";#N/A,#N/A,TRUE,"Sheet2"}</definedName>
    <definedName name="general_exp." hidden="1">{#N/A,"100% Success",TRUE,"Sales Forecast";#N/A,#N/A,TRUE,"Sheet2"}</definedName>
    <definedName name="gfdgfd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gfg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g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gg" localSheetId="12" hidden="1">{#N/A,#N/A,FALSE,"Aging Summary";#N/A,#N/A,FALSE,"Ratio Analysis";#N/A,#N/A,FALSE,"Test 120 Day Accts";#N/A,#N/A,FALSE,"Tickmarks"}</definedName>
    <definedName name="ggg" localSheetId="14" hidden="1">{#N/A,#N/A,FALSE,"Aging Summary";#N/A,#N/A,FALSE,"Ratio Analysis";#N/A,#N/A,FALSE,"Test 120 Day Accts";#N/A,#N/A,FALSE,"Tickmarks"}</definedName>
    <definedName name="ggg" hidden="1">{#N/A,#N/A,FALSE,"Aging Summary";#N/A,#N/A,FALSE,"Ratio Analysis";#N/A,#N/A,FALSE,"Test 120 Day Accts";#N/A,#N/A,FALSE,"Tickmarks"}</definedName>
    <definedName name="gggg" hidden="1">#REF!,#REF!</definedName>
    <definedName name="gğıieau" localSheetId="12" hidden="1">{#VALUE!,#N/A,FALSE,0;#N/A,#N/A,FALSE,0;#N/A,#N/A,FALSE,0;#N/A,#N/A,FALSE,0;#N/A,#N/A,FALSE,0;#N/A,#N/A,FALSE,0;#N/A,#N/A,FALSE,0;#N/A,#N/A,FALSE,0;#N/A,#N/A,FALSE,0;#N/A,#N/A,FALSE,0}</definedName>
    <definedName name="gğıieau" hidden="1">{#VALUE!,#N/A,FALSE,0;#N/A,#N/A,FALSE,0;#N/A,#N/A,FALSE,0;#N/A,#N/A,FALSE,0;#N/A,#N/A,FALSE,0;#N/A,#N/A,FALSE,0;#N/A,#N/A,FALSE,0;#N/A,#N/A,FALSE,0;#N/A,#N/A,FALSE,0;#N/A,#N/A,FALSE,0}</definedName>
    <definedName name="ggreen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g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gh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h" localSheetId="14" hidden="1">{"'Prices'!$A$4:$J$27"}</definedName>
    <definedName name="g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hd" localSheetId="12" hidden="1">{#N/A,#N/A,FALSE,"Aging Summary";#N/A,#N/A,FALSE,"Ratio Analysis";#N/A,#N/A,FALSE,"Test 120 Day Accts";#N/A,#N/A,FALSE,"Tickmarks"}</definedName>
    <definedName name="ghd" localSheetId="14" hidden="1">{#N/A,#N/A,FALSE,"Aging Summary";#N/A,#N/A,FALSE,"Ratio Analysis";#N/A,#N/A,FALSE,"Test 120 Day Accts";#N/A,#N/A,FALSE,"Tickmarks"}</definedName>
    <definedName name="ghd" hidden="1">{#N/A,#N/A,FALSE,"Aging Summary";#N/A,#N/A,FALSE,"Ratio Analysis";#N/A,#N/A,FALSE,"Test 120 Day Accts";#N/A,#N/A,FALSE,"Tickmarks"}</definedName>
    <definedName name="ghfghfgh" localSheetId="12" hidden="1">{#VALUE!,#N/A,FALSE,0;#N/A,#N/A,FALSE,0;#N/A,#N/A,FALSE,0;#N/A,#N/A,FALSE,0;#N/A,#N/A,FALSE,0;#N/A,#N/A,FALSE,0;#N/A,#N/A,FALSE,0;#N/A,#N/A,FALSE,0}</definedName>
    <definedName name="ghfghfgh" hidden="1">{#VALUE!,#N/A,FALSE,0;#N/A,#N/A,FALSE,0;#N/A,#N/A,FALSE,0;#N/A,#N/A,FALSE,0;#N/A,#N/A,FALSE,0;#N/A,#N/A,FALSE,0;#N/A,#N/A,FALSE,0;#N/A,#N/A,FALSE,0}</definedName>
    <definedName name="GHGFHGFH" localSheetId="12" hidden="1">{#VALUE!,#N/A,FALSE,0;#N/A,#N/A,FALSE,0;#N/A,#N/A,FALSE,0;#N/A,#N/A,FALSE,0;#N/A,#N/A,FALSE,0;#N/A,#N/A,FALSE,0;#N/A,#N/A,FALSE,0;#N/A,#N/A,FALSE,0;#N/A,#N/A,FALSE,0;#N/A,#N/A,FALSE,0}</definedName>
    <definedName name="GHGFHGFH" hidden="1">{#VALUE!,#N/A,FALSE,0;#N/A,#N/A,FALSE,0;#N/A,#N/A,FALSE,0;#N/A,#N/A,FALSE,0;#N/A,#N/A,FALSE,0;#N/A,#N/A,FALSE,0;#N/A,#N/A,FALSE,0;#N/A,#N/A,FALSE,0;#N/A,#N/A,FALSE,0;#N/A,#N/A,FALSE,0}</definedName>
    <definedName name="ghgg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j" hidden="1">#REF!</definedName>
    <definedName name="ghngfn" localSheetId="12" hidden="1">{"suhaznesi1icmal",#N/A,FALSE,"shicm";"suhaznesi2icmal",#N/A,FALSE,"shicm";"suhaznesi3icmal",#N/A,FALSE,"shicm"}</definedName>
    <definedName name="ghngfn" hidden="1">{"suhaznesi1icmal",#N/A,FALSE,"shicm";"suhaznesi2icmal",#N/A,FALSE,"shicm";"suhaznesi3icmal",#N/A,FALSE,"shicm"}</definedName>
    <definedName name="ghyt" localSheetId="12" hidden="1">{#N/A,#N/A,FALSE,"SUBS";#N/A,#N/A,FALSE,"SUPERS";#N/A,#N/A,FALSE,"FINISHES";#N/A,#N/A,FALSE,"FITTINGS";#N/A,#N/A,FALSE,"SERVICES";#N/A,#N/A,FALSE,"SITEWORKS"}</definedName>
    <definedName name="ghyt" hidden="1">{#N/A,#N/A,FALSE,"SUBS";#N/A,#N/A,FALSE,"SUPERS";#N/A,#N/A,FALSE,"FINISHES";#N/A,#N/A,FALSE,"FITTINGS";#N/A,#N/A,FALSE,"SERVICES";#N/A,#N/A,FALSE,"SITEWORKS"}</definedName>
    <definedName name="ğı" localSheetId="12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ğı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gjgh" hidden="1">{"'Prices'!$A$4:$J$27"}</definedName>
    <definedName name="gk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k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m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regr" localSheetId="12" hidden="1">{#N/A,#N/A,FALSE,"SUMMARY 4a";#N/A,#N/A,FALSE,"GBA 4b";#N/A,#N/A,FALSE,"TENANT 4c";#N/A,#N/A,FALSE,"BUDGET DETAIL";#N/A,#N/A,FALSE,"PRO FORMA"}</definedName>
    <definedName name="gregr" hidden="1">{#N/A,#N/A,FALSE,"SUMMARY 4a";#N/A,#N/A,FALSE,"GBA 4b";#N/A,#N/A,FALSE,"TENANT 4c";#N/A,#N/A,FALSE,"BUDGET DETAIL";#N/A,#N/A,FALSE,"PRO FORMA"}</definedName>
    <definedName name="GRWG" localSheetId="12" hidden="1">{#N/A,#N/A,FALSE,"SUMMARY 4a";#N/A,#N/A,FALSE,"GBA 4b";#N/A,#N/A,FALSE,"TENANT 4c";#N/A,#N/A,FALSE,"BUDGET DETAIL";#N/A,#N/A,FALSE,"PRO FORMA"}</definedName>
    <definedName name="GRWG" hidden="1">{#N/A,#N/A,FALSE,"SUMMARY 4a";#N/A,#N/A,FALSE,"GBA 4b";#N/A,#N/A,FALSE,"TENANT 4c";#N/A,#N/A,FALSE,"BUDGET DETAIL";#N/A,#N/A,FALSE,"PRO FORMA"}</definedName>
    <definedName name="ğşç" localSheetId="12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ğşç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gsdgsg" localSheetId="12" hidden="1">{#N/A,#N/A,FALSE,"TELEFON"}</definedName>
    <definedName name="gsdgsg" hidden="1">{#N/A,#N/A,FALSE,"TELEFON"}</definedName>
    <definedName name="ğüğopğp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ğüğopğp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wag" localSheetId="1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wag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hans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han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harlow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low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penden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pend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VUZ" localSheetId="12" hidden="1">{"'KABA MALZEME'!$B$5:$G$101","'KABA MALZEME'!$B$5:$G$101"}</definedName>
    <definedName name="HAVUZ" hidden="1">{"'KABA MALZEME'!$B$5:$G$101","'KABA MALZEME'!$B$5:$G$101"}</definedName>
    <definedName name="Hayes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ye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ziran2006" hidden="1">#REF!</definedName>
    <definedName name="hdgfhdgfh" hidden="1">#REF!</definedName>
    <definedName name="Header1" hidden="1">IF(COUNTA(#REF!)=0,0,INDEX(#REF!,MATCH(ROW(#REF!),#REF!,TRUE)))+1</definedName>
    <definedName name="Header2" hidden="1">#REF!-1 &amp; "." &amp; MAX(1,COUNTA(INDEX(#REF!,MATCH(#REF!-1,#REF!,FALSE)):#REF!))</definedName>
    <definedName name="hgf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gf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gfhfgh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hgfhfgh" hidden="1">{#VALUE!,#N/A,FALSE,0;#N/A,#N/A,FALSE,0;#N/A,#N/A,FALSE,0;#N/A,#N/A,FALSE,0;#N/A,#N/A,FALSE,0;#N/A,#N/A,FALSE,0;#N/A,#N/A,FALSE,0;#N/A,#N/A,FALSE,0;#N/A,#N/A,FALSE,0;#N/A,#N/A,FALSE,0;#N/A,#N/A,FALSE,0;#N/A,#N/A,FALSE,0}</definedName>
    <definedName name="hgnb" hidden="1">#REF!</definedName>
    <definedName name="hgnb1" hidden="1">#REF!</definedName>
    <definedName name="hgnb5" hidden="1">#REF!</definedName>
    <definedName name="hh" localSheetId="12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hh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hi" localSheetId="12" hidden="1">{#N/A,#N/A,FALSE,"parsel_atıksu_icmal";#N/A,#N/A,FALSE,"parsel_atıksu 236";#N/A,#N/A,FALSE,"parsel_atıksu 238";#N/A,#N/A,FALSE,"parsel_atıksu 244";#N/A,#N/A,FALSE,"parsel_atıksu 245";#N/A,#N/A,FALSE,"parsel_atıksu 246"}</definedName>
    <definedName name="hi" hidden="1">{#N/A,#N/A,FALSE,"parsel_atıksu_icmal";#N/A,#N/A,FALSE,"parsel_atıksu 236";#N/A,#N/A,FALSE,"parsel_atıksu 238";#N/A,#N/A,FALSE,"parsel_atıksu 244";#N/A,#N/A,FALSE,"parsel_atıksu 245";#N/A,#N/A,FALSE,"parsel_atıksu 246"}</definedName>
    <definedName name="hilmi" localSheetId="12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hilm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hj" localSheetId="12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hj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HJGHJFG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HJGHJFG" hidden="1">{#VALUE!,#N/A,FALSE,0;#N/A,#N/A,FALSE,0;#N/A,#N/A,FALSE,0;#N/A,#N/A,FALSE,0;#N/A,#N/A,FALSE,0;#N/A,#N/A,FALSE,0;#N/A,#N/A,FALSE,0;#N/A,#N/A,FALSE,0;#N/A,#N/A,FALSE,0;#N/A,#N/A,FALSE,0;#N/A,#N/A,FALSE,0;#N/A,#N/A,FALSE,0}</definedName>
    <definedName name="HJGHJHJ" localSheetId="12" hidden="1">{#VALUE!,#N/A,TRUE,0;#N/A,#N/A,TRUE,0;#N/A,#N/A,TRUE,0;#N/A,#N/A,TRUE,0;#N/A,#N/A,TRUE,0;#N/A,#N/A,TRUE,0;#N/A,#N/A,TRUE,0}</definedName>
    <definedName name="HJGHJHJ" hidden="1">{#VALUE!,#N/A,TRUE,0;#N/A,#N/A,TRUE,0;#N/A,#N/A,TRUE,0;#N/A,#N/A,TRUE,0;#N/A,#N/A,TRUE,0;#N/A,#N/A,TRUE,0;#N/A,#N/A,TRUE,0}</definedName>
    <definedName name="hjhjjhk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hjhjjhk" hidden="1">{#VALUE!,#N/A,FALSE,0;#N/A,#N/A,FALSE,0;#N/A,#N/A,FALSE,0;#N/A,#N/A,FALSE,0;#N/A,#N/A,FALSE,0;#N/A,#N/A,FALSE,0;#N/A,#N/A,FALSE,0;#N/A,#N/A,FALSE,0;#N/A,#N/A,FALSE,0;#N/A,#N/A,FALSE,0;#N/A,#N/A,FALSE,0;#N/A,#N/A,FALSE,0}</definedName>
    <definedName name="hjj" hidden="1">{"glc1",#N/A,FALSE,"GLC";"glc2",#N/A,FALSE,"GLC";"glc3",#N/A,FALSE,"GLC";"glc4",#N/A,FALSE,"GLC";"glc5",#N/A,FALSE,"GLC"}</definedName>
    <definedName name="hjuu" localSheetId="12" hidden="1">{#N/A,#N/A,FALSE,"kal_iç_ihz";#N/A,#N/A,FALSE,"kal_iç_er";#N/A,#N/A,FALSE,"kal_iç_tut"}</definedName>
    <definedName name="hjuu" hidden="1">{#N/A,#N/A,FALSE,"kal_iç_ihz";#N/A,#N/A,FALSE,"kal_iç_er";#N/A,#N/A,FALSE,"kal_iç_tut"}</definedName>
    <definedName name="hkjhkj" localSheetId="1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jhk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Ö" localSheetId="12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HÖ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Horsham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ors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TLM" localSheetId="12" hidden="1">{"'РП (2)'!$A$5:$S$150"}</definedName>
    <definedName name="HTLM" localSheetId="14" hidden="1">{"'РП (2)'!$A$5:$S$150"}</definedName>
    <definedName name="HTLM" hidden="1">{"'РП (2)'!$A$5:$S$150"}</definedName>
    <definedName name="HTLM_1" hidden="1">{"'РП (2)'!$A$5:$S$150"}</definedName>
    <definedName name="HTLM_1_1" hidden="1">{"'РП (2)'!$A$5:$S$150"}</definedName>
    <definedName name="HTLM_2" hidden="1">{"'РП (2)'!$A$5:$S$150"}</definedName>
    <definedName name="HTLM_3" hidden="1">{"'РП (2)'!$A$5:$S$150"}</definedName>
    <definedName name="HTLM_4" hidden="1">{"'РП (2)'!$A$5:$S$150"}</definedName>
    <definedName name="HTML_CodePage" localSheetId="14" hidden="1">1252</definedName>
    <definedName name="HTML_CodePage" hidden="1">9</definedName>
    <definedName name="HTML_Control" localSheetId="12" hidden="1">{"'Break down'!$A$4"}</definedName>
    <definedName name="HTML_Control" localSheetId="14" hidden="1">{"'Sheet1'!$A$1:$G$85"}</definedName>
    <definedName name="HTML_Control" hidden="1">{"'Break down'!$A$4"}</definedName>
    <definedName name="HTML_Control_1" hidden="1">{"'РП (2)'!$A$5:$S$150"}</definedName>
    <definedName name="HTML_Control_1_1" hidden="1">{"'РП (2)'!$A$5:$S$150"}</definedName>
    <definedName name="HTML_Control_2" hidden="1">{"'РП (2)'!$A$5:$S$150"}</definedName>
    <definedName name="HTML_Control_3" hidden="1">{"'РП (2)'!$A$5:$S$150"}</definedName>
    <definedName name="HTML_Control_4" hidden="1">{"'РП (2)'!$A$5:$S$150"}</definedName>
    <definedName name="HTML_Control1" localSheetId="12" hidden="1">{"'Sheet1'!$A$1:$X$25"}</definedName>
    <definedName name="HTML_Control1" hidden="1">{"'Sheet1'!$A$1:$X$25"}</definedName>
    <definedName name="HTML_Description" hidden="1">""</definedName>
    <definedName name="HTML_Email" hidden="1">""</definedName>
    <definedName name="HTML_Header" localSheetId="14" hidden="1">"Sheet1"</definedName>
    <definedName name="HTML_Header" hidden="1">"Break down"</definedName>
    <definedName name="HTML_LastUpdate" localSheetId="14" hidden="1">"2/24/99"</definedName>
    <definedName name="HTML_LastUpdate" hidden="1">"6/7/98"</definedName>
    <definedName name="HTML_LineAfter" localSheetId="14" hidden="1">TRUE</definedName>
    <definedName name="HTML_LineAfter" hidden="1">FALSE</definedName>
    <definedName name="HTML_LineBefore" localSheetId="14" hidden="1">TRUE</definedName>
    <definedName name="HTML_LineBefore" hidden="1">FALSE</definedName>
    <definedName name="HTML_Name" localSheetId="14" hidden="1">"Aswath Damodaran"</definedName>
    <definedName name="HTML_Name" hidden="1">"PAUL MATHEW"</definedName>
    <definedName name="HTML_OBDlg2" hidden="1">TRUE</definedName>
    <definedName name="HTML_OBDlg4" hidden="1">TRUE</definedName>
    <definedName name="HTML_OS" localSheetId="14" hidden="1">1</definedName>
    <definedName name="HTML_OS" hidden="1">0</definedName>
    <definedName name="HTML_PathFile" localSheetId="14" hidden="1">"L:\WWW\ECONOMIC\541-rsk.htm"</definedName>
    <definedName name="HTML_PathFile" hidden="1">"C:\WINDOWS\MSAPPS\MyHTML.htm"</definedName>
    <definedName name="HTML_PathFileMac" hidden="1">"Macintosh HD:HomePageStuff:New_Home_Page:datafile:histret.html"</definedName>
    <definedName name="HTML_Title" localSheetId="14" hidden="1">"Historical Returns on Stocks, Bonds and Bills"</definedName>
    <definedName name="HTML_Title" hidden="1">"Break_down"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" hidden="1">{"'Prices'!$A$4:$J$27"}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y" localSheetId="12" hidden="1">{"trafo1icmal",#N/A,FALSE,"trafoicmal";"trafo2icmal",#N/A,FALSE,"trafoicmal"}</definedName>
    <definedName name="hy" hidden="1">{"trafo1icmal",#N/A,FALSE,"trafoicmal";"trafo2icmal",#N/A,FALSE,"trafoicmal"}</definedName>
    <definedName name="Hyperion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p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i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CMAL" localSheetId="12" hidden="1">{"'KABA MALZEME'!$B$5:$G$101","'KABA MALZEME'!$B$5:$G$101"}</definedName>
    <definedName name="iCMAL" hidden="1">{"'KABA MALZEME'!$B$5:$G$101","'KABA MALZEME'!$B$5:$G$101"}</definedName>
    <definedName name="ieatkakieaie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eatkakieai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eaueai" localSheetId="12" hidden="1">{#N/A,#N/A,FALSE,"kal_iç_ihz";#N/A,#N/A,FALSE,"kal_iç_er";#N/A,#N/A,FALSE,"kal_iç_tut"}</definedName>
    <definedName name="ieaueai" hidden="1">{#N/A,#N/A,FALSE,"kal_iç_ihz";#N/A,#N/A,FALSE,"kal_iç_er";#N/A,#N/A,FALSE,"kal_iç_tut"}</definedName>
    <definedName name="ieaüieaüüı" localSheetId="12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eaüieaüü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ğ" localSheetId="12" hidden="1">{#N/A,#N/A,FALSE,"avans";#N/A,#N/A,FALSE,"teminat_mektubu";#N/A,#N/A,FALSE,"ihz. icmal";#N/A,#N/A,FALSE,"söz_fiy_fark";#N/A,#N/A,FALSE,"kap2";#N/A,#N/A,FALSE,"mal_FF_icm";#N/A,#N/A,FALSE,"kap1"}</definedName>
    <definedName name="iğ" hidden="1">{#N/A,#N/A,FALSE,"avans";#N/A,#N/A,FALSE,"teminat_mektubu";#N/A,#N/A,FALSE,"ihz. icmal";#N/A,#N/A,FALSE,"söz_fiy_fark";#N/A,#N/A,FALSE,"kap2";#N/A,#N/A,FALSE,"mal_FF_icm";#N/A,#N/A,FALSE,"kap1"}</definedName>
    <definedName name="ih" localSheetId="12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ih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iii" localSheetId="1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i" hidden="1">#REF!,#REF!</definedName>
    <definedName name="İIPŞYK" localSheetId="12" hidden="1">{"'Cash Requirements 5F '!$A$1:$AC$48"}</definedName>
    <definedName name="İIPŞYK" hidden="1">{"'Cash Requirements 5F '!$A$1:$AC$48"}</definedName>
    <definedName name="İMTA" localSheetId="12" hidden="1">{#N/A,#N/A,FALSE,"parsel_atıksu_icmal";#N/A,#N/A,FALSE,"parsel_atıksu 236";#N/A,#N/A,FALSE,"parsel_atıksu 238";#N/A,#N/A,FALSE,"parsel_atıksu 244";#N/A,#N/A,FALSE,"parsel_atıksu 245";#N/A,#N/A,FALSE,"parsel_atıksu 246"}</definedName>
    <definedName name="İMTA" hidden="1">{#N/A,#N/A,FALSE,"parsel_atıksu_icmal";#N/A,#N/A,FALSE,"parsel_atıksu 236";#N/A,#N/A,FALSE,"parsel_atıksu 238";#N/A,#N/A,FALSE,"parsel_atıksu 244";#N/A,#N/A,FALSE,"parsel_atıksu 245";#N/A,#N/A,FALSE,"parsel_atıksu 246"}</definedName>
    <definedName name="İNCE" localSheetId="12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İNCE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NRGR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v" localSheetId="12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inv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iop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IOPOPO" localSheetId="12" hidden="1">{#VALUE!,#N/A,FALSE,0;#N/A,#N/A,FALSE,0;#N/A,#N/A,FALSE,0;#N/A,#N/A,FALSE,0;#N/A,#N/A,FALSE,0;#N/A,#N/A,FALSE,0;#N/A,#N/A,FALSE,0}</definedName>
    <definedName name="IOPIOPOPO" hidden="1">{#VALUE!,#N/A,FALSE,0;#N/A,#N/A,FALSE,0;#N/A,#N/A,FALSE,0;#N/A,#N/A,FALSE,0;#N/A,#N/A,FALSE,0;#N/A,#N/A,FALSE,0;#N/A,#N/A,FALSE,0}</definedName>
    <definedName name="IQ_ADDIN" hidden="1">"AUTO"</definedName>
    <definedName name="işçilik" localSheetId="1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işçilik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IUUYUIUIUY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IUUYUIUIUY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" localSheetId="12" hidden="1">{"taşkınsuyu1fiyat",#N/A,FALSE,"tsfiyat"}</definedName>
    <definedName name="ı" hidden="1">{"taşkınsuyu1fiyat",#N/A,FALSE,"tsfiyat"}</definedName>
    <definedName name="ııuu" localSheetId="12" hidden="1">{#N/A,#N/A,FALSE,"kal_iç_ihz";#N/A,#N/A,FALSE,"kal_iç_er";#N/A,#N/A,FALSE,"kal_iç_tut"}</definedName>
    <definedName name="ııuu" hidden="1">{#N/A,#N/A,FALSE,"kal_iç_ihz";#N/A,#N/A,FALSE,"kal_iç_er";#N/A,#N/A,FALSE,"kal_iç_tut"}</definedName>
    <definedName name="ıjn" localSheetId="12" hidden="1">{"taşkınsuyu1icmal",#N/A,FALSE,"tsicm";"taşkınsuyu2icmal",#N/A,FALSE,"tsicm"}</definedName>
    <definedName name="ıjn" hidden="1">{"taşkınsuyu1icmal",#N/A,FALSE,"tsicm";"taşkınsuyu2icmal",#N/A,FALSE,"tsicm"}</definedName>
    <definedName name="ıkö" localSheetId="12" hidden="1">{"trafo1fiyat",#N/A,FALSE,"trafofiyat"}</definedName>
    <definedName name="ıkö" hidden="1">{"trafo1fiyat",#N/A,FALSE,"trafofiyat"}</definedName>
    <definedName name="ıolıkjh" localSheetId="12" hidden="1">{"trafo1icmal",#N/A,FALSE,"trafoicmal";"trafo2icmal",#N/A,FALSE,"trafoicmal"}</definedName>
    <definedName name="ıolıkjh" hidden="1">{"trafo1icmal",#N/A,FALSE,"trafoicmal";"trafo2icmal",#N/A,FALSE,"trafoicmal"}</definedName>
    <definedName name="ıu" localSheetId="12" hidden="1">{"çewre1icmal",#N/A,FALSE,"çticm";"çewre2icmal",#N/A,FALSE,"çticm"}</definedName>
    <definedName name="ıu" hidden="1">{"çewre1icmal",#N/A,FALSE,"çticm";"çewre2icmal",#N/A,FALSE,"çticm"}</definedName>
    <definedName name="ıuıı" localSheetId="12" hidden="1">{#N/A,#N/A,FALSE,"müş_iç_ihz";#N/A,#N/A,FALSE,"müş_iç_er";#N/A,#N/A,FALSE,"müş_iç_tut"}</definedName>
    <definedName name="ıuıı" hidden="1">{#N/A,#N/A,FALSE,"müş_iç_ihz";#N/A,#N/A,FALSE,"müş_iç_er";#N/A,#N/A,FALSE,"müş_iç_tut"}</definedName>
    <definedName name="ıuıuı" localSheetId="12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ıuıuı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ıuu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ı" localSheetId="12" hidden="1">{#N/A,#N/A,FALSE,"elk_iç_er";#N/A,#N/A,FALSE,"elk_iç_tut";#N/A,#N/A,FALSE,"elk_iç_ihz"}</definedName>
    <definedName name="ıuuı" hidden="1">{#N/A,#N/A,FALSE,"elk_iç_er";#N/A,#N/A,FALSE,"elk_iç_tut";#N/A,#N/A,FALSE,"elk_iç_ihz"}</definedName>
    <definedName name="ıuuuıuı" localSheetId="12" hidden="1">{#N/A,#N/A,FALSE,"sıh_iç_ihz";#N/A,#N/A,FALSE,"sıh_iç_er";#N/A,#N/A,FALSE,"sıh_iç_tut"}</definedName>
    <definedName name="ıuuuıuı" hidden="1">{#N/A,#N/A,FALSE,"sıh_iç_ihz";#N/A,#N/A,FALSE,"sıh_iç_er";#N/A,#N/A,FALSE,"sıh_iç_tut"}</definedName>
    <definedName name="ıuuyı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y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yy" localSheetId="12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ıuuyy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ıuyıu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yyu" localSheetId="1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yy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yyuı" localSheetId="12" hidden="1">{#N/A,#N/A,FALSE,"kal_iç_ihz";#N/A,#N/A,FALSE,"kal_iç_er";#N/A,#N/A,FALSE,"kal_iç_tut"}</definedName>
    <definedName name="ıuyyuı" hidden="1">{#N/A,#N/A,FALSE,"kal_iç_ihz";#N/A,#N/A,FALSE,"kal_iç_er";#N/A,#N/A,FALSE,"kal_iç_tut"}</definedName>
    <definedName name="ıyıı" localSheetId="12" hidden="1">{#N/A,#N/A,FALSE,"elk_iç_er";#N/A,#N/A,FALSE,"elk_iç_tut";#N/A,#N/A,FALSE,"elk_iç_ihz"}</definedName>
    <definedName name="ıyıı" hidden="1">{#N/A,#N/A,FALSE,"elk_iç_er";#N/A,#N/A,FALSE,"elk_iç_tut";#N/A,#N/A,FALSE,"elk_iç_ihz"}</definedName>
    <definedName name="ıytyutyu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ytyuty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yuuo" localSheetId="12" hidden="1">{#N/A,#N/A,FALSE,"elk_iç_er";#N/A,#N/A,FALSE,"elk_iç_tut";#N/A,#N/A,FALSE,"elk_iç_ihz"}</definedName>
    <definedName name="ıyuuo" hidden="1">{#N/A,#N/A,FALSE,"elk_iç_er";#N/A,#N/A,FALSE,"elk_iç_tut";#N/A,#N/A,FALSE,"elk_iç_ihz"}</definedName>
    <definedName name="ıyyıu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uo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uo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ad" localSheetId="12" hidden="1">{#N/A,"30% Success",TRUE,"Sales Forecast";#N/A,#N/A,TRUE,"Sheet2"}</definedName>
    <definedName name="jad" localSheetId="14" hidden="1">{#N/A,"30% Success",TRUE,"Sales Forecast";#N/A,#N/A,TRUE,"Sheet2"}</definedName>
    <definedName name="jad" hidden="1">{#N/A,"30% Success",TRUE,"Sales Forecast";#N/A,#N/A,TRUE,"Sheet2"}</definedName>
    <definedName name="jh" localSheetId="12" hidden="1">{#N/A,#N/A,FALSE,"Расчет вспомогательных"}</definedName>
    <definedName name="jh" hidden="1">{#N/A,#N/A,FALSE,"Расчет вспомогательных"}</definedName>
    <definedName name="jhgfjhvshj__" hidden="1">#REF!</definedName>
    <definedName name="jj" localSheetId="1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jjj" localSheetId="12" hidden="1">{#N/A,#N/A,FALSE,"müş_iç_ihz";#N/A,#N/A,FALSE,"müş_iç_er";#N/A,#N/A,FALSE,"müş_iç_tut"}</definedName>
    <definedName name="jjjj" hidden="1">{#N/A,#N/A,FALSE,"müş_iç_ihz";#N/A,#N/A,FALSE,"müş_iç_er";#N/A,#N/A,FALSE,"müş_iç_tut"}</definedName>
    <definedName name="jjjjj" localSheetId="12" hidden="1">{#N/A,#N/A,FALSE,"sıh_iç_ihz";#N/A,#N/A,FALSE,"sıh_iç_er";#N/A,#N/A,FALSE,"sıh_iç_tut"}</definedName>
    <definedName name="jjjjj" hidden="1">{#N/A,#N/A,FALSE,"sıh_iç_ihz";#N/A,#N/A,FALSE,"sıh_iç_er";#N/A,#N/A,FALSE,"sıh_iç_tut"}</definedName>
    <definedName name="jjjjjj" localSheetId="12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jjjjjj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JK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F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JK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jkhjkhkj" localSheetId="12" hidden="1">{#VALUE!,#N/A,FALSE,0;#N/A,#N/A,FALSE,0;#N/A,#N/A,FALSE,0;#N/A,#N/A,FALSE,0;#N/A,#N/A,FALSE,0;#N/A,#N/A,FALSE,0;#N/A,#N/A,FALSE,0}</definedName>
    <definedName name="jkhjkhkj" hidden="1">{#VALUE!,#N/A,FALSE,0;#N/A,#N/A,FALSE,0;#N/A,#N/A,FALSE,0;#N/A,#N/A,FALSE,0;#N/A,#N/A,FALSE,0;#N/A,#N/A,FALSE,0;#N/A,#N/A,FALSE,0}</definedName>
    <definedName name="jkjkhjhkj" hidden="1">#REF!</definedName>
    <definedName name="JKLKJLJK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JKLKJLJK" hidden="1">{#VALUE!,#N/A,FALSE,0;#N/A,#N/A,FALSE,0;#N/A,#N/A,FALSE,0;#N/A,#N/A,FALSE,0;#N/A,#N/A,FALSE,0;#N/A,#N/A,FALSE,0;#N/A,#N/A,FALSE,0;#N/A,#N/A,FALSE,0;#N/A,#N/A,FALSE,0;#N/A,#N/A,FALSE,0;#N/A,#N/A,FALSE,0;#N/A,#N/A,FALSE,0}</definedName>
    <definedName name="joaquim" localSheetId="12" hidden="1">{#N/A,"100% Success",TRUE,"Sales Forecast";#N/A,#N/A,TRUE,"Sheet2"}</definedName>
    <definedName name="joaquim" localSheetId="14" hidden="1">{#N/A,"100% Success",TRUE,"Sales Forecast";#N/A,#N/A,TRUE,"Sheet2"}</definedName>
    <definedName name="joaquim" hidden="1">{#N/A,"100% Success",TRUE,"Sales Forecast";#N/A,#N/A,TRUE,"Sheet2"}</definedName>
    <definedName name="john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ohn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u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uj" localSheetId="1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u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uuu" localSheetId="12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juuu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KALIP2" localSheetId="1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LIP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SE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y" localSheetId="12" hidden="1">{#N/A,#N/A,FALSE,"kal_iç_ihz";#N/A,#N/A,FALSE,"kal_iç_er";#N/A,#N/A,FALSE,"kal_iç_tut"}</definedName>
    <definedName name="kay" hidden="1">{#N/A,#N/A,FALSE,"kal_iç_ihz";#N/A,#N/A,FALSE,"kal_iç_er";#N/A,#N/A,FALSE,"kal_iç_tut"}</definedName>
    <definedName name="kBNT" localSheetId="12" hidden="1">{"'РП (2)'!$A$5:$S$150"}</definedName>
    <definedName name="kBNT" localSheetId="14" hidden="1">{"'РП (2)'!$A$5:$S$150"}</definedName>
    <definedName name="kBNT" hidden="1">{"'РП (2)'!$A$5:$S$150"}</definedName>
    <definedName name="kBNT_1" hidden="1">{"'РП (2)'!$A$5:$S$150"}</definedName>
    <definedName name="kBNT_1_1" hidden="1">{"'РП (2)'!$A$5:$S$150"}</definedName>
    <definedName name="kBNT_2" hidden="1">{"'РП (2)'!$A$5:$S$150"}</definedName>
    <definedName name="kBNT_3" hidden="1">{"'РП (2)'!$A$5:$S$150"}</definedName>
    <definedName name="kBNT_4" hidden="1">{"'РП (2)'!$A$5:$S$150"}</definedName>
    <definedName name="Keith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i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mpshott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empshott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FGS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KFG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khj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kı" localSheetId="12" hidden="1">{"mekanik1fiyat",#N/A,FALSE,"mktfiyat";"mekanik2fiyat",#N/A,FALSE,"mktfiyat"}</definedName>
    <definedName name="kı" hidden="1">{"mekanik1fiyat",#N/A,FALSE,"mktfiyat";"mekanik2fiyat",#N/A,FALSE,"mktfiyat"}</definedName>
    <definedName name="kjhfg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jhkhjkhjkjk" localSheetId="12" hidden="1">{#VALUE!,#N/A,FALSE,0;#N/A,#N/A,FALSE,0;#N/A,#N/A,FALSE,0;#N/A,#N/A,FALSE,0;#N/A,#N/A,FALSE,0;#N/A,#N/A,FALSE,0;#N/A,#N/A,FALSE,0;#N/A,#N/A,FALSE,0}</definedName>
    <definedName name="kjhkhjkhjkjk" hidden="1">{#VALUE!,#N/A,FALSE,0;#N/A,#N/A,FALSE,0;#N/A,#N/A,FALSE,0;#N/A,#N/A,FALSE,0;#N/A,#N/A,FALSE,0;#N/A,#N/A,FALSE,0;#N/A,#N/A,FALSE,0;#N/A,#N/A,FALSE,0}</definedName>
    <definedName name="kjhkj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LJH" localSheetId="12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KJKLJH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kk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ck" localSheetId="12" hidden="1">{#VALUE!,#N/A,TRUE,0;#N/A,#N/A,TRUE,0;#N/A,#N/A,TRUE,0;#N/A,#N/A,TRUE,0;#N/A,#N/A,TRUE,0;#N/A,#N/A,TRUE,0;#N/A,#N/A,TRUE,0}</definedName>
    <definedName name="kkck" hidden="1">{#VALUE!,#N/A,TRUE,0;#N/A,#N/A,TRUE,0;#N/A,#N/A,TRUE,0;#N/A,#N/A,TRUE,0;#N/A,#N/A,TRUE,0;#N/A,#N/A,TRUE,0;#N/A,#N/A,TRUE,0}</definedName>
    <definedName name="kkkj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kkkj" hidden="1">{#VALUE!,#N/A,FALSE,0;#N/A,#N/A,FALSE,0;#N/A,#N/A,FALSE,0;#N/A,#N/A,FALSE,0;#N/A,#N/A,FALSE,0;#N/A,#N/A,FALSE,0;#N/A,#N/A,FALSE,0;#N/A,#N/A,FALSE,0;#N/A,#N/A,FALSE,0;#N/A,#N/A,FALSE,0;#N/A,#N/A,FALSE,0;#N/A,#N/A,FALSE,0}</definedName>
    <definedName name="kkkkk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kkk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KKKKKKK" localSheetId="12" hidden="1">{#VALUE!,#N/A,TRUE,0;#N/A,#N/A,TRUE,0;#N/A,#N/A,TRUE,0;#N/A,#N/A,TRUE,0;#N/A,#N/A,TRUE,0;#N/A,#N/A,TRUE,0;#N/A,#N/A,TRUE,0}</definedName>
    <definedName name="KKKKKKKK" hidden="1">{#VALUE!,#N/A,TRUE,0;#N/A,#N/A,TRUE,0;#N/A,#N/A,TRUE,0;#N/A,#N/A,TRUE,0;#N/A,#N/A,TRUE,0;#N/A,#N/A,TRUE,0;#N/A,#N/A,TRUE,0}</definedName>
    <definedName name="kknjklnk" hidden="1">#REF!</definedName>
    <definedName name="klhjkjkkgj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klhjkjkkgj" hidden="1">{#VALUE!,#N/A,FALSE,0;#N/A,#N/A,FALSE,0;#N/A,#N/A,FALSE,0;#N/A,#N/A,FALSE,0;#N/A,#N/A,FALSE,0;#N/A,#N/A,FALSE,0;#N/A,#N/A,FALSE,0;#N/A,#N/A,FALSE,0;#N/A,#N/A,FALSE,0;#N/A,#N/A,FALSE,0;#N/A,#N/A,FALSE,0;#N/A,#N/A,FALSE,0}</definedName>
    <definedName name="klinlane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linlan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tzuk" localSheetId="12" hidden="1">{#N/A,#N/A,FALSE,"Aging Summary";#N/A,#N/A,FALSE,"Ratio Analysis";#N/A,#N/A,FALSE,"Test 120 Day Accts";#N/A,#N/A,FALSE,"Tickmarks"}</definedName>
    <definedName name="ktzuk" localSheetId="14" hidden="1">{#N/A,#N/A,FALSE,"Aging Summary";#N/A,#N/A,FALSE,"Ratio Analysis";#N/A,#N/A,FALSE,"Test 120 Day Accts";#N/A,#N/A,FALSE,"Tickmarks"}</definedName>
    <definedName name="ktzuk" hidden="1">{#N/A,#N/A,FALSE,"Aging Summary";#N/A,#N/A,FALSE,"Ratio Analysis";#N/A,#N/A,FALSE,"Test 120 Day Accts";#N/A,#N/A,FALSE,"Tickmarks"}</definedName>
    <definedName name="kuıkuk" localSheetId="12" hidden="1">{#VALUE!,#N/A,TRUE,0;#N/A,#N/A,TRUE,0;#N/A,#N/A,TRUE,0;#N/A,#N/A,TRUE,0;#N/A,#N/A,TRUE,0;#N/A,#N/A,TRUE,0;#N/A,#N/A,TRUE,0}</definedName>
    <definedName name="kuıkuk" hidden="1">{#VALUE!,#N/A,TRUE,0;#N/A,#N/A,TRUE,0;#N/A,#N/A,TRUE,0;#N/A,#N/A,TRUE,0;#N/A,#N/A,TRUE,0;#N/A,#N/A,TRUE,0;#N/A,#N/A,TRUE,0}</definedName>
    <definedName name="kukuku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kukuk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L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LGD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LG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lhill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imcount" hidden="1">1</definedName>
    <definedName name="Liphook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iphook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ıljkghjghj" localSheetId="12" hidden="1">{#VALUE!,#N/A,FALSE,0;#N/A,#N/A,FALSE,0;#N/A,#N/A,FALSE,0;#N/A,#N/A,FALSE,0;#N/A,#N/A,FALSE,0;#N/A,#N/A,FALSE,0;#N/A,#N/A,FALSE,0;#N/A,#N/A,FALSE,0}</definedName>
    <definedName name="lıljkghjghj" hidden="1">{#VALUE!,#N/A,FALSE,0;#N/A,#N/A,FALSE,0;#N/A,#N/A,FALSE,0;#N/A,#N/A,FALSE,0;#N/A,#N/A,FALSE,0;#N/A,#N/A,FALSE,0;#N/A,#N/A,FALSE,0;#N/A,#N/A,FALSE,0}</definedName>
    <definedName name="LK" localSheetId="12" hidden="1">{"suhaznesi1fiyat",#N/A,FALSE,"shfiyat";"suhaznesi2fiyat",#N/A,FALSE,"shfiyat"}</definedName>
    <definedName name="LK" hidden="1">{"suhaznesi1fiyat",#N/A,FALSE,"shfiyat";"suhaznesi2fiyat",#N/A,FALSE,"shfiyat"}</definedName>
    <definedName name="lkj" localSheetId="12" hidden="1">{#N/A,#N/A,FALSE,"Aging Summary";#N/A,#N/A,FALSE,"Ratio Analysis";#N/A,#N/A,FALSE,"Test 120 Day Accts";#N/A,#N/A,FALSE,"Tickmarks"}</definedName>
    <definedName name="lkj" localSheetId="14" hidden="1">{#N/A,#N/A,FALSE,"Aging Summary";#N/A,#N/A,FALSE,"Ratio Analysis";#N/A,#N/A,FALSE,"Test 120 Day Accts";#N/A,#N/A,FALSE,"Tickmarks"}</definedName>
    <definedName name="lkj" hidden="1">{#N/A,#N/A,FALSE,"Aging Summary";#N/A,#N/A,FALSE,"Ratio Analysis";#N/A,#N/A,FALSE,"Test 120 Day Accts";#N/A,#N/A,FALSE,"Tickmarks"}</definedName>
    <definedName name="lkjljkljkl" localSheetId="12" hidden="1">{#VALUE!,#N/A,TRUE,0;#N/A,#N/A,TRUE,0;#N/A,#N/A,TRUE,0;#N/A,#N/A,TRUE,0;#N/A,#N/A,TRUE,0;#N/A,#N/A,TRUE,0;#N/A,#N/A,TRUE,0}</definedName>
    <definedName name="lkjljkljkl" hidden="1">{#VALUE!,#N/A,TRUE,0;#N/A,#N/A,TRUE,0;#N/A,#N/A,TRUE,0;#N/A,#N/A,TRUE,0;#N/A,#N/A,TRUE,0;#N/A,#N/A,TRUE,0;#N/A,#N/A,TRUE,0}</definedName>
    <definedName name="lkkkk" localSheetId="12" hidden="1">{#N/A,#N/A,FALSE,"müş_iç_ihz";#N/A,#N/A,FALSE,"müş_iç_er";#N/A,#N/A,FALSE,"müş_iç_tut"}</definedName>
    <definedName name="lkkkk" hidden="1">{#N/A,#N/A,FALSE,"müş_iç_ihz";#N/A,#N/A,FALSE,"müş_iç_er";#N/A,#N/A,FALSE,"müş_iç_tut"}</definedName>
    <definedName name="LKL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vhl____1F" hidden="1">#REF!</definedName>
    <definedName name="ll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" localSheetId="12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lll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lllll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NKJLKM" localSheetId="12" hidden="1">{#N/A,#N/A,FALSE,"kal_iç_ihz";#N/A,#N/A,FALSE,"kal_iç_er";#N/A,#N/A,FALSE,"kal_iç_tut"}</definedName>
    <definedName name="LNKJLKM" hidden="1">{#N/A,#N/A,FALSE,"kal_iç_ihz";#N/A,#N/A,FALSE,"kal_iç_er";#N/A,#N/A,FALSE,"kal_iç_tut"}</definedName>
    <definedName name="lo" localSheetId="12" hidden="1">{"çewre1icmal",#N/A,FALSE,"çticm";"çewre2icmal",#N/A,FALSE,"çticm"}</definedName>
    <definedName name="lo" hidden="1">{"çewre1icmal",#N/A,FALSE,"çticm";"çewre2icmal",#N/A,FALSE,"çticm"}</definedName>
    <definedName name="Lordshill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ords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" hidden="1">#REF!</definedName>
    <definedName name="MAL.F.F.HESAP2" localSheetId="12" hidden="1">{#N/A,#N/A,FALSE,"ihz. icmal";#N/A,#N/A,FALSE,"avans";#N/A,#N/A,FALSE,"mal_FF_icm";#N/A,#N/A,FALSE,"fat_ihz";#N/A,#N/A,FALSE,"söz_fiy_fark";#N/A,#N/A,FALSE,"kap2"}</definedName>
    <definedName name="MAL.F.F.HESAP2" hidden="1">{#N/A,#N/A,FALSE,"ihz. icmal";#N/A,#N/A,FALSE,"avans";#N/A,#N/A,FALSE,"mal_FF_icm";#N/A,#N/A,FALSE,"fat_ihz";#N/A,#N/A,FALSE,"söz_fiy_fark";#N/A,#N/A,FALSE,"kap2"}</definedName>
    <definedName name="MAL.F.F.HESAP3" localSheetId="1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3" localSheetId="12" hidden="1">{#N/A,#N/A,FALSE,"ihz. icmal";#N/A,#N/A,FALSE,"avans";#N/A,#N/A,FALSE,"mal_FF_icm";#N/A,#N/A,FALSE,"fat_ihz";#N/A,#N/A,FALSE,"söz_fiy_fark";#N/A,#N/A,FALSE,"kap2"}</definedName>
    <definedName name="MAL.F.F3" hidden="1">{#N/A,#N/A,FALSE,"ihz. icmal";#N/A,#N/A,FALSE,"avans";#N/A,#N/A,FALSE,"mal_FF_icm";#N/A,#N/A,FALSE,"fat_ihz";#N/A,#N/A,FALSE,"söz_fiy_fark";#N/A,#N/A,FALSE,"kap2"}</definedName>
    <definedName name="MAL.F.F4" localSheetId="12" hidden="1">{#N/A,#N/A,FALSE,"ihz. icmal";#N/A,#N/A,FALSE,"avans";#N/A,#N/A,FALSE,"mal_FF_icm";#N/A,#N/A,FALSE,"fat_ihz";#N/A,#N/A,FALSE,"söz_fiy_fark";#N/A,#N/A,FALSE,"kap2"}</definedName>
    <definedName name="MAL.F.F4" hidden="1">{#N/A,#N/A,FALSE,"ihz. icmal";#N/A,#N/A,FALSE,"avans";#N/A,#N/A,FALSE,"mal_FF_icm";#N/A,#N/A,FALSE,"fat_ihz";#N/A,#N/A,FALSE,"söz_fiy_fark";#N/A,#N/A,FALSE,"kap2"}</definedName>
    <definedName name="MANNN" hidden="1">#REF!</definedName>
    <definedName name="market" localSheetId="12" hidden="1">{#N/A,"70% Success",FALSE,"Sales Forecast";#N/A,#N/A,FALSE,"Sheet2"}</definedName>
    <definedName name="market" localSheetId="14" hidden="1">{#N/A,"70% Success",FALSE,"Sales Forecast";#N/A,#N/A,FALSE,"Sheet2"}</definedName>
    <definedName name="market" hidden="1">{#N/A,"70% Success",FALSE,"Sales Forecast";#N/A,#N/A,FALSE,"Sheet2"}</definedName>
    <definedName name="MCL_sheet_inc" localSheetId="12" hidden="1">{"'Sheet1'!$A$1:$X$25"}</definedName>
    <definedName name="MCL_sheet_inc" hidden="1">{"'Sheet1'!$A$1:$X$25"}</definedName>
    <definedName name="MEHMET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kanik900" hidden="1">#REF!</definedName>
    <definedName name="MereGreen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ere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ETRAJ" localSheetId="12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ETRAJ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etrajlar" localSheetId="12" hidden="1">{#N/A,#N/A,FALSE,"TELEFON"}</definedName>
    <definedName name="metrajlar" hidden="1">{#N/A,#N/A,FALSE,"TELEFON"}</definedName>
    <definedName name="mm" localSheetId="12" hidden="1">{#N/A,#N/A,FALSE,"maff_h1";#N/A,#N/A,FALSE,"maff_h2";#N/A,#N/A,FALSE,"maff_h3";#N/A,#N/A,FALSE,"maff_h4";#N/A,#N/A,FALSE,"maff_h5";#N/A,#N/A,FALSE,"maff_h6";#N/A,#N/A,FALSE,"maff_h7"}</definedName>
    <definedName name="mm" hidden="1">{#N/A,#N/A,FALSE,"maff_h1";#N/A,#N/A,FALSE,"maff_h2";#N/A,#N/A,FALSE,"maff_h3";#N/A,#N/A,FALSE,"maff_h4";#N/A,#N/A,FALSE,"maff_h5";#N/A,#N/A,FALSE,"maff_h6";#N/A,#N/A,FALSE,"maff_h7"}</definedName>
    <definedName name="mmm" localSheetId="12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mmm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MÖMMMMM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MÖMMMMM" hidden="1">{#VALUE!,#N/A,FALSE,0;#N/A,#N/A,FALSE,0;#N/A,#N/A,FALSE,0;#N/A,#N/A,FALSE,0;#N/A,#N/A,FALSE,0;#N/A,#N/A,FALSE,0;#N/A,#N/A,FALSE,0;#N/A,#N/A,FALSE,0;#N/A,#N/A,FALSE,0;#N/A,#N/A,FALSE,0;#N/A,#N/A,FALSE,0;#N/A,#N/A,FALSE,0}</definedName>
    <definedName name="MRT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akits" hidden="1">#REF!</definedName>
    <definedName name="name" localSheetId="14" hidden="1">#REF!</definedName>
    <definedName name="NAME" hidden="1">#REF!</definedName>
    <definedName name="ncheam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eels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els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w" hidden="1">{"data",#N/A,FALSE,"INPUT"}</definedName>
    <definedName name="nfjbhfjjkf" hidden="1">"EBP"</definedName>
    <definedName name="nh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ytgbfr" localSheetId="12" hidden="1">{"çewre1fiyat",#N/A,FALSE,"çtfiyat";"çewre2fiyat",#N/A,FALSE,"çtfiyat"}</definedName>
    <definedName name="nhytgbfr" hidden="1">{"çewre1fiyat",#N/A,FALSE,"çtfiyat";"çewre2fiyat",#N/A,FALSE,"çtfiyat"}</definedName>
    <definedName name="NİL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İ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N" hidden="1">{"glcbs",#N/A,FALSE,"GLCBS";"glccsbs",#N/A,FALSE,"GLCCSBS";"glcis",#N/A,FALSE,"GLCIS";"glccsis",#N/A,FALSE,"GLCCSIS";"glcrat1",#N/A,FALSE,"GLC-ratios1"}</definedName>
    <definedName name="nnn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n" hidden="1">#REF!</definedName>
    <definedName name="nogmaals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nogmaal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NorthCheam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orth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rnr1" localSheetId="12" hidden="1">{"'KABA MALZEME'!$B$5:$G$101","'KABA MALZEME'!$B$5:$G$101"}</definedName>
    <definedName name="nrnr1" hidden="1">{"'KABA MALZEME'!$B$5:$G$101","'KABA MALZEME'!$B$5:$G$101"}</definedName>
    <definedName name="nrnr2" localSheetId="12" hidden="1">{"'KABA MALZEME'!$B$5:$G$101","'KABA MALZEME'!$B$5:$G$101"}</definedName>
    <definedName name="nrnr2" hidden="1">{"'KABA MALZEME'!$B$5:$G$101","'KABA MALZEME'!$B$5:$G$101"}</definedName>
    <definedName name="nrnr6" localSheetId="12" hidden="1">{"'KABA MALZEME'!$B$5:$G$101","'KABA MALZEME'!$B$5:$G$101"}</definedName>
    <definedName name="nrnr6" hidden="1">{"'KABA MALZEME'!$B$5:$G$101","'KABA MALZEME'!$B$5:$G$101"}</definedName>
    <definedName name="nrnr7" localSheetId="12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nrnr7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NVBNBNVBN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NVBNBNVBN" hidden="1">{#VALUE!,#N/A,FALSE,0;#N/A,#N/A,FALSE,0;#N/A,#N/A,FALSE,0;#N/A,#N/A,FALSE,0;#N/A,#N/A,FALSE,0;#N/A,#N/A,FALSE,0;#N/A,#N/A,FALSE,0;#N/A,#N/A,FALSE,0;#N/A,#N/A,FALSE,0;#N/A,#N/A,FALSE,0;#N/A,#N/A,FALSE,0;#N/A,#N/A,FALSE,0}</definedName>
    <definedName name="ö" localSheetId="12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ö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Ø900" hidden="1">#REF!</definedName>
    <definedName name="öççç" localSheetId="12" hidden="1">{#N/A,#N/A,FALSE,"kal_iç_ihz";#N/A,#N/A,FALSE,"kal_iç_er";#N/A,#N/A,FALSE,"kal_iç_tut"}</definedName>
    <definedName name="öççç" hidden="1">{#N/A,#N/A,FALSE,"kal_iç_ihz";#N/A,#N/A,FALSE,"kal_iç_er";#N/A,#N/A,FALSE,"kal_iç_tut"}</definedName>
    <definedName name="oıı" localSheetId="12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oı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okm" localSheetId="12" hidden="1">{"suhaznesi1icmal",#N/A,FALSE,"shicm";"suhaznesi2icmal",#N/A,FALSE,"shicm";"suhaznesi3icmal",#N/A,FALSE,"shicm"}</definedName>
    <definedName name="okm" hidden="1">{"suhaznesi1icmal",#N/A,FALSE,"shicm";"suhaznesi2icmal",#N/A,FALSE,"shicm";"suhaznesi3icmal",#N/A,FALSE,"shicm"}</definedName>
    <definedName name="oks" hidden="1">#REF!</definedName>
    <definedName name="Oktober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Oktober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olç" localSheetId="12" hidden="1">{"çewre1icmal",#N/A,FALSE,"çticm";"çewre2icmal",#N/A,FALSE,"çticm"}</definedName>
    <definedName name="olç" hidden="1">{"çewre1icmal",#N/A,FALSE,"çticm";"çewre2icmal",#N/A,FALSE,"çticm"}</definedName>
    <definedName name="olo" hidden="1">#REF!</definedName>
    <definedName name="oo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oo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ööö" localSheetId="12" hidden="1">{#N/A,#N/A,FALSE,"12.21";#N/A,#N/A,FALSE,"12.10";#N/A,#N/A,FALSE,"3";#N/A,#N/A,FALSE,"2";#N/A,#N/A,FALSE,"1"}</definedName>
    <definedName name="ööö" hidden="1">{#N/A,#N/A,FALSE,"12.21";#N/A,#N/A,FALSE,"12.10";#N/A,#N/A,FALSE,"3";#N/A,#N/A,FALSE,"2";#N/A,#N/A,FALSE,"1"}</definedName>
    <definedName name="OSM" localSheetId="12" hidden="1">{#N/A,#N/A,FALSE,"TELEFON"}</definedName>
    <definedName name="OSM" hidden="1">{#N/A,#N/A,FALSE,"TELEFON"}</definedName>
    <definedName name="Osmaston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Osmas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öz" localSheetId="12" hidden="1">{#N/A,#N/A,FALSE,"12.10";#N/A,#N/A,FALSE,"12.11";#N/A,#N/A,FALSE,"12.12";#N/A,#N/A,FALSE,"12.21";#N/A,#N/A,FALSE,"12.22";#N/A,#N/A,FALSE,"12.23";#N/A,#N/A,FALSE,"12.24";#N/A,#N/A,FALSE,"12.25";#N/A,#N/A,FALSE,"12.26"}</definedName>
    <definedName name="öz" hidden="1">{#N/A,#N/A,FALSE,"12.10";#N/A,#N/A,FALSE,"12.11";#N/A,#N/A,FALSE,"12.12";#N/A,#N/A,FALSE,"12.21";#N/A,#N/A,FALSE,"12.22";#N/A,#N/A,FALSE,"12.23";#N/A,#N/A,FALSE,"12.24";#N/A,#N/A,FALSE,"12.25";#N/A,#N/A,FALSE,"12.26"}</definedName>
    <definedName name="ÖZGÜL" localSheetId="12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ÖZGÜL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P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aratonersiz" localSheetId="12" hidden="1">{#N/A,#N/A,FALSE,"kal_iç_ihz";#N/A,#N/A,FALSE,"kal_iç_er";#N/A,#N/A,FALSE,"kal_iç_tut"}</definedName>
    <definedName name="paratonersiz" hidden="1">{#N/A,#N/A,FALSE,"kal_iç_ihz";#N/A,#N/A,FALSE,"kal_iç_er";#N/A,#N/A,FALSE,"kal_iç_tut"}</definedName>
    <definedName name="pc" localSheetId="12" hidden="1">{#N/A,#N/A,FALSE,"elk_iç_er";#N/A,#N/A,FALSE,"elk_iç_tut";#N/A,#N/A,FALSE,"elk_iç_ihz"}</definedName>
    <definedName name="pc" hidden="1">{#N/A,#N/A,FALSE,"elk_iç_er";#N/A,#N/A,FALSE,"elk_iç_tut";#N/A,#N/A,FALSE,"elk_iç_ihz"}</definedName>
    <definedName name="pedro" localSheetId="12" hidden="1">{#N/A,"30% Success",TRUE,"Sales Forecast";#N/A,#N/A,TRUE,"Sheet2"}</definedName>
    <definedName name="pedro" localSheetId="14" hidden="1">{#N/A,"30% Success",TRUE,"Sales Forecast";#N/A,#N/A,TRUE,"Sheet2"}</definedName>
    <definedName name="pedro" hidden="1">{#N/A,"30% Success",TRUE,"Sales Forecast";#N/A,#N/A,TRUE,"Sheet2"}</definedName>
    <definedName name="pğ" localSheetId="12" hidden="1">{"elektrik1fiyat",#N/A,FALSE,"elcfiyat";"elektrik2fiyat",#N/A,FALSE,"elcfiyat";"elektrik3fiyat",#N/A,FALSE,"elcfiyat"}</definedName>
    <definedName name="pğ" hidden="1">{"elektrik1fiyat",#N/A,FALSE,"elcfiyat";"elektrik2fiyat",#N/A,FALSE,"elcfiyat";"elektrik3fiyat",#N/A,FALSE,"elcfiyat"}</definedName>
    <definedName name="pln" localSheetId="12" hidden="1">{"'РП (2)'!$A$5:$S$150"}</definedName>
    <definedName name="pln" hidden="1">{"'РП (2)'!$A$5:$S$150"}</definedName>
    <definedName name="plö" localSheetId="12" hidden="1">{"mekanik1icmal",#N/A,FALSE,"mkticm";"mekanik2icmal",#N/A,FALSE,"mkticm";"mekanik3icmal",#N/A,FALSE,"mkticm"}</definedName>
    <definedName name="plö" hidden="1">{"mekanik1icmal",#N/A,FALSE,"mkticm";"mekanik2icmal",#N/A,FALSE,"mkticm";"mekanik3icmal",#N/A,FALSE,"mkticm"}</definedName>
    <definedName name="PO" localSheetId="12" hidden="1">{#N/A,#N/A,FALSE,"Ejector 1";#N/A,#N/A,FALSE,"Ejector 2"}</definedName>
    <definedName name="PO" hidden="1">{#N/A,#N/A,FALSE,"Ejector 1";#N/A,#N/A,FALSE,"Ejector 2"}</definedName>
    <definedName name="poging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ogin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oıutyrera" localSheetId="12" hidden="1">{"taşkınsuyu1fiyat",#N/A,FALSE,"tsfiyat"}</definedName>
    <definedName name="poıutyrera" hidden="1">{"taşkınsuyu1fiyat",#N/A,FALSE,"tsfiyat"}</definedName>
    <definedName name="pololo" hidden="1">#REF!</definedName>
    <definedName name="PP6FIRE_DEC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PP6FIRE_DEC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Pr" localSheetId="12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Pr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print_out" localSheetId="12" hidden="1">{#N/A,#N/A,FALSE,"Broker Sheet";#N/A,#N/A,FALSE,"Exec.Summary";#N/A,#N/A,FALSE,"Argus Cash Flow";#N/A,#N/A,FALSE,"SPF";#N/A,#N/A,FALSE,"RentRoll"}</definedName>
    <definedName name="print_out" hidden="1">{#N/A,#N/A,FALSE,"Broker Sheet";#N/A,#N/A,FALSE,"Exec.Summary";#N/A,#N/A,FALSE,"Argus Cash Flow";#N/A,#N/A,FALSE,"SPF";#N/A,#N/A,FALSE,"RentRoll"}</definedName>
    <definedName name="pş." localSheetId="12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pş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PT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tvkz" hidden="1">{"'Sheet1'!$A$1:$G$85"}</definedName>
    <definedName name="ptvkz_1" hidden="1">{"'Sheet1'!$A$1:$G$85"}</definedName>
    <definedName name="ptvkz_1_1" hidden="1">{"'Sheet1'!$A$1:$G$85"}</definedName>
    <definedName name="ptvkz_2" hidden="1">{"'Sheet1'!$A$1:$G$85"}</definedName>
    <definedName name="ptvkz_3" hidden="1">{"'Sheet1'!$A$1:$G$85"}</definedName>
    <definedName name="ptvkz_4" hidden="1">{"'Sheet1'!$A$1:$G$85"}</definedName>
    <definedName name="PUB_UserID" hidden="1">"MAYERX"</definedName>
    <definedName name="q" hidden="1">#REF!</definedName>
    <definedName name="qa" localSheetId="12" hidden="1">{#N/A,#N/A,FALSE,"kal_iç_ihz";#N/A,#N/A,FALSE,"kal_iç_er";#N/A,#N/A,FALSE,"kal_iç_tut"}</definedName>
    <definedName name="qa" hidden="1">{#N/A,#N/A,FALSE,"kal_iç_ihz";#N/A,#N/A,FALSE,"kal_iç_er";#N/A,#N/A,FALSE,"kal_iç_tut"}</definedName>
    <definedName name="qazxssw" localSheetId="12" hidden="1">{"isalehattı1fiyat",#N/A,FALSE,"ihfiyat";"isalehattı2fiyat",#N/A,FALSE,"ihfiyat";"isalehattı3fiyat",#N/A,FALSE,"ihfiyat";"isalehattı4fiyat",#N/A,FALSE,"ihfiyat";"isalehattı5fiyat",#N/A,FALSE,"ihfiyat"}</definedName>
    <definedName name="qazxssw" hidden="1">{"isalehattı1fiyat",#N/A,FALSE,"ihfiyat";"isalehattı2fiyat",#N/A,FALSE,"ihfiyat";"isalehattı3fiyat",#N/A,FALSE,"ihfiyat";"isalehattı4fiyat",#N/A,FALSE,"ihfiyat";"isalehattı5fiyat",#N/A,FALSE,"ihfiyat"}</definedName>
    <definedName name="qegqrg" localSheetId="12" hidden="1">{#N/A,#N/A,FALSE,"SUMMARY 4a";#N/A,#N/A,FALSE,"GBA 4b";#N/A,#N/A,FALSE,"TENANT 4c";#N/A,#N/A,FALSE,"BUDGET DETAIL";#N/A,#N/A,FALSE,"PRO FORMA"}</definedName>
    <definedName name="qegqrg" hidden="1">{#N/A,#N/A,FALSE,"SUMMARY 4a";#N/A,#N/A,FALSE,"GBA 4b";#N/A,#N/A,FALSE,"TENANT 4c";#N/A,#N/A,FALSE,"BUDGET DETAIL";#N/A,#N/A,FALSE,"PRO FORMA"}</definedName>
    <definedName name="qgqg" localSheetId="12" hidden="1">{#N/A,#N/A,FALSE,"Leasing 6A"}</definedName>
    <definedName name="qgqg" hidden="1">{#N/A,#N/A,FALSE,"Leasing 6A"}</definedName>
    <definedName name="qq" localSheetId="12" hidden="1">{#N/A,#N/A,FALSE,"maff_h1";#N/A,#N/A,FALSE,"maff_h2";#N/A,#N/A,FALSE,"maff_h3";#N/A,#N/A,FALSE,"maff_h4";#N/A,#N/A,FALSE,"maff_h5";#N/A,#N/A,FALSE,"maff_h6";#N/A,#N/A,FALSE,"maff_h7"}</definedName>
    <definedName name="qq" hidden="1">{#N/A,#N/A,FALSE,"maff_h1";#N/A,#N/A,FALSE,"maff_h2";#N/A,#N/A,FALSE,"maff_h3";#N/A,#N/A,FALSE,"maff_h4";#N/A,#N/A,FALSE,"maff_h5";#N/A,#N/A,FALSE,"maff_h6";#N/A,#N/A,FALSE,"maff_h7"}</definedName>
    <definedName name="qqq" localSheetId="12" hidden="1">{"Output-3Column",#N/A,FALSE,"Output"}</definedName>
    <definedName name="qqq" localSheetId="14" hidden="1">#REF!</definedName>
    <definedName name="qqq" hidden="1">{"Output-3Column",#N/A,FALSE,"Output"}</definedName>
    <definedName name="qqqq" hidden="1">#REF!</definedName>
    <definedName name="qqqqq" hidden="1">#REF!</definedName>
    <definedName name="qqqqqq" localSheetId="12" hidden="1">{"Output-BaseYear",#N/A,FALSE,"Output"}</definedName>
    <definedName name="qqqqqq" localSheetId="14" hidden="1">#REF!</definedName>
    <definedName name="qqqqqq" hidden="1">{"Output-BaseYear",#N/A,FALSE,"Output"}</definedName>
    <definedName name="qqqqqqq" hidden="1">#REF!</definedName>
    <definedName name="QS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w" localSheetId="12" hidden="1">{#N/A,#N/A,TRUE,"Cover";#N/A,#N/A,TRUE,"Conts";#N/A,#N/A,TRUE,"VOS";#N/A,#N/A,TRUE,"Warrington";#N/A,#N/A,TRUE,"Widnes"}</definedName>
    <definedName name="qw" hidden="1">{#N/A,#N/A,TRUE,"Cover";#N/A,#N/A,TRUE,"Conts";#N/A,#N/A,TRUE,"VOS";#N/A,#N/A,TRUE,"Warrington";#N/A,#N/A,TRUE,"Widnes"}</definedName>
    <definedName name="qwe" hidden="1">{"glcbs",#N/A,FALSE,"GLCBS";"glccsbs",#N/A,FALSE,"GLCCSBS";"glcis",#N/A,FALSE,"GLCIS";"glccsis",#N/A,FALSE,"GLCCSIS";"glcrat1",#N/A,FALSE,"GLC-ratios1"}</definedName>
    <definedName name="qwerty" localSheetId="12" hidden="1">{"'РП (2)'!$A$5:$S$150"}</definedName>
    <definedName name="qwerty" hidden="1">{"'РП (2)'!$A$5:$S$150"}</definedName>
    <definedName name="qwqw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qwqw" hidden="1">{#VALUE!,#N/A,FALSE,0;#N/A,#N/A,FALSE,0;#N/A,#N/A,FALSE,0;#N/A,#N/A,FALSE,0;#N/A,#N/A,FALSE,0;#N/A,#N/A,FALSE,0;#N/A,#N/A,FALSE,0;#N/A,#N/A,FALSE,0;#N/A,#N/A,FALSE,0;#N/A,#N/A,FALSE,0;#N/A,#N/A,FALSE,0;#N/A,#N/A,FALSE,0}</definedName>
    <definedName name="RE" localSheetId="12" hidden="1">{#N/A,#N/A,FALSE,"kal_iç_ihz";#N/A,#N/A,FALSE,"kal_iç_er";#N/A,#N/A,FALSE,"kal_iç_tut"}</definedName>
    <definedName name="RE" hidden="1">{#N/A,#N/A,FALSE,"kal_iç_ihz";#N/A,#N/A,FALSE,"kal_iç_er";#N/A,#N/A,FALSE,"kal_iç_tut"}</definedName>
    <definedName name="rere" hidden="1">{"'Sheet1'!$A$1:$G$85"}</definedName>
    <definedName name="rere_1" hidden="1">{"'Sheet1'!$A$1:$G$85"}</definedName>
    <definedName name="rere_1_1" hidden="1">{"'Sheet1'!$A$1:$G$85"}</definedName>
    <definedName name="rere_2" hidden="1">{"'Sheet1'!$A$1:$G$85"}</definedName>
    <definedName name="rere_3" hidden="1">{"'Sheet1'!$A$1:$G$85"}</definedName>
    <definedName name="rere_4" hidden="1">{"'Sheet1'!$A$1:$G$85"}</definedName>
    <definedName name="rgqg" localSheetId="12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rgq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rgrg" localSheetId="12" hidden="1">{"page1",#N/A,FALSE,"sheet 1";"Page2",#N/A,FALSE,"sheet 1";"page3",#N/A,FALSE,"sheet 1";"page4",#N/A,FALSE,"sheet 1"}</definedName>
    <definedName name="rgrg" hidden="1">{"page1",#N/A,FALSE,"sheet 1";"Page2",#N/A,FALSE,"sheet 1";"page3",#N/A,FALSE,"sheet 1";"page4",#N/A,FALSE,"sheet 1"}</definedName>
    <definedName name="rgwg" localSheetId="12" hidden="1">{"page1",#N/A,FALSE,"sheet 1";"Page2",#N/A,FALSE,"sheet 1";"page3",#N/A,FALSE,"sheet 1";"page4",#N/A,FALSE,"sheet 1"}</definedName>
    <definedName name="rgwg" hidden="1">{"page1",#N/A,FALSE,"sheet 1";"Page2",#N/A,FALSE,"sheet 1";"page3",#N/A,FALSE,"sheet 1";"page4",#N/A,FALSE,"sheet 1"}</definedName>
    <definedName name="Ripley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Ripley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rjgbz" localSheetId="12" hidden="1">{"'РП (2)'!$A$5:$S$150"}</definedName>
    <definedName name="rjgbz" hidden="1">{"'РП (2)'!$A$5:$S$150"}</definedName>
    <definedName name="rkt" localSheetId="1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rkt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rl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2A" hidden="1">#REF!</definedName>
    <definedName name="RL2B" hidden="1">#REF!</definedName>
    <definedName name="RL2D" hidden="1">#REF!</definedName>
    <definedName name="RL2F" hidden="1">#REF!</definedName>
    <definedName name="RL2G" hidden="1">#REF!</definedName>
    <definedName name="RL2H" hidden="1">#REF!</definedName>
    <definedName name="RL2J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J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M" localSheetId="12" hidden="1">{#N/A,#N/A,FALSE,"NCS INC SCOT";#N/A,#N/A,FALSE,"NCS";#N/A,#N/A,FALSE,"74 NCS";#N/A,#N/A,FALSE,"75 NCS";#N/A,#N/A,FALSE,"76 NCS "}</definedName>
    <definedName name="RL2M" hidden="1">{#N/A,#N/A,FALSE,"NCS INC SCOT";#N/A,#N/A,FALSE,"NCS";#N/A,#N/A,FALSE,"74 NCS";#N/A,#N/A,FALSE,"75 NCS";#N/A,#N/A,FALSE,"76 NCS "}</definedName>
    <definedName name="RL2N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nh" localSheetId="12" hidden="1">{#N/A,#N/A,FALSE,"kal_iç_ihz";#N/A,#N/A,FALSE,"kal_iç_er";#N/A,#N/A,FALSE,"kal_iç_tut"}</definedName>
    <definedName name="rnh" hidden="1">{#N/A,#N/A,FALSE,"kal_iç_ihz";#N/A,#N/A,FALSE,"kal_iç_er";#N/A,#N/A,FALSE,"kal_iç_tut"}</definedName>
    <definedName name="RO" hidden="1">#REF!,#REF!</definedName>
    <definedName name="rr" localSheetId="12" hidden="1">{#N/A,#N/A,FALSE,"Aging Summary";#N/A,#N/A,FALSE,"Ratio Analysis";#N/A,#N/A,FALSE,"Test 120 Day Accts";#N/A,#N/A,FALSE,"Tickmarks"}</definedName>
    <definedName name="rr" localSheetId="14" hidden="1">{#N/A,#N/A,FALSE,"Aging Summary";#N/A,#N/A,FALSE,"Ratio Analysis";#N/A,#N/A,FALSE,"Test 120 Day Accts";#N/A,#N/A,FALSE,"Tickmarks"}</definedName>
    <definedName name="rr" hidden="1">{#N/A,#N/A,FALSE,"Aging Summary";#N/A,#N/A,FALSE,"Ratio Analysis";#N/A,#N/A,FALSE,"Test 120 Day Accts";#N/A,#N/A,FALSE,"Tickmarks"}</definedName>
    <definedName name="rrrrrrrrrrrr" hidden="1">#REF!</definedName>
    <definedName name="rrrrrrrrrrrrrrrrrrrrrrrrrrr" hidden="1">#REF!</definedName>
    <definedName name="rrrrrrrrrrrrrrrrrrrrrrrrrrrrrrrrrrrrrrrrr" hidden="1">#REF!</definedName>
    <definedName name="rstyud" hidden="1">{"assets",#N/A,FALSE,"historicBS";"liab",#N/A,FALSE,"historicBS";"is",#N/A,FALSE,"historicIS";"ratios",#N/A,FALSE,"ratios"}</definedName>
    <definedName name="rt" localSheetId="14" hidden="1">#N/A</definedName>
    <definedName name="rt" hidden="1">#REF!</definedName>
    <definedName name="RTERTRET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RTERTRET" hidden="1">{#VALUE!,#N/A,FALSE,0;#N/A,#N/A,FALSE,0;#N/A,#N/A,FALSE,0;#N/A,#N/A,FALSE,0;#N/A,#N/A,FALSE,0;#N/A,#N/A,FALSE,0;#N/A,#N/A,FALSE,0;#N/A,#N/A,FALSE,0;#N/A,#N/A,FALSE,0;#N/A,#N/A,FALSE,0;#N/A,#N/A,FALSE,0;#N/A,#N/A,FALSE,0}</definedName>
    <definedName name="rth56uh56ju" hidden="1">{"glc1",#N/A,FALSE,"GLC";"glc2",#N/A,FALSE,"GLC";"glc3",#N/A,FALSE,"GLC";"glc4",#N/A,FALSE,"GLC";"glc5",#N/A,FALSE,"GLC"}</definedName>
    <definedName name="RTRETRETRET" localSheetId="12" hidden="1">{#VALUE!,#N/A,TRUE,0;#N/A,#N/A,TRUE,0;#N/A,#N/A,TRUE,0;#N/A,#N/A,TRUE,0;#N/A,#N/A,TRUE,0;#N/A,#N/A,TRUE,0;#N/A,#N/A,TRUE,0}</definedName>
    <definedName name="RTRETRETRET" hidden="1">{#VALUE!,#N/A,TRUE,0;#N/A,#N/A,TRUE,0;#N/A,#N/A,TRUE,0;#N/A,#N/A,TRUE,0;#N/A,#N/A,TRUE,0;#N/A,#N/A,TRUE,0;#N/A,#N/A,TRUE,0}</definedName>
    <definedName name="RTRTERTRT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ER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nhtrhrr" hidden="1">#REF!</definedName>
    <definedName name="rtrtretrt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re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WERTEWRWER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WERTEWRWE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y" localSheetId="12" hidden="1">{#N/A,#N/A,FALSE,"Aging Summary";#N/A,#N/A,FALSE,"Ratio Analysis";#N/A,#N/A,FALSE,"Test 120 Day Accts";#N/A,#N/A,FALSE,"Tickmarks"}</definedName>
    <definedName name="rty" localSheetId="14" hidden="1">{#N/A,#N/A,FALSE,"Aging Summary";#N/A,#N/A,FALSE,"Ratio Analysis";#N/A,#N/A,FALSE,"Test 120 Day Accts";#N/A,#N/A,FALSE,"Tickmarks"}</definedName>
    <definedName name="rty" hidden="1">{#N/A,#N/A,FALSE,"Aging Summary";#N/A,#N/A,FALSE,"Ratio Analysis";#N/A,#N/A,FALSE,"Test 120 Day Accts";#N/A,#N/A,FALSE,"Tickmarks"}</definedName>
    <definedName name="rwgWEG" localSheetId="12" hidden="1">{#N/A,#N/A,FALSE,"Leasing 6A"}</definedName>
    <definedName name="rwgWEG" hidden="1">{#N/A,#N/A,FALSE,"Leasing 6A"}</definedName>
    <definedName name="rwn" hidden="1">{"glc1",#N/A,FALSE,"GLC";"glc2",#N/A,FALSE,"GLC";"glc3",#N/A,FALSE,"GLC";"glc4",#N/A,FALSE,"GLC";"glc5",#N/A,FALSE,"GLC"}</definedName>
    <definedName name="S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" localSheetId="14" hidden="1">#REF!</definedName>
    <definedName name="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Ş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Ş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.Alacan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Alaca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HAKAN" localSheetId="1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HAKA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adff" localSheetId="1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adf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adsd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ds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dsds" localSheetId="12" hidden="1">{#VALUE!,#N/A,FALSE,0;#N/A,#N/A,FALSE,0;#N/A,#N/A,FALSE,0;#N/A,#N/A,FALSE,0;#N/A,#N/A,FALSE,0;#N/A,#N/A,FALSE,0;#N/A,#N/A,FALSE,0}</definedName>
    <definedName name="sadsds" hidden="1">{#VALUE!,#N/A,FALSE,0;#N/A,#N/A,FALSE,0;#N/A,#N/A,FALSE,0;#N/A,#N/A,FALSE,0;#N/A,#N/A,FALSE,0;#N/A,#N/A,FALSE,0;#N/A,#N/A,FALSE,0}</definedName>
    <definedName name="sadsdsd" localSheetId="12" hidden="1">{#VALUE!,#N/A,TRUE,0;#N/A,#N/A,TRUE,0;#N/A,#N/A,TRUE,0}</definedName>
    <definedName name="sadsdsd" hidden="1">{#VALUE!,#N/A,TRUE,0;#N/A,#N/A,TRUE,0;#N/A,#N/A,TRUE,0}</definedName>
    <definedName name="ŞAN.DIŞ.İHZ.TUT.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.DIŞ.İHZ.TUT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PBEXrevision" hidden="1">1</definedName>
    <definedName name="SAPBEXsysID" hidden="1">"EBP"</definedName>
    <definedName name="SAPBEXwbID" hidden="1">"3O14ODX58ZFWHBA9GZVFUX4YV"</definedName>
    <definedName name="SASASAS" hidden="1">#REF!</definedName>
    <definedName name="sasasasas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sasasas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sda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d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caffolding" localSheetId="12" hidden="1">{"'Break down'!$A$4"}</definedName>
    <definedName name="Scaffolding" hidden="1">{"'Break down'!$A$4"}</definedName>
    <definedName name="scarce" localSheetId="12" hidden="1">{#N/A,#N/A,FALSE,"Summary";#N/A,#N/A,FALSE,"3TJ";#N/A,#N/A,FALSE,"3TN";#N/A,#N/A,FALSE,"3TP";#N/A,#N/A,FALSE,"3SJ";#N/A,#N/A,FALSE,"3CJ";#N/A,#N/A,FALSE,"3CN";#N/A,#N/A,FALSE,"3CP";#N/A,#N/A,FALSE,"3A"}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ascda" localSheetId="1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ascda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dsf" localSheetId="1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cds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D" localSheetId="12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D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DAWEZD" localSheetId="12" hidden="1">{"suhaznesi1fiyat",#N/A,FALSE,"shfiyat";"suhaznesi2fiyat",#N/A,FALSE,"shfiyat"}</definedName>
    <definedName name="SDAWEZD" hidden="1">{"suhaznesi1fiyat",#N/A,FALSE,"shfiyat";"suhaznesi2fiyat",#N/A,FALSE,"shfiyat"}</definedName>
    <definedName name="sdddddddddddddddd" hidden="1">#REF!</definedName>
    <definedName name="SDF" localSheetId="12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S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sdfd" localSheetId="12" hidden="1">{#VALUE!,#N/A,FALSE,0;#N/A,#N/A,FALSE,0;#N/A,#N/A,FALSE,0;#N/A,#N/A,FALSE,0;#N/A,#N/A,FALSE,0}</definedName>
    <definedName name="sdfd" hidden="1">{#VALUE!,#N/A,FALSE,0;#N/A,#N/A,FALSE,0;#N/A,#N/A,FALSE,0;#N/A,#N/A,FALSE,0;#N/A,#N/A,FALSE,0}</definedName>
    <definedName name="sdfds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d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dsf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dfds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dfh" hidden="1">{"'Sheet1'!$A$1:$G$85"}</definedName>
    <definedName name="sdfh_1" hidden="1">{"'Sheet1'!$A$1:$G$85"}</definedName>
    <definedName name="sdfh_1_1" hidden="1">{"'Sheet1'!$A$1:$G$85"}</definedName>
    <definedName name="sdfh_2" hidden="1">{"'Sheet1'!$A$1:$G$85"}</definedName>
    <definedName name="sdfh_3" hidden="1">{"'Sheet1'!$A$1:$G$85"}</definedName>
    <definedName name="sdfh_4" hidden="1">{"'Sheet1'!$A$1:$G$85"}</definedName>
    <definedName name="sdfsdf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sdfsdf" localSheetId="14" hidden="1">#REF!</definedName>
    <definedName name="sdfsdf" hidden="1">{#VALUE!,#N/A,FALSE,0;#N/A,#N/A,FALSE,0;#N/A,#N/A,FALSE,0;#N/A,#N/A,FALSE,0;#N/A,#N/A,FALSE,0;#N/A,#N/A,FALSE,0;#N/A,#N/A,FALSE,0;#N/A,#N/A,FALSE,0;#N/A,#N/A,FALSE,0;#N/A,#N/A,FALSE,0;#N/A,#N/A,FALSE,0;#N/A,#N/A,FALSE,0}</definedName>
    <definedName name="sdfsdfsdf" hidden="1">#REF!</definedName>
    <definedName name="SDFSDFSDFD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SDFSDFSDFD" hidden="1">{#VALUE!,#N/A,FALSE,0;#N/A,#N/A,FALSE,0;#N/A,#N/A,FALSE,0;#N/A,#N/A,FALSE,0;#N/A,#N/A,FALSE,0;#N/A,#N/A,FALSE,0;#N/A,#N/A,FALSE,0;#N/A,#N/A,FALSE,0;#N/A,#N/A,FALSE,0;#N/A,#N/A,FALSE,0;#N/A,#N/A,FALSE,0;#N/A,#N/A,FALSE,0}</definedName>
    <definedName name="sdit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di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dsds" localSheetId="1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d" hidden="1">#REF!</definedName>
    <definedName name="se" localSheetId="12" hidden="1">{#N/A,#N/A,FALSE,"maff_h1";#N/A,#N/A,FALSE,"maff_h2";#N/A,#N/A,FALSE,"maff_h3";#N/A,#N/A,FALSE,"maff_h4";#N/A,#N/A,FALSE,"maff_h5";#N/A,#N/A,FALSE,"maff_h6";#N/A,#N/A,FALSE,"maff_h7"}</definedName>
    <definedName name="se" hidden="1">{#N/A,#N/A,FALSE,"maff_h1";#N/A,#N/A,FALSE,"maff_h2";#N/A,#N/A,FALSE,"maff_h3";#N/A,#N/A,FALSE,"maff_h4";#N/A,#N/A,FALSE,"maff_h5";#N/A,#N/A,FALSE,"maff_h6";#N/A,#N/A,FALSE,"maff_h7"}</definedName>
    <definedName name="sed" localSheetId="1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EDA" localSheetId="12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EDA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ef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gdaf" localSheetId="12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segdaf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sencount" hidden="1">1</definedName>
    <definedName name="Services2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dg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fd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f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sadf" localSheetId="1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fsad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gdgs" hidden="1">#REF!</definedName>
    <definedName name="SGWg" localSheetId="12" hidden="1">{#N/A,#N/A,FALSE,"SUMMARY 4a";#N/A,#N/A,FALSE,"GBA 4b";#N/A,#N/A,FALSE,"TENANT 4c";#N/A,#N/A,FALSE,"BUDGET DETAIL";#N/A,#N/A,FALSE,"PRO FORMA"}</definedName>
    <definedName name="SGWg" hidden="1">{#N/A,#N/A,FALSE,"SUMMARY 4a";#N/A,#N/A,FALSE,"GBA 4b";#N/A,#N/A,FALSE,"TENANT 4c";#N/A,#N/A,FALSE,"BUDGET DETAIL";#N/A,#N/A,FALSE,"PRO FORMA"}</definedName>
    <definedName name="shdal" hidden="1">{#N/A,#N/A,FALSE,"Aging Summary";#N/A,#N/A,FALSE,"Ratio Analysis";#N/A,#N/A,FALSE,"Test 120 Day Accts";#N/A,#N/A,FALSE,"Tickmarks"}</definedName>
    <definedName name="si" localSheetId="12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s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smth15" hidden="1">#REF!</definedName>
    <definedName name="smth2" hidden="1">#REF!</definedName>
    <definedName name="smth3" hidden="1">#REF!</definedName>
    <definedName name="smth4" hidden="1">#REF!</definedName>
    <definedName name="smth5" hidden="1">#REF!</definedName>
    <definedName name="smth55" hidden="1">#REF!</definedName>
    <definedName name="smth8" hidden="1">#REF!</definedName>
    <definedName name="soft2" hidden="1">#REF!</definedName>
    <definedName name="solver_adj" hidden="1">#REF!,#REF!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3</definedName>
    <definedName name="solver_rel10" hidden="1">2</definedName>
    <definedName name="solver_rel11" hidden="1">2</definedName>
    <definedName name="solver_rel2" hidden="1">3</definedName>
    <definedName name="solver_rel3" hidden="1">3</definedName>
    <definedName name="solver_rel4" hidden="1">3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" hidden="1">0</definedName>
    <definedName name="solver_rhs10" hidden="1">315430</definedName>
    <definedName name="solver_rhs11" hidden="1">284920</definedName>
    <definedName name="solver_rhs2" hidden="1">0.2</definedName>
    <definedName name="solver_rhs3" hidden="1">0</definedName>
    <definedName name="solver_rhs4" hidden="1">0</definedName>
    <definedName name="solver_rhs5" hidden="1">0</definedName>
    <definedName name="solver_scl" hidden="1">2</definedName>
    <definedName name="solver_sho" hidden="1">2</definedName>
    <definedName name="solver_tim" hidden="1">100</definedName>
    <definedName name="solver_tmp" hidden="1">#REF!,#REF!</definedName>
    <definedName name="solver_tol" hidden="1">0.05</definedName>
    <definedName name="solver_typ" hidden="1">3</definedName>
    <definedName name="solver_val" hidden="1">22000000000</definedName>
    <definedName name="something" hidden="1">#REF!</definedName>
    <definedName name="Sort1" hidden="1">#REF!</definedName>
    <definedName name="şp" localSheetId="12" hidden="1">{"mekanik1icmal",#N/A,FALSE,"mkticm";"mekanik2icmal",#N/A,FALSE,"mkticm";"mekanik3icmal",#N/A,FALSE,"mkticm"}</definedName>
    <definedName name="şp" hidden="1">{"mekanik1icmal",#N/A,FALSE,"mkticm";"mekanik2icmal",#N/A,FALSE,"mkticm";"mekanik3icmal",#N/A,FALSE,"mkticm"}</definedName>
    <definedName name="sr" hidden="1">#REF!</definedName>
    <definedName name="SRGAWG" localSheetId="12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RGAW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s" localSheetId="12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ss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sss" localSheetId="12" hidden="1">{"'РП (2)'!$A$5:$S$150"}</definedName>
    <definedName name="sss" hidden="1">{"'РП (2)'!$A$5:$S$150"}</definedName>
    <definedName name="sssa" localSheetId="12" hidden="1">{#N/A,#N/A,FALSE,"ihz. icmal";#N/A,#N/A,FALSE,"avans";#N/A,#N/A,FALSE,"mal_FF_icm";#N/A,#N/A,FALSE,"fat_ihz";#N/A,#N/A,FALSE,"söz_fiy_fark";#N/A,#N/A,FALSE,"kap2"}</definedName>
    <definedName name="sssa" hidden="1">{#N/A,#N/A,FALSE,"ihz. icmal";#N/A,#N/A,FALSE,"avans";#N/A,#N/A,FALSE,"mal_FF_icm";#N/A,#N/A,FALSE,"fat_ihz";#N/A,#N/A,FALSE,"söz_fiy_fark";#N/A,#N/A,FALSE,"kap2"}</definedName>
    <definedName name="ssshh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12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ssss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şşşş" localSheetId="12" hidden="1">{"çewre1icmal",#N/A,FALSE,"çticm";"çewre2icmal",#N/A,FALSE,"çticm"}</definedName>
    <definedName name="şşşş" hidden="1">{"çewre1icmal",#N/A,FALSE,"çticm";"çewre2icmal",#N/A,FALSE,"çticm"}</definedName>
    <definedName name="sssss" hidden="1">#N/A</definedName>
    <definedName name="ssssss" localSheetId="12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ssssss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SSSSSSSS" localSheetId="12" hidden="1">{#N/A,#N/A,FALSE,"ihz. icmal";#N/A,#N/A,FALSE,"avans";#N/A,#N/A,FALSE,"mal_FF_icm";#N/A,#N/A,FALSE,"fat_ihz";#N/A,#N/A,FALSE,"söz_fiy_fark";#N/A,#N/A,FALSE,"kap2"}</definedName>
    <definedName name="SSSSSSSS" hidden="1">{#N/A,#N/A,FALSE,"ihz. icmal";#N/A,#N/A,FALSE,"avans";#N/A,#N/A,FALSE,"mal_FF_icm";#N/A,#N/A,FALSE,"fat_ihz";#N/A,#N/A,FALSE,"söz_fiy_fark";#N/A,#N/A,FALSE,"kap2"}</definedName>
    <definedName name="summary2" localSheetId="12" hidden="1">{#N/A,#N/A,FALSE,"Aging Summary";#N/A,#N/A,FALSE,"Ratio Analysis";#N/A,#N/A,FALSE,"Test 120 Day Accts";#N/A,#N/A,FALSE,"Tickmarks"}</definedName>
    <definedName name="summary2" localSheetId="14" hidden="1">{#N/A,#N/A,FALSE,"Aging Summary";#N/A,#N/A,FALSE,"Ratio Analysis";#N/A,#N/A,FALSE,"Test 120 Day Accts";#N/A,#N/A,FALSE,"Tickmarks"}</definedName>
    <definedName name="summary2" hidden="1">{#N/A,#N/A,FALSE,"Aging Summary";#N/A,#N/A,FALSE,"Ratio Analysis";#N/A,#N/A,FALSE,"Test 120 Day Accts";#N/A,#N/A,FALSE,"Tickmarks"}</definedName>
    <definedName name="supply" hidden="1">#REF!</definedName>
    <definedName name="susan" hidden="1">#REF!</definedName>
    <definedName name="Swadlincote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wadlincot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we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w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ww" localSheetId="12" hidden="1">{#N/A,#N/A,FALSE,"elk_iç_er";#N/A,#N/A,FALSE,"elk_iç_tut";#N/A,#N/A,FALSE,"elk_iç_ihz"}</definedName>
    <definedName name="sww" hidden="1">{#N/A,#N/A,FALSE,"elk_iç_er";#N/A,#N/A,FALSE,"elk_iç_tut";#N/A,#N/A,FALSE,"elk_iç_ihz"}</definedName>
    <definedName name="t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aa" localSheetId="12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a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N" localSheetId="12" hidden="1">{#N/A,#N/A,FALSE,"parsel_atıksu_icmal";#N/A,#N/A,FALSE,"parsel_atıksu 236";#N/A,#N/A,FALSE,"parsel_atıksu 238";#N/A,#N/A,FALSE,"parsel_atıksu 244";#N/A,#N/A,FALSE,"parsel_atıksu 245";#N/A,#N/A,FALSE,"parsel_atıksu 246"}</definedName>
    <definedName name="taN" hidden="1">{#N/A,#N/A,FALSE,"parsel_atıksu_icmal";#N/A,#N/A,FALSE,"parsel_atıksu 236";#N/A,#N/A,FALSE,"parsel_atıksu 238";#N/A,#N/A,FALSE,"parsel_atıksu 244";#N/A,#N/A,FALSE,"parsel_atıksu 245";#N/A,#N/A,FALSE,"parsel_atıksu 246"}</definedName>
    <definedName name="taNJU" localSheetId="12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NJU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nya" localSheetId="12" hidden="1">{#N/A,#N/A,FALSE,"Aging Summary";#N/A,#N/A,FALSE,"Ratio Analysis";#N/A,#N/A,FALSE,"Test 120 Day Accts";#N/A,#N/A,FALSE,"Tickmarks"}</definedName>
    <definedName name="tanya" localSheetId="14" hidden="1">{#N/A,#N/A,FALSE,"Aging Summary";#N/A,#N/A,FALSE,"Ratio Analysis";#N/A,#N/A,FALSE,"Test 120 Day Accts";#N/A,#N/A,FALSE,"Tickmarks"}</definedName>
    <definedName name="tanya" hidden="1">{#N/A,#N/A,FALSE,"Aging Summary";#N/A,#N/A,FALSE,"Ratio Analysis";#N/A,#N/A,FALSE,"Test 120 Day Accts";#N/A,#N/A,FALSE,"Tickmarks"}</definedName>
    <definedName name="temp" localSheetId="12" hidden="1">{"'Break down'!$A$4"}</definedName>
    <definedName name="temp" hidden="1">{"'Break down'!$A$4"}</definedName>
    <definedName name="Template" hidden="1">#REF!</definedName>
    <definedName name="tertw" localSheetId="12" hidden="1">{#N/A,#N/A,FALSE,"Aging Summary";#N/A,#N/A,FALSE,"Ratio Analysis";#N/A,#N/A,FALSE,"Test 120 Day Accts";#N/A,#N/A,FALSE,"Tickmarks"}</definedName>
    <definedName name="tertw" localSheetId="14" hidden="1">{#N/A,#N/A,FALSE,"Aging Summary";#N/A,#N/A,FALSE,"Ratio Analysis";#N/A,#N/A,FALSE,"Test 120 Day Accts";#N/A,#N/A,FALSE,"Tickmarks"}</definedName>
    <definedName name="tertw" hidden="1">{#N/A,#N/A,FALSE,"Aging Summary";#N/A,#N/A,FALSE,"Ratio Analysis";#N/A,#N/A,FALSE,"Test 120 Day Accts";#N/A,#N/A,FALSE,"Tickmarks"}</definedName>
    <definedName name="test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est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est2" hidden="1">{"IASTrail",#N/A,FALSE,"IAS"}</definedName>
    <definedName name="test3" hidden="1">{#N/A,#N/A,FALSE,"FA_1";#N/A,#N/A,FALSE,"Dep'n SE";#N/A,#N/A,FALSE,"Dep'n FC"}</definedName>
    <definedName name="TextRefCopyRangeCount" localSheetId="14" hidden="1">23</definedName>
    <definedName name="TextRefCopyRangeCount" hidden="1">4</definedName>
    <definedName name="tg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gb" localSheetId="12" hidden="1">{"suhaznesi1fiyat",#N/A,FALSE,"shfiyat";"suhaznesi2fiyat",#N/A,FALSE,"shfiyat"}</definedName>
    <definedName name="tgb" hidden="1">{"suhaznesi1fiyat",#N/A,FALSE,"shfiyat";"suhaznesi2fiyat",#N/A,FALSE,"shfiyat"}</definedName>
    <definedName name="tgvvcxsd" localSheetId="12" hidden="1">{"trafo1icmal",#N/A,FALSE,"trafoicmal";"trafo2icmal",#N/A,FALSE,"trafoicmal"}</definedName>
    <definedName name="tgvvcxsd" hidden="1">{"trafo1icmal",#N/A,FALSE,"trafoicmal";"trafo2icmal",#N/A,FALSE,"trafoicmal"}</definedName>
    <definedName name="Therion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h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mp" localSheetId="12" hidden="1">{"'Break down'!$A$4"}</definedName>
    <definedName name="tmp" hidden="1">{"'Break down'!$A$4"}</definedName>
    <definedName name="Topaz2_PL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opaz2_PL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r" localSheetId="12" hidden="1">{#N/A,#N/A,FALSE,"kal_iç_ihz";#N/A,#N/A,FALSE,"kal_iç_er";#N/A,#N/A,FALSE,"kal_iç_tut"}</definedName>
    <definedName name="tr" hidden="1">{#N/A,#N/A,FALSE,"kal_iç_ihz";#N/A,#N/A,FALSE,"kal_iç_er";#N/A,#N/A,FALSE,"kal_iç_tut"}</definedName>
    <definedName name="trrt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trurtgf" localSheetId="12" hidden="1">{#N/A,#N/A,FALSE,"Aging Summary";#N/A,#N/A,FALSE,"Ratio Analysis";#N/A,#N/A,FALSE,"Test 120 Day Accts";#N/A,#N/A,FALSE,"Tickmarks"}</definedName>
    <definedName name="trurtgf" localSheetId="14" hidden="1">{#N/A,#N/A,FALSE,"Aging Summary";#N/A,#N/A,FALSE,"Ratio Analysis";#N/A,#N/A,FALSE,"Test 120 Day Accts";#N/A,#N/A,FALSE,"Tickmarks"}</definedName>
    <definedName name="trurtgf" hidden="1">{#N/A,#N/A,FALSE,"Aging Summary";#N/A,#N/A,FALSE,"Ratio Analysis";#N/A,#N/A,FALSE,"Test 120 Day Accts";#N/A,#N/A,FALSE,"Tickmarks"}</definedName>
    <definedName name="trwtewer" localSheetId="12" hidden="1">{#VALUE!,#N/A,TRUE,0;#N/A,#N/A,TRUE,0;#N/A,#N/A,TRUE,0;#N/A,#N/A,TRUE,0;#N/A,#N/A,TRUE,0;#N/A,#N/A,TRUE,0;#N/A,#N/A,TRUE,0}</definedName>
    <definedName name="trwtewer" hidden="1">{#VALUE!,#N/A,TRUE,0;#N/A,#N/A,TRUE,0;#N/A,#N/A,TRUE,0;#N/A,#N/A,TRUE,0;#N/A,#N/A,TRUE,0;#N/A,#N/A,TRUE,0;#N/A,#N/A,TRUE,0}</definedName>
    <definedName name="tt" localSheetId="12" hidden="1">{#VALUE!,#N/A,FALSE,0;#N/A,#N/A,FALSE,0;#N/A,#N/A,FALSE,0;#N/A,#N/A,FALSE,0;#N/A,#N/A,FALSE,0}</definedName>
    <definedName name="tt" hidden="1">{#VALUE!,#N/A,FALSE,0;#N/A,#N/A,FALSE,0;#N/A,#N/A,FALSE,0;#N/A,#N/A,FALSE,0;#N/A,#N/A,FALSE,0}</definedName>
    <definedName name="tttt" localSheetId="12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ttt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uiop" localSheetId="12" hidden="1">{#N/A,#N/A,FALSE,"SUBS";#N/A,#N/A,FALSE,"SUPERS";#N/A,#N/A,FALSE,"FINISHES";#N/A,#N/A,FALSE,"FITTINGS";#N/A,#N/A,FALSE,"SERVICES";#N/A,#N/A,FALSE,"SITEWORKS"}</definedName>
    <definedName name="tuiop" hidden="1">{#N/A,#N/A,FALSE,"SUBS";#N/A,#N/A,FALSE,"SUPERS";#N/A,#N/A,FALSE,"FINISHES";#N/A,#N/A,FALSE,"FITTINGS";#N/A,#N/A,FALSE,"SERVICES";#N/A,#N/A,FALSE,"SITEWORKS"}</definedName>
    <definedName name="TURGUT" localSheetId="12" hidden="1">{"turbine",#N/A,FALSE,"Option"}</definedName>
    <definedName name="TURGUT" hidden="1">{"turbine",#N/A,FALSE,"Option"}</definedName>
    <definedName name="turgutac" localSheetId="12" hidden="1">{#N/A,#N/A,TRUE,"arnitower";#N/A,#N/A,TRUE,"arnigarage "}</definedName>
    <definedName name="turgutac" hidden="1">{#N/A,#N/A,TRUE,"arnitower";#N/A,#N/A,TRUE,"arnigarage "}</definedName>
    <definedName name="tüt" localSheetId="12" hidden="1">{#N/A,#N/A,FALSE,0;#N/A,#N/A,FALSE,0;#N/A,#N/A,FALSE,0}</definedName>
    <definedName name="tüt" hidden="1">{#N/A,#N/A,FALSE,0;#N/A,#N/A,FALSE,0;#N/A,#N/A,FALSE,0}</definedName>
    <definedName name="ty" localSheetId="12" hidden="1">{#N/A,#N/A,FALSE,"SUBS";#N/A,#N/A,FALSE,"SUPERS";#N/A,#N/A,FALSE,"FINISHES";#N/A,#N/A,FALSE,"FITTINGS";#N/A,#N/A,FALSE,"SERVICES";#N/A,#N/A,FALSE,"SITEWORKS"}</definedName>
    <definedName name="ty" hidden="1">{#N/A,#N/A,FALSE,"SUBS";#N/A,#N/A,FALSE,"SUPERS";#N/A,#N/A,FALSE,"FINISHES";#N/A,#N/A,FALSE,"FITTINGS";#N/A,#N/A,FALSE,"SERVICES";#N/A,#N/A,FALSE,"SITEWORKS"}</definedName>
    <definedName name="tyu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" hidden="1">#REF!</definedName>
    <definedName name="üa" localSheetId="12" hidden="1">{#VALUE!,#N/A,TRUE,0;#N/A,#N/A,TRUE,0;#N/A,#N/A,TRUE,0;#N/A,#N/A,TRUE,0;#N/A,#N/A,TRUE,0;#N/A,#N/A,TRUE,0;#N/A,#N/A,TRUE,0}</definedName>
    <definedName name="üa" hidden="1">{#VALUE!,#N/A,TRUE,0;#N/A,#N/A,TRUE,0;#N/A,#N/A,TRUE,0;#N/A,#N/A,TRUE,0;#N/A,#N/A,TRUE,0;#N/A,#N/A,TRUE,0;#N/A,#N/A,TRUE,0}</definedName>
    <definedName name="üaa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a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hb" localSheetId="12" hidden="1">{"terfi1icmal",#N/A,FALSE,"tericm";"terfi2icmal",#N/A,FALSE,"tericm";"terfi3icmal",#N/A,FALSE,"tericm"}</definedName>
    <definedName name="uhb" hidden="1">{"terfi1icmal",#N/A,FALSE,"tericm";"terfi2icmal",#N/A,FALSE,"tericm";"terfi3icmal",#N/A,FALSE,"tericm"}</definedName>
    <definedName name="ui" hidden="1">#REF!</definedName>
    <definedName name="uiop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bn" localSheetId="12" hidden="1">{#N/A,#N/A,FALSE,"SUBS";#N/A,#N/A,FALSE,"SUPERS";#N/A,#N/A,FALSE,"FINISHES";#N/A,#N/A,FALSE,"FITTINGS";#N/A,#N/A,FALSE,"SERVICES";#N/A,#N/A,FALSE,"SITEWORKS"}</definedName>
    <definedName name="uiopbn" hidden="1">{#N/A,#N/A,FALSE,"SUBS";#N/A,#N/A,FALSE,"SUPERS";#N/A,#N/A,FALSE,"FINISHES";#N/A,#N/A,FALSE,"FITTINGS";#N/A,#N/A,FALSE,"SERVICES";#N/A,#N/A,FALSE,"SITEWORKS"}</definedName>
    <definedName name="uiopl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ııı" localSheetId="12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ııı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ııııı" localSheetId="12" hidden="1">{#N/A,#N/A,FALSE,"maff_h1";#N/A,#N/A,FALSE,"maff_h2";#N/A,#N/A,FALSE,"maff_h3";#N/A,#N/A,FALSE,"maff_h4";#N/A,#N/A,FALSE,"maff_h5";#N/A,#N/A,FALSE,"maff_h6";#N/A,#N/A,FALSE,"maff_h7"}</definedName>
    <definedName name="uııııı" hidden="1">{#N/A,#N/A,FALSE,"maff_h1";#N/A,#N/A,FALSE,"maff_h2";#N/A,#N/A,FALSE,"maff_h3";#N/A,#N/A,FALSE,"maff_h4";#N/A,#N/A,FALSE,"maff_h5";#N/A,#N/A,FALSE,"maff_h6";#N/A,#N/A,FALSE,"maff_h7"}</definedName>
    <definedName name="uıııuı" localSheetId="12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uıııu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uııuıu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ııu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ıuı" localSheetId="12" hidden="1">{#N/A,#N/A,FALSE,"avans";#N/A,#N/A,FALSE,"teminat_mektubu";#N/A,#N/A,FALSE,"ihz. icmal";#N/A,#N/A,FALSE,"söz_fiy_fark";#N/A,#N/A,FALSE,"kap2";#N/A,#N/A,FALSE,"mal_FF_icm";#N/A,#N/A,FALSE,"kap1"}</definedName>
    <definedName name="uıuı" hidden="1">{#N/A,#N/A,FALSE,"avans";#N/A,#N/A,FALSE,"teminat_mektubu";#N/A,#N/A,FALSE,"ihz. icmal";#N/A,#N/A,FALSE,"söz_fiy_fark";#N/A,#N/A,FALSE,"kap2";#N/A,#N/A,FALSE,"mal_FF_icm";#N/A,#N/A,FALSE,"kap1"}</definedName>
    <definedName name="uıuıuıuı" localSheetId="12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uıuıuı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uj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H" localSheetId="12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D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m" localSheetId="12" hidden="1">{"terfi1fiyat",#N/A,FALSE,"terfiyat";"terfi2fiyat",#N/A,FALSE,"terfiyat"}</definedName>
    <definedName name="ujm" hidden="1">{"terfi1fiyat",#N/A,FALSE,"terfiyat";"terfi2fiyat",#N/A,FALSE,"terfiyat"}</definedName>
    <definedName name="uk" hidden="1">#REF!</definedName>
    <definedName name="ulul" localSheetId="1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ulul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ünsal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nsa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m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m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uı" localSheetId="12" hidden="1">{#N/A,#N/A,FALSE,"inş_iç_ihz";#N/A,#N/A,FALSE,"inş_iç_er";#N/A,#N/A,FALSE,"inş_iç_tut"}</definedName>
    <definedName name="uuı" hidden="1">{#N/A,#N/A,FALSE,"inş_iç_ihz";#N/A,#N/A,FALSE,"inş_iç_er";#N/A,#N/A,FALSE,"inş_iç_tut"}</definedName>
    <definedName name="uuııı" localSheetId="12" hidden="1">{#N/A,#N/A,FALSE,"kal_iç_ihz";#N/A,#N/A,FALSE,"kal_iç_er";#N/A,#N/A,FALSE,"kal_iç_tut"}</definedName>
    <definedName name="uuııı" hidden="1">{#N/A,#N/A,FALSE,"kal_iç_ihz";#N/A,#N/A,FALSE,"kal_iç_er";#N/A,#N/A,FALSE,"kal_iç_tut"}</definedName>
    <definedName name="uuıyy" localSheetId="12" hidden="1">{#VALUE!,#N/A,FALSE,0;#N/A,#N/A,FALSE,0;#N/A,#N/A,FALSE,0;#N/A,#N/A,FALSE,0;#N/A,#N/A,FALSE,0;#N/A,#N/A,FALSE,0;#N/A,#N/A,FALSE,0;#N/A,#N/A,FALSE,0;#N/A,#N/A,FALSE,0;#N/A,#N/A,FALSE,0;#N/A,#N/A,FALSE,0}</definedName>
    <definedName name="uuıyy" hidden="1">{#VALUE!,#N/A,FALSE,0;#N/A,#N/A,FALSE,0;#N/A,#N/A,FALSE,0;#N/A,#N/A,FALSE,0;#N/A,#N/A,FALSE,0;#N/A,#N/A,FALSE,0;#N/A,#N/A,FALSE,0;#N/A,#N/A,FALSE,0;#N/A,#N/A,FALSE,0;#N/A,#N/A,FALSE,0;#N/A,#N/A,FALSE,0}</definedName>
    <definedName name="uuu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ı" localSheetId="12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uuu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uuuııu" localSheetId="12" hidden="1">{#N/A,#N/A,FALSE,"müş_iç_ihz";#N/A,#N/A,FALSE,"müş_iç_er";#N/A,#N/A,FALSE,"müş_iç_tut"}</definedName>
    <definedName name="uuuııu" hidden="1">{#N/A,#N/A,FALSE,"müş_iç_ihz";#N/A,#N/A,FALSE,"müş_iç_er";#N/A,#N/A,FALSE,"müş_iç_tut"}</definedName>
    <definedName name="uuuuııuıı" localSheetId="1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uuuııu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" localSheetId="12" hidden="1">{#VALUE!,#N/A,TRUE,0;#N/A,#N/A,TRUE,0;#N/A,#N/A,TRUE,0;#N/A,#N/A,TRUE,0;#N/A,#N/A,TRUE,0;#N/A,#N/A,TRUE,0;#N/A,#N/A,TRUE,0}</definedName>
    <definedName name="uy" hidden="1">{#VALUE!,#N/A,TRUE,0;#N/A,#N/A,TRUE,0;#N/A,#N/A,TRUE,0;#N/A,#N/A,TRUE,0;#N/A,#N/A,TRUE,0;#N/A,#N/A,TRUE,0;#N/A,#N/A,TRUE,0}</definedName>
    <definedName name="UYI" localSheetId="12" hidden="1">{#N/A,#N/A,FALSE,"elk_iç_er";#N/A,#N/A,FALSE,"elk_iç_tut";#N/A,#N/A,FALSE,"elk_iç_ihz"}</definedName>
    <definedName name="UYI" hidden="1">{#N/A,#N/A,FALSE,"elk_iç_er";#N/A,#N/A,FALSE,"elk_iç_tut";#N/A,#N/A,FALSE,"elk_iç_ihz"}</definedName>
    <definedName name="uyıııı" localSheetId="1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ıı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yuı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yyu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" localSheetId="12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riation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bcvbv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bcvbv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fhbyf" hidden="1">#REF!</definedName>
    <definedName name="vfvfv" localSheetId="12" hidden="1">{#N/A,#N/A,FALSE,"Broker Sheet";#N/A,#N/A,FALSE,"Exec.Summary";#N/A,#N/A,FALSE,"Argus Cash Flow";#N/A,#N/A,FALSE,"SPF";#N/A,#N/A,FALSE,"RentRoll"}</definedName>
    <definedName name="vfvfv" hidden="1">{#N/A,#N/A,FALSE,"Broker Sheet";#N/A,#N/A,FALSE,"Exec.Summary";#N/A,#N/A,FALSE,"Argus Cash Flow";#N/A,#N/A,FALSE,"SPF";#N/A,#N/A,FALSE,"RentRoll"}</definedName>
    <definedName name="Vntz" hidden="1">#REF!</definedName>
    <definedName name="vşş" localSheetId="1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vşş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vur" hidden="1">#REF!</definedName>
    <definedName name="vural" hidden="1">#REF!</definedName>
    <definedName name="vv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WER" localSheetId="12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VWER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" localSheetId="12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4TF" localSheetId="12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4TF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at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a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efwef" hidden="1">#REF!</definedName>
    <definedName name="weq" localSheetId="12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eq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er" localSheetId="12" hidden="1">{#N/A,#N/A,FALSE,"Aging Summary";#N/A,#N/A,FALSE,"Ratio Analysis";#N/A,#N/A,FALSE,"Test 120 Day Accts";#N/A,#N/A,FALSE,"Tickmarks"}</definedName>
    <definedName name="wer" localSheetId="14" hidden="1">{#N/A,#N/A,FALSE,"Aging Summary";#N/A,#N/A,FALSE,"Ratio Analysis";#N/A,#N/A,FALSE,"Test 120 Day Accts";#N/A,#N/A,FALSE,"Tickmarks"}</definedName>
    <definedName name="wer" hidden="1">{#N/A,#N/A,FALSE,"Aging Summary";#N/A,#N/A,FALSE,"Ratio Analysis";#N/A,#N/A,FALSE,"Test 120 Day Accts";#N/A,#N/A,FALSE,"Tickmarks"}</definedName>
    <definedName name="WERERWQEWE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RERWQ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rt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rt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rwer" hidden="1">#REF!</definedName>
    <definedName name="west" hidden="1">{"data",#N/A,FALSE,"INPUT"}</definedName>
    <definedName name="wETGWT" localSheetId="12" hidden="1">{#N/A,#N/A,FALSE,"Broker Sheet";#N/A,#N/A,FALSE,"Exec.Summary";#N/A,#N/A,FALSE,"Argus Cash Flow";#N/A,#N/A,FALSE,"SPF";#N/A,#N/A,FALSE,"RentRoll"}</definedName>
    <definedName name="wETGWT" hidden="1">{#N/A,#N/A,FALSE,"Broker Sheet";#N/A,#N/A,FALSE,"Exec.Summary";#N/A,#N/A,FALSE,"Argus Cash Flow";#N/A,#N/A,FALSE,"SPF";#N/A,#N/A,FALSE,"RentRoll"}</definedName>
    <definedName name="WEWEWEWE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WEW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WEWEWEWE" localSheetId="12" hidden="1">{#VALUE!,#N/A,FALSE,0;#N/A,#N/A,FALSE,0;#N/A,#N/A,FALSE,0;#N/A,#N/A,FALSE,0}</definedName>
    <definedName name="WEWEWEWEWE" hidden="1">{#VALUE!,#N/A,FALSE,0;#N/A,#N/A,FALSE,0;#N/A,#N/A,FALSE,0;#N/A,#N/A,FALSE,0}</definedName>
    <definedName name="weyw" hidden="1">#REF!</definedName>
    <definedName name="Whitechapel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hitechape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İN.ED" localSheetId="1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İN.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q" localSheetId="12" hidden="1">{#N/A,#N/A,FALSE,"müş_iç_ihz";#N/A,#N/A,FALSE,"müş_iç_er";#N/A,#N/A,FALSE,"müş_iç_tut"}</definedName>
    <definedName name="wq" hidden="1">{#N/A,#N/A,FALSE,"müş_iç_ihz";#N/A,#N/A,FALSE,"müş_iç_er";#N/A,#N/A,FALSE,"müş_iç_tut"}</definedName>
    <definedName name="wqq" localSheetId="12" hidden="1">{#N/A,#N/A,FALSE,"elk_iç_er";#N/A,#N/A,FALSE,"elk_iç_tut";#N/A,#N/A,FALSE,"elk_iç_ihz"}</definedName>
    <definedName name="wqq" hidden="1">{#N/A,#N/A,FALSE,"elk_iç_er";#N/A,#N/A,FALSE,"elk_iç_tut";#N/A,#N/A,FALSE,"elk_iç_ihz"}</definedName>
    <definedName name="wqwqw" localSheetId="12" hidden="1">{#VALUE!,#N/A,TRUE,0;#N/A,#N/A,TRUE,0;#N/A,#N/A,TRUE,0;#N/A,#N/A,TRUE,0;#N/A,#N/A,TRUE,0;#N/A,#N/A,TRUE,0;#N/A,#N/A,TRUE,0}</definedName>
    <definedName name="wqwqw" hidden="1">{#VALUE!,#N/A,TRUE,0;#N/A,#N/A,TRUE,0;#N/A,#N/A,TRUE,0;#N/A,#N/A,TRUE,0;#N/A,#N/A,TRUE,0;#N/A,#N/A,TRUE,0;#N/A,#N/A,TRUE,0}</definedName>
    <definedName name="wqwqwq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qwqwq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exham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ex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eywr" hidden="1">#REF!</definedName>
    <definedName name="wrn" localSheetId="12" hidden="1">{"glc1",#N/A,FALSE,"GLC";"glc2",#N/A,FALSE,"GLC";"glc3",#N/A,FALSE,"GLC";"glc4",#N/A,FALSE,"GLC";"glc5",#N/A,FALSE,"GLC"}</definedName>
    <definedName name="wrn" localSheetId="14" hidden="1">{"glc1",#N/A,FALSE,"GLC";"glc2",#N/A,FALSE,"GLC";"glc3",#N/A,FALSE,"GLC";"glc4",#N/A,FALSE,"GLC";"glc5",#N/A,FALSE,"GLC"}</definedName>
    <definedName name="wrn" hidden="1">{"glc1",#N/A,FALSE,"GLC";"glc2",#N/A,FALSE,"GLC";"glc3",#N/A,FALSE,"GLC";"glc4",#N/A,FALSE,"GLC";"glc5",#N/A,FALSE,"GLC"}</definedName>
    <definedName name="wrn.1." localSheetId="12" hidden="1">{#N/A,#N/A,FALSE,"Расчет вспомогательных"}</definedName>
    <definedName name="wrn.1." localSheetId="14" hidden="1">{"konoplin - Личное представление",#N/A,TRUE,"ФинПлан_1кв";"konoplin - Личное представление",#N/A,TRUE,"ФинПлан_2кв"}</definedName>
    <definedName name="wrn.1." hidden="1">{#N/A,#N/A,FALSE,"Расчет вспомогательных"}</definedName>
    <definedName name="wrn.10._.Per._.Cent._.Success." localSheetId="12" hidden="1">{#N/A,"10% Success",FALSE,"Sales Forecast";#N/A,#N/A,FALSE,"Sheet2"}</definedName>
    <definedName name="wrn.10._.Per._.Cent._.Success." localSheetId="14" hidden="1">{#N/A,"10% Success",FALSE,"Sales Forecast";#N/A,#N/A,FALSE,"Sheet2"}</definedName>
    <definedName name="wrn.10._.Per._.Cent._.Success." hidden="1">{#N/A,"10% Success",FALSE,"Sales Forecast";#N/A,#N/A,FALSE,"Sheet2"}</definedName>
    <definedName name="wrn.100._.Per._.Cent._.Success." localSheetId="12" hidden="1">{#N/A,"100% Success",TRUE,"Sales Forecast";#N/A,#N/A,TRUE,"Sheet2"}</definedName>
    <definedName name="wrn.100._.Per._.Cent._.Success." localSheetId="14" hidden="1">{#N/A,"100% Success",TRUE,"Sales Forecast";#N/A,#N/A,TRUE,"Sheet2"}</definedName>
    <definedName name="wrn.100._.Per._.Cent._.Success." hidden="1">{#N/A,"100% Success",TRUE,"Sales Forecast";#N/A,#N/A,TRUE,"Sheet2"}</definedName>
    <definedName name="wrn.2" localSheetId="1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30._.Per._.Cent." localSheetId="12" hidden="1">{#N/A,"30% Success",TRUE,"Sales Forecast";#N/A,#N/A,TRUE,"Sheet2"}</definedName>
    <definedName name="wrn.30._.Per._.Cent." localSheetId="14" hidden="1">{#N/A,"30% Success",TRUE,"Sales Forecast";#N/A,#N/A,TRUE,"Sheet2"}</definedName>
    <definedName name="wrn.30._.Per._.Cent." hidden="1">{#N/A,"30% Success",TRUE,"Sales Forecast";#N/A,#N/A,TRUE,"Sheet2"}</definedName>
    <definedName name="wrn.70._.Per._.Cent._.Success." localSheetId="12" hidden="1">{#N/A,"70% Success",FALSE,"Sales Forecast";#N/A,#N/A,FALSE,"Sheet2"}</definedName>
    <definedName name="wrn.70._.Per._.Cent._.Success." localSheetId="14" hidden="1">{#N/A,"70% Success",FALSE,"Sales Forecast";#N/A,#N/A,FALSE,"Sheet2"}</definedName>
    <definedName name="wrn.70._.Per._.Cent._.Success." hidden="1">{#N/A,"70% Success",FALSE,"Sales Forecast";#N/A,#N/A,FALSE,"Sheet2"}</definedName>
    <definedName name="wrn.ку." localSheetId="12" hidden="1">{#N/A,#N/A,TRUE,"Лист2"}</definedName>
    <definedName name="wrn.ку." hidden="1">{#N/A,#N/A,TRUE,"Лист2"}</definedName>
    <definedName name="wrn.Отчет." hidden="1">{#N/A,#N/A,TRUE,"Лист3"}</definedName>
    <definedName name="wrn.справка._.для._.Отдела._.МС." hidden="1">{#VALUE!,#N/A,TRUE,0}</definedName>
    <definedName name="wrn.A." localSheetId="12" hidden="1">{#VALUE!,#N/A,FALSE,0;#N/A,#N/A,FALSE,0;#N/A,#N/A,FALSE,0;#N/A,#N/A,FALSE,0;#N/A,#N/A,FALSE,0}</definedName>
    <definedName name="wrn.A." hidden="1">{#VALUE!,#N/A,FALSE,0;#N/A,#N/A,FALSE,0;#N/A,#N/A,FALSE,0;#N/A,#N/A,FALSE,0;#N/A,#N/A,FALSE,0}</definedName>
    <definedName name="wrn.age._.ihzarat." localSheetId="12" hidden="1">{#N/A,#N/A,FALSE,"ihz. icmal";#N/A,#N/A,FALSE,"avans";#N/A,#N/A,FALSE,"mal_FF_icm";#N/A,#N/A,FALSE,"fat_ihz";#N/A,#N/A,FALSE,"söz_fiy_fark";#N/A,#N/A,FALSE,"kap2"}</definedName>
    <definedName name="wrn.age._.ihzarat." hidden="1">{#N/A,#N/A,FALSE,"ihz. icmal";#N/A,#N/A,FALSE,"avans";#N/A,#N/A,FALSE,"mal_FF_icm";#N/A,#N/A,FALSE,"fat_ihz";#N/A,#N/A,FALSE,"söz_fiy_fark";#N/A,#N/A,FALSE,"kap2"}</definedName>
    <definedName name="wrn.age._.imalat." localSheetId="12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e._.imalat.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ing" localSheetId="12" hidden="1">{#N/A,#N/A,FALSE,"Aging Summary";#N/A,#N/A,FALSE,"Ratio Analysis";#N/A,#N/A,FALSE,"Test 120 Day Accts";#N/A,#N/A,FALSE,"Tickmarks"}</definedName>
    <definedName name="wrn.Aging" localSheetId="14" hidden="1">{#N/A,#N/A,FALSE,"Aging Summary";#N/A,#N/A,FALSE,"Ratio Analysis";#N/A,#N/A,FALSE,"Test 120 Day Accts";#N/A,#N/A,FALSE,"Tickmarks"}</definedName>
    <definedName name="wrn.Aging" hidden="1">{#N/A,#N/A,FALSE,"Aging Summary";#N/A,#N/A,FALSE,"Ratio Analysis";#N/A,#N/A,FALSE,"Test 120 Day Accts";#N/A,#N/A,FALSE,"Tickmarks"}</definedName>
    <definedName name="wrn.Aging._.and._.Trend._.Analysis." localSheetId="12" hidden="1">{#N/A,#N/A,FALSE,"Aging Summary";#N/A,#N/A,FALSE,"Ratio Analysis";#N/A,#N/A,FALSE,"Test 120 Day Accts";#N/A,#N/A,FALSE,"Tickmarks"}</definedName>
    <definedName name="wrn.Aging._.and._.Trend._.Analysis." localSheetId="1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and._Trend._.Analysis.2" localSheetId="12" hidden="1">{#N/A,#N/A,FALSE,"Aging Summary";#N/A,#N/A,FALSE,"Ratio Analysis";#N/A,#N/A,FALSE,"Test 120 Day Accts";#N/A,#N/A,FALSE,"Tickmarks"}</definedName>
    <definedName name="wrn.Aging.and._Trend._.Analysis.2" localSheetId="14" hidden="1">{#N/A,#N/A,FALSE,"Aging Summary";#N/A,#N/A,FALSE,"Ratio Analysis";#N/A,#N/A,FALSE,"Test 120 Day Accts";#N/A,#N/A,FALSE,"Tickmarks"}</definedName>
    <definedName name="wrn.Aging.and._Trend._.Analysis.2" hidden="1">{#N/A,#N/A,FALSE,"Aging Summary";#N/A,#N/A,FALSE,"Ratio Analysis";#N/A,#N/A,FALSE,"Test 120 Day Accts";#N/A,#N/A,FALSE,"Tickmarks"}</definedName>
    <definedName name="wrn.AHMET." localSheetId="12" hidden="1">{#VALUE!,#N/A,FALSE,0;#N/A,#N/A,FALSE,0;#N/A,#N/A,FALSE,0;#N/A,#N/A,FALSE,0}</definedName>
    <definedName name="wrn.AHMET." hidden="1">{#VALUE!,#N/A,FALSE,0;#N/A,#N/A,FALSE,0;#N/A,#N/A,FALSE,0;#N/A,#N/A,FALSE,0}</definedName>
    <definedName name="wrn.akyuz_hakedis." localSheetId="12" hidden="1">{#VALUE!,#N/A,TRUE,0;#N/A,#N/A,TRUE,0;#N/A,#N/A,TRUE,0;#N/A,#N/A,TRUE,0;#N/A,#N/A,TRUE,0;#N/A,#N/A,TRUE,0;#N/A,#N/A,TRUE,0;#N/A,#N/A,TRUE,0}</definedName>
    <definedName name="wrn.akyuz_hakedis." hidden="1">{#VALUE!,#N/A,TRUE,0;#N/A,#N/A,TRUE,0;#N/A,#N/A,TRUE,0;#N/A,#N/A,TRUE,0;#N/A,#N/A,TRUE,0;#N/A,#N/A,TRUE,0;#N/A,#N/A,TRUE,0;#N/A,#N/A,TRUE,0}</definedName>
    <definedName name="wrn.ALL." localSheetId="12" hidden="1">{#N/A,#N/A,FALSE,"DCF";#N/A,#N/A,FALSE,"WACC";#N/A,#N/A,FALSE,"Sales_EBIT";#N/A,#N/A,FALSE,"Capex_Depreciation";#N/A,#N/A,FALSE,"WC";#N/A,#N/A,FALSE,"Interest";#N/A,#N/A,FALSE,"Assumptions"}</definedName>
    <definedName name="wrn.ALL." localSheetId="14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lines." localSheetId="12" hidden="1">{#N/A,#N/A,FALSE,"Summary";#N/A,#N/A,FALSE,"3TJ";#N/A,#N/A,FALSE,"3TN";#N/A,#N/A,FALSE,"3TP";#N/A,#N/A,FALSE,"3SJ";#N/A,#N/A,FALSE,"3CJ";#N/A,#N/A,FALSE,"3CN";#N/A,#N/A,FALSE,"3CP";#N/A,#N/A,FALSE,"3A"}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tıksu_hat." localSheetId="12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wrn.atıksu_hat.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wrn.atıksu_parsel_baca." localSheetId="12" hidden="1">{#N/A,#N/A,FALSE,"parsel_atıksu_icmal";#N/A,#N/A,FALSE,"parsel_atıksu 236";#N/A,#N/A,FALSE,"parsel_atıksu 238";#N/A,#N/A,FALSE,"parsel_atıksu 244";#N/A,#N/A,FALSE,"parsel_atıksu 245";#N/A,#N/A,FALSE,"parsel_atıksu 246"}</definedName>
    <definedName name="wrn.atıksu_parsel_baca." hidden="1">{#N/A,#N/A,FALSE,"parsel_atıksu_icmal";#N/A,#N/A,FALSE,"parsel_atıksu 236";#N/A,#N/A,FALSE,"parsel_atıksu 238";#N/A,#N/A,FALSE,"parsel_atıksu 244";#N/A,#N/A,FALSE,"parsel_atıksu 245";#N/A,#N/A,FALSE,"parsel_atıksu 246"}</definedName>
    <definedName name="wrn.ayrap." localSheetId="12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ayrap.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Backup." localSheetId="12" hidden="1">{#N/A,#N/A,FALSE,"SUBS";#N/A,#N/A,FALSE,"SUPERS";#N/A,#N/A,FALSE,"FINISHES";#N/A,#N/A,FALSE,"FITTINGS";#N/A,#N/A,FALSE,"SERVICES";#N/A,#N/A,FALSE,"SITEWORKS"}</definedName>
    <definedName name="wrn.Backup." hidden="1">{#N/A,#N/A,FALSE,"SUBS";#N/A,#N/A,FALSE,"SUPERS";#N/A,#N/A,FALSE,"FINISHES";#N/A,#N/A,FALSE,"FITTINGS";#N/A,#N/A,FALSE,"SERVICES";#N/A,#N/A,FALSE,"SITEWORKS"}</definedName>
    <definedName name="wrn.backup1" localSheetId="12" hidden="1">{#N/A,#N/A,FALSE,"SUBS";#N/A,#N/A,FALSE,"SUPERS";#N/A,#N/A,FALSE,"FINISHES";#N/A,#N/A,FALSE,"FITTINGS";#N/A,#N/A,FALSE,"SERVICES";#N/A,#N/A,FALSE,"SITEWORKS"}</definedName>
    <definedName name="wrn.backup1" hidden="1">{#N/A,#N/A,FALSE,"SUBS";#N/A,#N/A,FALSE,"SUPERS";#N/A,#N/A,FALSE,"FINISHES";#N/A,#N/A,FALSE,"FITTINGS";#N/A,#N/A,FALSE,"SERVICES";#N/A,#N/A,FALSE,"SITEWORKS"}</definedName>
    <definedName name="wrn.Barbara._.Modular._.Indirects." localSheetId="1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sicfin." localSheetId="12" hidden="1">{"assets",#N/A,FALSE,"historicBS";"liab",#N/A,FALSE,"historicBS";"is",#N/A,FALSE,"historicIS";"ratios",#N/A,FALSE,"ratios"}</definedName>
    <definedName name="wrn.basicfin." localSheetId="14" hidden="1">{"assets",#N/A,FALSE,"historicBS";"liab",#N/A,FALSE,"historicBS";"is",#N/A,FALSE,"historicIS";"ratios",#N/A,FALSE,"ratios"}</definedName>
    <definedName name="wrn.basicfin." hidden="1">{"assets",#N/A,FALSE,"historicBS";"liab",#N/A,FALSE,"historicBS";"is",#N/A,FALSE,"historicIS";"ratios",#N/A,FALSE,"ratios"}</definedName>
    <definedName name="wrn.basicfin.2" localSheetId="12" hidden="1">{"assets",#N/A,FALSE,"historicBS";"liab",#N/A,FALSE,"historicBS";"is",#N/A,FALSE,"historicIS";"ratios",#N/A,FALSE,"ratios"}</definedName>
    <definedName name="wrn.basicfin.2" localSheetId="14" hidden="1">{"assets",#N/A,FALSE,"historicBS";"liab",#N/A,FALSE,"historicBS";"is",#N/A,FALSE,"historicIS";"ratios",#N/A,FALSE,"ratios"}</definedName>
    <definedName name="wrn.basicfin.2" hidden="1">{"assets",#N/A,FALSE,"historicBS";"liab",#N/A,FALSE,"historicBS";"is",#N/A,FALSE,"historicIS";"ratios",#N/A,FALSE,"ratios"}</definedName>
    <definedName name="wrn.başyazıcıoğlu." localSheetId="12" hidden="1">{#VALUE!,#N/A,FALSE,0;#N/A,#N/A,FALSE,0;#N/A,#N/A,FALSE,0;#N/A,#N/A,FALSE,0;#N/A,#N/A,FALSE,0;#N/A,#N/A,FALSE,0;#N/A,#N/A,FALSE,0;#N/A,#N/A,FALSE,0;#N/A,#N/A,FALSE,0;#N/A,#N/A,FALSE,0;#N/A,#N/A,FALSE,0}</definedName>
    <definedName name="wrn.başyazıcıoğlu." hidden="1">{#VALUE!,#N/A,FALSE,0;#N/A,#N/A,FALSE,0;#N/A,#N/A,FALSE,0;#N/A,#N/A,FALSE,0;#N/A,#N/A,FALSE,0;#N/A,#N/A,FALSE,0;#N/A,#N/A,FALSE,0;#N/A,#N/A,FALSE,0;#N/A,#N/A,FALSE,0;#N/A,#N/A,FALSE,0;#N/A,#N/A,FALSE,0}</definedName>
    <definedName name="wrn.bauma_f." localSheetId="12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auma_f." localSheetId="14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auma_f.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eg_italia." hidden="1">{#N/A,#N/A,FALSE,"Recap";#N/A,#N/A,FALSE,"Roma";#N/A,#N/A,FALSE,"Rimini Conad";#N/A,#N/A,FALSE,"Bari cine focus";#N/A,#N/A,FALSE,"Guissano";#N/A,#N/A,FALSE,"Assago";#N/A,#N/A,FALSE,"Bari GS";#N/A,#N/A,FALSE,"Uranio Verone";#N/A,#N/A,FALSE,"Bari LM";#N/A,#N/A,FALSE,"modugno Auchan";#N/A,#N/A,FALSE,"Cagliari";#N/A,#N/A,FALSE,"Firenze";#N/A,#N/A,FALSE,"Fiumicino";#N/A,#N/A,FALSE,"caserta";#N/A,#N/A,FALSE,"Mestre - 2";#N/A,#N/A,FALSE,"Recap_Francs";#N/A,#N/A,FALSE,"Approche traduction"}</definedName>
    <definedName name="wrn.bh." localSheetId="12" hidden="1">{#N/A,#N/A,FALSE,"TELEFON"}</definedName>
    <definedName name="wrn.bh." hidden="1">{#N/A,#N/A,FALSE,"TELEFON"}</definedName>
    <definedName name="wrn.bh1." localSheetId="12" hidden="1">{#N/A,#N/A,FALSE,"TELEFON"}</definedName>
    <definedName name="wrn.bh1." hidden="1">{#N/A,#N/A,FALSE,"TELEFON"}</definedName>
    <definedName name="wrn.BIMAL.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IMAL.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canon." localSheetId="12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anon.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F._.Print." localSheetId="1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pa." localSheetId="12" hidden="1">{#N/A,#N/A,TRUE,"TOC";#N/A,#N/A,TRUE,"Trends";#N/A,#N/A,TRUE,"Sorted";#N/A,#N/A,TRUE,"GLC";#N/A,#N/A,TRUE,"Medians";#N/A,#N/A,TRUE,"Y-o-Y";#N/A,#N/A,TRUE,"Ratio-def";#N/A,#N/A,TRUE,"BS_IAS";#N/A,#N/A,TRUE,"IS_IAS"}</definedName>
    <definedName name="wrn.cfpa." localSheetId="14" hidden="1">{#N/A,#N/A,TRUE,"TOC";#N/A,#N/A,TRUE,"Trends";#N/A,#N/A,TRUE,"Sorted";#N/A,#N/A,TRUE,"GLC";#N/A,#N/A,TRUE,"Medians";#N/A,#N/A,TRUE,"Y-o-Y";#N/A,#N/A,TRUE,"Ratio-def";#N/A,#N/A,TRUE,"BS_IAS";#N/A,#N/A,TRUE,"IS_IAS"}</definedName>
    <definedName name="wrn.cfpa." hidden="1">{#N/A,#N/A,TRUE,"TOC";#N/A,#N/A,TRUE,"Trends";#N/A,#N/A,TRUE,"Sorted";#N/A,#N/A,TRUE,"GLC";#N/A,#N/A,TRUE,"Medians";#N/A,#N/A,TRUE,"Y-o-Y";#N/A,#N/A,TRUE,"Ratio-def";#N/A,#N/A,TRUE,"BS_IAS";#N/A,#N/A,TRUE,"IS_IAS"}</definedName>
    <definedName name="wrn.CHIEF._.REVIEW." localSheetId="12" hidden="1">{#N/A,#N/A,FALSE,"Q&amp;AE";#N/A,#N/A,FALSE,"Params";#N/A,#N/A,FALSE,"ReconE";#N/A,#N/A,FALSE,"CostCompE";#N/A,#N/A,FALSE,"SummaryE";#N/A,#N/A,FALSE,"Detail";#N/A,#N/A,FALSE,"PayItem"}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localSheetId="12" hidden="1">{"DBANK",#N/A,FALSE,"PriceE";"CKTS",#N/A,FALSE,"PriceE"}</definedName>
    <definedName name="wrn.CIRCUITS." hidden="1">{"DBANK",#N/A,FALSE,"PriceE";"CKTS",#N/A,FALSE,"PriceE"}</definedName>
    <definedName name="wrn.Coded._.IAS._.FS." hidden="1">{"IASTrail",#N/A,FALSE,"IAS"}</definedName>
    <definedName name="wrn.COST_SHEETS." localSheetId="12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._.Report.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._.Report.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data." hidden="1">{"data",#N/A,FALSE,"INPUT"}</definedName>
    <definedName name="wrn.DCFEpervier." localSheetId="1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ış." localSheetId="1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ış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x." localSheetId="12" hidden="1">{#VALUE!,#N/A,FALSE,0;#N/A,#N/A,FALSE,0;#N/A,#N/A,FALSE,0;#N/A,#N/A,FALSE,0;#N/A,#N/A,FALSE,0;#N/A,#N/A,FALSE,0}</definedName>
    <definedName name="wrn.dx." hidden="1">{#VALUE!,#N/A,FALSE,0;#N/A,#N/A,FALSE,0;#N/A,#N/A,FALSE,0;#N/A,#N/A,FALSE,0;#N/A,#N/A,FALSE,0;#N/A,#N/A,FALSE,0}</definedName>
    <definedName name="wrn.ekinci._.imalat." localSheetId="12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kinci._.imalat.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lektirk._.hakediş." localSheetId="12" hidden="1">{#N/A,#N/A,FALSE,"12.10";#N/A,#N/A,FALSE,"12.11";#N/A,#N/A,FALSE,"12.12";#N/A,#N/A,FALSE,"12.21";#N/A,#N/A,FALSE,"12.22";#N/A,#N/A,FALSE,"12.23";#N/A,#N/A,FALSE,"12.24";#N/A,#N/A,FALSE,"12.25";#N/A,#N/A,FALSE,"12.26"}</definedName>
    <definedName name="wrn.elektirk._.hakediş." hidden="1">{#N/A,#N/A,FALSE,"12.10";#N/A,#N/A,FALSE,"12.11";#N/A,#N/A,FALSE,"12.12";#N/A,#N/A,FALSE,"12.21";#N/A,#N/A,FALSE,"12.22";#N/A,#N/A,FALSE,"12.23";#N/A,#N/A,FALSE,"12.24";#N/A,#N/A,FALSE,"12.25";#N/A,#N/A,FALSE,"12.26"}</definedName>
    <definedName name="wrn.elektrik_iç." localSheetId="12" hidden="1">{#N/A,#N/A,FALSE,"elk_iç_er";#N/A,#N/A,FALSE,"elk_iç_tut";#N/A,#N/A,FALSE,"elk_iç_ihz"}</definedName>
    <definedName name="wrn.elektrik_iç." hidden="1">{#N/A,#N/A,FALSE,"elk_iç_er";#N/A,#N/A,FALSE,"elk_iç_tut";#N/A,#N/A,FALSE,"elk_iç_ihz"}</definedName>
    <definedName name="wrn.ENERJI._.TEMİNİ." localSheetId="12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wrn.ENERJI._.TEMİNİ.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wrn.ffrv.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wrn.ffrv." hidden="1">{#VALUE!,#N/A,FALSE,0;#N/A,#N/A,FALSE,0;#N/A,#N/A,FALSE,0;#N/A,#N/A,FALSE,0;#N/A,#N/A,FALSE,0;#N/A,#N/A,FALSE,0;#N/A,#N/A,FALSE,0;#N/A,#N/A,FALSE,0;#N/A,#N/A,FALSE,0;#N/A,#N/A,FALSE,0;#N/A,#N/A,FALSE,0;#N/A,#N/A,FALSE,0}</definedName>
    <definedName name="wrn.FINAL._.ESTIMATE." localSheetId="12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xed._.Assets._.Note._.and._.Depreciation." hidden="1">{#N/A,#N/A,FALSE,"FA_1";#N/A,#N/A,FALSE,"Dep'n SE";#N/A,#N/A,FALSE,"Dep'n FC"}</definedName>
    <definedName name="wrn.fiyatçewre." localSheetId="12" hidden="1">{"çewre1fiyat",#N/A,FALSE,"çtfiyat";"çewre2fiyat",#N/A,FALSE,"çtfiyat"}</definedName>
    <definedName name="wrn.fiyatçewre." hidden="1">{"çewre1fiyat",#N/A,FALSE,"çtfiyat";"çewre2fiyat",#N/A,FALSE,"çtfiyat"}</definedName>
    <definedName name="wrn.fiyatelektrik." localSheetId="12" hidden="1">{"elektrik1fiyat",#N/A,FALSE,"elcfiyat";"elektrik2fiyat",#N/A,FALSE,"elcfiyat";"elektrik3fiyat",#N/A,FALSE,"elcfiyat"}</definedName>
    <definedName name="wrn.fiyatelektrik." hidden="1">{"elektrik1fiyat",#N/A,FALSE,"elcfiyat";"elektrik2fiyat",#N/A,FALSE,"elcfiyat";"elektrik3fiyat",#N/A,FALSE,"elcfiyat"}</definedName>
    <definedName name="wrn.fiyatisalehattı." localSheetId="12" hidden="1">{"isalehattı1fiyat",#N/A,FALSE,"ihfiyat";"isalehattı2fiyat",#N/A,FALSE,"ihfiyat";"isalehattı3fiyat",#N/A,FALSE,"ihfiyat";"isalehattı4fiyat",#N/A,FALSE,"ihfiyat";"isalehattı5fiyat",#N/A,FALSE,"ihfiyat"}</definedName>
    <definedName name="wrn.fiyatisalehattı." hidden="1">{"isalehattı1fiyat",#N/A,FALSE,"ihfiyat";"isalehattı2fiyat",#N/A,FALSE,"ihfiyat";"isalehattı3fiyat",#N/A,FALSE,"ihfiyat";"isalehattı4fiyat",#N/A,FALSE,"ihfiyat";"isalehattı5fiyat",#N/A,FALSE,"ihfiyat"}</definedName>
    <definedName name="wrn.fiyatmekanik." localSheetId="12" hidden="1">{"mekanik1fiyat",#N/A,FALSE,"mktfiyat";"mekanik2fiyat",#N/A,FALSE,"mktfiyat"}</definedName>
    <definedName name="wrn.fiyatmekanik." hidden="1">{"mekanik1fiyat",#N/A,FALSE,"mktfiyat";"mekanik2fiyat",#N/A,FALSE,"mktfiyat"}</definedName>
    <definedName name="wrn.fiyatsuhaznesi." localSheetId="12" hidden="1">{"suhaznesi1fiyat",#N/A,FALSE,"shfiyat";"suhaznesi2fiyat",#N/A,FALSE,"shfiyat"}</definedName>
    <definedName name="wrn.fiyatsuhaznesi." hidden="1">{"suhaznesi1fiyat",#N/A,FALSE,"shfiyat";"suhaznesi2fiyat",#N/A,FALSE,"shfiyat"}</definedName>
    <definedName name="wrn.fiyattaşkınsuyu." localSheetId="12" hidden="1">{"taşkınsuyu1fiyat",#N/A,FALSE,"tsfiyat"}</definedName>
    <definedName name="wrn.fiyattaşkınsuyu." hidden="1">{"taşkınsuyu1fiyat",#N/A,FALSE,"tsfiyat"}</definedName>
    <definedName name="wrn.fiyatterfi." localSheetId="12" hidden="1">{"terfi1fiyat",#N/A,FALSE,"terfiyat";"terfi2fiyat",#N/A,FALSE,"terfiyat"}</definedName>
    <definedName name="wrn.fiyatterfi." hidden="1">{"terfi1fiyat",#N/A,FALSE,"terfiyat";"terfi2fiyat",#N/A,FALSE,"terfiyat"}</definedName>
    <definedName name="wrn.fiyattrafo." localSheetId="12" hidden="1">{"trafo1fiyat",#N/A,FALSE,"trafofiyat"}</definedName>
    <definedName name="wrn.fiyattrafo." hidden="1">{"trafo1fiyat",#N/A,FALSE,"trafofiyat"}</definedName>
    <definedName name="wrn.FIZIB." localSheetId="12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uel._.oil._.option." localSheetId="12" hidden="1">{"FUEL OIL",#N/A,FALSE,"Option"}</definedName>
    <definedName name="wrn.Fuel._.oil._.option." hidden="1">{"FUEL OIL",#N/A,FALSE,"Option"}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Full._.without._.data." localSheetId="12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14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." localSheetId="12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wrn.G.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wrn.gecici." localSheetId="12" hidden="1">{#N/A,#N/A,FALSE,"avans";#N/A,#N/A,FALSE,"teminat_mektubu";#N/A,#N/A,FALSE,"ihz. icmal";#N/A,#N/A,FALSE,"söz_fiy_fark";#N/A,#N/A,FALSE,"kap2";#N/A,#N/A,FALSE,"mal_FF_icm";#N/A,#N/A,FALSE,"kap1"}</definedName>
    <definedName name="wrn.gecici." hidden="1">{#N/A,#N/A,FALSE,"avans";#N/A,#N/A,FALSE,"teminat_mektubu";#N/A,#N/A,FALSE,"ihz. icmal";#N/A,#N/A,FALSE,"söz_fiy_fark";#N/A,#N/A,FALSE,"kap2";#N/A,#N/A,FALSE,"mal_FF_icm";#N/A,#N/A,FALSE,"kap1"}</definedName>
    <definedName name="wrn.glc." localSheetId="12" hidden="1">{"glcbs",#N/A,FALSE,"GLCBS";"glccsbs",#N/A,FALSE,"GLCCSBS";"glcis",#N/A,FALSE,"GLCIS";"glccsis",#N/A,FALSE,"GLCCSIS";"glcrat1",#N/A,FALSE,"GLC-ratios1"}</definedName>
    <definedName name="wrn.glc." localSheetId="14" hidden="1">{"glcbs",#N/A,FALSE,"GLCBS";"glccsbs",#N/A,FALSE,"GLCCSBS";"glcis",#N/A,FALSE,"GLCIS";"glccsis",#N/A,FALSE,"GLCCSIS";"glcrat1",#N/A,FALSE,"GLC-ratios1"}</definedName>
    <definedName name="wrn.glc." hidden="1">{"glcbs",#N/A,FALSE,"GLCBS";"glccsbs",#N/A,FALSE,"GLCCSBS";"glcis",#N/A,FALSE,"GLCIS";"glccsis",#N/A,FALSE,"GLCCSIS";"glcrat1",#N/A,FALSE,"GLC-ratios1"}</definedName>
    <definedName name="wrn.glcpromonte." localSheetId="12" hidden="1">{"glc1",#N/A,FALSE,"GLC";"glc2",#N/A,FALSE,"GLC";"glc3",#N/A,FALSE,"GLC";"glc4",#N/A,FALSE,"GLC";"glc5",#N/A,FALSE,"GLC"}</definedName>
    <definedName name="wrn.glcpromonte." localSheetId="14" hidden="1">{"glc1",#N/A,FALSE,"GLC";"glc2",#N/A,FALSE,"GLC";"glc3",#N/A,FALSE,"GLC";"glc4",#N/A,FALSE,"GLC";"glc5",#N/A,FALSE,"GLC"}</definedName>
    <definedName name="wrn.glcpromonte." hidden="1">{"glc1",#N/A,FALSE,"GLC";"glc2",#N/A,FALSE,"GLC";"glc3",#N/A,FALSE,"GLC";"glc4",#N/A,FALSE,"GLC";"glc5",#N/A,FALSE,"GLC"}</definedName>
    <definedName name="wrn.gunal_REPORT." localSheetId="12" hidden="1">{#VALUE!,#N/A,TRUE,0;#N/A,#N/A,TRUE,0;#N/A,#N/A,TRUE,0;#N/A,#N/A,TRUE,0;#N/A,#N/A,TRUE,0;#N/A,#N/A,TRUE,0;#N/A,#N/A,TRUE,0}</definedName>
    <definedName name="wrn.gunal_REPORT." hidden="1">{#VALUE!,#N/A,TRUE,0;#N/A,#N/A,TRUE,0;#N/A,#N/A,TRUE,0;#N/A,#N/A,TRUE,0;#N/A,#N/A,TRUE,0;#N/A,#N/A,TRUE,0;#N/A,#N/A,TRUE,0}</definedName>
    <definedName name="wrn.HAK1." localSheetId="12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0" localSheetId="12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10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14." localSheetId="12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wrn.HAK14.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wrn.HAK2.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4.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4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5." localSheetId="12" hidden="1">{#VALUE!,#N/A,FALSE,0;#N/A,#N/A,FALSE,0;#N/A,#N/A,FALSE,0;#N/A,#N/A,FALSE,0;#N/A,#N/A,FALSE,0;#N/A,#N/A,FALSE,0;#N/A,#N/A,FALSE,0;#N/A,#N/A,FALSE,0}</definedName>
    <definedName name="wrn.hak5." hidden="1">{#VALUE!,#N/A,FALSE,0;#N/A,#N/A,FALSE,0;#N/A,#N/A,FALSE,0;#N/A,#N/A,FALSE,0;#N/A,#N/A,FALSE,0;#N/A,#N/A,FALSE,0;#N/A,#N/A,FALSE,0;#N/A,#N/A,FALSE,0}</definedName>
    <definedName name="wrn.hak7." localSheetId="12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wrn.hak7.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wrn.hak8." localSheetId="12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8.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kari._.imalat." localSheetId="12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hakkari._.imalat.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cmalçewre." localSheetId="12" hidden="1">{"çewre1icmal",#N/A,FALSE,"çticm";"çewre2icmal",#N/A,FALSE,"çticm"}</definedName>
    <definedName name="wrn.icmalçewre." hidden="1">{"çewre1icmal",#N/A,FALSE,"çticm";"çewre2icmal",#N/A,FALSE,"çticm"}</definedName>
    <definedName name="wrn.icmalelektrik." localSheetId="12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wrn.icmalelektrik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wrn.icmalisalehattı." localSheetId="12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wrn.icmalisalehattı.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wrn.icmalmekanik." localSheetId="12" hidden="1">{"mekanik1icmal",#N/A,FALSE,"mkticm";"mekanik2icmal",#N/A,FALSE,"mkticm";"mekanik3icmal",#N/A,FALSE,"mkticm"}</definedName>
    <definedName name="wrn.icmalmekanik." hidden="1">{"mekanik1icmal",#N/A,FALSE,"mkticm";"mekanik2icmal",#N/A,FALSE,"mkticm";"mekanik3icmal",#N/A,FALSE,"mkticm"}</definedName>
    <definedName name="wrn.icmalsuhaznesi." localSheetId="12" hidden="1">{"suhaznesi1icmal",#N/A,FALSE,"shicm";"suhaznesi2icmal",#N/A,FALSE,"shicm";"suhaznesi3icmal",#N/A,FALSE,"shicm"}</definedName>
    <definedName name="wrn.icmalsuhaznesi." hidden="1">{"suhaznesi1icmal",#N/A,FALSE,"shicm";"suhaznesi2icmal",#N/A,FALSE,"shicm";"suhaznesi3icmal",#N/A,FALSE,"shicm"}</definedName>
    <definedName name="wrn.icmaltaşkınsuyu." localSheetId="12" hidden="1">{"taşkınsuyu1icmal",#N/A,FALSE,"tsicm";"taşkınsuyu2icmal",#N/A,FALSE,"tsicm"}</definedName>
    <definedName name="wrn.icmaltaşkınsuyu." hidden="1">{"taşkınsuyu1icmal",#N/A,FALSE,"tsicm";"taşkınsuyu2icmal",#N/A,FALSE,"tsicm"}</definedName>
    <definedName name="wrn.icmalterfi." localSheetId="12" hidden="1">{"terfi1icmal",#N/A,FALSE,"tericm";"terfi2icmal",#N/A,FALSE,"tericm";"terfi3icmal",#N/A,FALSE,"tericm"}</definedName>
    <definedName name="wrn.icmalterfi." hidden="1">{"terfi1icmal",#N/A,FALSE,"tericm";"terfi2icmal",#N/A,FALSE,"tericm";"terfi3icmal",#N/A,FALSE,"tericm"}</definedName>
    <definedName name="wrn.icmaltrafo." localSheetId="12" hidden="1">{"trafo1icmal",#N/A,FALSE,"trafoicmal";"trafo2icmal",#N/A,FALSE,"trafoicmal"}</definedName>
    <definedName name="wrn.icmaltrafo." hidden="1">{"trafo1icmal",#N/A,FALSE,"trafoicmal";"trafo2icmal",#N/A,FALSE,"trafoicmal"}</definedName>
    <definedName name="wrn.İHZAR.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İHZAR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ihzar1." localSheetId="12" hidden="1">{#VALUE!,#N/A,FALSE,0;#N/A,#N/A,FALSE,0;#N/A,#N/A,FALSE,0;#N/A,#N/A,FALSE,0;#N/A,#N/A,FALSE,0;#N/A,#N/A,FALSE,0;#N/A,#N/A,FALSE,0}</definedName>
    <definedName name="wrn.ihzar1." hidden="1">{#VALUE!,#N/A,FALSE,0;#N/A,#N/A,FALSE,0;#N/A,#N/A,FALSE,0;#N/A,#N/A,FALSE,0;#N/A,#N/A,FALSE,0;#N/A,#N/A,FALSE,0;#N/A,#N/A,FALSE,0}</definedName>
    <definedName name="wrn.ihzarat." localSheetId="1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nflation._.factors._.used." hidden="1">{#N/A,#N/A,FALSE,"Infl_fact"}</definedName>
    <definedName name="wrn.Inputs." localSheetId="12" hidden="1">{"Inflation-BaseYear",#N/A,FALSE,"Inputs"}</definedName>
    <definedName name="wrn.Inputs." hidden="1">{"Inflation-BaseYear",#N/A,FALSE,"Inputs"}</definedName>
    <definedName name="wrn.insaat_ic." localSheetId="12" hidden="1">{#N/A,#N/A,FALSE,"inş_iç_ihz";#N/A,#N/A,FALSE,"inş_iç_er";#N/A,#N/A,FALSE,"inş_iç_tut"}</definedName>
    <definedName name="wrn.insaat_ic." hidden="1">{#N/A,#N/A,FALSE,"inş_iç_ihz";#N/A,#N/A,FALSE,"inş_iç_er";#N/A,#N/A,FALSE,"inş_iç_tut"}</definedName>
    <definedName name="wrn.kalorifer_ic." localSheetId="12" hidden="1">{#N/A,#N/A,FALSE,"kal_iç_ihz";#N/A,#N/A,FALSE,"kal_iç_er";#N/A,#N/A,FALSE,"kal_iç_tut"}</definedName>
    <definedName name="wrn.kalorifer_ic." hidden="1">{#N/A,#N/A,FALSE,"kal_iç_ihz";#N/A,#N/A,FALSE,"kal_iç_er";#N/A,#N/A,FALSE,"kal_iç_tut"}</definedName>
    <definedName name="wrn.kapak._.ıcmal." localSheetId="12" hidden="1">{#N/A,#N/A,FALSE,"12.21";#N/A,#N/A,FALSE,"12.10";#N/A,#N/A,FALSE,"3";#N/A,#N/A,FALSE,"2";#N/A,#N/A,FALSE,"1"}</definedName>
    <definedName name="wrn.kapak._.ıcmal." hidden="1">{#N/A,#N/A,FALSE,"12.21";#N/A,#N/A,FALSE,"12.10";#N/A,#N/A,FALSE,"3";#N/A,#N/A,FALSE,"2";#N/A,#N/A,FALSE,"1"}</definedName>
    <definedName name="wrn.KOC." localSheetId="12" hidden="1">{#N/A,#N/A,FALSE,"ATIKSU_246 (3)";#N/A,#N/A,FALSE,"ATIKSU_246 (2)";#N/A,#N/A,FALSE,"ATIKSU_246 (1)";#N/A,#N/A,FALSE,"YAGMUR_246 (2)";#N/A,#N/A,FALSE,"YAGMUR_246 (1)";#N/A,#N/A,FALSE,"ATIKSU_245 (2)";#N/A,#N/A,FALSE,"ATIKSU_245 (1)";#N/A,#N/A,FALSE,"YAGMUR_245 (2)";#N/A,#N/A,FALSE,"YAGMUR_245 (1)";#N/A,#N/A,FALSE,"ATIKSU_244 (2)";#N/A,#N/A,FALSE,"ATIKSU_244 (1)";#N/A,#N/A,FALSE,"YAGMUR_244 (2)";#N/A,#N/A,FALSE,"YAGMUR_244 (1)";#N/A,#N/A,FALSE,"ATIKSU_238 (2)";#N/A,#N/A,FALSE,"ATIKSU_238 (1)";#N/A,#N/A,FALSE,"YAGMUR_238 (2)";#N/A,#N/A,FALSE,"YAGMUR_238 (1)";#N/A,#N/A,FALSE,"ATIKSU_236 (2)";#N/A,#N/A,FALSE,"ATIKSU_236 (1)";#N/A,#N/A,FALSE,"YAGMUR_236 (2)";#N/A,#N/A,FALSE,"YAGMUR_236 (1)"}</definedName>
    <definedName name="wrn.KOC." hidden="1">{#N/A,#N/A,FALSE,"ATIKSU_246 (3)";#N/A,#N/A,FALSE,"ATIKSU_246 (2)";#N/A,#N/A,FALSE,"ATIKSU_246 (1)";#N/A,#N/A,FALSE,"YAGMUR_246 (2)";#N/A,#N/A,FALSE,"YAGMUR_246 (1)";#N/A,#N/A,FALSE,"ATIKSU_245 (2)";#N/A,#N/A,FALSE,"ATIKSU_245 (1)";#N/A,#N/A,FALSE,"YAGMUR_245 (2)";#N/A,#N/A,FALSE,"YAGMUR_245 (1)";#N/A,#N/A,FALSE,"ATIKSU_244 (2)";#N/A,#N/A,FALSE,"ATIKSU_244 (1)";#N/A,#N/A,FALSE,"YAGMUR_244 (2)";#N/A,#N/A,FALSE,"YAGMUR_244 (1)";#N/A,#N/A,FALSE,"ATIKSU_238 (2)";#N/A,#N/A,FALSE,"ATIKSU_238 (1)";#N/A,#N/A,FALSE,"YAGMUR_238 (2)";#N/A,#N/A,FALSE,"YAGMUR_238 (1)";#N/A,#N/A,FALSE,"ATIKSU_236 (2)";#N/A,#N/A,FALSE,"ATIKSU_236 (1)";#N/A,#N/A,FALSE,"YAGMUR_236 (2)";#N/A,#N/A,FALSE,"YAGMUR_236 (1)"}</definedName>
    <definedName name="wrn.kocoglu._.ihzarat." localSheetId="12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hzarat.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malat." localSheetId="12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coglu._.imalat.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ren." localSheetId="12" hidden="1">{#VALUE!,#N/A,FALSE,0;#N/A,#N/A,FALSE,0;#N/A,#N/A,FALSE,0;#N/A,#N/A,FALSE,0;#N/A,#N/A,FALSE,0;#N/A,#N/A,FALSE,0;#N/A,#N/A,FALSE,0;#N/A,#N/A,FALSE,0;#N/A,#N/A,FALSE,0;#N/A,#N/A,FALSE,0}</definedName>
    <definedName name="wrn.koren." hidden="1">{#VALUE!,#N/A,FALSE,0;#N/A,#N/A,FALSE,0;#N/A,#N/A,FALSE,0;#N/A,#N/A,FALSE,0;#N/A,#N/A,FALSE,0;#N/A,#N/A,FALSE,0;#N/A,#N/A,FALSE,0;#N/A,#N/A,FALSE,0;#N/A,#N/A,FALSE,0;#N/A,#N/A,FALSE,0}</definedName>
    <definedName name="wrn.Leasing._.Variance." localSheetId="12" hidden="1">{#N/A,#N/A,FALSE,"Leasing 6A"}</definedName>
    <definedName name="wrn.Leasing._.Variance." hidden="1">{#N/A,#N/A,FALSE,"Leasing 6A"}</definedName>
    <definedName name="wrn.maff_report." localSheetId="12" hidden="1">{#N/A,#N/A,FALSE,"maff_h1";#N/A,#N/A,FALSE,"maff_h2";#N/A,#N/A,FALSE,"maff_h3";#N/A,#N/A,FALSE,"maff_h4";#N/A,#N/A,FALSE,"maff_h5";#N/A,#N/A,FALSE,"maff_h6";#N/A,#N/A,FALSE,"maff_h7"}</definedName>
    <definedName name="wrn.maff_report." hidden="1">{#N/A,#N/A,FALSE,"maff_h1";#N/A,#N/A,FALSE,"maff_h2";#N/A,#N/A,FALSE,"maff_h3";#N/A,#N/A,FALSE,"maff_h4";#N/A,#N/A,FALSE,"maff_h5";#N/A,#N/A,FALSE,"maff_h6";#N/A,#N/A,FALSE,"maff_h7"}</definedName>
    <definedName name="wrn.Manpower.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rch._.99._.Report." localSheetId="1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arch._.99._.Report.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EL." localSheetId="1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L.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t1.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2.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onthly._.financia2" localSheetId="12" hidden="1">{#N/A,#N/A,FALSE,"SUMMARY 4a";#N/A,#N/A,FALSE,"GBA 4b";#N/A,#N/A,FALSE,"TENANT 4c";#N/A,#N/A,FALSE,"BUDGET DETAIL";#N/A,#N/A,FALSE,"PRO FORMA"}</definedName>
    <definedName name="wrn.monthly._.financia2" hidden="1">{#N/A,#N/A,FALSE,"SUMMARY 4a";#N/A,#N/A,FALSE,"GBA 4b";#N/A,#N/A,FALSE,"TENANT 4c";#N/A,#N/A,FALSE,"BUDGET DETAIL";#N/A,#N/A,FALSE,"PRO FORMA"}</definedName>
    <definedName name="wrn.monthly._.financial." localSheetId="12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usterek_ic." localSheetId="12" hidden="1">{#N/A,#N/A,FALSE,"müş_iç_ihz";#N/A,#N/A,FALSE,"müş_iç_er";#N/A,#N/A,FALSE,"müş_iç_tut"}</definedName>
    <definedName name="wrn.musterek_ic." hidden="1">{#N/A,#N/A,FALSE,"müş_iç_ihz";#N/A,#N/A,FALSE,"müş_iç_er";#N/A,#N/A,FALSE,"müş_iç_tut"}</definedName>
    <definedName name="wrn.müşterek.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üşterek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ontario." localSheetId="12" hidden="1">{"page1",#N/A,FALSE,"sheet 1";"Page2",#N/A,FALSE,"sheet 1";"page3",#N/A,FALSE,"sheet 1";"page4",#N/A,FALSE,"sheet 1"}</definedName>
    <definedName name="wrn.ontario." hidden="1">{"page1",#N/A,FALSE,"sheet 1";"Page2",#N/A,FALSE,"sheet 1";"page3",#N/A,FALSE,"sheet 1";"page4",#N/A,FALSE,"sheet 1"}</definedName>
    <definedName name="wrn.opex.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rhan_kose." localSheetId="12" hidden="1">{#VALUE!,#N/A,TRUE,0;#N/A,#N/A,TRUE,0;#N/A,#N/A,TRUE,0}</definedName>
    <definedName name="wrn.orhan_kose." hidden="1">{#VALUE!,#N/A,TRUE,0;#N/A,#N/A,TRUE,0;#N/A,#N/A,TRUE,0}</definedName>
    <definedName name="wrn.Output3Column." localSheetId="12" hidden="1">{"Output-3Column",#N/A,FALSE,"Output"}</definedName>
    <definedName name="wrn.Output3Column." hidden="1">{"Output-3Column",#N/A,FALSE,"Output"}</definedName>
    <definedName name="wrn.OutputAll." localSheetId="12" hidden="1">{"Output-All",#N/A,FALSE,"Output"}</definedName>
    <definedName name="wrn.OutputAll." hidden="1">{"Output-All",#N/A,FALSE,"Output"}</definedName>
    <definedName name="wrn.OutputBaseYear." localSheetId="12" hidden="1">{"Output-BaseYear",#N/A,FALSE,"Output"}</definedName>
    <definedName name="wrn.OutputBaseYear." hidden="1">{"Output-BaseYear",#N/A,FALSE,"Output"}</definedName>
    <definedName name="wrn.OutputMin." localSheetId="12" hidden="1">{"Output-Min",#N/A,FALSE,"Output"}</definedName>
    <definedName name="wrn.OutputMin." hidden="1">{"Output-Min",#N/A,FALSE,"Output"}</definedName>
    <definedName name="wrn.OutputPercent." localSheetId="12" hidden="1">{"Output%",#N/A,FALSE,"Output"}</definedName>
    <definedName name="wrn.OutputPercent." hidden="1">{"Output%",#N/A,FALSE,"Output"}</definedName>
    <definedName name="wrn.oztas._.imalat." localSheetId="12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oztas._.imalat.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p3" localSheetId="1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L." localSheetId="1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.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._.Analysis." hidden="1">{"AnalRSA",#N/A,TRUE,"PL-Anal";"AnalIAS",#N/A,TRUE,"PL-Anal"}</definedName>
    <definedName name="wrn.PLNCS." localSheetId="12" hidden="1">{#N/A,#N/A,FALSE,"NCS INC SCOT";#N/A,#N/A,FALSE,"NCS";#N/A,#N/A,FALSE,"74 NCS";#N/A,#N/A,FALSE,"75 NCS";#N/A,#N/A,FALSE,"76 NCS "}</definedName>
    <definedName name="wrn.PLNCS." hidden="1">{#N/A,#N/A,FALSE,"NCS INC SCOT";#N/A,#N/A,FALSE,"NCS";#N/A,#N/A,FALSE,"74 NCS";#N/A,#N/A,FALSE,"75 NCS";#N/A,#N/A,FALSE,"76 NCS "}</definedName>
    <definedName name="wrn.PR_TRIAL_BALANCE." localSheetId="1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azske._.pivovary." localSheetId="12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azske._.pivovary." localSheetId="14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azske._.pivovary.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int." localSheetId="1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rint." localSheetId="1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rint.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rintAll." localSheetId="12" hidden="1">{#N/A,#N/A,FALSE,"Broker Sheet";#N/A,#N/A,FALSE,"Exec.Summary";#N/A,#N/A,FALSE,"Argus Cash Flow";#N/A,#N/A,FALSE,"SPF";#N/A,#N/A,FALSE,"RentRoll"}</definedName>
    <definedName name="wrn.PrintAll." hidden="1">{#N/A,#N/A,FALSE,"Broker Sheet";#N/A,#N/A,FALSE,"Exec.Summary";#N/A,#N/A,FALSE,"Argus Cash Flow";#N/A,#N/A,FALSE,"SPF";#N/A,#N/A,FALSE,"RentRoll"}</definedName>
    <definedName name="wrn.PrintallD.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RDProject.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.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edundant._.Equipment._.Option." localSheetId="12" hidden="1">{"pumps",#N/A,FALSE,"Option"}</definedName>
    <definedName name="wrn.Redundant._.Equipment._.Option." hidden="1">{"pumps",#N/A,FALSE,"Option"}</definedName>
    <definedName name="wrn.REP501." localSheetId="1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" localSheetId="1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1" localSheetId="1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3." localSheetId="1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ORT1." hidden="1">{"PRINTME",#N/A,FALSE,"FINAL-10"}</definedName>
    <definedName name="wrn.Residential." localSheetId="1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SA._.BS._.and._.PL." hidden="1">{"BS1",#N/A,TRUE,"RSA_FS";"BS2",#N/A,TRUE,"RSA_FS";"BS3",#N/A,TRUE,"RSA_FS"}</definedName>
    <definedName name="wrn.S." localSheetId="12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wrn.S.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wrn.sihhi_ic." localSheetId="12" hidden="1">{#N/A,#N/A,FALSE,"sıh_iç_ihz";#N/A,#N/A,FALSE,"sıh_iç_er";#N/A,#N/A,FALSE,"sıh_iç_tut"}</definedName>
    <definedName name="wrn.sihhi_ic." hidden="1">{#N/A,#N/A,FALSE,"sıh_iç_ihz";#N/A,#N/A,FALSE,"sıh_iç_er";#N/A,#N/A,FALSE,"sıh_iç_tut"}</definedName>
    <definedName name="wrn.sirnak._.imalat." localSheetId="12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irnak._.imalat.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ite._.Report." localSheetId="12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ŞLKDFS" localSheetId="12" hidden="1">{#N/A,#N/A,FALSE,"kal_iç_ihz";#N/A,#N/A,FALSE,"kal_iç_er";#N/A,#N/A,FALSE,"kal_iç_tut"}</definedName>
    <definedName name="WRN.ŞLKDFS" hidden="1">{#N/A,#N/A,FALSE,"kal_iç_ihz";#N/A,#N/A,FALSE,"kal_iç_er";#N/A,#N/A,FALSE,"kal_iç_tut"}</definedName>
    <definedName name="wrn.STG._.BLDG._.ENCLOSURE." localSheetId="12" hidden="1">{"turbine",#N/A,FALSE,"Option"}</definedName>
    <definedName name="wrn.STG._.BLDG._.ENCLOSURE." hidden="1">{"turbine",#N/A,FALSE,"Option"}</definedName>
    <definedName name="wrn.struckgi." localSheetId="12" hidden="1">{#N/A,#N/A,TRUE,"arnitower";#N/A,#N/A,TRUE,"arnigarage "}</definedName>
    <definedName name="wrn.struckgi." hidden="1">{#N/A,#N/A,TRUE,"arnitower";#N/A,#N/A,TRUE,"arnigarage "}</definedName>
    <definedName name="wrn.Summary.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wrn.Summary._.Report." localSheetId="12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Template." localSheetId="12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hings." localSheetId="12" hidden="1">{#N/A,#N/A,FALSE,"Bank Rec Cover Sheet";#N/A,#N/A,FALSE,"Bank Rec Details"}</definedName>
    <definedName name="wrn.Things." hidden="1">{#N/A,#N/A,FALSE,"Bank Rec Cover Sheet";#N/A,#N/A,FALSE,"Bank Rec Details"}</definedName>
    <definedName name="wrn.Warrington._.Widnes._.QS._.Costs." localSheetId="12" hidden="1">{#N/A,#N/A,TRUE,"Cover";#N/A,#N/A,TRUE,"Conts";#N/A,#N/A,TRUE,"VOS";#N/A,#N/A,TRUE,"Warrington";#N/A,#N/A,TRUE,"Widnes"}</definedName>
    <definedName name="wrn.Warrington._.Widnes._.QS._.Costs." hidden="1">{#N/A,#N/A,TRUE,"Cover";#N/A,#N/A,TRUE,"Conts";#N/A,#N/A,TRUE,"VOS";#N/A,#N/A,TRUE,"Warrington";#N/A,#N/A,TRUE,"Widnes"}</definedName>
    <definedName name="wrn.WHOUSE._.CT." localSheetId="12" hidden="1">{"WESTINGHOUSE",#N/A,FALSE,"Option"}</definedName>
    <definedName name="wrn.WHOUSE._.CT." hidden="1">{"WESTINGHOUSE",#N/A,FALSE,"Option"}</definedName>
    <definedName name="wrn.yağmursu_şebeke." localSheetId="12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wrn.yağmursu_şebeke.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wrn.YAZ1.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ICI." localSheetId="1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ICI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s" localSheetId="12" hidden="1">{#N/A,#N/A,FALSE,"Aging Summary";#N/A,#N/A,FALSE,"Ratio Analysis";#N/A,#N/A,FALSE,"Test 120 Day Accts";#N/A,#N/A,FALSE,"Tickmarks"}</definedName>
    <definedName name="ws" localSheetId="14" hidden="1">{#N/A,#N/A,FALSE,"Aging Summary";#N/A,#N/A,FALSE,"Ratio Analysis";#N/A,#N/A,FALSE,"Test 120 Day Accts";#N/A,#N/A,FALSE,"Tickmarks"}</definedName>
    <definedName name="ws" hidden="1">{#N/A,#N/A,FALSE,"Aging Summary";#N/A,#N/A,FALSE,"Ratio Analysis";#N/A,#N/A,FALSE,"Test 120 Day Accts";#N/A,#N/A,FALSE,"Tickmarks"}</definedName>
    <definedName name="wtre" localSheetId="12" hidden="1">{#N/A,#N/A,FALSE,"Aging Summary";#N/A,#N/A,FALSE,"Ratio Analysis";#N/A,#N/A,FALSE,"Test 120 Day Accts";#N/A,#N/A,FALSE,"Tickmarks"}</definedName>
    <definedName name="wtre" localSheetId="14" hidden="1">{#N/A,#N/A,FALSE,"Aging Summary";#N/A,#N/A,FALSE,"Ratio Analysis";#N/A,#N/A,FALSE,"Test 120 Day Accts";#N/A,#N/A,FALSE,"Tickmarks"}</definedName>
    <definedName name="wtre" hidden="1">{#N/A,#N/A,FALSE,"Aging Summary";#N/A,#N/A,FALSE,"Ratio Analysis";#N/A,#N/A,FALSE,"Test 120 Day Accts";#N/A,#N/A,FALSE,"Tickmarks"}</definedName>
    <definedName name="ww" localSheetId="12" hidden="1">{#N/A,#N/A,FALSE,"SUBS";#N/A,#N/A,FALSE,"SUPERS";#N/A,#N/A,FALSE,"FINISHES";#N/A,#N/A,FALSE,"FITTINGS";#N/A,#N/A,FALSE,"SERVICES";#N/A,#N/A,FALSE,"SITEWORKS"}</definedName>
    <definedName name="ww" localSheetId="14" hidden="1">{#N/A,#N/A,FALSE,"Aging Summary";#N/A,#N/A,FALSE,"Ratio Analysis";#N/A,#N/A,FALSE,"Test 120 Day Accts";#N/A,#N/A,FALSE,"Tickmarks"}</definedName>
    <definedName name="ww" hidden="1">{#N/A,#N/A,FALSE,"SUBS";#N/A,#N/A,FALSE,"SUPERS";#N/A,#N/A,FALSE,"FINISHES";#N/A,#N/A,FALSE,"FITTINGS";#N/A,#N/A,FALSE,"SERVICES";#N/A,#N/A,FALSE,"SITEWORKS"}</definedName>
    <definedName name="www" localSheetId="12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ww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www" localSheetId="12" hidden="1">{"'Sheet1'!$A$1:$X$25"}</definedName>
    <definedName name="wwww" hidden="1">{"'Sheet1'!$A$1:$X$25"}</definedName>
    <definedName name="wwwwwww" hidden="1">#REF!</definedName>
    <definedName name="wywe" hidden="1">#REF!</definedName>
    <definedName name="x" hidden="1">#REF!</definedName>
    <definedName name="x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RPARAMS_Поле138" hidden="1">#REF!</definedName>
    <definedName name="XLRPARAMS_Поле148" hidden="1">#REF!</definedName>
    <definedName name="XLRPARAMS_Поле150" hidden="1">#REF!</definedName>
    <definedName name="XLRPARAMS_Поле152" hidden="1">#REF!</definedName>
    <definedName name="XLRPARAMS_Поле170" hidden="1">#REF!</definedName>
    <definedName name="XLRPARAMS_Поле265" hidden="1">#REF!</definedName>
    <definedName name="XLRPARAMS_Predl" hidden="1">#REF!</definedName>
    <definedName name="xl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." localSheetId="12" hidden="1">{"'Break down'!$A$4"}</definedName>
    <definedName name="xls." hidden="1">{"'Break down'!$A$4"}</definedName>
    <definedName name="XREF_COLUMN_1" hidden="1">#REF!</definedName>
    <definedName name="XRefActiveRow" hidden="1">#REF!</definedName>
    <definedName name="XRefColumnsCount" hidden="1">1</definedName>
    <definedName name="XRefCopy1" hidden="1">#REF!</definedName>
    <definedName name="XRefCopy2" hidden="1">#REF!</definedName>
    <definedName name="XRefCopy2Row" hidden="1">#REF!</definedName>
    <definedName name="XRefCopy3" hidden="1">#REF!</definedName>
    <definedName name="XRefCopyRangeCount" hidden="1">1</definedName>
    <definedName name="XRefPaste1" hidden="1">#REF!</definedName>
    <definedName name="XRefPaste1Row" hidden="1">#REF!</definedName>
    <definedName name="XRefPasteRangeCount" hidden="1">1</definedName>
    <definedName name="xx" localSheetId="12" hidden="1">{"Output-Min",#N/A,FALSE,"Output"}</definedName>
    <definedName name="xx" hidden="1">{"Output-Min",#N/A,FALSE,"Output"}</definedName>
    <definedName name="xxx" hidden="1">#REF!</definedName>
    <definedName name="xxxaa" localSheetId="12" hidden="1">{"Inflation-BaseYear",#N/A,FALSE,"Inputs"}</definedName>
    <definedName name="xxxaa" hidden="1">{"Inflation-BaseYear",#N/A,FALSE,"Inputs"}</definedName>
    <definedName name="xxxxx" localSheetId="12" hidden="1">{"Output%",#N/A,FALSE,"Output"}</definedName>
    <definedName name="xxxxx" localSheetId="14" hidden="1">#REF!</definedName>
    <definedName name="xxxxx" hidden="1">{"Output%",#N/A,FALSE,"Output"}</definedName>
    <definedName name="xxxxxxxx" hidden="1">#REF!</definedName>
    <definedName name="XXXXXXXXXXXXX" hidden="1">#REF!</definedName>
    <definedName name="xyz" localSheetId="12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xyz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yapiimar" localSheetId="12" hidden="1">{#N/A,#N/A,FALSE,"ihz. icmal";#N/A,#N/A,FALSE,"avans";#N/A,#N/A,FALSE,"mal_FF_icm";#N/A,#N/A,FALSE,"fat_ihz";#N/A,#N/A,FALSE,"söz_fiy_fark";#N/A,#N/A,FALSE,"kap2"}</definedName>
    <definedName name="yapiimar" hidden="1">{#N/A,#N/A,FALSE,"ihz. icmal";#N/A,#N/A,FALSE,"avans";#N/A,#N/A,FALSE,"mal_FF_icm";#N/A,#N/A,FALSE,"fat_ihz";#N/A,#N/A,FALSE,"söz_fiy_fark";#N/A,#N/A,FALSE,"kap2"}</definedName>
    <definedName name="yas" hidden="1">#REF!</definedName>
    <definedName name="yasin" hidden="1">#REF!</definedName>
    <definedName name="yat" localSheetId="12" hidden="1">{#N/A,#N/A,FALSE,"Aging Summary";#N/A,#N/A,FALSE,"Ratio Analysis";#N/A,#N/A,FALSE,"Test 120 Day Accts";#N/A,#N/A,FALSE,"Tickmarks"}</definedName>
    <definedName name="yat" hidden="1">{#N/A,#N/A,FALSE,"Aging Summary";#N/A,#N/A,FALSE,"Ratio Analysis";#N/A,#N/A,FALSE,"Test 120 Day Accts";#N/A,#N/A,FALSE,"Tickmarks"}</definedName>
    <definedName name="Yeni" localSheetId="12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Yeni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YETYTY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YETYTY" hidden="1">{#VALUE!,#N/A,FALSE,0;#N/A,#N/A,FALSE,0;#N/A,#N/A,FALSE,0;#N/A,#N/A,FALSE,0;#N/A,#N/A,FALSE,0;#N/A,#N/A,FALSE,0;#N/A,#N/A,FALSE,0;#N/A,#N/A,FALSE,0;#N/A,#N/A,FALSE,0;#N/A,#N/A,FALSE,0;#N/A,#N/A,FALSE,0;#N/A,#N/A,FALSE,0}</definedName>
    <definedName name="yhn" localSheetId="12" hidden="1">{"taşkınsuyu1fiyat",#N/A,FALSE,"tsfiyat"}</definedName>
    <definedName name="yhn" hidden="1">{"taşkınsuyu1fiyat",#N/A,FALSE,"tsfiyat"}</definedName>
    <definedName name="yhyhy" hidden="1">#REF!</definedName>
    <definedName name="yıu" localSheetId="12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ıu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RE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E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WS" localSheetId="1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W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u" localSheetId="12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yu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yui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i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ı" localSheetId="12" hidden="1">{#N/A,#N/A,FALSE,"avans";#N/A,#N/A,FALSE,"teminat_mektubu";#N/A,#N/A,FALSE,"ihz. icmal";#N/A,#N/A,FALSE,"söz_fiy_fark";#N/A,#N/A,FALSE,"kap2";#N/A,#N/A,FALSE,"mal_FF_icm";#N/A,#N/A,FALSE,"kap1"}</definedName>
    <definedName name="yuı" hidden="1">{#N/A,#N/A,FALSE,"avans";#N/A,#N/A,FALSE,"teminat_mektubu";#N/A,#N/A,FALSE,"ihz. icmal";#N/A,#N/A,FALSE,"söz_fiy_fark";#N/A,#N/A,FALSE,"kap2";#N/A,#N/A,FALSE,"mal_FF_icm";#N/A,#N/A,FALSE,"kap1"}</definedName>
    <definedName name="yuıı" localSheetId="12" hidden="1">{#N/A,#N/A,FALSE,"kal_iç_ihz";#N/A,#N/A,FALSE,"kal_iç_er";#N/A,#N/A,FALSE,"kal_iç_tut"}</definedName>
    <definedName name="yuıı" hidden="1">{#N/A,#N/A,FALSE,"kal_iç_ihz";#N/A,#N/A,FALSE,"kal_iç_er";#N/A,#N/A,FALSE,"kal_iç_tut"}</definedName>
    <definedName name="yuıu" localSheetId="12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yuı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yutyuyuıyu" localSheetId="12" hidden="1">{#VALUE!,#N/A,FALSE,0;#N/A,#N/A,FALSE,0;#N/A,#N/A,FALSE,0;#N/A,#N/A,FALSE,0;#N/A,#N/A,FALSE,0;#N/A,#N/A,FALSE,0;#N/A,#N/A,FALSE,0;#N/A,#N/A,FALSE,0;#N/A,#N/A,FALSE,0;#N/A,#N/A,FALSE,0;#N/A,#N/A,FALSE,0;#N/A,#N/A,FALSE,0}</definedName>
    <definedName name="yutyuyuıyu" hidden="1">{#VALUE!,#N/A,FALSE,0;#N/A,#N/A,FALSE,0;#N/A,#N/A,FALSE,0;#N/A,#N/A,FALSE,0;#N/A,#N/A,FALSE,0;#N/A,#N/A,FALSE,0;#N/A,#N/A,FALSE,0;#N/A,#N/A,FALSE,0;#N/A,#N/A,FALSE,0;#N/A,#N/A,FALSE,0;#N/A,#N/A,FALSE,0;#N/A,#N/A,FALSE,0}</definedName>
    <definedName name="yuu" localSheetId="12" hidden="1">{#N/A,#N/A,FALSE,"kal_iç_ihz";#N/A,#N/A,FALSE,"kal_iç_er";#N/A,#N/A,FALSE,"kal_iç_tut"}</definedName>
    <definedName name="yuu" hidden="1">{#N/A,#N/A,FALSE,"kal_iç_ihz";#N/A,#N/A,FALSE,"kal_iç_er";#N/A,#N/A,FALSE,"kal_iç_tut"}</definedName>
    <definedName name="yuuıı" localSheetId="12" hidden="1">{#N/A,#N/A,FALSE,"kal_iç_ihz";#N/A,#N/A,FALSE,"kal_iç_er";#N/A,#N/A,FALSE,"kal_iç_tut"}</definedName>
    <definedName name="yuuıı" hidden="1">{#N/A,#N/A,FALSE,"kal_iç_ihz";#N/A,#N/A,FALSE,"kal_iç_er";#N/A,#N/A,FALSE,"kal_iç_tut"}</definedName>
    <definedName name="yuuy" localSheetId="12" hidden="1">{#N/A,#N/A,FALSE,"maff_h1";#N/A,#N/A,FALSE,"maff_h2";#N/A,#N/A,FALSE,"maff_h3";#N/A,#N/A,FALSE,"maff_h4";#N/A,#N/A,FALSE,"maff_h5";#N/A,#N/A,FALSE,"maff_h6";#N/A,#N/A,FALSE,"maff_h7"}</definedName>
    <definedName name="yuuy" hidden="1">{#N/A,#N/A,FALSE,"maff_h1";#N/A,#N/A,FALSE,"maff_h2";#N/A,#N/A,FALSE,"maff_h3";#N/A,#N/A,FALSE,"maff_h4";#N/A,#N/A,FALSE,"maff_h5";#N/A,#N/A,FALSE,"maff_h6";#N/A,#N/A,FALSE,"maff_h7"}</definedName>
    <definedName name="yy" localSheetId="12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" localSheetId="14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u" localSheetId="12" hidden="1">{#N/A,#N/A,FALSE,"maff_h1";#N/A,#N/A,FALSE,"maff_h2";#N/A,#N/A,FALSE,"maff_h3";#N/A,#N/A,FALSE,"maff_h4";#N/A,#N/A,FALSE,"maff_h5";#N/A,#N/A,FALSE,"maff_h6";#N/A,#N/A,FALSE,"maff_h7"}</definedName>
    <definedName name="yyu" hidden="1">{#N/A,#N/A,FALSE,"maff_h1";#N/A,#N/A,FALSE,"maff_h2";#N/A,#N/A,FALSE,"maff_h3";#N/A,#N/A,FALSE,"maff_h4";#N/A,#N/A,FALSE,"maff_h5";#N/A,#N/A,FALSE,"maff_h6";#N/A,#N/A,FALSE,"maff_h7"}</definedName>
    <definedName name="yyuı" localSheetId="12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yy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z" localSheetId="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" localSheetId="14" hidden="1">#REF!</definedName>
    <definedName name="z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_00F33AC1_9115_11D7_827F_00104BBA10B0_.wvu.Cols" hidden="1">#REF!,#REF!,#REF!</definedName>
    <definedName name="Z_0DD4EB58_0647_11D5_A6F7_00508B654A95_.wvu.Cols" hidden="1">#REF!,#REF!,#REF!,#REF!,#REF!</definedName>
    <definedName name="Z_10435A81_C305_11D5_A6F8_009027BEE0E0_.wvu.Cols" hidden="1">#REF!,#REF!,#REF!</definedName>
    <definedName name="Z_10435A81_C305_11D5_A6F8_009027BEE0E0_.wvu.FilterData" hidden="1">#REF!</definedName>
    <definedName name="Z_10435A81_C305_11D5_A6F8_009027BEE0E0_.wvu.PrintArea" hidden="1">#REF!</definedName>
    <definedName name="Z_10435A81_C305_11D5_A6F8_009027BEE0E0_.wvu.PrintTitles" hidden="1">#REF!</definedName>
    <definedName name="Z_10435A81_C305_11D5_A6F8_009027BEE0E0_.wvu.Rows" hidden="1">#REF!,#REF!</definedName>
    <definedName name="Z_11FA6A85_BE14_446C_8A8C_27549E95F30E_.wvu.FilterData" hidden="1">#REF!</definedName>
    <definedName name="Z_1C3AD0CD_BF0C_4C4E_9071_158A2F5215E2_.wvu.Rows" hidden="1">#REF!,#REF!,#REF!</definedName>
    <definedName name="Z_270BB401_5236_11D4_BB54_0050044E0CFA_.wvu.Cols" hidden="1">#REF!,#REF!,#REF!,#REF!</definedName>
    <definedName name="Z_270BB401_5236_11D4_BB54_0050044E0CFA_.wvu.FilterData" hidden="1">#REF!</definedName>
    <definedName name="Z_270BB401_5236_11D4_BB54_0050044E0CFA_.wvu.PrintArea" hidden="1">#REF!</definedName>
    <definedName name="Z_270BB401_5236_11D4_BB54_0050044E0CFA_.wvu.PrintTitles" hidden="1">#REF!</definedName>
    <definedName name="Z_270BB401_5236_11D4_BB54_0050044E0CFA_.wvu.Rows" hidden="1">#REF!,#REF!</definedName>
    <definedName name="Z_2804E4BB_ED21_11D4_A6F8_00508B654B8B_.wvu.Cols" hidden="1">#REF!,#REF!,#REF!</definedName>
    <definedName name="Z_2804E4BB_ED21_11D4_A6F8_00508B654B8B_.wvu.FilterData" hidden="1">#REF!</definedName>
    <definedName name="Z_2804E4BB_ED21_11D4_A6F8_00508B654B8B_.wvu.PrintArea" hidden="1">#REF!</definedName>
    <definedName name="Z_2804E4BB_ED21_11D4_A6F8_00508B654B8B_.wvu.Rows" hidden="1">#REF!,#REF!</definedName>
    <definedName name="Z_30FEE15E_D26F_11D4_A6F7_00508B6A7686_.wvu.FilterData" hidden="1">#REF!</definedName>
    <definedName name="Z_30FEE15E_D26F_11D4_A6F7_00508B6A7686_.wvu.PrintArea" hidden="1">#REF!</definedName>
    <definedName name="Z_30FEE15E_D26F_11D4_A6F7_00508B6A7686_.wvu.PrintTitles" hidden="1">#REF!</definedName>
    <definedName name="Z_30FEE15E_D26F_11D4_A6F7_00508B6A7686_.wvu.Rows" hidden="1">#REF!</definedName>
    <definedName name="Z_37A59B27_C76D_4E84_8164_B3D5C7AFADBB_.wvu.Cols" hidden="1">#REF!</definedName>
    <definedName name="Z_3F2D3702_5C5D_4EF2_A404_F2A88AB2D490_.wvu.Cols" hidden="1">#REF!,#REF!</definedName>
    <definedName name="Z_5A868EA0_ED63_11D4_A6F8_009027BEE0E0_.wvu.Cols" hidden="1">#REF!,#REF!,#REF!</definedName>
    <definedName name="Z_5A868EA0_ED63_11D4_A6F8_009027BEE0E0_.wvu.FilterData" hidden="1">#REF!</definedName>
    <definedName name="Z_5A868EA0_ED63_11D4_A6F8_009027BEE0E0_.wvu.PrintArea" hidden="1">#REF!</definedName>
    <definedName name="Z_5A868EA0_ED63_11D4_A6F8_009027BEE0E0_.wvu.Rows" hidden="1">#REF!,#REF!</definedName>
    <definedName name="Z_6E40955B_C2F5_11D5_A6F7_009027BEE7F1_.wvu.Cols" hidden="1">#REF!,#REF!,#REF!</definedName>
    <definedName name="Z_6E40955B_C2F5_11D5_A6F7_009027BEE7F1_.wvu.FilterData" hidden="1">#REF!</definedName>
    <definedName name="Z_6E40955B_C2F5_11D5_A6F7_009027BEE7F1_.wvu.PrintArea" hidden="1">#REF!</definedName>
    <definedName name="Z_6E40955B_C2F5_11D5_A6F7_009027BEE7F1_.wvu.PrintTitles" hidden="1">#REF!</definedName>
    <definedName name="Z_6E40955B_C2F5_11D5_A6F7_009027BEE7F1_.wvu.Rows" hidden="1">#REF!,#REF!</definedName>
    <definedName name="Z_901DD601_3312_11D5_8F89_00010215A1CA_.wvu.Rows" hidden="1">#REF!,#REF!</definedName>
    <definedName name="Z_9673D06C_8E2D_4E41_BE89_13756C9C3BAE_.wvu.PrintArea" hidden="1">#REF!</definedName>
    <definedName name="Z_9F4E9141_41FC_4B2C_AC1F_EC647474A564_.wvu.PrintArea" hidden="1">#REF!</definedName>
    <definedName name="Z_9F4E9141_41FC_4B2C_AC1F_EC647474A564_.wvu.Rows" hidden="1">#REF!</definedName>
    <definedName name="Z_A0AC4B42_5259_11D4_B5FE_00C04FC949BF_.wvu.Cols" hidden="1">#REF!,#REF!,#REF!,#REF!</definedName>
    <definedName name="Z_A0AC4B42_5259_11D4_B5FE_00C04FC949BF_.wvu.FilterData" hidden="1">#REF!</definedName>
    <definedName name="Z_A0AC4B42_5259_11D4_B5FE_00C04FC949BF_.wvu.PrintArea" hidden="1">#REF!</definedName>
    <definedName name="Z_A0AC4B42_5259_11D4_B5FE_00C04FC949BF_.wvu.PrintTitles" hidden="1">#REF!</definedName>
    <definedName name="Z_A0AC4B42_5259_11D4_B5FE_00C04FC949BF_.wvu.Rows" hidden="1">#REF!,#REF!,#REF!,#REF!,#REF!,#REF!,#REF!</definedName>
    <definedName name="Z_A158D6E1_ED44_11D4_A6F7_00508B654028_.wvu.Cols" hidden="1">#REF!,#REF!</definedName>
    <definedName name="Z_A158D6E1_ED44_11D4_A6F7_00508B654028_.wvu.FilterData" hidden="1">#REF!</definedName>
    <definedName name="Z_A158D6E1_ED44_11D4_A6F7_00508B654028_.wvu.PrintArea" hidden="1">#REF!</definedName>
    <definedName name="Z_A158D6E1_ED44_11D4_A6F7_00508B654028_.wvu.Rows" hidden="1">#REF!,#REF!</definedName>
    <definedName name="Z_A6168485_6886_4592_BB13_07B9E683E6FB_.wvu.Cols" hidden="1">#REF!</definedName>
    <definedName name="Z_A6168485_6886_4592_BB13_07B9E683E6FB_.wvu.FilterData" hidden="1">#REF!</definedName>
    <definedName name="Z_A6168485_6886_4592_BB13_07B9E683E6FB_.wvu.PrintArea" hidden="1">#REF!</definedName>
    <definedName name="Z_A6168485_6886_4592_BB13_07B9E683E6FB_.wvu.PrintTitles" hidden="1">#REF!</definedName>
    <definedName name="Z_A6168485_6886_4592_BB13_07B9E683E6FB_.wvu.Rows" hidden="1">#REF!,#REF!,#REF!,#REF!,#REF!</definedName>
    <definedName name="Z_AB45FFAE_19AD_47F2_A68A_497CFA02F912_.wvu.Rows" hidden="1">#REF!</definedName>
    <definedName name="Z_ADA92181_C3E4_11D5_A6F7_00508B6A7686_.wvu.Cols" hidden="1">#REF!,#REF!,#REF!</definedName>
    <definedName name="Z_ADA92181_C3E4_11D5_A6F7_00508B6A7686_.wvu.FilterData" hidden="1">#REF!</definedName>
    <definedName name="Z_ADA92181_C3E4_11D5_A6F7_00508B6A7686_.wvu.PrintArea" hidden="1">#REF!</definedName>
    <definedName name="Z_ADA92181_C3E4_11D5_A6F7_00508B6A7686_.wvu.PrintTitles" hidden="1">#REF!</definedName>
    <definedName name="Z_ADA92181_C3E4_11D5_A6F7_00508B6A7686_.wvu.Rows" hidden="1">#REF!,#REF!</definedName>
    <definedName name="Z_D0FC81D9_872A_11D6_B808_0010DC239F6A_.wvu.Cols" hidden="1">#REF!</definedName>
    <definedName name="Z_D0FC81D9_872A_11D6_B808_0010DC239F6A_.wvu.FilterData" hidden="1">#REF!</definedName>
    <definedName name="Z_D0FC81D9_872A_11D6_B808_0010DC239F6A_.wvu.PrintArea" hidden="1">#REF!</definedName>
    <definedName name="Z_D0FC81D9_872A_11D6_B808_0010DC239F6A_.wvu.PrintTitles" hidden="1">#REF!</definedName>
    <definedName name="Z_D0FC81D9_872A_11D6_B808_0010DC239F6A_.wvu.Rows" hidden="1">#REF!,#REF!,#REF!,#REF!,#REF!</definedName>
    <definedName name="Z_D1F2B56D_1E58_4BCA_92CD_48826E79E65F_.wvu.Cols" hidden="1">#REF!,#REF!</definedName>
    <definedName name="Z_D4FBBAF2_ED2F_11D4_A6F7_00508B6540C5_.wvu.FilterData" hidden="1">#REF!</definedName>
    <definedName name="Z_D9E68341_C2F0_11D5_A6F7_00508B6540C5_.wvu.Cols" hidden="1">#REF!,#REF!,#REF!</definedName>
    <definedName name="Z_D9E68341_C2F0_11D5_A6F7_00508B6540C5_.wvu.FilterData" hidden="1">#REF!</definedName>
    <definedName name="Z_D9E68341_C2F0_11D5_A6F7_00508B6540C5_.wvu.PrintArea" hidden="1">#REF!</definedName>
    <definedName name="Z_D9E68341_C2F0_11D5_A6F7_00508B6540C5_.wvu.PrintTitles" hidden="1">#REF!</definedName>
    <definedName name="Z_D9E68341_C2F0_11D5_A6F7_00508B6540C5_.wvu.Rows" hidden="1">#REF!</definedName>
    <definedName name="Z_FA0D2A17_1C02_11D8_848D_00021BF19BDB_.wvu.FilterData" hidden="1">#REF!</definedName>
    <definedName name="zdfb" hidden="1">#REF!</definedName>
    <definedName name="zkm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k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sd" localSheetId="12" hidden="1">{#N/A,#N/A,FALSE,"Aging Summary";#N/A,#N/A,FALSE,"Ratio Analysis";#N/A,#N/A,FALSE,"Test 120 Day Accts";#N/A,#N/A,FALSE,"Tickmarks"}</definedName>
    <definedName name="zsd" localSheetId="14" hidden="1">{#N/A,#N/A,FALSE,"Aging Summary";#N/A,#N/A,FALSE,"Ratio Analysis";#N/A,#N/A,FALSE,"Test 120 Day Accts";#N/A,#N/A,FALSE,"Tickmarks"}</definedName>
    <definedName name="zsd" hidden="1">{#N/A,#N/A,FALSE,"Aging Summary";#N/A,#N/A,FALSE,"Ratio Analysis";#N/A,#N/A,FALSE,"Test 120 Day Accts";#N/A,#N/A,FALSE,"Tickmarks"}</definedName>
    <definedName name="zse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" localSheetId="1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xc" localSheetId="12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zxc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4" hidden="1">#REF!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" localSheetId="14" hidden="1">#REF!</definedName>
    <definedName name="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" hidden="1">#REF!</definedName>
    <definedName name="zzzzz" hidden="1">#REF!</definedName>
    <definedName name="zzzzzz" localSheetId="1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" localSheetId="14" hidden="1">#REF!</definedName>
    <definedName name="zzz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z" hidden="1">#REF!</definedName>
    <definedName name="zzzzzzzz" hidden="1">#REF!</definedName>
    <definedName name="zzzzzzzzzzz" hidden="1">#REF!</definedName>
    <definedName name="zzzzzzzzzzzz" hidden="1">#REF!</definedName>
    <definedName name="zzzzzzzzzzzzzz" hidden="1">#REF!</definedName>
    <definedName name="zzzzzzzzzzzzzzz" hidden="1">#REF!</definedName>
    <definedName name="zzzzzzzzzzzzzzzz" hidden="1">#REF!</definedName>
    <definedName name="zzzzzzzzzzzzzzzzzzzzzzzz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0" i="33" l="1"/>
  <c r="AB20" i="33"/>
  <c r="E62" i="25"/>
  <c r="E62" i="2"/>
  <c r="AZ140" i="32"/>
  <c r="BA140" i="32"/>
  <c r="BB140" i="32"/>
  <c r="BC140" i="32"/>
  <c r="P60" i="25"/>
  <c r="AX313" i="35" l="1"/>
  <c r="AX312" i="35"/>
  <c r="AX311" i="35"/>
  <c r="AX310" i="35"/>
  <c r="AX309" i="35"/>
  <c r="AX308" i="35"/>
  <c r="AX307" i="35"/>
  <c r="AX306" i="35"/>
  <c r="AX305" i="35"/>
  <c r="AX304" i="35"/>
  <c r="AX303" i="35"/>
  <c r="AX302" i="35"/>
  <c r="AX301" i="35"/>
  <c r="AX300" i="35"/>
  <c r="AX299" i="35"/>
  <c r="AX298" i="35"/>
  <c r="AX297" i="35"/>
  <c r="AX296" i="35"/>
  <c r="AX295" i="35"/>
  <c r="AX294" i="35"/>
  <c r="AX293" i="35"/>
  <c r="AX292" i="35"/>
  <c r="AX291" i="35"/>
  <c r="AX290" i="35"/>
  <c r="AX289" i="35"/>
  <c r="AX288" i="35"/>
  <c r="AX287" i="35"/>
  <c r="AX286" i="35"/>
  <c r="AX285" i="35"/>
  <c r="AX284" i="35"/>
  <c r="AX283" i="35"/>
  <c r="AX282" i="35"/>
  <c r="AX281" i="35"/>
  <c r="AX280" i="35"/>
  <c r="AX279" i="35"/>
  <c r="AX278" i="35"/>
  <c r="AX277" i="35"/>
  <c r="AX276" i="35"/>
  <c r="AX275" i="35"/>
  <c r="AX274" i="35"/>
  <c r="AX273" i="35"/>
  <c r="AX272" i="35"/>
  <c r="AX271" i="35"/>
  <c r="AX270" i="35"/>
  <c r="AX269" i="35"/>
  <c r="AX268" i="35"/>
  <c r="AX267" i="35"/>
  <c r="AX266" i="35"/>
  <c r="AX265" i="35"/>
  <c r="AX264" i="35"/>
  <c r="AX263" i="35"/>
  <c r="AX262" i="35"/>
  <c r="AX261" i="35"/>
  <c r="AX260" i="35"/>
  <c r="AX259" i="35"/>
  <c r="AX258" i="35"/>
  <c r="AX257" i="35"/>
  <c r="AX256" i="35"/>
  <c r="AX255" i="35"/>
  <c r="AX254" i="35"/>
  <c r="AX253" i="35"/>
  <c r="AX252" i="35"/>
  <c r="AX251" i="35"/>
  <c r="AX250" i="35"/>
  <c r="AX249" i="35"/>
  <c r="AX248" i="35"/>
  <c r="AX247" i="35"/>
  <c r="AX246" i="35"/>
  <c r="AX245" i="35"/>
  <c r="AX244" i="35"/>
  <c r="AX243" i="35"/>
  <c r="AX242" i="35"/>
  <c r="AX241" i="35"/>
  <c r="AX240" i="35"/>
  <c r="AX239" i="35"/>
  <c r="AX238" i="35"/>
  <c r="AX237" i="35"/>
  <c r="AX236" i="35"/>
  <c r="AX235" i="35"/>
  <c r="AX234" i="35"/>
  <c r="AX233" i="35"/>
  <c r="AX232" i="35"/>
  <c r="AX231" i="35"/>
  <c r="AX230" i="35"/>
  <c r="AX229" i="35"/>
  <c r="AX228" i="35"/>
  <c r="AX227" i="35"/>
  <c r="AX226" i="35"/>
  <c r="AX225" i="35"/>
  <c r="AX224" i="35"/>
  <c r="AX223" i="35"/>
  <c r="AX222" i="35"/>
  <c r="AX221" i="35"/>
  <c r="AX220" i="35"/>
  <c r="AX219" i="35"/>
  <c r="AX218" i="35"/>
  <c r="AX217" i="35"/>
  <c r="AX216" i="35"/>
  <c r="AX215" i="35"/>
  <c r="AX214" i="35"/>
  <c r="AX213" i="35"/>
  <c r="AX212" i="35"/>
  <c r="AX211" i="35"/>
  <c r="AX210" i="35"/>
  <c r="AX209" i="35"/>
  <c r="AX208" i="35"/>
  <c r="AX207" i="35"/>
  <c r="AX206" i="35"/>
  <c r="AX205" i="35"/>
  <c r="AX204" i="35"/>
  <c r="AX203" i="35"/>
  <c r="AX202" i="35"/>
  <c r="AX201" i="35"/>
  <c r="AX200" i="35"/>
  <c r="AX199" i="35"/>
  <c r="AX198" i="35"/>
  <c r="AX197" i="35"/>
  <c r="AX196" i="35"/>
  <c r="AX195" i="35"/>
  <c r="AX194" i="35"/>
  <c r="AX193" i="35"/>
  <c r="AX192" i="35"/>
  <c r="AX191" i="35"/>
  <c r="AX190" i="35"/>
  <c r="AX189" i="35"/>
  <c r="AX188" i="35"/>
  <c r="AX187" i="35"/>
  <c r="AX186" i="35"/>
  <c r="AX185" i="35"/>
  <c r="AX184" i="35"/>
  <c r="AX183" i="35"/>
  <c r="AX182" i="35"/>
  <c r="AX181" i="35"/>
  <c r="AX180" i="35"/>
  <c r="AX179" i="35"/>
  <c r="AX178" i="35"/>
  <c r="AX177" i="35"/>
  <c r="AX176" i="35"/>
  <c r="AX175" i="35"/>
  <c r="AX174" i="35"/>
  <c r="AX173" i="35"/>
  <c r="AX172" i="35"/>
  <c r="AX171" i="35"/>
  <c r="AX170" i="35"/>
  <c r="AX169" i="35"/>
  <c r="AX168" i="35"/>
  <c r="AX167" i="35"/>
  <c r="AX166" i="35"/>
  <c r="AX165" i="35"/>
  <c r="AX164" i="35"/>
  <c r="AX163" i="35"/>
  <c r="AX162" i="35"/>
  <c r="AX161" i="35"/>
  <c r="AX160" i="35"/>
  <c r="AX159" i="35"/>
  <c r="AX158" i="35"/>
  <c r="AX157" i="35"/>
  <c r="AX156" i="35"/>
  <c r="AX155" i="35"/>
  <c r="AX154" i="35"/>
  <c r="AX153" i="35"/>
  <c r="AX152" i="35"/>
  <c r="AX151" i="35"/>
  <c r="AX150" i="35"/>
  <c r="AX149" i="35"/>
  <c r="AX148" i="35"/>
  <c r="AX147" i="35"/>
  <c r="AX146" i="35"/>
  <c r="AX145" i="35"/>
  <c r="AX144" i="35"/>
  <c r="AX143" i="35"/>
  <c r="AX142" i="35"/>
  <c r="AX141" i="35"/>
  <c r="AX140" i="35"/>
  <c r="AX139" i="35"/>
  <c r="AX138" i="35"/>
  <c r="AX137" i="35"/>
  <c r="AX136" i="35"/>
  <c r="AX135" i="35"/>
  <c r="AX134" i="35"/>
  <c r="AX133" i="35"/>
  <c r="AX132" i="35"/>
  <c r="AX131" i="35"/>
  <c r="AX130" i="35"/>
  <c r="AX129" i="35"/>
  <c r="AX128" i="35"/>
  <c r="AX127" i="35"/>
  <c r="AX126" i="35"/>
  <c r="AX125" i="35"/>
  <c r="AX124" i="35"/>
  <c r="AX123" i="35"/>
  <c r="AX122" i="35"/>
  <c r="AX121" i="35"/>
  <c r="AX120" i="35"/>
  <c r="AX119" i="35"/>
  <c r="AX118" i="35"/>
  <c r="AX117" i="35"/>
  <c r="AX116" i="35"/>
  <c r="AX115" i="35"/>
  <c r="AX114" i="35"/>
  <c r="AX113" i="35"/>
  <c r="AX112" i="35"/>
  <c r="AX111" i="35"/>
  <c r="AX110" i="35"/>
  <c r="AX109" i="35"/>
  <c r="AX108" i="35"/>
  <c r="AX107" i="35"/>
  <c r="AX106" i="35"/>
  <c r="AX105" i="35"/>
  <c r="AX104" i="35"/>
  <c r="AX103" i="35"/>
  <c r="AX102" i="35"/>
  <c r="AX101" i="35"/>
  <c r="AX100" i="35"/>
  <c r="AX99" i="35"/>
  <c r="AX98" i="35"/>
  <c r="AX97" i="35"/>
  <c r="AX96" i="35"/>
  <c r="AX95" i="35"/>
  <c r="AX94" i="35"/>
  <c r="AX93" i="35"/>
  <c r="AX92" i="35"/>
  <c r="AX91" i="35"/>
  <c r="AX90" i="35"/>
  <c r="AX89" i="35"/>
  <c r="AX88" i="35"/>
  <c r="AX87" i="35"/>
  <c r="AX86" i="35"/>
  <c r="AX85" i="35"/>
  <c r="AX84" i="35"/>
  <c r="AX83" i="35"/>
  <c r="AX82" i="35"/>
  <c r="AX81" i="35"/>
  <c r="AX80" i="35"/>
  <c r="AX79" i="35"/>
  <c r="AX78" i="35"/>
  <c r="AX77" i="35"/>
  <c r="AX76" i="35"/>
  <c r="AX75" i="35"/>
  <c r="AX74" i="35"/>
  <c r="AX73" i="35"/>
  <c r="AX72" i="35"/>
  <c r="AX71" i="35"/>
  <c r="AX70" i="35"/>
  <c r="AX69" i="35"/>
  <c r="AX68" i="35"/>
  <c r="AX67" i="35"/>
  <c r="AX66" i="35"/>
  <c r="AX65" i="35"/>
  <c r="AX64" i="35"/>
  <c r="AX63" i="35"/>
  <c r="AX62" i="35"/>
  <c r="AX61" i="35"/>
  <c r="AX60" i="35"/>
  <c r="AX59" i="35"/>
  <c r="AX58" i="35"/>
  <c r="AX57" i="35"/>
  <c r="AX56" i="35"/>
  <c r="AX55" i="35"/>
  <c r="AX54" i="35"/>
  <c r="AX53" i="35"/>
  <c r="AX52" i="35"/>
  <c r="AX51" i="35"/>
  <c r="AX50" i="35"/>
  <c r="AX49" i="35"/>
  <c r="AX48" i="35"/>
  <c r="AX47" i="35"/>
  <c r="AX46" i="35"/>
  <c r="AX45" i="35"/>
  <c r="AX44" i="35"/>
  <c r="AX43" i="35"/>
  <c r="AX42" i="35"/>
  <c r="AX41" i="35"/>
  <c r="AX40" i="35"/>
  <c r="AX39" i="35"/>
  <c r="AX38" i="35"/>
  <c r="AX37" i="35"/>
  <c r="AX36" i="35"/>
  <c r="AX35" i="35"/>
  <c r="AX34" i="35"/>
  <c r="AX33" i="35"/>
  <c r="AX32" i="35"/>
  <c r="AX31" i="35"/>
  <c r="AX30" i="35"/>
  <c r="AX29" i="35"/>
  <c r="AX28" i="35"/>
  <c r="AX27" i="35"/>
  <c r="AX26" i="35"/>
  <c r="AX25" i="35"/>
  <c r="AX24" i="35"/>
  <c r="AX23" i="35"/>
  <c r="AX22" i="35"/>
  <c r="AX21" i="35"/>
  <c r="AX20" i="35"/>
  <c r="AX19" i="35"/>
  <c r="AX18" i="35"/>
  <c r="AX17" i="35"/>
  <c r="AX16" i="35"/>
  <c r="AX15" i="35"/>
  <c r="AX14" i="35"/>
  <c r="AX13" i="35"/>
  <c r="AX12" i="35"/>
  <c r="AX11" i="35"/>
  <c r="AX10" i="35"/>
  <c r="AX9" i="35"/>
  <c r="AX8" i="35"/>
  <c r="AX7" i="35"/>
  <c r="AX6" i="35"/>
  <c r="AX5" i="35"/>
  <c r="AX4" i="35"/>
  <c r="AX3" i="35"/>
  <c r="AX2" i="35"/>
  <c r="U24" i="23"/>
  <c r="F38" i="23" l="1"/>
  <c r="F39" i="1"/>
  <c r="AC195" i="24"/>
  <c r="AH195" i="24"/>
  <c r="AJ195" i="24"/>
  <c r="AK195" i="24"/>
  <c r="AR195" i="24"/>
  <c r="BI195" i="24"/>
  <c r="P25" i="21"/>
  <c r="P25" i="1"/>
  <c r="P25" i="23"/>
  <c r="N24" i="23"/>
  <c r="N24" i="1"/>
  <c r="N23" i="1"/>
  <c r="BH195" i="3" s="1"/>
  <c r="N23" i="23"/>
  <c r="AE195" i="24" s="1"/>
  <c r="F81" i="25"/>
  <c r="AB195" i="24" l="1"/>
  <c r="BH195" i="24"/>
  <c r="BA195" i="24"/>
  <c r="AZ195" i="24"/>
  <c r="BB195" i="3"/>
  <c r="BC195" i="3"/>
  <c r="BJ195" i="3"/>
  <c r="F195" i="3"/>
  <c r="G195" i="3"/>
  <c r="AS195" i="24"/>
  <c r="AI195" i="24"/>
  <c r="AD195" i="3"/>
  <c r="AU195" i="3"/>
  <c r="BJ195" i="24"/>
  <c r="BB195" i="24"/>
  <c r="AT195" i="24"/>
  <c r="AL195" i="24"/>
  <c r="AD195" i="24"/>
  <c r="BG195" i="24"/>
  <c r="AY195" i="24"/>
  <c r="AQ195" i="24"/>
  <c r="AA195" i="24"/>
  <c r="Z195" i="24"/>
  <c r="BK195" i="3"/>
  <c r="BF195" i="24"/>
  <c r="AX195" i="24"/>
  <c r="AP195" i="24"/>
  <c r="AE195" i="3"/>
  <c r="BM195" i="24"/>
  <c r="BE195" i="24"/>
  <c r="AW195" i="24"/>
  <c r="AO195" i="24"/>
  <c r="AG195" i="24"/>
  <c r="Y195" i="24"/>
  <c r="AL195" i="3"/>
  <c r="BL195" i="24"/>
  <c r="BD195" i="24"/>
  <c r="AV195" i="24"/>
  <c r="AN195" i="24"/>
  <c r="AF195" i="24"/>
  <c r="AT195" i="3"/>
  <c r="BK195" i="24"/>
  <c r="BC195" i="24"/>
  <c r="AU195" i="24"/>
  <c r="AM195" i="24"/>
  <c r="M195" i="3"/>
  <c r="AM195" i="3"/>
  <c r="AF195" i="3"/>
  <c r="AO195" i="3"/>
  <c r="Z195" i="3"/>
  <c r="AX195" i="3"/>
  <c r="K195" i="3"/>
  <c r="AB195" i="3"/>
  <c r="AJ195" i="3"/>
  <c r="AR195" i="3"/>
  <c r="AZ195" i="3"/>
  <c r="L195" i="3"/>
  <c r="AC195" i="3"/>
  <c r="AK195" i="3"/>
  <c r="AS195" i="3"/>
  <c r="BA195" i="3"/>
  <c r="BI195" i="3"/>
  <c r="X195" i="3"/>
  <c r="AN195" i="3"/>
  <c r="BD195" i="3"/>
  <c r="AV195" i="3"/>
  <c r="BL195" i="3"/>
  <c r="H195" i="3"/>
  <c r="Y195" i="3"/>
  <c r="AW195" i="3"/>
  <c r="BM195" i="3"/>
  <c r="I195" i="3"/>
  <c r="AP195" i="3"/>
  <c r="J195" i="3"/>
  <c r="AA195" i="3"/>
  <c r="AI195" i="3"/>
  <c r="AQ195" i="3"/>
  <c r="AY195" i="3"/>
  <c r="BG195" i="3"/>
  <c r="AG195" i="3"/>
  <c r="BE195" i="3"/>
  <c r="AH195" i="3"/>
  <c r="BF195" i="3"/>
  <c r="T195" i="3"/>
  <c r="E27" i="31"/>
  <c r="Q51" i="31"/>
  <c r="J51" i="31"/>
  <c r="E7" i="31"/>
  <c r="L34" i="31"/>
  <c r="J41" i="31" s="1"/>
  <c r="K51" i="31" s="1"/>
  <c r="S34" i="31"/>
  <c r="Q40" i="31" s="1"/>
  <c r="S40" i="31" s="1"/>
  <c r="Q57" i="31" s="1"/>
  <c r="S49" i="31"/>
  <c r="S50" i="31"/>
  <c r="S51" i="31"/>
  <c r="L49" i="31"/>
  <c r="L50" i="31"/>
  <c r="L51" i="31"/>
  <c r="E8" i="23"/>
  <c r="E8" i="1"/>
  <c r="AB29" i="33"/>
  <c r="G99" i="21"/>
  <c r="F99" i="21"/>
  <c r="E99" i="21"/>
  <c r="D99" i="21"/>
  <c r="C99" i="21"/>
  <c r="B99" i="21"/>
  <c r="H98" i="21"/>
  <c r="H99" i="21" s="1"/>
  <c r="G98" i="21"/>
  <c r="F98" i="21"/>
  <c r="E98" i="21"/>
  <c r="D98" i="21"/>
  <c r="C98" i="21"/>
  <c r="B98" i="21"/>
  <c r="H95" i="21"/>
  <c r="G95" i="21"/>
  <c r="F95" i="21"/>
  <c r="E95" i="21"/>
  <c r="D95" i="21"/>
  <c r="C95" i="21"/>
  <c r="B95" i="21"/>
  <c r="AA25" i="33"/>
  <c r="AB34" i="33"/>
  <c r="AA34" i="33"/>
  <c r="P51" i="1" l="1"/>
  <c r="Q50" i="31"/>
  <c r="R50" i="31" s="1"/>
  <c r="T50" i="31" s="1"/>
  <c r="R57" i="31" s="1"/>
  <c r="S57" i="31" s="1"/>
  <c r="E11" i="31" s="1"/>
  <c r="Q41" i="31"/>
  <c r="R51" i="31" s="1"/>
  <c r="T51" i="31" s="1"/>
  <c r="R58" i="31" s="1"/>
  <c r="Q39" i="31"/>
  <c r="J39" i="31"/>
  <c r="J40" i="31"/>
  <c r="S44" i="21"/>
  <c r="AC8" i="33"/>
  <c r="AC17" i="33"/>
  <c r="AA17" i="33" s="1"/>
  <c r="AK195" i="12"/>
  <c r="C107" i="21"/>
  <c r="H87" i="21"/>
  <c r="H88" i="21" s="1"/>
  <c r="G87" i="21"/>
  <c r="G88" i="21" s="1"/>
  <c r="F87" i="21"/>
  <c r="F88" i="21" s="1"/>
  <c r="E87" i="21"/>
  <c r="E88" i="21" s="1"/>
  <c r="D87" i="21"/>
  <c r="D88" i="21" s="1"/>
  <c r="C87" i="21"/>
  <c r="C88" i="21" s="1"/>
  <c r="B87" i="21"/>
  <c r="B88" i="21" s="1"/>
  <c r="C84" i="21"/>
  <c r="D84" i="21"/>
  <c r="E84" i="21"/>
  <c r="F84" i="21"/>
  <c r="G84" i="21"/>
  <c r="H84" i="21"/>
  <c r="B84" i="21"/>
  <c r="AB32" i="33"/>
  <c r="F11" i="1" s="1"/>
  <c r="L3" i="10"/>
  <c r="K3" i="10"/>
  <c r="J3" i="10"/>
  <c r="L4" i="10"/>
  <c r="K4" i="10"/>
  <c r="J4" i="10"/>
  <c r="B70" i="21"/>
  <c r="B71" i="21"/>
  <c r="B72" i="21"/>
  <c r="A72" i="21" s="1"/>
  <c r="B76" i="21"/>
  <c r="A76" i="21" s="1"/>
  <c r="B75" i="21"/>
  <c r="A75" i="21" s="1"/>
  <c r="B74" i="21"/>
  <c r="A74" i="21" s="1"/>
  <c r="A73" i="21"/>
  <c r="A71" i="21"/>
  <c r="A70" i="21"/>
  <c r="R8" i="1"/>
  <c r="R8" i="23" s="1"/>
  <c r="F33" i="23"/>
  <c r="F33" i="1"/>
  <c r="C68" i="21"/>
  <c r="D68" i="21"/>
  <c r="E68" i="21"/>
  <c r="F68" i="21"/>
  <c r="H68" i="21"/>
  <c r="I68" i="21"/>
  <c r="G68" i="21"/>
  <c r="Q49" i="31" l="1"/>
  <c r="R49" i="31" s="1"/>
  <c r="T49" i="31" s="1"/>
  <c r="J50" i="31"/>
  <c r="K50" i="31" s="1"/>
  <c r="M50" i="31" s="1"/>
  <c r="L39" i="31"/>
  <c r="J56" i="31" s="1"/>
  <c r="J49" i="31"/>
  <c r="K49" i="31" s="1"/>
  <c r="M49" i="31" s="1"/>
  <c r="K56" i="31" s="1"/>
  <c r="S41" i="31"/>
  <c r="Q58" i="31" s="1"/>
  <c r="S58" i="31" s="1"/>
  <c r="S39" i="31"/>
  <c r="Q56" i="31" s="1"/>
  <c r="M51" i="31"/>
  <c r="K58" i="31" s="1"/>
  <c r="L41" i="31"/>
  <c r="J58" i="31" s="1"/>
  <c r="L40" i="31"/>
  <c r="J57" i="31" s="1"/>
  <c r="C11" i="31"/>
  <c r="C21" i="31"/>
  <c r="AB8" i="33"/>
  <c r="AA8" i="33" s="1"/>
  <c r="AC29" i="33"/>
  <c r="P51" i="23" s="1"/>
  <c r="AB31" i="33"/>
  <c r="P150" i="10"/>
  <c r="P149" i="10"/>
  <c r="P148" i="10"/>
  <c r="P147" i="10"/>
  <c r="P146" i="10"/>
  <c r="P145" i="10"/>
  <c r="P144" i="10"/>
  <c r="P143" i="10"/>
  <c r="P142" i="10"/>
  <c r="P141" i="10"/>
  <c r="P140" i="10"/>
  <c r="P139" i="10"/>
  <c r="P138" i="10"/>
  <c r="P137" i="10"/>
  <c r="P136" i="10"/>
  <c r="P135" i="10"/>
  <c r="P134" i="10"/>
  <c r="P133" i="10"/>
  <c r="P132" i="10"/>
  <c r="P131" i="10"/>
  <c r="P130" i="10"/>
  <c r="P129" i="10"/>
  <c r="P128" i="10"/>
  <c r="P127" i="10"/>
  <c r="P126" i="10"/>
  <c r="P125" i="10"/>
  <c r="P124" i="10"/>
  <c r="P123" i="10"/>
  <c r="P122" i="10"/>
  <c r="P121" i="10"/>
  <c r="P120" i="10"/>
  <c r="P119" i="10"/>
  <c r="P118" i="10"/>
  <c r="P117" i="10"/>
  <c r="P116" i="10"/>
  <c r="P115" i="10"/>
  <c r="P114" i="10"/>
  <c r="P113" i="10"/>
  <c r="P112" i="10"/>
  <c r="P111" i="10"/>
  <c r="P110" i="10"/>
  <c r="P109" i="10"/>
  <c r="P108" i="10"/>
  <c r="P107" i="10"/>
  <c r="P106" i="10"/>
  <c r="P105" i="10"/>
  <c r="P104" i="10"/>
  <c r="P103" i="10"/>
  <c r="P102" i="10"/>
  <c r="P101" i="10"/>
  <c r="P100" i="10"/>
  <c r="P99" i="10"/>
  <c r="P98" i="10"/>
  <c r="P97" i="10"/>
  <c r="P96" i="10"/>
  <c r="P95" i="10"/>
  <c r="P94" i="10"/>
  <c r="P93" i="10"/>
  <c r="P92" i="10"/>
  <c r="P91" i="10"/>
  <c r="P90" i="10"/>
  <c r="P89" i="10"/>
  <c r="P88" i="10"/>
  <c r="P87" i="10"/>
  <c r="P86" i="10"/>
  <c r="P85" i="10"/>
  <c r="P84" i="10"/>
  <c r="P83" i="10"/>
  <c r="P82" i="10"/>
  <c r="P81" i="10"/>
  <c r="P80" i="10"/>
  <c r="P79" i="10"/>
  <c r="P78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L141" i="10"/>
  <c r="L140" i="10"/>
  <c r="L139" i="10"/>
  <c r="L138" i="10"/>
  <c r="L136" i="10"/>
  <c r="L135" i="10"/>
  <c r="L127" i="10"/>
  <c r="L126" i="10"/>
  <c r="L125" i="10"/>
  <c r="L118" i="10"/>
  <c r="L117" i="10"/>
  <c r="L116" i="10"/>
  <c r="L115" i="10"/>
  <c r="L112" i="10"/>
  <c r="L111" i="10"/>
  <c r="L107" i="10"/>
  <c r="L106" i="10"/>
  <c r="L105" i="10"/>
  <c r="L104" i="10"/>
  <c r="L85" i="10"/>
  <c r="L74" i="10"/>
  <c r="L73" i="10"/>
  <c r="L69" i="10"/>
  <c r="L60" i="10"/>
  <c r="L58" i="10"/>
  <c r="L56" i="10"/>
  <c r="L55" i="10"/>
  <c r="L54" i="10"/>
  <c r="L51" i="10"/>
  <c r="L50" i="10"/>
  <c r="L48" i="10"/>
  <c r="L44" i="10"/>
  <c r="L39" i="10"/>
  <c r="L36" i="10"/>
  <c r="L35" i="10"/>
  <c r="L34" i="10"/>
  <c r="L32" i="10"/>
  <c r="L31" i="10"/>
  <c r="L30" i="10"/>
  <c r="L25" i="10"/>
  <c r="L22" i="10"/>
  <c r="L20" i="10"/>
  <c r="L16" i="10"/>
  <c r="L15" i="10"/>
  <c r="L14" i="10"/>
  <c r="L13" i="10"/>
  <c r="L11" i="10"/>
  <c r="K141" i="10"/>
  <c r="K140" i="10"/>
  <c r="K139" i="10"/>
  <c r="K138" i="10"/>
  <c r="K136" i="10"/>
  <c r="K135" i="10"/>
  <c r="K127" i="10"/>
  <c r="K126" i="10"/>
  <c r="K125" i="10"/>
  <c r="K118" i="10"/>
  <c r="K117" i="10"/>
  <c r="K116" i="10"/>
  <c r="K115" i="10"/>
  <c r="K112" i="10"/>
  <c r="K111" i="10"/>
  <c r="K107" i="10"/>
  <c r="K106" i="10"/>
  <c r="K105" i="10"/>
  <c r="K104" i="10"/>
  <c r="K85" i="10"/>
  <c r="K74" i="10"/>
  <c r="K73" i="10"/>
  <c r="K69" i="10"/>
  <c r="K60" i="10"/>
  <c r="K58" i="10"/>
  <c r="K56" i="10"/>
  <c r="K55" i="10"/>
  <c r="K54" i="10"/>
  <c r="K51" i="10"/>
  <c r="K50" i="10"/>
  <c r="K48" i="10"/>
  <c r="K44" i="10"/>
  <c r="K39" i="10"/>
  <c r="K36" i="10"/>
  <c r="K35" i="10"/>
  <c r="K34" i="10"/>
  <c r="K32" i="10"/>
  <c r="K31" i="10"/>
  <c r="K30" i="10"/>
  <c r="K25" i="10"/>
  <c r="K22" i="10"/>
  <c r="K20" i="10"/>
  <c r="K16" i="10"/>
  <c r="K15" i="10"/>
  <c r="K14" i="10"/>
  <c r="K13" i="10"/>
  <c r="K11" i="10"/>
  <c r="J141" i="10"/>
  <c r="J140" i="10"/>
  <c r="J139" i="10"/>
  <c r="J138" i="10"/>
  <c r="J136" i="10"/>
  <c r="J135" i="10"/>
  <c r="J127" i="10"/>
  <c r="J126" i="10"/>
  <c r="J125" i="10"/>
  <c r="J118" i="10"/>
  <c r="J117" i="10"/>
  <c r="J116" i="10"/>
  <c r="J115" i="10"/>
  <c r="J112" i="10"/>
  <c r="J111" i="10"/>
  <c r="J107" i="10"/>
  <c r="J106" i="10"/>
  <c r="J105" i="10"/>
  <c r="J104" i="10"/>
  <c r="J85" i="10"/>
  <c r="J74" i="10"/>
  <c r="J73" i="10"/>
  <c r="J69" i="10"/>
  <c r="J60" i="10"/>
  <c r="J58" i="10"/>
  <c r="J56" i="10"/>
  <c r="J55" i="10"/>
  <c r="J54" i="10"/>
  <c r="J51" i="10"/>
  <c r="J50" i="10"/>
  <c r="J48" i="10"/>
  <c r="J44" i="10"/>
  <c r="J39" i="10"/>
  <c r="J36" i="10"/>
  <c r="J35" i="10"/>
  <c r="J34" i="10"/>
  <c r="J32" i="10"/>
  <c r="J31" i="10"/>
  <c r="J30" i="10"/>
  <c r="J25" i="10"/>
  <c r="J22" i="10"/>
  <c r="J20" i="10"/>
  <c r="J16" i="10"/>
  <c r="J15" i="10"/>
  <c r="J14" i="10"/>
  <c r="J13" i="10"/>
  <c r="J11" i="10"/>
  <c r="F41" i="23"/>
  <c r="F41" i="1"/>
  <c r="F42" i="2"/>
  <c r="AB24" i="33"/>
  <c r="AC7" i="33"/>
  <c r="AB7" i="33"/>
  <c r="AA6" i="33"/>
  <c r="AA5" i="33"/>
  <c r="AA7" i="33" s="1"/>
  <c r="AC24" i="33"/>
  <c r="AA23" i="33"/>
  <c r="AA22" i="33"/>
  <c r="I319" i="12"/>
  <c r="E50" i="31"/>
  <c r="E51" i="31"/>
  <c r="E49" i="31"/>
  <c r="C51" i="31"/>
  <c r="AB16" i="33"/>
  <c r="AC16" i="33"/>
  <c r="AA15" i="33"/>
  <c r="AA14" i="33"/>
  <c r="AA16" i="33" s="1"/>
  <c r="AD308" i="35"/>
  <c r="AC308" i="35"/>
  <c r="AB308" i="35"/>
  <c r="AA308" i="35"/>
  <c r="Z308" i="35"/>
  <c r="Y308" i="35"/>
  <c r="X308" i="35"/>
  <c r="W308" i="35"/>
  <c r="V308" i="35"/>
  <c r="U308" i="35"/>
  <c r="T308" i="35"/>
  <c r="S308" i="35"/>
  <c r="R308" i="35"/>
  <c r="Q308" i="35"/>
  <c r="P308" i="35"/>
  <c r="O308" i="35"/>
  <c r="N308" i="35"/>
  <c r="M308" i="35"/>
  <c r="L308" i="35"/>
  <c r="K308" i="35"/>
  <c r="J308" i="35"/>
  <c r="I308" i="35"/>
  <c r="H308" i="35"/>
  <c r="G308" i="35"/>
  <c r="F308" i="35"/>
  <c r="E308" i="35"/>
  <c r="D308" i="35"/>
  <c r="C308" i="35"/>
  <c r="AD302" i="35"/>
  <c r="AC302" i="35"/>
  <c r="AB302" i="35"/>
  <c r="AA302" i="35"/>
  <c r="Z302" i="35"/>
  <c r="Y302" i="35"/>
  <c r="X302" i="35"/>
  <c r="W302" i="35"/>
  <c r="V302" i="35"/>
  <c r="U302" i="35"/>
  <c r="T302" i="35"/>
  <c r="S302" i="35"/>
  <c r="R302" i="35"/>
  <c r="Q302" i="35"/>
  <c r="P302" i="35"/>
  <c r="O302" i="35"/>
  <c r="N302" i="35"/>
  <c r="M302" i="35"/>
  <c r="L302" i="35"/>
  <c r="K302" i="35"/>
  <c r="J302" i="35"/>
  <c r="I302" i="35"/>
  <c r="H302" i="35"/>
  <c r="G302" i="35"/>
  <c r="F302" i="35"/>
  <c r="E302" i="35"/>
  <c r="D302" i="35"/>
  <c r="C302" i="35"/>
  <c r="AD296" i="35"/>
  <c r="AC296" i="35"/>
  <c r="AB296" i="35"/>
  <c r="AA296" i="35"/>
  <c r="Z296" i="35"/>
  <c r="Y296" i="35"/>
  <c r="X296" i="35"/>
  <c r="W296" i="35"/>
  <c r="V296" i="35"/>
  <c r="U296" i="35"/>
  <c r="T296" i="35"/>
  <c r="S296" i="35"/>
  <c r="R296" i="35"/>
  <c r="Q296" i="35"/>
  <c r="P296" i="35"/>
  <c r="O296" i="35"/>
  <c r="N296" i="35"/>
  <c r="M296" i="35"/>
  <c r="L296" i="35"/>
  <c r="K296" i="35"/>
  <c r="J296" i="35"/>
  <c r="I296" i="35"/>
  <c r="H296" i="35"/>
  <c r="G296" i="35"/>
  <c r="F296" i="35"/>
  <c r="E296" i="35"/>
  <c r="D296" i="35"/>
  <c r="C296" i="35"/>
  <c r="AD290" i="35"/>
  <c r="AC290" i="35"/>
  <c r="AB290" i="35"/>
  <c r="AA290" i="35"/>
  <c r="Z290" i="35"/>
  <c r="Y290" i="35"/>
  <c r="X290" i="35"/>
  <c r="W290" i="35"/>
  <c r="V290" i="35"/>
  <c r="U290" i="35"/>
  <c r="T290" i="35"/>
  <c r="S290" i="35"/>
  <c r="R290" i="35"/>
  <c r="Q290" i="35"/>
  <c r="P290" i="35"/>
  <c r="O290" i="35"/>
  <c r="N290" i="35"/>
  <c r="M290" i="35"/>
  <c r="L290" i="35"/>
  <c r="K290" i="35"/>
  <c r="J290" i="35"/>
  <c r="I290" i="35"/>
  <c r="H290" i="35"/>
  <c r="G290" i="35"/>
  <c r="F290" i="35"/>
  <c r="E290" i="35"/>
  <c r="D290" i="35"/>
  <c r="C290" i="35"/>
  <c r="AD284" i="35"/>
  <c r="AC284" i="35"/>
  <c r="AB284" i="35"/>
  <c r="AA284" i="35"/>
  <c r="Z284" i="35"/>
  <c r="Y284" i="35"/>
  <c r="X284" i="35"/>
  <c r="W284" i="35"/>
  <c r="V284" i="35"/>
  <c r="U284" i="35"/>
  <c r="T284" i="35"/>
  <c r="S284" i="35"/>
  <c r="R284" i="35"/>
  <c r="Q284" i="35"/>
  <c r="P284" i="35"/>
  <c r="O284" i="35"/>
  <c r="N284" i="35"/>
  <c r="M284" i="35"/>
  <c r="L284" i="35"/>
  <c r="K284" i="35"/>
  <c r="J284" i="35"/>
  <c r="I284" i="35"/>
  <c r="H284" i="35"/>
  <c r="G284" i="35"/>
  <c r="F284" i="35"/>
  <c r="E284" i="35"/>
  <c r="D284" i="35"/>
  <c r="C284" i="35"/>
  <c r="AD278" i="35"/>
  <c r="AC278" i="35"/>
  <c r="AB278" i="35"/>
  <c r="AA278" i="35"/>
  <c r="Z278" i="35"/>
  <c r="Y278" i="35"/>
  <c r="X278" i="35"/>
  <c r="W278" i="35"/>
  <c r="V278" i="35"/>
  <c r="U278" i="35"/>
  <c r="T278" i="35"/>
  <c r="S278" i="35"/>
  <c r="R278" i="35"/>
  <c r="Q278" i="35"/>
  <c r="P278" i="35"/>
  <c r="O278" i="35"/>
  <c r="N278" i="35"/>
  <c r="M278" i="35"/>
  <c r="L278" i="35"/>
  <c r="K278" i="35"/>
  <c r="J278" i="35"/>
  <c r="I278" i="35"/>
  <c r="H278" i="35"/>
  <c r="G278" i="35"/>
  <c r="F278" i="35"/>
  <c r="E278" i="35"/>
  <c r="D278" i="35"/>
  <c r="C278" i="35"/>
  <c r="AB262" i="35"/>
  <c r="AA262" i="35"/>
  <c r="Z262" i="35"/>
  <c r="X262" i="35"/>
  <c r="T262" i="35"/>
  <c r="S262" i="35"/>
  <c r="R262" i="35"/>
  <c r="P262" i="35"/>
  <c r="L262" i="35"/>
  <c r="K262" i="35"/>
  <c r="J262" i="35"/>
  <c r="H262" i="35"/>
  <c r="AC262" i="35"/>
  <c r="Y262" i="35"/>
  <c r="Q262" i="35"/>
  <c r="M262" i="35"/>
  <c r="I262" i="35"/>
  <c r="E262" i="35"/>
  <c r="AD262" i="35"/>
  <c r="W262" i="35"/>
  <c r="V262" i="35"/>
  <c r="O262" i="35"/>
  <c r="N262" i="35"/>
  <c r="G262" i="35"/>
  <c r="F262" i="35"/>
  <c r="C262" i="35"/>
  <c r="AD261" i="35"/>
  <c r="AC261" i="35"/>
  <c r="AB261" i="35"/>
  <c r="AA261" i="35"/>
  <c r="Z261" i="35"/>
  <c r="Y261" i="35"/>
  <c r="X261" i="35"/>
  <c r="W261" i="35"/>
  <c r="V261" i="35"/>
  <c r="U261" i="35"/>
  <c r="T261" i="35"/>
  <c r="S261" i="35"/>
  <c r="R261" i="35"/>
  <c r="Q261" i="35"/>
  <c r="P261" i="35"/>
  <c r="O261" i="35"/>
  <c r="N261" i="35"/>
  <c r="M261" i="35"/>
  <c r="L261" i="35"/>
  <c r="K261" i="35"/>
  <c r="J261" i="35"/>
  <c r="I261" i="35"/>
  <c r="H261" i="35"/>
  <c r="G261" i="35"/>
  <c r="F261" i="35"/>
  <c r="E261" i="35"/>
  <c r="D261" i="35"/>
  <c r="C261" i="35"/>
  <c r="AD243" i="35"/>
  <c r="Y243" i="35"/>
  <c r="X243" i="35"/>
  <c r="W243" i="35"/>
  <c r="V243" i="35"/>
  <c r="Q243" i="35"/>
  <c r="P243" i="35"/>
  <c r="O243" i="35"/>
  <c r="N243" i="35"/>
  <c r="I243" i="35"/>
  <c r="H243" i="35"/>
  <c r="G243" i="35"/>
  <c r="F243" i="35"/>
  <c r="AC243" i="35"/>
  <c r="AB243" i="35"/>
  <c r="AA243" i="35"/>
  <c r="Z243" i="35"/>
  <c r="U243" i="35"/>
  <c r="T243" i="35"/>
  <c r="S243" i="35"/>
  <c r="R243" i="35"/>
  <c r="M243" i="35"/>
  <c r="L243" i="35"/>
  <c r="K243" i="35"/>
  <c r="J243" i="35"/>
  <c r="E243" i="35"/>
  <c r="D243" i="35"/>
  <c r="C243" i="35"/>
  <c r="W234" i="35"/>
  <c r="O234" i="35"/>
  <c r="Y234" i="35"/>
  <c r="Q234" i="35"/>
  <c r="I234" i="35"/>
  <c r="AD234" i="35"/>
  <c r="X234" i="35"/>
  <c r="V234" i="35"/>
  <c r="P234" i="35"/>
  <c r="N234" i="35"/>
  <c r="H234" i="35"/>
  <c r="F234" i="35"/>
  <c r="AC234" i="35"/>
  <c r="AB234" i="35"/>
  <c r="AA234" i="35"/>
  <c r="U234" i="35"/>
  <c r="T234" i="35"/>
  <c r="S234" i="35"/>
  <c r="M234" i="35"/>
  <c r="L234" i="35"/>
  <c r="K234" i="35"/>
  <c r="E234" i="35"/>
  <c r="D234" i="35"/>
  <c r="Z234" i="35"/>
  <c r="R234" i="35"/>
  <c r="J234" i="35"/>
  <c r="Z229" i="35"/>
  <c r="R229" i="35"/>
  <c r="J229" i="35"/>
  <c r="Y229" i="35"/>
  <c r="W229" i="35"/>
  <c r="Q229" i="35"/>
  <c r="O229" i="35"/>
  <c r="I229" i="35"/>
  <c r="G229" i="35"/>
  <c r="AD229" i="35"/>
  <c r="AC229" i="35"/>
  <c r="AB229" i="35"/>
  <c r="V229" i="35"/>
  <c r="U229" i="35"/>
  <c r="T229" i="35"/>
  <c r="N229" i="35"/>
  <c r="M229" i="35"/>
  <c r="L229" i="35"/>
  <c r="F229" i="35"/>
  <c r="E229" i="35"/>
  <c r="D229" i="35"/>
  <c r="AA229" i="35"/>
  <c r="X229" i="35"/>
  <c r="S229" i="35"/>
  <c r="P229" i="35"/>
  <c r="K229" i="35"/>
  <c r="H229" i="35"/>
  <c r="C229" i="35"/>
  <c r="Z226" i="35"/>
  <c r="Z224" i="35" s="1"/>
  <c r="Y226" i="35"/>
  <c r="Y224" i="35" s="1"/>
  <c r="X226" i="35"/>
  <c r="X224" i="35" s="1"/>
  <c r="R226" i="35"/>
  <c r="R224" i="35" s="1"/>
  <c r="Q226" i="35"/>
  <c r="Q224" i="35" s="1"/>
  <c r="P226" i="35"/>
  <c r="P224" i="35" s="1"/>
  <c r="J226" i="35"/>
  <c r="J224" i="35" s="1"/>
  <c r="I226" i="35"/>
  <c r="I224" i="35" s="1"/>
  <c r="H226" i="35"/>
  <c r="H224" i="35" s="1"/>
  <c r="AC226" i="35"/>
  <c r="AB226" i="35"/>
  <c r="AB224" i="35" s="1"/>
  <c r="AA226" i="35"/>
  <c r="AA224" i="35" s="1"/>
  <c r="U226" i="35"/>
  <c r="T226" i="35"/>
  <c r="T224" i="35" s="1"/>
  <c r="S226" i="35"/>
  <c r="S224" i="35" s="1"/>
  <c r="M226" i="35"/>
  <c r="L226" i="35"/>
  <c r="L224" i="35" s="1"/>
  <c r="K226" i="35"/>
  <c r="K224" i="35" s="1"/>
  <c r="E226" i="35"/>
  <c r="D226" i="35"/>
  <c r="D224" i="35" s="1"/>
  <c r="C226" i="35"/>
  <c r="Y222" i="35"/>
  <c r="X222" i="35"/>
  <c r="W222" i="35"/>
  <c r="Q222" i="35"/>
  <c r="P222" i="35"/>
  <c r="O222" i="35"/>
  <c r="M222" i="35"/>
  <c r="I222" i="35"/>
  <c r="H222" i="35"/>
  <c r="G222" i="35"/>
  <c r="E222" i="35"/>
  <c r="AD222" i="35"/>
  <c r="AC222" i="35"/>
  <c r="AB222" i="35"/>
  <c r="AA222" i="35"/>
  <c r="Z222" i="35"/>
  <c r="V222" i="35"/>
  <c r="U222" i="35"/>
  <c r="T222" i="35"/>
  <c r="S222" i="35"/>
  <c r="R222" i="35"/>
  <c r="N222" i="35"/>
  <c r="L222" i="35"/>
  <c r="K222" i="35"/>
  <c r="J222" i="35"/>
  <c r="F222" i="35"/>
  <c r="D222" i="35"/>
  <c r="C222" i="35"/>
  <c r="AC217" i="35"/>
  <c r="U217" i="35"/>
  <c r="M217" i="35"/>
  <c r="E217" i="35"/>
  <c r="AD217" i="35"/>
  <c r="Z217" i="35"/>
  <c r="Y217" i="35"/>
  <c r="X217" i="35"/>
  <c r="V217" i="35"/>
  <c r="R217" i="35"/>
  <c r="Q217" i="35"/>
  <c r="P217" i="35"/>
  <c r="N217" i="35"/>
  <c r="J217" i="35"/>
  <c r="I217" i="35"/>
  <c r="H217" i="35"/>
  <c r="F217" i="35"/>
  <c r="AB217" i="35"/>
  <c r="AA217" i="35"/>
  <c r="W217" i="35"/>
  <c r="T217" i="35"/>
  <c r="S217" i="35"/>
  <c r="O217" i="35"/>
  <c r="L217" i="35"/>
  <c r="K217" i="35"/>
  <c r="G217" i="35"/>
  <c r="D217" i="35"/>
  <c r="C217" i="35"/>
  <c r="V207" i="35"/>
  <c r="V206" i="35" s="1"/>
  <c r="AB207" i="35"/>
  <c r="AB206" i="35" s="1"/>
  <c r="AA207" i="35"/>
  <c r="AA206" i="35" s="1"/>
  <c r="Z207" i="35"/>
  <c r="Z206" i="35" s="1"/>
  <c r="T207" i="35"/>
  <c r="T206" i="35" s="1"/>
  <c r="S207" i="35"/>
  <c r="S206" i="35" s="1"/>
  <c r="R207" i="35"/>
  <c r="R206" i="35" s="1"/>
  <c r="L207" i="35"/>
  <c r="L206" i="35" s="1"/>
  <c r="K207" i="35"/>
  <c r="K206" i="35" s="1"/>
  <c r="J207" i="35"/>
  <c r="J206" i="35" s="1"/>
  <c r="D207" i="35"/>
  <c r="D206" i="35" s="1"/>
  <c r="C207" i="35"/>
  <c r="C206" i="35" s="1"/>
  <c r="Y207" i="35"/>
  <c r="Y206" i="35" s="1"/>
  <c r="X207" i="35"/>
  <c r="X206" i="35" s="1"/>
  <c r="W207" i="35"/>
  <c r="W206" i="35" s="1"/>
  <c r="Q207" i="35"/>
  <c r="Q206" i="35" s="1"/>
  <c r="P207" i="35"/>
  <c r="P206" i="35" s="1"/>
  <c r="O207" i="35"/>
  <c r="O206" i="35" s="1"/>
  <c r="N207" i="35"/>
  <c r="N206" i="35" s="1"/>
  <c r="I207" i="35"/>
  <c r="I206" i="35" s="1"/>
  <c r="H207" i="35"/>
  <c r="H206" i="35" s="1"/>
  <c r="G207" i="35"/>
  <c r="G206" i="35" s="1"/>
  <c r="Y203" i="35"/>
  <c r="I203" i="35"/>
  <c r="AC203" i="35"/>
  <c r="AB203" i="35"/>
  <c r="AA203" i="35"/>
  <c r="Z203" i="35"/>
  <c r="U203" i="35"/>
  <c r="T203" i="35"/>
  <c r="S203" i="35"/>
  <c r="R203" i="35"/>
  <c r="M203" i="35"/>
  <c r="L203" i="35"/>
  <c r="K203" i="35"/>
  <c r="J203" i="35"/>
  <c r="E203" i="35"/>
  <c r="D203" i="35"/>
  <c r="C203" i="35"/>
  <c r="X203" i="35"/>
  <c r="W203" i="35"/>
  <c r="V203" i="35"/>
  <c r="Q203" i="35"/>
  <c r="P203" i="35"/>
  <c r="O203" i="35"/>
  <c r="N203" i="35"/>
  <c r="H203" i="35"/>
  <c r="G203" i="35"/>
  <c r="F203" i="35"/>
  <c r="U196" i="35"/>
  <c r="Y196" i="35"/>
  <c r="R196" i="35"/>
  <c r="Q196" i="35"/>
  <c r="I196" i="35"/>
  <c r="AC196" i="35"/>
  <c r="X196" i="35"/>
  <c r="W196" i="35"/>
  <c r="V196" i="35"/>
  <c r="P196" i="35"/>
  <c r="O196" i="35"/>
  <c r="N196" i="35"/>
  <c r="M196" i="35"/>
  <c r="H196" i="35"/>
  <c r="G196" i="35"/>
  <c r="F196" i="35"/>
  <c r="AB196" i="35"/>
  <c r="AA196" i="35"/>
  <c r="Z196" i="35"/>
  <c r="T196" i="35"/>
  <c r="S196" i="35"/>
  <c r="L196" i="35"/>
  <c r="K196" i="35"/>
  <c r="J196" i="35"/>
  <c r="D196" i="35"/>
  <c r="C196" i="35"/>
  <c r="R177" i="35"/>
  <c r="M177" i="35"/>
  <c r="AB177" i="35"/>
  <c r="AA177" i="35"/>
  <c r="Z177" i="35"/>
  <c r="Y177" i="35"/>
  <c r="V177" i="35"/>
  <c r="U177" i="35"/>
  <c r="T177" i="35"/>
  <c r="S177" i="35"/>
  <c r="L177" i="35"/>
  <c r="K177" i="35"/>
  <c r="J177" i="35"/>
  <c r="I177" i="35"/>
  <c r="F177" i="35"/>
  <c r="E177" i="35"/>
  <c r="D177" i="35"/>
  <c r="C177" i="35"/>
  <c r="AC177" i="35"/>
  <c r="X177" i="35"/>
  <c r="W177" i="35"/>
  <c r="Q177" i="35"/>
  <c r="P177" i="35"/>
  <c r="O177" i="35"/>
  <c r="N177" i="35"/>
  <c r="H177" i="35"/>
  <c r="G177" i="35"/>
  <c r="N172" i="35"/>
  <c r="I172" i="35"/>
  <c r="AC172" i="35"/>
  <c r="Z172" i="35"/>
  <c r="X172" i="35"/>
  <c r="W172" i="35"/>
  <c r="V172" i="35"/>
  <c r="U172" i="35"/>
  <c r="R172" i="35"/>
  <c r="Q172" i="35"/>
  <c r="P172" i="35"/>
  <c r="O172" i="35"/>
  <c r="H172" i="35"/>
  <c r="G172" i="35"/>
  <c r="F172" i="35"/>
  <c r="E172" i="35"/>
  <c r="AB172" i="35"/>
  <c r="AA172" i="35"/>
  <c r="Y172" i="35"/>
  <c r="T172" i="35"/>
  <c r="S172" i="35"/>
  <c r="M172" i="35"/>
  <c r="L172" i="35"/>
  <c r="K172" i="35"/>
  <c r="J172" i="35"/>
  <c r="D172" i="35"/>
  <c r="C172" i="35"/>
  <c r="T166" i="35"/>
  <c r="S166" i="35"/>
  <c r="K166" i="35"/>
  <c r="J166" i="35"/>
  <c r="I166" i="35"/>
  <c r="D166" i="35"/>
  <c r="C166" i="35"/>
  <c r="AC166" i="35"/>
  <c r="X166" i="35"/>
  <c r="W166" i="35"/>
  <c r="P166" i="35"/>
  <c r="O166" i="35"/>
  <c r="H166" i="35"/>
  <c r="G166" i="35"/>
  <c r="AB166" i="35"/>
  <c r="AA166" i="35"/>
  <c r="Z166" i="35"/>
  <c r="Y166" i="35"/>
  <c r="V166" i="35"/>
  <c r="U166" i="35"/>
  <c r="R166" i="35"/>
  <c r="Q166" i="35"/>
  <c r="N166" i="35"/>
  <c r="M166" i="35"/>
  <c r="L166" i="35"/>
  <c r="F166" i="35"/>
  <c r="E166" i="35"/>
  <c r="M162" i="35"/>
  <c r="L162" i="35"/>
  <c r="K162" i="35"/>
  <c r="J162" i="35"/>
  <c r="Y162" i="35"/>
  <c r="X162" i="35"/>
  <c r="W162" i="35"/>
  <c r="V162" i="35"/>
  <c r="U162" i="35"/>
  <c r="R162" i="35"/>
  <c r="Q162" i="35"/>
  <c r="P162" i="35"/>
  <c r="O162" i="35"/>
  <c r="H162" i="35"/>
  <c r="G162" i="35"/>
  <c r="F162" i="35"/>
  <c r="E162" i="35"/>
  <c r="AC162" i="35"/>
  <c r="AB162" i="35"/>
  <c r="AA162" i="35"/>
  <c r="Z162" i="35"/>
  <c r="T162" i="35"/>
  <c r="S162" i="35"/>
  <c r="N162" i="35"/>
  <c r="I162" i="35"/>
  <c r="D162" i="35"/>
  <c r="C162" i="35"/>
  <c r="U150" i="35"/>
  <c r="M150" i="35"/>
  <c r="AB150" i="35"/>
  <c r="AA150" i="35"/>
  <c r="Z150" i="35"/>
  <c r="Y150" i="35"/>
  <c r="X150" i="35"/>
  <c r="T150" i="35"/>
  <c r="Q150" i="35"/>
  <c r="P150" i="35"/>
  <c r="O150" i="35"/>
  <c r="L150" i="35"/>
  <c r="I150" i="35"/>
  <c r="H150" i="35"/>
  <c r="G150" i="35"/>
  <c r="D150" i="35"/>
  <c r="C150" i="35"/>
  <c r="AC150" i="35"/>
  <c r="W150" i="35"/>
  <c r="V150" i="35"/>
  <c r="S150" i="35"/>
  <c r="R150" i="35"/>
  <c r="N150" i="35"/>
  <c r="K150" i="35"/>
  <c r="J150" i="35"/>
  <c r="F150" i="35"/>
  <c r="E150" i="35"/>
  <c r="U144" i="35"/>
  <c r="R144" i="35"/>
  <c r="M144" i="35"/>
  <c r="J144" i="35"/>
  <c r="E144" i="35"/>
  <c r="AB144" i="35"/>
  <c r="Y144" i="35"/>
  <c r="V144" i="35"/>
  <c r="Q144" i="35"/>
  <c r="N144" i="35"/>
  <c r="L144" i="35"/>
  <c r="I144" i="35"/>
  <c r="H144" i="35"/>
  <c r="D144" i="35"/>
  <c r="AC144" i="35"/>
  <c r="AA144" i="35"/>
  <c r="Z144" i="35"/>
  <c r="X144" i="35"/>
  <c r="W144" i="35"/>
  <c r="T144" i="35"/>
  <c r="S144" i="35"/>
  <c r="P144" i="35"/>
  <c r="O144" i="35"/>
  <c r="K144" i="35"/>
  <c r="G144" i="35"/>
  <c r="AB135" i="35"/>
  <c r="AA135" i="35"/>
  <c r="L135" i="35"/>
  <c r="D135" i="35"/>
  <c r="C135" i="35"/>
  <c r="AC135" i="35"/>
  <c r="Z135" i="35"/>
  <c r="W135" i="35"/>
  <c r="U135" i="35"/>
  <c r="S135" i="35"/>
  <c r="O135" i="35"/>
  <c r="M135" i="35"/>
  <c r="G135" i="35"/>
  <c r="E135" i="35"/>
  <c r="Y135" i="35"/>
  <c r="X135" i="35"/>
  <c r="T135" i="35"/>
  <c r="Q135" i="35"/>
  <c r="P135" i="35"/>
  <c r="K135" i="35"/>
  <c r="I135" i="35"/>
  <c r="H135" i="35"/>
  <c r="X127" i="35"/>
  <c r="W127" i="35"/>
  <c r="I127" i="35"/>
  <c r="H127" i="35"/>
  <c r="AC127" i="35"/>
  <c r="AB127" i="35"/>
  <c r="AA127" i="35"/>
  <c r="V127" i="35"/>
  <c r="U127" i="35"/>
  <c r="S127" i="35"/>
  <c r="O127" i="35"/>
  <c r="N127" i="35"/>
  <c r="M127" i="35"/>
  <c r="K127" i="35"/>
  <c r="F127" i="35"/>
  <c r="C127" i="35"/>
  <c r="Y127" i="35"/>
  <c r="T127" i="35"/>
  <c r="Q127" i="35"/>
  <c r="P127" i="35"/>
  <c r="L127" i="35"/>
  <c r="G127" i="35"/>
  <c r="E127" i="35"/>
  <c r="D127" i="35"/>
  <c r="AB119" i="35"/>
  <c r="L119" i="35"/>
  <c r="AA119" i="35"/>
  <c r="Y119" i="35"/>
  <c r="X119" i="35"/>
  <c r="V119" i="35"/>
  <c r="S119" i="35"/>
  <c r="Q119" i="35"/>
  <c r="P119" i="35"/>
  <c r="N119" i="35"/>
  <c r="K119" i="35"/>
  <c r="I119" i="35"/>
  <c r="H119" i="35"/>
  <c r="F119" i="35"/>
  <c r="AC119" i="35"/>
  <c r="Z119" i="35"/>
  <c r="W119" i="35"/>
  <c r="U119" i="35"/>
  <c r="T119" i="35"/>
  <c r="R119" i="35"/>
  <c r="O119" i="35"/>
  <c r="M119" i="35"/>
  <c r="J119" i="35"/>
  <c r="G119" i="35"/>
  <c r="E119" i="35"/>
  <c r="D119" i="35"/>
  <c r="AB115" i="35"/>
  <c r="T115" i="35"/>
  <c r="O115" i="35"/>
  <c r="L115" i="35"/>
  <c r="D115" i="35"/>
  <c r="AA115" i="35"/>
  <c r="Y115" i="35"/>
  <c r="V115" i="35"/>
  <c r="S115" i="35"/>
  <c r="Q115" i="35"/>
  <c r="P115" i="35"/>
  <c r="N115" i="35"/>
  <c r="K115" i="35"/>
  <c r="I115" i="35"/>
  <c r="F115" i="35"/>
  <c r="AC115" i="35"/>
  <c r="AC114" i="35" s="1"/>
  <c r="AC113" i="35" s="1"/>
  <c r="Z115" i="35"/>
  <c r="W115" i="35"/>
  <c r="U115" i="35"/>
  <c r="R115" i="35"/>
  <c r="M115" i="35"/>
  <c r="J115" i="35"/>
  <c r="G115" i="35"/>
  <c r="E115" i="35"/>
  <c r="X108" i="35"/>
  <c r="P108" i="35"/>
  <c r="H108" i="35"/>
  <c r="AC108" i="35"/>
  <c r="Z108" i="35"/>
  <c r="W108" i="35"/>
  <c r="U108" i="35"/>
  <c r="R108" i="35"/>
  <c r="O108" i="35"/>
  <c r="M108" i="35"/>
  <c r="J108" i="35"/>
  <c r="G108" i="35"/>
  <c r="E108" i="35"/>
  <c r="AA108" i="35"/>
  <c r="Y108" i="35"/>
  <c r="V108" i="35"/>
  <c r="S108" i="35"/>
  <c r="Q108" i="35"/>
  <c r="N108" i="35"/>
  <c r="K108" i="35"/>
  <c r="I108" i="35"/>
  <c r="F108" i="35"/>
  <c r="C108" i="35"/>
  <c r="O103" i="35"/>
  <c r="G103" i="35"/>
  <c r="W103" i="35"/>
  <c r="T103" i="35"/>
  <c r="D103" i="35"/>
  <c r="Y103" i="35"/>
  <c r="X103" i="35"/>
  <c r="V103" i="35"/>
  <c r="Q103" i="35"/>
  <c r="P103" i="35"/>
  <c r="N103" i="35"/>
  <c r="K103" i="35"/>
  <c r="I103" i="35"/>
  <c r="H103" i="35"/>
  <c r="F103" i="35"/>
  <c r="AC103" i="35"/>
  <c r="AB103" i="35"/>
  <c r="AA103" i="35"/>
  <c r="Z103" i="35"/>
  <c r="U103" i="35"/>
  <c r="S103" i="35"/>
  <c r="R103" i="35"/>
  <c r="M103" i="35"/>
  <c r="L103" i="35"/>
  <c r="J103" i="35"/>
  <c r="E103" i="35"/>
  <c r="X95" i="35"/>
  <c r="J95" i="35"/>
  <c r="AB95" i="35"/>
  <c r="P95" i="35"/>
  <c r="D95" i="35"/>
  <c r="Z95" i="35"/>
  <c r="U95" i="35"/>
  <c r="R95" i="35"/>
  <c r="O95" i="35"/>
  <c r="G95" i="35"/>
  <c r="E95" i="35"/>
  <c r="AA95" i="35"/>
  <c r="Y95" i="35"/>
  <c r="Q95" i="35"/>
  <c r="K95" i="35"/>
  <c r="I95" i="35"/>
  <c r="AC95" i="35"/>
  <c r="W95" i="35"/>
  <c r="T95" i="35"/>
  <c r="S95" i="35"/>
  <c r="M95" i="35"/>
  <c r="L95" i="35"/>
  <c r="H95" i="35"/>
  <c r="AB93" i="35"/>
  <c r="AA93" i="35"/>
  <c r="Y93" i="35"/>
  <c r="W93" i="35"/>
  <c r="V93" i="35"/>
  <c r="S93" i="35"/>
  <c r="Q93" i="35"/>
  <c r="N93" i="35"/>
  <c r="L93" i="35"/>
  <c r="K93" i="35"/>
  <c r="I93" i="35"/>
  <c r="H93" i="35"/>
  <c r="G93" i="35"/>
  <c r="F93" i="35"/>
  <c r="D93" i="35"/>
  <c r="AC93" i="35"/>
  <c r="Z93" i="35"/>
  <c r="X93" i="35"/>
  <c r="U93" i="35"/>
  <c r="T93" i="35"/>
  <c r="R93" i="35"/>
  <c r="P93" i="35"/>
  <c r="O93" i="35"/>
  <c r="M93" i="35"/>
  <c r="J93" i="35"/>
  <c r="E93" i="35"/>
  <c r="AC81" i="35"/>
  <c r="AB81" i="35"/>
  <c r="T81" i="35"/>
  <c r="M81" i="35"/>
  <c r="R81" i="35"/>
  <c r="Q81" i="35"/>
  <c r="I81" i="35"/>
  <c r="AD81" i="35"/>
  <c r="AD72" i="35" s="1"/>
  <c r="W81" i="35"/>
  <c r="V81" i="35"/>
  <c r="G81" i="35"/>
  <c r="F81" i="35"/>
  <c r="Z81" i="35"/>
  <c r="Y81" i="35"/>
  <c r="U81" i="35"/>
  <c r="O81" i="35"/>
  <c r="N81" i="35"/>
  <c r="L81" i="35"/>
  <c r="J81" i="35"/>
  <c r="E81" i="35"/>
  <c r="D81" i="35"/>
  <c r="X76" i="35"/>
  <c r="S76" i="35"/>
  <c r="P76" i="35"/>
  <c r="M76" i="35"/>
  <c r="M73" i="35" s="1"/>
  <c r="H76" i="35"/>
  <c r="AB76" i="35"/>
  <c r="AB73" i="35" s="1"/>
  <c r="Y76" i="35"/>
  <c r="W76" i="35"/>
  <c r="W73" i="35" s="1"/>
  <c r="T76" i="35"/>
  <c r="T73" i="35" s="1"/>
  <c r="O76" i="35"/>
  <c r="O73" i="35" s="1"/>
  <c r="L76" i="35"/>
  <c r="L73" i="35" s="1"/>
  <c r="I76" i="35"/>
  <c r="G76" i="35"/>
  <c r="G73" i="35" s="1"/>
  <c r="E76" i="35"/>
  <c r="E73" i="35" s="1"/>
  <c r="D76" i="35"/>
  <c r="AC76" i="35"/>
  <c r="AC73" i="35" s="1"/>
  <c r="AA76" i="35"/>
  <c r="Z76" i="35"/>
  <c r="Z73" i="35" s="1"/>
  <c r="V76" i="35"/>
  <c r="V73" i="35" s="1"/>
  <c r="U76" i="35"/>
  <c r="U73" i="35" s="1"/>
  <c r="R76" i="35"/>
  <c r="R73" i="35" s="1"/>
  <c r="Q76" i="35"/>
  <c r="Q73" i="35" s="1"/>
  <c r="N76" i="35"/>
  <c r="N73" i="35" s="1"/>
  <c r="K76" i="35"/>
  <c r="J76" i="35"/>
  <c r="J73" i="35" s="1"/>
  <c r="F76" i="35"/>
  <c r="F73" i="35" s="1"/>
  <c r="AC65" i="35"/>
  <c r="AB65" i="35"/>
  <c r="AA65" i="35"/>
  <c r="Z65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V62" i="35"/>
  <c r="N62" i="35"/>
  <c r="K62" i="35"/>
  <c r="F62" i="35"/>
  <c r="C62" i="35"/>
  <c r="AC62" i="35"/>
  <c r="Z62" i="35"/>
  <c r="X62" i="35"/>
  <c r="W62" i="35"/>
  <c r="T62" i="35"/>
  <c r="R62" i="35"/>
  <c r="P62" i="35"/>
  <c r="O62" i="35"/>
  <c r="L62" i="35"/>
  <c r="J62" i="35"/>
  <c r="H62" i="35"/>
  <c r="G62" i="35"/>
  <c r="D62" i="35"/>
  <c r="AB62" i="35"/>
  <c r="AA62" i="35"/>
  <c r="Y62" i="35"/>
  <c r="U62" i="35"/>
  <c r="S62" i="35"/>
  <c r="Q62" i="35"/>
  <c r="M62" i="35"/>
  <c r="I62" i="35"/>
  <c r="E62" i="35"/>
  <c r="Z56" i="35"/>
  <c r="R56" i="35"/>
  <c r="J56" i="35"/>
  <c r="E56" i="35"/>
  <c r="AB56" i="35"/>
  <c r="Y56" i="35"/>
  <c r="W56" i="35"/>
  <c r="V56" i="35"/>
  <c r="T56" i="35"/>
  <c r="Q56" i="35"/>
  <c r="O56" i="35"/>
  <c r="N56" i="35"/>
  <c r="L56" i="35"/>
  <c r="I56" i="35"/>
  <c r="G56" i="35"/>
  <c r="D56" i="35"/>
  <c r="AC56" i="35"/>
  <c r="AA56" i="35"/>
  <c r="X56" i="35"/>
  <c r="U56" i="35"/>
  <c r="S56" i="35"/>
  <c r="P56" i="35"/>
  <c r="M56" i="35"/>
  <c r="K56" i="35"/>
  <c r="H56" i="35"/>
  <c r="F56" i="35"/>
  <c r="AB54" i="35"/>
  <c r="Z54" i="35"/>
  <c r="Y54" i="35"/>
  <c r="W54" i="35"/>
  <c r="T54" i="35"/>
  <c r="Q54" i="35"/>
  <c r="O54" i="35"/>
  <c r="N54" i="35"/>
  <c r="L54" i="35"/>
  <c r="I54" i="35"/>
  <c r="G54" i="35"/>
  <c r="D54" i="35"/>
  <c r="AC54" i="35"/>
  <c r="AA54" i="35"/>
  <c r="X54" i="35"/>
  <c r="V54" i="35"/>
  <c r="U54" i="35"/>
  <c r="S54" i="35"/>
  <c r="R54" i="35"/>
  <c r="P54" i="35"/>
  <c r="M54" i="35"/>
  <c r="K54" i="35"/>
  <c r="J54" i="35"/>
  <c r="H54" i="35"/>
  <c r="E54" i="35"/>
  <c r="C54" i="35"/>
  <c r="R49" i="35"/>
  <c r="Q49" i="35"/>
  <c r="K49" i="35"/>
  <c r="J49" i="35"/>
  <c r="I49" i="35"/>
  <c r="AC49" i="35"/>
  <c r="X49" i="35"/>
  <c r="W49" i="35"/>
  <c r="V49" i="35"/>
  <c r="U49" i="35"/>
  <c r="P49" i="35"/>
  <c r="N49" i="35"/>
  <c r="M49" i="35"/>
  <c r="H49" i="35"/>
  <c r="G49" i="35"/>
  <c r="E49" i="35"/>
  <c r="C49" i="35"/>
  <c r="AB49" i="35"/>
  <c r="AA49" i="35"/>
  <c r="Z49" i="35"/>
  <c r="Y49" i="35"/>
  <c r="T49" i="35"/>
  <c r="S49" i="35"/>
  <c r="O49" i="35"/>
  <c r="L49" i="35"/>
  <c r="F49" i="35"/>
  <c r="D49" i="35"/>
  <c r="C29" i="35"/>
  <c r="AC11" i="35"/>
  <c r="AC6" i="35" s="1"/>
  <c r="AB11" i="35"/>
  <c r="AB6" i="35" s="1"/>
  <c r="AA11" i="35"/>
  <c r="AA6" i="35" s="1"/>
  <c r="Z11" i="35"/>
  <c r="Z6" i="35" s="1"/>
  <c r="Y11" i="35"/>
  <c r="Y6" i="35" s="1"/>
  <c r="X11" i="35"/>
  <c r="X6" i="35" s="1"/>
  <c r="W11" i="35"/>
  <c r="W6" i="35" s="1"/>
  <c r="V11" i="35"/>
  <c r="V6" i="35" s="1"/>
  <c r="U11" i="35"/>
  <c r="U6" i="35" s="1"/>
  <c r="T11" i="35"/>
  <c r="T6" i="35" s="1"/>
  <c r="S11" i="35"/>
  <c r="S6" i="35" s="1"/>
  <c r="R11" i="35"/>
  <c r="R6" i="35" s="1"/>
  <c r="Q11" i="35"/>
  <c r="Q6" i="35" s="1"/>
  <c r="P11" i="35"/>
  <c r="P6" i="35" s="1"/>
  <c r="O11" i="35"/>
  <c r="O6" i="35" s="1"/>
  <c r="N11" i="35"/>
  <c r="N6" i="35" s="1"/>
  <c r="M11" i="35"/>
  <c r="M6" i="35" s="1"/>
  <c r="L11" i="35"/>
  <c r="L6" i="35" s="1"/>
  <c r="K11" i="35"/>
  <c r="K6" i="35" s="1"/>
  <c r="J11" i="35"/>
  <c r="J6" i="35" s="1"/>
  <c r="I11" i="35"/>
  <c r="I6" i="35" s="1"/>
  <c r="H11" i="35"/>
  <c r="H6" i="35" s="1"/>
  <c r="G11" i="35"/>
  <c r="G6" i="35" s="1"/>
  <c r="F11" i="35"/>
  <c r="F6" i="35" s="1"/>
  <c r="E11" i="35"/>
  <c r="E6" i="35" s="1"/>
  <c r="D11" i="35"/>
  <c r="D6" i="35" s="1"/>
  <c r="C11" i="35"/>
  <c r="C6" i="35" s="1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J4" i="35"/>
  <c r="I4" i="35"/>
  <c r="H4" i="35"/>
  <c r="G4" i="35"/>
  <c r="F4" i="35"/>
  <c r="E4" i="35"/>
  <c r="D4" i="35"/>
  <c r="C4" i="35"/>
  <c r="AA24" i="33" l="1"/>
  <c r="S42" i="31"/>
  <c r="S114" i="35"/>
  <c r="S113" i="35" s="1"/>
  <c r="Z114" i="35"/>
  <c r="Z113" i="35" s="1"/>
  <c r="AA114" i="35"/>
  <c r="AA113" i="35" s="1"/>
  <c r="K114" i="35"/>
  <c r="K113" i="35" s="1"/>
  <c r="E114" i="35"/>
  <c r="E113" i="35" s="1"/>
  <c r="U53" i="35"/>
  <c r="O114" i="35"/>
  <c r="O113" i="35" s="1"/>
  <c r="Y90" i="35"/>
  <c r="AA53" i="35"/>
  <c r="AA48" i="35" s="1"/>
  <c r="I90" i="35"/>
  <c r="O53" i="35"/>
  <c r="O48" i="35" s="1"/>
  <c r="C161" i="35"/>
  <c r="V114" i="35"/>
  <c r="V113" i="35" s="1"/>
  <c r="Q90" i="35"/>
  <c r="G114" i="35"/>
  <c r="G113" i="35" s="1"/>
  <c r="F114" i="35"/>
  <c r="F113" i="35" s="1"/>
  <c r="P161" i="35"/>
  <c r="M114" i="35"/>
  <c r="M113" i="35" s="1"/>
  <c r="AC53" i="35"/>
  <c r="AC48" i="35" s="1"/>
  <c r="T53" i="35"/>
  <c r="T48" i="35" s="1"/>
  <c r="R53" i="35"/>
  <c r="R48" i="35" s="1"/>
  <c r="G53" i="35"/>
  <c r="G48" i="35" s="1"/>
  <c r="J114" i="35"/>
  <c r="J113" i="35" s="1"/>
  <c r="D53" i="35"/>
  <c r="D48" i="35" s="1"/>
  <c r="Z53" i="35"/>
  <c r="Z48" i="35" s="1"/>
  <c r="AA221" i="35"/>
  <c r="AA216" i="35" s="1"/>
  <c r="H53" i="35"/>
  <c r="H48" i="35" s="1"/>
  <c r="Q53" i="35"/>
  <c r="Q48" i="35" s="1"/>
  <c r="J53" i="35"/>
  <c r="J48" i="35" s="1"/>
  <c r="J90" i="35"/>
  <c r="K90" i="35"/>
  <c r="AA90" i="35"/>
  <c r="W114" i="35"/>
  <c r="W113" i="35" s="1"/>
  <c r="T114" i="35"/>
  <c r="T113" i="35" s="1"/>
  <c r="W161" i="35"/>
  <c r="AA161" i="35"/>
  <c r="R161" i="35"/>
  <c r="P53" i="35"/>
  <c r="P48" i="35" s="1"/>
  <c r="V53" i="35"/>
  <c r="V48" i="35" s="1"/>
  <c r="P90" i="35"/>
  <c r="U114" i="35"/>
  <c r="U113" i="35" s="1"/>
  <c r="P114" i="35"/>
  <c r="P113" i="35" s="1"/>
  <c r="P221" i="35"/>
  <c r="P216" i="35" s="1"/>
  <c r="K221" i="35"/>
  <c r="K216" i="35" s="1"/>
  <c r="K161" i="35"/>
  <c r="Y53" i="35"/>
  <c r="Y48" i="35" s="1"/>
  <c r="AB161" i="35"/>
  <c r="AB53" i="35"/>
  <c r="AB48" i="35" s="1"/>
  <c r="U48" i="35"/>
  <c r="X53" i="35"/>
  <c r="X48" i="35" s="1"/>
  <c r="N53" i="35"/>
  <c r="N48" i="35" s="1"/>
  <c r="S90" i="35"/>
  <c r="V161" i="35"/>
  <c r="G161" i="35"/>
  <c r="W53" i="35"/>
  <c r="W48" i="35" s="1"/>
  <c r="I53" i="35"/>
  <c r="I48" i="35" s="1"/>
  <c r="L53" i="35"/>
  <c r="L48" i="35" s="1"/>
  <c r="J221" i="35"/>
  <c r="J216" i="35" s="1"/>
  <c r="H221" i="35"/>
  <c r="H216" i="35" s="1"/>
  <c r="D114" i="35"/>
  <c r="D113" i="35" s="1"/>
  <c r="L221" i="35"/>
  <c r="L216" i="35" s="1"/>
  <c r="S221" i="35"/>
  <c r="S216" i="35" s="1"/>
  <c r="Q161" i="35"/>
  <c r="L161" i="35"/>
  <c r="H90" i="35"/>
  <c r="R114" i="35"/>
  <c r="R113" i="35" s="1"/>
  <c r="N114" i="35"/>
  <c r="N113" i="35" s="1"/>
  <c r="H161" i="35"/>
  <c r="X161" i="35"/>
  <c r="O161" i="35"/>
  <c r="AB221" i="35"/>
  <c r="AB216" i="35" s="1"/>
  <c r="AC32" i="33"/>
  <c r="F11" i="23" s="1"/>
  <c r="R56" i="31"/>
  <c r="T52" i="31"/>
  <c r="L56" i="31"/>
  <c r="S56" i="31"/>
  <c r="L58" i="31"/>
  <c r="K57" i="31"/>
  <c r="L57" i="31" s="1"/>
  <c r="E10" i="31" s="1"/>
  <c r="M52" i="31"/>
  <c r="L42" i="31"/>
  <c r="C10" i="31"/>
  <c r="AC31" i="33"/>
  <c r="F8" i="23" s="1"/>
  <c r="F8" i="1"/>
  <c r="AB33" i="33"/>
  <c r="E53" i="35"/>
  <c r="E48" i="35" s="1"/>
  <c r="F54" i="35"/>
  <c r="F53" i="35" s="1"/>
  <c r="F48" i="35" s="1"/>
  <c r="S53" i="35"/>
  <c r="S48" i="35" s="1"/>
  <c r="D73" i="35"/>
  <c r="H73" i="35"/>
  <c r="P73" i="35"/>
  <c r="X73" i="35"/>
  <c r="O90" i="35"/>
  <c r="D29" i="35"/>
  <c r="D28" i="35" s="1"/>
  <c r="K53" i="35"/>
  <c r="K48" i="35" s="1"/>
  <c r="I73" i="35"/>
  <c r="Y73" i="35"/>
  <c r="L114" i="35"/>
  <c r="L113" i="35" s="1"/>
  <c r="AB114" i="35"/>
  <c r="AB113" i="35" s="1"/>
  <c r="M53" i="35"/>
  <c r="M48" i="35" s="1"/>
  <c r="G90" i="35"/>
  <c r="W90" i="35"/>
  <c r="C28" i="35"/>
  <c r="C56" i="35"/>
  <c r="X90" i="35"/>
  <c r="R90" i="35"/>
  <c r="Z90" i="35"/>
  <c r="C93" i="35"/>
  <c r="C119" i="35"/>
  <c r="C95" i="35"/>
  <c r="F95" i="35"/>
  <c r="F90" i="35" s="1"/>
  <c r="N95" i="35"/>
  <c r="N90" i="35" s="1"/>
  <c r="V95" i="35"/>
  <c r="V90" i="35" s="1"/>
  <c r="C115" i="35"/>
  <c r="D108" i="35"/>
  <c r="D90" i="35" s="1"/>
  <c r="L108" i="35"/>
  <c r="L90" i="35" s="1"/>
  <c r="T108" i="35"/>
  <c r="T90" i="35" s="1"/>
  <c r="AB108" i="35"/>
  <c r="AB90" i="35" s="1"/>
  <c r="N135" i="35"/>
  <c r="V135" i="35"/>
  <c r="K73" i="35"/>
  <c r="S73" i="35"/>
  <c r="AA73" i="35"/>
  <c r="C76" i="35"/>
  <c r="H81" i="35"/>
  <c r="P81" i="35"/>
  <c r="X81" i="35"/>
  <c r="E90" i="35"/>
  <c r="E72" i="35" s="1"/>
  <c r="M90" i="35"/>
  <c r="U90" i="35"/>
  <c r="AC90" i="35"/>
  <c r="AC72" i="35" s="1"/>
  <c r="Y161" i="35"/>
  <c r="J127" i="35"/>
  <c r="R127" i="35"/>
  <c r="Z127" i="35"/>
  <c r="Z161" i="35"/>
  <c r="I161" i="35"/>
  <c r="S81" i="35"/>
  <c r="C103" i="35"/>
  <c r="H115" i="35"/>
  <c r="H114" i="35" s="1"/>
  <c r="H113" i="35" s="1"/>
  <c r="X115" i="35"/>
  <c r="X114" i="35" s="1"/>
  <c r="X113" i="35" s="1"/>
  <c r="J135" i="35"/>
  <c r="R135" i="35"/>
  <c r="N161" i="35"/>
  <c r="C81" i="35"/>
  <c r="K81" i="35"/>
  <c r="AA81" i="35"/>
  <c r="I114" i="35"/>
  <c r="I113" i="35" s="1"/>
  <c r="Q114" i="35"/>
  <c r="Q113" i="35" s="1"/>
  <c r="Y114" i="35"/>
  <c r="Y113" i="35" s="1"/>
  <c r="S161" i="35"/>
  <c r="J161" i="35"/>
  <c r="C144" i="35"/>
  <c r="T161" i="35"/>
  <c r="Z221" i="35"/>
  <c r="Z216" i="35" s="1"/>
  <c r="F135" i="35"/>
  <c r="E207" i="35"/>
  <c r="M207" i="35"/>
  <c r="M206" i="35" s="1"/>
  <c r="M161" i="35" s="1"/>
  <c r="U207" i="35"/>
  <c r="U206" i="35" s="1"/>
  <c r="U161" i="35" s="1"/>
  <c r="AC207" i="35"/>
  <c r="AC206" i="35" s="1"/>
  <c r="AC161" i="35" s="1"/>
  <c r="F144" i="35"/>
  <c r="E196" i="35"/>
  <c r="F207" i="35"/>
  <c r="F206" i="35" s="1"/>
  <c r="F161" i="35" s="1"/>
  <c r="X221" i="35"/>
  <c r="X216" i="35" s="1"/>
  <c r="D161" i="35"/>
  <c r="R221" i="35"/>
  <c r="R216" i="35" s="1"/>
  <c r="I221" i="35"/>
  <c r="I216" i="35" s="1"/>
  <c r="Q221" i="35"/>
  <c r="Q216" i="35" s="1"/>
  <c r="Y221" i="35"/>
  <c r="Y216" i="35" s="1"/>
  <c r="C224" i="35"/>
  <c r="D221" i="35"/>
  <c r="D216" i="35" s="1"/>
  <c r="T221" i="35"/>
  <c r="T216" i="35" s="1"/>
  <c r="F226" i="35"/>
  <c r="F224" i="35" s="1"/>
  <c r="F221" i="35" s="1"/>
  <c r="F216" i="35" s="1"/>
  <c r="N226" i="35"/>
  <c r="N224" i="35" s="1"/>
  <c r="N221" i="35" s="1"/>
  <c r="N216" i="35" s="1"/>
  <c r="V226" i="35"/>
  <c r="V224" i="35" s="1"/>
  <c r="V221" i="35" s="1"/>
  <c r="V216" i="35" s="1"/>
  <c r="AD226" i="35"/>
  <c r="AD224" i="35" s="1"/>
  <c r="AD221" i="35" s="1"/>
  <c r="AD216" i="35" s="1"/>
  <c r="U262" i="35"/>
  <c r="G226" i="35"/>
  <c r="G224" i="35" s="1"/>
  <c r="G221" i="35" s="1"/>
  <c r="O226" i="35"/>
  <c r="O224" i="35" s="1"/>
  <c r="O221" i="35" s="1"/>
  <c r="O216" i="35" s="1"/>
  <c r="W226" i="35"/>
  <c r="W224" i="35" s="1"/>
  <c r="W221" i="35" s="1"/>
  <c r="W216" i="35" s="1"/>
  <c r="G234" i="35"/>
  <c r="E224" i="35"/>
  <c r="E221" i="35" s="1"/>
  <c r="E216" i="35" s="1"/>
  <c r="M224" i="35"/>
  <c r="M221" i="35" s="1"/>
  <c r="M216" i="35" s="1"/>
  <c r="U224" i="35"/>
  <c r="U221" i="35" s="1"/>
  <c r="U216" i="35" s="1"/>
  <c r="AC224" i="35"/>
  <c r="AC221" i="35" s="1"/>
  <c r="AC216" i="35" s="1"/>
  <c r="C234" i="35"/>
  <c r="D262" i="35"/>
  <c r="O72" i="35" l="1"/>
  <c r="G72" i="35"/>
  <c r="M72" i="35"/>
  <c r="L72" i="35"/>
  <c r="G216" i="35"/>
  <c r="N72" i="35"/>
  <c r="W72" i="35"/>
  <c r="Q72" i="35"/>
  <c r="Z72" i="35"/>
  <c r="T72" i="35"/>
  <c r="I72" i="35"/>
  <c r="F72" i="35"/>
  <c r="AB72" i="35"/>
  <c r="J72" i="35"/>
  <c r="U72" i="35"/>
  <c r="AA72" i="35"/>
  <c r="V72" i="35"/>
  <c r="Y72" i="35"/>
  <c r="R72" i="35"/>
  <c r="C73" i="35"/>
  <c r="C90" i="35"/>
  <c r="C53" i="35"/>
  <c r="F7" i="1"/>
  <c r="F18" i="1" s="1"/>
  <c r="S60" i="31"/>
  <c r="P64" i="31" s="1"/>
  <c r="Q64" i="31" s="1"/>
  <c r="S59" i="31"/>
  <c r="L60" i="31"/>
  <c r="L59" i="31"/>
  <c r="I64" i="31"/>
  <c r="L64" i="31" s="1"/>
  <c r="AC33" i="33"/>
  <c r="C20" i="31"/>
  <c r="X72" i="35"/>
  <c r="D72" i="35"/>
  <c r="D3" i="35" s="1"/>
  <c r="P72" i="35"/>
  <c r="E29" i="35"/>
  <c r="H72" i="35"/>
  <c r="E206" i="35"/>
  <c r="C221" i="35"/>
  <c r="S72" i="35"/>
  <c r="C114" i="35"/>
  <c r="K72" i="35"/>
  <c r="S64" i="31" l="1"/>
  <c r="R64" i="31"/>
  <c r="C48" i="35"/>
  <c r="T64" i="31"/>
  <c r="K64" i="31"/>
  <c r="J64" i="31"/>
  <c r="E28" i="35"/>
  <c r="C216" i="35"/>
  <c r="C113" i="35"/>
  <c r="E161" i="35"/>
  <c r="F29" i="35"/>
  <c r="F28" i="35" s="1"/>
  <c r="F3" i="35" s="1"/>
  <c r="M64" i="31" l="1"/>
  <c r="H29" i="35"/>
  <c r="H28" i="35" s="1"/>
  <c r="H3" i="35" s="1"/>
  <c r="E3" i="35"/>
  <c r="G29" i="35"/>
  <c r="C72" i="35"/>
  <c r="G28" i="35" l="1"/>
  <c r="C3" i="35"/>
  <c r="I29" i="35"/>
  <c r="I28" i="35" s="1"/>
  <c r="I3" i="35" s="1"/>
  <c r="F7" i="23"/>
  <c r="F18" i="23" s="1"/>
  <c r="K29" i="35" l="1"/>
  <c r="K28" i="35" s="1"/>
  <c r="K3" i="35" s="1"/>
  <c r="G3" i="35"/>
  <c r="J29" i="35"/>
  <c r="J28" i="35" s="1"/>
  <c r="J3" i="35" s="1"/>
  <c r="D11" i="23" l="1"/>
  <c r="D8" i="23"/>
  <c r="M29" i="35" l="1"/>
  <c r="M28" i="35" s="1"/>
  <c r="M3" i="35" s="1"/>
  <c r="L29" i="35"/>
  <c r="A151" i="12"/>
  <c r="R16" i="23"/>
  <c r="F73" i="3"/>
  <c r="I83" i="12"/>
  <c r="N29" i="35" l="1"/>
  <c r="N28" i="35" s="1"/>
  <c r="N3" i="35" s="1"/>
  <c r="L28" i="35"/>
  <c r="C152" i="32"/>
  <c r="A139" i="32"/>
  <c r="AS134" i="32"/>
  <c r="AR134" i="32"/>
  <c r="AQ134" i="32"/>
  <c r="AP134" i="32"/>
  <c r="AO134" i="32"/>
  <c r="AN134" i="32"/>
  <c r="AM134" i="32"/>
  <c r="AL134" i="32"/>
  <c r="AK134" i="32"/>
  <c r="C133" i="32"/>
  <c r="AP132" i="32"/>
  <c r="AO132" i="32"/>
  <c r="AN132" i="32"/>
  <c r="AM132" i="32"/>
  <c r="AL132" i="32"/>
  <c r="AK132" i="32"/>
  <c r="AJ132" i="32"/>
  <c r="AI132" i="32"/>
  <c r="AH132" i="32"/>
  <c r="C131" i="32"/>
  <c r="AM130" i="32"/>
  <c r="AL130" i="32"/>
  <c r="AK130" i="32"/>
  <c r="AJ130" i="32"/>
  <c r="AI130" i="32"/>
  <c r="AH130" i="32"/>
  <c r="AG130" i="32"/>
  <c r="AF130" i="32"/>
  <c r="AE130" i="32"/>
  <c r="C129" i="32"/>
  <c r="AJ128" i="32"/>
  <c r="AI128" i="32"/>
  <c r="AH128" i="32"/>
  <c r="AG128" i="32"/>
  <c r="AF128" i="32"/>
  <c r="AE128" i="32"/>
  <c r="AD128" i="32"/>
  <c r="AC128" i="32"/>
  <c r="AB128" i="32"/>
  <c r="C127" i="32"/>
  <c r="AG126" i="32"/>
  <c r="AF126" i="32"/>
  <c r="AE126" i="32"/>
  <c r="AD126" i="32"/>
  <c r="AC126" i="32"/>
  <c r="AB126" i="32"/>
  <c r="AA126" i="32"/>
  <c r="Z126" i="32"/>
  <c r="Y126" i="32"/>
  <c r="C125" i="32"/>
  <c r="AD124" i="32"/>
  <c r="AC124" i="32"/>
  <c r="AB124" i="32"/>
  <c r="AA124" i="32"/>
  <c r="Z124" i="32"/>
  <c r="Y124" i="32"/>
  <c r="X124" i="32"/>
  <c r="W124" i="32"/>
  <c r="V124" i="32"/>
  <c r="A124" i="32"/>
  <c r="C123" i="32"/>
  <c r="AA122" i="32"/>
  <c r="Z122" i="32"/>
  <c r="Y122" i="32"/>
  <c r="X122" i="32"/>
  <c r="W122" i="32"/>
  <c r="V122" i="32"/>
  <c r="U122" i="32"/>
  <c r="T122" i="32"/>
  <c r="S122" i="32"/>
  <c r="Q121" i="32"/>
  <c r="C121" i="32"/>
  <c r="C119" i="32"/>
  <c r="C117" i="32"/>
  <c r="I115" i="32"/>
  <c r="J115" i="32" s="1"/>
  <c r="K115" i="32" s="1"/>
  <c r="L115" i="32" s="1"/>
  <c r="M115" i="32" s="1"/>
  <c r="N115" i="32" s="1"/>
  <c r="O115" i="32" s="1"/>
  <c r="P115" i="32" s="1"/>
  <c r="Q115" i="32" s="1"/>
  <c r="R115" i="32" s="1"/>
  <c r="S115" i="32" s="1"/>
  <c r="T115" i="32" s="1"/>
  <c r="U115" i="32" s="1"/>
  <c r="V115" i="32" s="1"/>
  <c r="W115" i="32" s="1"/>
  <c r="X115" i="32" s="1"/>
  <c r="C115" i="32"/>
  <c r="F113" i="32"/>
  <c r="G113" i="32" s="1"/>
  <c r="C113" i="32"/>
  <c r="BC112" i="32"/>
  <c r="BB112" i="32"/>
  <c r="BA112" i="32"/>
  <c r="AZ112" i="32"/>
  <c r="AY112" i="32"/>
  <c r="AX112" i="32"/>
  <c r="AW112" i="32"/>
  <c r="AV112" i="32"/>
  <c r="AU112" i="32"/>
  <c r="AT112" i="32"/>
  <c r="AS112" i="32"/>
  <c r="AR112" i="32"/>
  <c r="AQ112" i="32"/>
  <c r="AP112" i="32"/>
  <c r="AO112" i="32"/>
  <c r="AB112" i="32"/>
  <c r="AA112" i="32"/>
  <c r="Z112" i="32"/>
  <c r="Y112" i="32"/>
  <c r="X112" i="32"/>
  <c r="W112" i="32"/>
  <c r="V112" i="32"/>
  <c r="U112" i="32"/>
  <c r="T112" i="32"/>
  <c r="S112" i="32"/>
  <c r="R112" i="32"/>
  <c r="Q112" i="32"/>
  <c r="P112" i="32"/>
  <c r="O112" i="32"/>
  <c r="N112" i="32"/>
  <c r="M112" i="32"/>
  <c r="L112" i="32"/>
  <c r="K112" i="32"/>
  <c r="J112" i="32"/>
  <c r="I112" i="32"/>
  <c r="H112" i="32"/>
  <c r="G112" i="32"/>
  <c r="F112" i="32"/>
  <c r="E112" i="32"/>
  <c r="B83" i="32"/>
  <c r="BF56" i="32"/>
  <c r="BC55" i="32"/>
  <c r="BB55" i="32"/>
  <c r="BC52" i="32"/>
  <c r="BB52" i="32"/>
  <c r="BA52" i="32"/>
  <c r="AZ52" i="32"/>
  <c r="AY52" i="32"/>
  <c r="AX52" i="32"/>
  <c r="AW52" i="32"/>
  <c r="AV52" i="32"/>
  <c r="AU52" i="32"/>
  <c r="AT52" i="32"/>
  <c r="AS52" i="32"/>
  <c r="AR52" i="32"/>
  <c r="AQ52" i="32"/>
  <c r="AP52" i="32"/>
  <c r="AO52" i="32"/>
  <c r="AN52" i="32"/>
  <c r="AM52" i="32"/>
  <c r="AL52" i="32"/>
  <c r="AK52" i="32"/>
  <c r="AJ52" i="32"/>
  <c r="AI52" i="32"/>
  <c r="AH52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D45" i="32"/>
  <c r="D44" i="32"/>
  <c r="D43" i="32"/>
  <c r="D41" i="32"/>
  <c r="D40" i="32"/>
  <c r="D39" i="32"/>
  <c r="D38" i="32"/>
  <c r="D37" i="32"/>
  <c r="AC37" i="32" s="1"/>
  <c r="AC62" i="32" s="1"/>
  <c r="D36" i="32"/>
  <c r="AK36" i="32" s="1"/>
  <c r="AK61" i="32" s="1"/>
  <c r="D35" i="32"/>
  <c r="AJ35" i="32" s="1"/>
  <c r="D34" i="32"/>
  <c r="AK34" i="32" s="1"/>
  <c r="AK59" i="32" s="1"/>
  <c r="D33" i="32"/>
  <c r="AB33" i="32" s="1"/>
  <c r="AB58" i="32" s="1"/>
  <c r="D32" i="32"/>
  <c r="D31" i="32"/>
  <c r="B38" i="21"/>
  <c r="C27" i="31"/>
  <c r="F27" i="31" s="1"/>
  <c r="P68" i="3"/>
  <c r="O68" i="3"/>
  <c r="N68" i="3"/>
  <c r="M68" i="3"/>
  <c r="L68" i="3"/>
  <c r="K68" i="3"/>
  <c r="J68" i="3"/>
  <c r="I68" i="3"/>
  <c r="H68" i="3"/>
  <c r="G68" i="3"/>
  <c r="F68" i="3"/>
  <c r="F68" i="24"/>
  <c r="M68" i="24"/>
  <c r="L68" i="24"/>
  <c r="K68" i="24"/>
  <c r="J68" i="24"/>
  <c r="I68" i="24"/>
  <c r="H68" i="24"/>
  <c r="G68" i="24"/>
  <c r="F65" i="24"/>
  <c r="I270" i="12"/>
  <c r="M71" i="3"/>
  <c r="L71" i="3"/>
  <c r="K71" i="3"/>
  <c r="J71" i="3"/>
  <c r="I71" i="3"/>
  <c r="H71" i="3"/>
  <c r="G71" i="3"/>
  <c r="F71" i="3"/>
  <c r="F71" i="24"/>
  <c r="M71" i="24"/>
  <c r="L71" i="24"/>
  <c r="K71" i="24"/>
  <c r="J71" i="24"/>
  <c r="I71" i="24"/>
  <c r="H71" i="24"/>
  <c r="G71" i="24"/>
  <c r="F70" i="24"/>
  <c r="G4" i="24"/>
  <c r="H4" i="24"/>
  <c r="I4" i="24"/>
  <c r="J4" i="24"/>
  <c r="K4" i="24"/>
  <c r="L4" i="24"/>
  <c r="M4" i="24"/>
  <c r="F4" i="24"/>
  <c r="I347" i="12"/>
  <c r="A347" i="12" s="1"/>
  <c r="I348" i="12"/>
  <c r="I350" i="12"/>
  <c r="I346" i="12"/>
  <c r="I356" i="12"/>
  <c r="I358" i="12"/>
  <c r="I355" i="12"/>
  <c r="I8" i="1"/>
  <c r="AN388" i="12"/>
  <c r="AB388" i="12"/>
  <c r="AC388" i="12"/>
  <c r="AD388" i="12"/>
  <c r="AE388" i="12"/>
  <c r="AF388" i="12"/>
  <c r="AG388" i="12"/>
  <c r="AH388" i="12"/>
  <c r="AI388" i="12"/>
  <c r="AJ388" i="12"/>
  <c r="AK388" i="12"/>
  <c r="AL388" i="12"/>
  <c r="AM388" i="12"/>
  <c r="Z388" i="12"/>
  <c r="AA388" i="12"/>
  <c r="V377" i="12"/>
  <c r="W377" i="12"/>
  <c r="AJ377" i="12"/>
  <c r="Y377" i="12"/>
  <c r="Z377" i="12"/>
  <c r="AA377" i="12"/>
  <c r="AB377" i="12"/>
  <c r="AC377" i="12"/>
  <c r="AD377" i="12"/>
  <c r="AE377" i="12"/>
  <c r="AF377" i="12"/>
  <c r="AG377" i="12"/>
  <c r="AH377" i="12"/>
  <c r="AI377" i="12"/>
  <c r="X377" i="12"/>
  <c r="G302" i="12"/>
  <c r="A145" i="12"/>
  <c r="A146" i="12"/>
  <c r="A149" i="12"/>
  <c r="A150" i="12"/>
  <c r="A152" i="12"/>
  <c r="A153" i="12"/>
  <c r="A154" i="12"/>
  <c r="A155" i="12"/>
  <c r="A156" i="12"/>
  <c r="A157" i="12"/>
  <c r="A158" i="12"/>
  <c r="A159" i="12"/>
  <c r="A160" i="12"/>
  <c r="A161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3" i="12"/>
  <c r="A184" i="12"/>
  <c r="A185" i="12"/>
  <c r="A186" i="12"/>
  <c r="A187" i="12"/>
  <c r="A189" i="12"/>
  <c r="A190" i="12"/>
  <c r="A191" i="12"/>
  <c r="A193" i="12"/>
  <c r="A194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3" i="12"/>
  <c r="A214" i="12"/>
  <c r="A215" i="12"/>
  <c r="A216" i="12"/>
  <c r="A217" i="12"/>
  <c r="A219" i="12"/>
  <c r="A220" i="12"/>
  <c r="A221" i="12"/>
  <c r="I195" i="12"/>
  <c r="A195" i="12" s="1"/>
  <c r="AH162" i="12"/>
  <c r="I162" i="12" s="1"/>
  <c r="A162" i="12" s="1"/>
  <c r="U31" i="32" l="1"/>
  <c r="U56" i="32" s="1"/>
  <c r="AR40" i="32"/>
  <c r="AR65" i="32" s="1"/>
  <c r="AV40" i="32"/>
  <c r="AV65" i="32" s="1"/>
  <c r="G31" i="32"/>
  <c r="G56" i="32" s="1"/>
  <c r="G55" i="32" s="1"/>
  <c r="T35" i="32"/>
  <c r="T60" i="32" s="1"/>
  <c r="AO40" i="32"/>
  <c r="AO65" i="32" s="1"/>
  <c r="AZ40" i="32"/>
  <c r="AA31" i="32"/>
  <c r="AR39" i="32"/>
  <c r="AR64" i="32" s="1"/>
  <c r="AX40" i="32"/>
  <c r="AL41" i="32"/>
  <c r="AL66" i="32" s="1"/>
  <c r="AU41" i="32"/>
  <c r="AU66" i="32" s="1"/>
  <c r="AI40" i="32"/>
  <c r="AI65" i="32" s="1"/>
  <c r="AQ40" i="32"/>
  <c r="AQ65" i="32" s="1"/>
  <c r="AY41" i="32"/>
  <c r="AY66" i="32" s="1"/>
  <c r="AY55" i="32" s="1"/>
  <c r="AF40" i="32"/>
  <c r="AF65" i="32" s="1"/>
  <c r="AD32" i="32"/>
  <c r="N31" i="32"/>
  <c r="N56" i="32" s="1"/>
  <c r="AG40" i="32"/>
  <c r="AG65" i="32" s="1"/>
  <c r="AL37" i="32"/>
  <c r="AL62" i="32" s="1"/>
  <c r="AO41" i="32"/>
  <c r="AO66" i="32" s="1"/>
  <c r="AM40" i="32"/>
  <c r="AM65" i="32" s="1"/>
  <c r="X31" i="32"/>
  <c r="AN34" i="32"/>
  <c r="AG38" i="32"/>
  <c r="AG63" i="32" s="1"/>
  <c r="AB35" i="32"/>
  <c r="AB60" i="32" s="1"/>
  <c r="F31" i="32"/>
  <c r="F56" i="32" s="1"/>
  <c r="F55" i="32" s="1"/>
  <c r="V34" i="32"/>
  <c r="V59" i="32" s="1"/>
  <c r="AQ39" i="32"/>
  <c r="AQ64" i="32" s="1"/>
  <c r="W33" i="32"/>
  <c r="W58" i="32" s="1"/>
  <c r="S32" i="32"/>
  <c r="S57" i="32" s="1"/>
  <c r="O31" i="32"/>
  <c r="O56" i="32" s="1"/>
  <c r="I32" i="32"/>
  <c r="I57" i="32" s="1"/>
  <c r="Y32" i="32"/>
  <c r="Y57" i="32" s="1"/>
  <c r="X33" i="32"/>
  <c r="X58" i="32" s="1"/>
  <c r="Y34" i="32"/>
  <c r="Y59" i="32" s="1"/>
  <c r="AL34" i="32"/>
  <c r="AL59" i="32" s="1"/>
  <c r="U36" i="32"/>
  <c r="U61" i="32" s="1"/>
  <c r="AF36" i="32"/>
  <c r="AF61" i="32" s="1"/>
  <c r="AS39" i="32"/>
  <c r="AS64" i="32" s="1"/>
  <c r="AS41" i="32"/>
  <c r="AS66" i="32" s="1"/>
  <c r="E31" i="32"/>
  <c r="E56" i="32" s="1"/>
  <c r="P31" i="32"/>
  <c r="P56" i="32" s="1"/>
  <c r="J32" i="32"/>
  <c r="J57" i="32" s="1"/>
  <c r="AA32" i="32"/>
  <c r="AA57" i="32" s="1"/>
  <c r="AF33" i="32"/>
  <c r="AF58" i="32" s="1"/>
  <c r="AA34" i="32"/>
  <c r="AA59" i="32" s="1"/>
  <c r="V36" i="32"/>
  <c r="V61" i="32" s="1"/>
  <c r="AG36" i="32"/>
  <c r="AG61" i="32" s="1"/>
  <c r="AN38" i="32"/>
  <c r="AN63" i="32" s="1"/>
  <c r="AY40" i="32"/>
  <c r="AT41" i="32"/>
  <c r="AT66" i="32" s="1"/>
  <c r="W32" i="32"/>
  <c r="W57" i="32" s="1"/>
  <c r="AE36" i="32"/>
  <c r="AE61" i="32" s="1"/>
  <c r="S35" i="32"/>
  <c r="S60" i="32" s="1"/>
  <c r="AL36" i="32"/>
  <c r="X36" i="32"/>
  <c r="X61" i="32" s="1"/>
  <c r="AE39" i="32"/>
  <c r="AE64" i="32" s="1"/>
  <c r="AW41" i="32"/>
  <c r="AW66" i="32" s="1"/>
  <c r="AE34" i="32"/>
  <c r="AE59" i="32" s="1"/>
  <c r="BC41" i="32"/>
  <c r="H31" i="32"/>
  <c r="H56" i="32" s="1"/>
  <c r="H55" i="32" s="1"/>
  <c r="O32" i="32"/>
  <c r="O57" i="32" s="1"/>
  <c r="AD34" i="32"/>
  <c r="AD59" i="32" s="1"/>
  <c r="W37" i="32"/>
  <c r="W62" i="32" s="1"/>
  <c r="K31" i="32"/>
  <c r="K56" i="32" s="1"/>
  <c r="W31" i="32"/>
  <c r="Q32" i="32"/>
  <c r="Q57" i="32" s="1"/>
  <c r="T34" i="32"/>
  <c r="T59" i="32" s="1"/>
  <c r="AG34" i="32"/>
  <c r="AG59" i="32" s="1"/>
  <c r="AI35" i="32"/>
  <c r="AC36" i="32"/>
  <c r="AC61" i="32" s="1"/>
  <c r="X37" i="32"/>
  <c r="X62" i="32" s="1"/>
  <c r="AN39" i="32"/>
  <c r="AN64" i="32" s="1"/>
  <c r="AK41" i="32"/>
  <c r="AK66" i="32" s="1"/>
  <c r="S31" i="32"/>
  <c r="S56" i="32" s="1"/>
  <c r="K32" i="32"/>
  <c r="K57" i="32" s="1"/>
  <c r="AB32" i="32"/>
  <c r="AB34" i="32"/>
  <c r="AB59" i="32" s="1"/>
  <c r="W36" i="32"/>
  <c r="W61" i="32" s="1"/>
  <c r="L32" i="32"/>
  <c r="L57" i="32" s="1"/>
  <c r="Q34" i="32"/>
  <c r="Q59" i="32" s="1"/>
  <c r="AC34" i="32"/>
  <c r="AC59" i="32" s="1"/>
  <c r="W34" i="32"/>
  <c r="W59" i="32" s="1"/>
  <c r="V31" i="32"/>
  <c r="V56" i="32" s="1"/>
  <c r="P33" i="32"/>
  <c r="P58" i="32" s="1"/>
  <c r="S34" i="32"/>
  <c r="S59" i="32" s="1"/>
  <c r="Y36" i="32"/>
  <c r="Y61" i="32" s="1"/>
  <c r="AJ39" i="32"/>
  <c r="AJ64" i="32" s="1"/>
  <c r="AJ41" i="32"/>
  <c r="AJ66" i="32" s="1"/>
  <c r="BB41" i="32"/>
  <c r="T33" i="32"/>
  <c r="T58" i="32" s="1"/>
  <c r="M31" i="32"/>
  <c r="M56" i="32" s="1"/>
  <c r="T32" i="32"/>
  <c r="T57" i="32" s="1"/>
  <c r="V33" i="32"/>
  <c r="V58" i="32" s="1"/>
  <c r="U34" i="32"/>
  <c r="U59" i="32" s="1"/>
  <c r="AJ34" i="32"/>
  <c r="AJ59" i="32" s="1"/>
  <c r="AD36" i="32"/>
  <c r="AD61" i="32" s="1"/>
  <c r="R34" i="32"/>
  <c r="R59" i="32" s="1"/>
  <c r="AP41" i="32"/>
  <c r="AP66" i="32" s="1"/>
  <c r="AX41" i="32"/>
  <c r="AX66" i="32" s="1"/>
  <c r="L3" i="35"/>
  <c r="O29" i="35"/>
  <c r="O28" i="35" s="1"/>
  <c r="O3" i="35" s="1"/>
  <c r="Y115" i="32"/>
  <c r="Z36" i="32"/>
  <c r="Z61" i="32" s="1"/>
  <c r="Z34" i="32"/>
  <c r="Z59" i="32" s="1"/>
  <c r="AH36" i="32"/>
  <c r="AH61" i="32" s="1"/>
  <c r="AH34" i="32"/>
  <c r="AH59" i="32" s="1"/>
  <c r="G139" i="32"/>
  <c r="F139" i="32"/>
  <c r="AE35" i="32"/>
  <c r="AE60" i="32" s="1"/>
  <c r="W35" i="32"/>
  <c r="W60" i="32" s="1"/>
  <c r="AD35" i="32"/>
  <c r="AD60" i="32" s="1"/>
  <c r="V35" i="32"/>
  <c r="V60" i="32" s="1"/>
  <c r="AK35" i="32"/>
  <c r="AC35" i="32"/>
  <c r="AC60" i="32" s="1"/>
  <c r="U35" i="32"/>
  <c r="U60" i="32" s="1"/>
  <c r="AG35" i="32"/>
  <c r="AG60" i="32" s="1"/>
  <c r="Y35" i="32"/>
  <c r="Y60" i="32" s="1"/>
  <c r="Q35" i="32"/>
  <c r="Q60" i="32" s="1"/>
  <c r="AF35" i="32"/>
  <c r="AF60" i="32" s="1"/>
  <c r="AI37" i="32"/>
  <c r="AI62" i="32" s="1"/>
  <c r="AA37" i="32"/>
  <c r="AA62" i="32" s="1"/>
  <c r="AK37" i="32"/>
  <c r="AK62" i="32" s="1"/>
  <c r="AB37" i="32"/>
  <c r="AB62" i="32" s="1"/>
  <c r="AH37" i="32"/>
  <c r="AH62" i="32" s="1"/>
  <c r="AJ37" i="32"/>
  <c r="AJ62" i="32" s="1"/>
  <c r="Z37" i="32"/>
  <c r="Z62" i="32" s="1"/>
  <c r="Y37" i="32"/>
  <c r="Y62" i="32" s="1"/>
  <c r="AM37" i="32"/>
  <c r="AM62" i="32" s="1"/>
  <c r="AD37" i="32"/>
  <c r="AD62" i="32" s="1"/>
  <c r="AN37" i="32"/>
  <c r="AN62" i="32" s="1"/>
  <c r="AP38" i="32"/>
  <c r="AP63" i="32" s="1"/>
  <c r="AH40" i="32"/>
  <c r="AH65" i="32" s="1"/>
  <c r="H113" i="32"/>
  <c r="R121" i="32"/>
  <c r="S121" i="32" s="1"/>
  <c r="T121" i="32" s="1"/>
  <c r="AH35" i="32"/>
  <c r="AH60" i="32" s="1"/>
  <c r="AP39" i="32"/>
  <c r="AP64" i="32" s="1"/>
  <c r="AP40" i="32"/>
  <c r="AP65" i="32" s="1"/>
  <c r="R32" i="32"/>
  <c r="R57" i="32" s="1"/>
  <c r="AI34" i="32"/>
  <c r="AI59" i="32" s="1"/>
  <c r="X35" i="32"/>
  <c r="X60" i="32" s="1"/>
  <c r="AX39" i="32"/>
  <c r="AM34" i="32"/>
  <c r="AM59" i="32" s="1"/>
  <c r="AM36" i="32"/>
  <c r="R35" i="32"/>
  <c r="R60" i="32" s="1"/>
  <c r="AQ38" i="32"/>
  <c r="AQ63" i="32" s="1"/>
  <c r="AI38" i="32"/>
  <c r="AI63" i="32" s="1"/>
  <c r="AA38" i="32"/>
  <c r="AA63" i="32" s="1"/>
  <c r="AM38" i="32"/>
  <c r="AM63" i="32" s="1"/>
  <c r="AD38" i="32"/>
  <c r="AD63" i="32" s="1"/>
  <c r="AL38" i="32"/>
  <c r="AL63" i="32" s="1"/>
  <c r="AC38" i="32"/>
  <c r="AC63" i="32" s="1"/>
  <c r="AK38" i="32"/>
  <c r="AK63" i="32" s="1"/>
  <c r="AB38" i="32"/>
  <c r="AB63" i="32" s="1"/>
  <c r="AO38" i="32"/>
  <c r="AO63" i="32" s="1"/>
  <c r="AF38" i="32"/>
  <c r="AF63" i="32" s="1"/>
  <c r="AR38" i="32"/>
  <c r="Z38" i="32"/>
  <c r="Z63" i="32" s="1"/>
  <c r="AE38" i="32"/>
  <c r="AE63" i="32" s="1"/>
  <c r="AA33" i="32"/>
  <c r="AA58" i="32" s="1"/>
  <c r="S33" i="32"/>
  <c r="S58" i="32" s="1"/>
  <c r="Z33" i="32"/>
  <c r="Z58" i="32" s="1"/>
  <c r="AH33" i="32"/>
  <c r="R33" i="32"/>
  <c r="R58" i="32" s="1"/>
  <c r="AG33" i="32"/>
  <c r="AG58" i="32" s="1"/>
  <c r="Y33" i="32"/>
  <c r="Y58" i="32" s="1"/>
  <c r="Q33" i="32"/>
  <c r="Q58" i="32" s="1"/>
  <c r="AC33" i="32"/>
  <c r="AC58" i="32" s="1"/>
  <c r="U33" i="32"/>
  <c r="U58" i="32" s="1"/>
  <c r="M33" i="32"/>
  <c r="M58" i="32" s="1"/>
  <c r="AE37" i="32"/>
  <c r="AE62" i="32" s="1"/>
  <c r="Z31" i="32"/>
  <c r="N33" i="32"/>
  <c r="N58" i="32" s="1"/>
  <c r="AD33" i="32"/>
  <c r="AD58" i="32" s="1"/>
  <c r="Z35" i="32"/>
  <c r="Z60" i="32" s="1"/>
  <c r="AF37" i="32"/>
  <c r="AF62" i="32" s="1"/>
  <c r="AH38" i="32"/>
  <c r="AH63" i="32" s="1"/>
  <c r="AH39" i="32"/>
  <c r="AH64" i="32" s="1"/>
  <c r="Z32" i="32"/>
  <c r="Z57" i="32" s="1"/>
  <c r="AS38" i="32"/>
  <c r="E55" i="32"/>
  <c r="O33" i="32"/>
  <c r="O58" i="32" s="1"/>
  <c r="AE33" i="32"/>
  <c r="AE58" i="32" s="1"/>
  <c r="AA35" i="32"/>
  <c r="AA60" i="32" s="1"/>
  <c r="AG37" i="32"/>
  <c r="AG62" i="32" s="1"/>
  <c r="AJ38" i="32"/>
  <c r="AJ63" i="32" s="1"/>
  <c r="AI39" i="32"/>
  <c r="AI64" i="32" s="1"/>
  <c r="AM41" i="32"/>
  <c r="AM66" i="32" s="1"/>
  <c r="L31" i="32"/>
  <c r="L56" i="32" s="1"/>
  <c r="T31" i="32"/>
  <c r="T56" i="32" s="1"/>
  <c r="P32" i="32"/>
  <c r="P57" i="32" s="1"/>
  <c r="X32" i="32"/>
  <c r="X57" i="32" s="1"/>
  <c r="AF39" i="32"/>
  <c r="AF64" i="32" s="1"/>
  <c r="BA40" i="32"/>
  <c r="AS40" i="32"/>
  <c r="AS65" i="32" s="1"/>
  <c r="AK40" i="32"/>
  <c r="AK65" i="32" s="1"/>
  <c r="AN40" i="32"/>
  <c r="AN65" i="32" s="1"/>
  <c r="AW40" i="32"/>
  <c r="AW65" i="32" s="1"/>
  <c r="AW39" i="32"/>
  <c r="AO39" i="32"/>
  <c r="AO64" i="32" s="1"/>
  <c r="AG39" i="32"/>
  <c r="AG64" i="32" s="1"/>
  <c r="AK39" i="32"/>
  <c r="AK64" i="32" s="1"/>
  <c r="AT39" i="32"/>
  <c r="BB40" i="32"/>
  <c r="Q31" i="32"/>
  <c r="Q56" i="32" s="1"/>
  <c r="U32" i="32"/>
  <c r="U57" i="32" s="1"/>
  <c r="AA36" i="32"/>
  <c r="AA61" i="32" s="1"/>
  <c r="AI36" i="32"/>
  <c r="AI61" i="32" s="1"/>
  <c r="AC39" i="32"/>
  <c r="AC64" i="32" s="1"/>
  <c r="AL39" i="32"/>
  <c r="AL64" i="32" s="1"/>
  <c r="AU39" i="32"/>
  <c r="AJ40" i="32"/>
  <c r="AJ65" i="32" s="1"/>
  <c r="AT40" i="32"/>
  <c r="AT65" i="32" s="1"/>
  <c r="AV41" i="32"/>
  <c r="AV66" i="32" s="1"/>
  <c r="AV55" i="32" s="1"/>
  <c r="AN41" i="32"/>
  <c r="AN66" i="32" s="1"/>
  <c r="AQ41" i="32"/>
  <c r="AQ66" i="32" s="1"/>
  <c r="AZ41" i="32"/>
  <c r="AZ66" i="32" s="1"/>
  <c r="I31" i="32"/>
  <c r="I56" i="32" s="1"/>
  <c r="Y31" i="32"/>
  <c r="M32" i="32"/>
  <c r="M57" i="32" s="1"/>
  <c r="AC32" i="32"/>
  <c r="J31" i="32"/>
  <c r="J56" i="32" s="1"/>
  <c r="J55" i="32" s="1"/>
  <c r="R31" i="32"/>
  <c r="R56" i="32" s="1"/>
  <c r="N32" i="32"/>
  <c r="N57" i="32" s="1"/>
  <c r="V32" i="32"/>
  <c r="V57" i="32" s="1"/>
  <c r="X34" i="32"/>
  <c r="X59" i="32" s="1"/>
  <c r="AF34" i="32"/>
  <c r="AF59" i="32" s="1"/>
  <c r="T36" i="32"/>
  <c r="T61" i="32" s="1"/>
  <c r="AB36" i="32"/>
  <c r="AB61" i="32" s="1"/>
  <c r="AJ36" i="32"/>
  <c r="AJ61" i="32" s="1"/>
  <c r="AD39" i="32"/>
  <c r="AD64" i="32" s="1"/>
  <c r="AM39" i="32"/>
  <c r="AM64" i="32" s="1"/>
  <c r="AV39" i="32"/>
  <c r="AL40" i="32"/>
  <c r="AL65" i="32" s="1"/>
  <c r="AU40" i="32"/>
  <c r="AU65" i="32" s="1"/>
  <c r="AI41" i="32"/>
  <c r="AI66" i="32" s="1"/>
  <c r="AR41" i="32"/>
  <c r="AR66" i="32" s="1"/>
  <c r="BA41" i="32"/>
  <c r="I8" i="23"/>
  <c r="I117" i="12"/>
  <c r="I109" i="12"/>
  <c r="L55" i="32" l="1"/>
  <c r="O55" i="32"/>
  <c r="K55" i="32"/>
  <c r="AA55" i="32"/>
  <c r="AB57" i="32"/>
  <c r="AB55" i="32" s="1"/>
  <c r="X55" i="32"/>
  <c r="S55" i="32"/>
  <c r="V55" i="32"/>
  <c r="Q55" i="32"/>
  <c r="Y55" i="32"/>
  <c r="AS55" i="32"/>
  <c r="R55" i="32"/>
  <c r="P55" i="32"/>
  <c r="AK55" i="32"/>
  <c r="AJ55" i="32"/>
  <c r="U55" i="32"/>
  <c r="T55" i="32"/>
  <c r="I55" i="32"/>
  <c r="AN59" i="32"/>
  <c r="AN55" i="32" s="1"/>
  <c r="AF55" i="32"/>
  <c r="P29" i="35"/>
  <c r="P28" i="35" s="1"/>
  <c r="P3" i="35" s="1"/>
  <c r="BD57" i="32"/>
  <c r="B57" i="32" s="1"/>
  <c r="AH58" i="32"/>
  <c r="BD58" i="32" s="1"/>
  <c r="B58" i="32" s="1"/>
  <c r="AC55" i="32"/>
  <c r="E139" i="32"/>
  <c r="H139" i="32"/>
  <c r="I113" i="32"/>
  <c r="N55" i="32"/>
  <c r="AD55" i="32"/>
  <c r="AL61" i="32"/>
  <c r="AL55" i="32" s="1"/>
  <c r="AI60" i="32"/>
  <c r="BD60" i="32" s="1"/>
  <c r="B60" i="32" s="1"/>
  <c r="AE55" i="32"/>
  <c r="AG55" i="32"/>
  <c r="AR63" i="32"/>
  <c r="BD63" i="32" s="1"/>
  <c r="B63" i="32" s="1"/>
  <c r="AW55" i="32"/>
  <c r="AX65" i="32"/>
  <c r="U121" i="32"/>
  <c r="T123" i="32"/>
  <c r="BA66" i="32"/>
  <c r="BD66" i="32" s="1"/>
  <c r="B66" i="32" s="1"/>
  <c r="Z55" i="32"/>
  <c r="Z115" i="32"/>
  <c r="AO62" i="32"/>
  <c r="AO55" i="32" s="1"/>
  <c r="AQ55" i="32"/>
  <c r="M55" i="32"/>
  <c r="AU55" i="32"/>
  <c r="AZ55" i="32"/>
  <c r="AT64" i="32"/>
  <c r="BD64" i="32" s="1"/>
  <c r="B64" i="32" s="1"/>
  <c r="W56" i="32"/>
  <c r="W55" i="32" s="1"/>
  <c r="AM55" i="32"/>
  <c r="AP55" i="32"/>
  <c r="BD59" i="32" l="1"/>
  <c r="B59" i="32" s="1"/>
  <c r="B119" i="32"/>
  <c r="BD61" i="32"/>
  <c r="B61" i="32" s="1"/>
  <c r="Q29" i="35"/>
  <c r="Q28" i="35" s="1"/>
  <c r="Q3" i="35" s="1"/>
  <c r="I139" i="32"/>
  <c r="J113" i="32"/>
  <c r="B117" i="32"/>
  <c r="AX55" i="32"/>
  <c r="BD65" i="32"/>
  <c r="B65" i="32" s="1"/>
  <c r="AI55" i="32"/>
  <c r="AT55" i="32"/>
  <c r="V121" i="32"/>
  <c r="W121" i="32" s="1"/>
  <c r="X121" i="32" s="1"/>
  <c r="A67" i="32"/>
  <c r="BD56" i="32"/>
  <c r="B56" i="32" s="1"/>
  <c r="BD62" i="32"/>
  <c r="B62" i="32" s="1"/>
  <c r="AH55" i="32"/>
  <c r="U123" i="32"/>
  <c r="V123" i="32" s="1"/>
  <c r="W123" i="32" s="1"/>
  <c r="AA115" i="32"/>
  <c r="BA55" i="32"/>
  <c r="AR55" i="32"/>
  <c r="BD55" i="32" l="1"/>
  <c r="R29" i="35"/>
  <c r="R28" i="35" s="1"/>
  <c r="R3" i="35" s="1"/>
  <c r="B73" i="32"/>
  <c r="J139" i="32"/>
  <c r="K113" i="32"/>
  <c r="Y121" i="32"/>
  <c r="AB115" i="32"/>
  <c r="A76" i="32"/>
  <c r="C149" i="32"/>
  <c r="X123" i="32"/>
  <c r="W125" i="32"/>
  <c r="C155" i="32"/>
  <c r="D42" i="32"/>
  <c r="A74" i="32"/>
  <c r="B147" i="10"/>
  <c r="B148" i="10"/>
  <c r="B149" i="10"/>
  <c r="B150" i="10"/>
  <c r="B146" i="10"/>
  <c r="S29" i="35" l="1"/>
  <c r="S28" i="35" s="1"/>
  <c r="S3" i="35" s="1"/>
  <c r="AC115" i="32"/>
  <c r="Z121" i="32"/>
  <c r="X125" i="32"/>
  <c r="K139" i="32"/>
  <c r="L113" i="32"/>
  <c r="Y123" i="32"/>
  <c r="Z123" i="32" s="1"/>
  <c r="AA123" i="32" s="1"/>
  <c r="AB123" i="32" s="1"/>
  <c r="AC123" i="32" s="1"/>
  <c r="AD123" i="32" s="1"/>
  <c r="AE123" i="32" s="1"/>
  <c r="AF123" i="32" s="1"/>
  <c r="AG123" i="32" s="1"/>
  <c r="AH123" i="32" s="1"/>
  <c r="AI123" i="32" s="1"/>
  <c r="AJ123" i="32" s="1"/>
  <c r="AK123" i="32" s="1"/>
  <c r="AL123" i="32" s="1"/>
  <c r="AM123" i="32" s="1"/>
  <c r="S138" i="10"/>
  <c r="T138" i="10"/>
  <c r="S125" i="10"/>
  <c r="T125" i="10"/>
  <c r="S115" i="10"/>
  <c r="T115" i="10"/>
  <c r="R115" i="10"/>
  <c r="S104" i="10"/>
  <c r="T104" i="10"/>
  <c r="R84" i="10"/>
  <c r="J84" i="10" s="1"/>
  <c r="R82" i="10"/>
  <c r="J82" i="10" s="1"/>
  <c r="S82" i="10"/>
  <c r="K82" i="10" s="1"/>
  <c r="T82" i="10"/>
  <c r="L82" i="10" s="1"/>
  <c r="R81" i="10"/>
  <c r="J81" i="10" s="1"/>
  <c r="R62" i="10"/>
  <c r="J62" i="10" s="1"/>
  <c r="S59" i="10"/>
  <c r="T59" i="10"/>
  <c r="S57" i="10"/>
  <c r="T57" i="10"/>
  <c r="R40" i="10"/>
  <c r="J40" i="10" s="1"/>
  <c r="R38" i="10"/>
  <c r="J38" i="10" s="1"/>
  <c r="S38" i="10"/>
  <c r="T38" i="10"/>
  <c r="S35" i="10"/>
  <c r="T35" i="10"/>
  <c r="F24" i="10"/>
  <c r="F17" i="10"/>
  <c r="S14" i="10"/>
  <c r="T14" i="10"/>
  <c r="R7" i="10"/>
  <c r="J7" i="10" s="1"/>
  <c r="T6" i="10"/>
  <c r="S6" i="10"/>
  <c r="E3" i="10"/>
  <c r="T5" i="10"/>
  <c r="S5" i="10"/>
  <c r="O38" i="24"/>
  <c r="P38" i="24"/>
  <c r="Q38" i="24"/>
  <c r="R38" i="24"/>
  <c r="S38" i="24"/>
  <c r="T38" i="24"/>
  <c r="U38" i="24"/>
  <c r="V38" i="24"/>
  <c r="W38" i="24"/>
  <c r="X38" i="24"/>
  <c r="Y38" i="24"/>
  <c r="Z38" i="24"/>
  <c r="AA38" i="24"/>
  <c r="AB38" i="24"/>
  <c r="AC38" i="24"/>
  <c r="AD38" i="24"/>
  <c r="AE38" i="24"/>
  <c r="AF38" i="24"/>
  <c r="AG38" i="24"/>
  <c r="AH38" i="24"/>
  <c r="AI38" i="24"/>
  <c r="AJ38" i="24"/>
  <c r="AK38" i="24"/>
  <c r="AL38" i="24"/>
  <c r="AM38" i="24"/>
  <c r="AN38" i="24"/>
  <c r="AO38" i="24"/>
  <c r="AP38" i="24"/>
  <c r="AQ38" i="24"/>
  <c r="AR38" i="24"/>
  <c r="AS38" i="24"/>
  <c r="AT38" i="24"/>
  <c r="AU38" i="24"/>
  <c r="AV38" i="24"/>
  <c r="AW38" i="24"/>
  <c r="AX38" i="24"/>
  <c r="AY38" i="24"/>
  <c r="AZ38" i="24"/>
  <c r="BA38" i="24"/>
  <c r="BB38" i="24"/>
  <c r="BC38" i="24"/>
  <c r="BD38" i="24"/>
  <c r="BE38" i="24"/>
  <c r="BF38" i="24"/>
  <c r="BG38" i="24"/>
  <c r="BH38" i="24"/>
  <c r="BI38" i="24"/>
  <c r="BJ38" i="24"/>
  <c r="BK38" i="24"/>
  <c r="BL38" i="24"/>
  <c r="BM38" i="24"/>
  <c r="N38" i="24"/>
  <c r="BM36" i="24"/>
  <c r="BL36" i="24"/>
  <c r="BK36" i="24"/>
  <c r="BJ36" i="24"/>
  <c r="BI36" i="24"/>
  <c r="BH36" i="24"/>
  <c r="BG36" i="24"/>
  <c r="BF36" i="24"/>
  <c r="BE36" i="24"/>
  <c r="BD36" i="24"/>
  <c r="BC36" i="24"/>
  <c r="BB36" i="24"/>
  <c r="BA36" i="24"/>
  <c r="AZ36" i="24"/>
  <c r="AY36" i="24"/>
  <c r="AX36" i="24"/>
  <c r="AW36" i="24"/>
  <c r="AV36" i="24"/>
  <c r="AU36" i="24"/>
  <c r="AT36" i="24"/>
  <c r="AS36" i="24"/>
  <c r="AR36" i="24"/>
  <c r="AQ36" i="24"/>
  <c r="AP36" i="24"/>
  <c r="AO36" i="24"/>
  <c r="AN36" i="24"/>
  <c r="AM36" i="24"/>
  <c r="AL36" i="24"/>
  <c r="AK36" i="24"/>
  <c r="AJ36" i="24"/>
  <c r="AI36" i="24"/>
  <c r="AH36" i="24"/>
  <c r="AG36" i="24"/>
  <c r="AF36" i="24"/>
  <c r="AE36" i="24"/>
  <c r="AD36" i="24"/>
  <c r="AC36" i="24"/>
  <c r="AB36" i="24"/>
  <c r="AA36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M61" i="24"/>
  <c r="L61" i="24"/>
  <c r="K61" i="24"/>
  <c r="J61" i="24"/>
  <c r="I61" i="24"/>
  <c r="H61" i="24"/>
  <c r="G61" i="24"/>
  <c r="F61" i="24"/>
  <c r="M73" i="3"/>
  <c r="L73" i="3"/>
  <c r="K73" i="3"/>
  <c r="J73" i="3"/>
  <c r="I73" i="3"/>
  <c r="H73" i="3"/>
  <c r="G73" i="3"/>
  <c r="F73" i="24"/>
  <c r="M73" i="24"/>
  <c r="L73" i="24"/>
  <c r="K73" i="24"/>
  <c r="J73" i="24"/>
  <c r="I73" i="24"/>
  <c r="H73" i="24"/>
  <c r="G73" i="24"/>
  <c r="F72" i="24"/>
  <c r="A369" i="12"/>
  <c r="A368" i="12"/>
  <c r="A366" i="12"/>
  <c r="A365" i="12"/>
  <c r="A364" i="12"/>
  <c r="A363" i="12"/>
  <c r="P50" i="23"/>
  <c r="P50" i="1"/>
  <c r="B123" i="32" l="1"/>
  <c r="K38" i="10"/>
  <c r="L38" i="10"/>
  <c r="T29" i="35"/>
  <c r="T28" i="35" s="1"/>
  <c r="T3" i="35" s="1"/>
  <c r="Y125" i="32"/>
  <c r="X139" i="32"/>
  <c r="M113" i="32"/>
  <c r="L139" i="32"/>
  <c r="AD115" i="32"/>
  <c r="AN123" i="32"/>
  <c r="AA121" i="32"/>
  <c r="N16" i="23"/>
  <c r="N16" i="1"/>
  <c r="P51" i="21"/>
  <c r="P52" i="21"/>
  <c r="P2" i="1"/>
  <c r="S7" i="10" s="1"/>
  <c r="K7" i="10" s="1"/>
  <c r="P2" i="23"/>
  <c r="T7" i="10" s="1"/>
  <c r="L7" i="10" s="1"/>
  <c r="C2" i="23"/>
  <c r="C2" i="1"/>
  <c r="H2" i="21"/>
  <c r="E17" i="23"/>
  <c r="D17" i="23"/>
  <c r="C17" i="23"/>
  <c r="E17" i="1"/>
  <c r="D17" i="1"/>
  <c r="C17" i="1"/>
  <c r="E16" i="23"/>
  <c r="D16" i="23"/>
  <c r="E16" i="1"/>
  <c r="D16" i="1"/>
  <c r="R6" i="10" l="1"/>
  <c r="M2" i="21"/>
  <c r="U29" i="35"/>
  <c r="U28" i="35" s="1"/>
  <c r="U3" i="35" s="1"/>
  <c r="AE115" i="32"/>
  <c r="M139" i="32"/>
  <c r="N113" i="32"/>
  <c r="AB121" i="32"/>
  <c r="Z125" i="32"/>
  <c r="Y139" i="32"/>
  <c r="B115" i="32"/>
  <c r="G5" i="1"/>
  <c r="G8" i="1" s="1"/>
  <c r="G5" i="23"/>
  <c r="M12" i="23"/>
  <c r="M12" i="1"/>
  <c r="M11" i="23"/>
  <c r="M11" i="1"/>
  <c r="I9" i="23"/>
  <c r="I10" i="23"/>
  <c r="I11" i="23"/>
  <c r="T40" i="10" s="1"/>
  <c r="L40" i="10" s="1"/>
  <c r="I9" i="1"/>
  <c r="I10" i="1"/>
  <c r="I11" i="1"/>
  <c r="S40" i="10" s="1"/>
  <c r="K40" i="10" s="1"/>
  <c r="U23" i="1"/>
  <c r="S62" i="10" s="1"/>
  <c r="K62" i="10" s="1"/>
  <c r="U23" i="23"/>
  <c r="T62" i="10" s="1"/>
  <c r="L62" i="10" s="1"/>
  <c r="U22" i="23"/>
  <c r="U22" i="1"/>
  <c r="U2" i="23"/>
  <c r="R2" i="23"/>
  <c r="U2" i="1"/>
  <c r="R2" i="1"/>
  <c r="J6" i="10" l="1"/>
  <c r="K6" i="10"/>
  <c r="L6" i="10"/>
  <c r="V29" i="35"/>
  <c r="V28" i="35" s="1"/>
  <c r="V3" i="35" s="1"/>
  <c r="AC121" i="32"/>
  <c r="Z127" i="32"/>
  <c r="Z139" i="32" s="1"/>
  <c r="AA125" i="32"/>
  <c r="AF115" i="32"/>
  <c r="O113" i="32"/>
  <c r="N139" i="32"/>
  <c r="T8" i="10"/>
  <c r="T9" i="10"/>
  <c r="S9" i="10"/>
  <c r="S8" i="10"/>
  <c r="F49" i="23"/>
  <c r="T81" i="10" s="1"/>
  <c r="L81" i="10" s="1"/>
  <c r="F49" i="1"/>
  <c r="S81" i="10" s="1"/>
  <c r="K81" i="10" s="1"/>
  <c r="M53" i="24"/>
  <c r="L53" i="24"/>
  <c r="K53" i="24"/>
  <c r="J53" i="24"/>
  <c r="I53" i="24"/>
  <c r="H53" i="24"/>
  <c r="G53" i="24"/>
  <c r="F53" i="24"/>
  <c r="F53" i="3"/>
  <c r="M53" i="3"/>
  <c r="L53" i="3"/>
  <c r="K53" i="3"/>
  <c r="J53" i="3"/>
  <c r="I53" i="3"/>
  <c r="H53" i="3"/>
  <c r="G53" i="3"/>
  <c r="F65" i="3"/>
  <c r="W29" i="35" l="1"/>
  <c r="W28" i="35" s="1"/>
  <c r="W3" i="35" s="1"/>
  <c r="AA127" i="32"/>
  <c r="AB127" i="32" s="1"/>
  <c r="AC127" i="32" s="1"/>
  <c r="AB125" i="32"/>
  <c r="AA139" i="32"/>
  <c r="P113" i="32"/>
  <c r="O139" i="32"/>
  <c r="AD121" i="32"/>
  <c r="A323" i="12"/>
  <c r="A324" i="12"/>
  <c r="A327" i="12"/>
  <c r="A328" i="12"/>
  <c r="A329" i="12"/>
  <c r="A330" i="12"/>
  <c r="A331" i="12"/>
  <c r="A332" i="12"/>
  <c r="A334" i="12"/>
  <c r="A335" i="12"/>
  <c r="A336" i="12"/>
  <c r="A337" i="12"/>
  <c r="A338" i="12"/>
  <c r="A339" i="12"/>
  <c r="A340" i="12"/>
  <c r="A341" i="12"/>
  <c r="A342" i="12"/>
  <c r="M70" i="3"/>
  <c r="L70" i="3"/>
  <c r="K70" i="3"/>
  <c r="J70" i="3"/>
  <c r="I70" i="3"/>
  <c r="H70" i="3"/>
  <c r="G70" i="3"/>
  <c r="F70" i="3"/>
  <c r="M70" i="24"/>
  <c r="L70" i="24"/>
  <c r="K70" i="24"/>
  <c r="J70" i="24"/>
  <c r="I70" i="24"/>
  <c r="H70" i="24"/>
  <c r="G70" i="24"/>
  <c r="F48" i="23"/>
  <c r="T84" i="10" s="1"/>
  <c r="L84" i="10" s="1"/>
  <c r="F48" i="1"/>
  <c r="S84" i="10" s="1"/>
  <c r="K84" i="10" s="1"/>
  <c r="X29" i="35" l="1"/>
  <c r="X28" i="35" s="1"/>
  <c r="X3" i="35" s="1"/>
  <c r="Q113" i="32"/>
  <c r="P139" i="32"/>
  <c r="AC125" i="32"/>
  <c r="AB139" i="32"/>
  <c r="AD127" i="32"/>
  <c r="AE127" i="32" s="1"/>
  <c r="AF127" i="32" s="1"/>
  <c r="AG127" i="32" s="1"/>
  <c r="AH127" i="32" s="1"/>
  <c r="AI127" i="32" s="1"/>
  <c r="AJ127" i="32" s="1"/>
  <c r="AK127" i="32" s="1"/>
  <c r="AL127" i="32" s="1"/>
  <c r="AM127" i="32" s="1"/>
  <c r="AN127" i="32" s="1"/>
  <c r="AO127" i="32" s="1"/>
  <c r="AP127" i="32" s="1"/>
  <c r="AC129" i="32"/>
  <c r="AE121" i="32"/>
  <c r="A271" i="12"/>
  <c r="A272" i="12"/>
  <c r="A273" i="12"/>
  <c r="A274" i="12"/>
  <c r="A275" i="12"/>
  <c r="A276" i="12"/>
  <c r="A280" i="12"/>
  <c r="A282" i="12"/>
  <c r="A283" i="12"/>
  <c r="A284" i="12"/>
  <c r="A285" i="12"/>
  <c r="A268" i="12"/>
  <c r="M72" i="24"/>
  <c r="L72" i="24"/>
  <c r="K72" i="24"/>
  <c r="J72" i="24"/>
  <c r="I72" i="24"/>
  <c r="H72" i="24"/>
  <c r="G72" i="24"/>
  <c r="F72" i="3"/>
  <c r="M72" i="3"/>
  <c r="L72" i="3"/>
  <c r="K72" i="3"/>
  <c r="J72" i="3"/>
  <c r="I72" i="3"/>
  <c r="H72" i="3"/>
  <c r="G72" i="3"/>
  <c r="I388" i="12"/>
  <c r="A345" i="12"/>
  <c r="A346" i="12"/>
  <c r="A357" i="12"/>
  <c r="A358" i="12"/>
  <c r="A359" i="12"/>
  <c r="A370" i="12"/>
  <c r="A371" i="12"/>
  <c r="A374" i="12"/>
  <c r="A375" i="12"/>
  <c r="A376" i="12"/>
  <c r="A378" i="12"/>
  <c r="A379" i="12"/>
  <c r="A380" i="12"/>
  <c r="A381" i="12"/>
  <c r="A382" i="12"/>
  <c r="A383" i="12"/>
  <c r="A385" i="12"/>
  <c r="A386" i="12"/>
  <c r="A387" i="12"/>
  <c r="A389" i="12"/>
  <c r="A390" i="12"/>
  <c r="A391" i="12"/>
  <c r="A392" i="12"/>
  <c r="A393" i="12"/>
  <c r="I377" i="12"/>
  <c r="A395" i="12"/>
  <c r="A396" i="12"/>
  <c r="A397" i="12"/>
  <c r="A398" i="12"/>
  <c r="A399" i="12"/>
  <c r="A400" i="12"/>
  <c r="M65" i="24"/>
  <c r="L65" i="24"/>
  <c r="K65" i="24"/>
  <c r="J65" i="24"/>
  <c r="I65" i="24"/>
  <c r="H65" i="24"/>
  <c r="G65" i="24"/>
  <c r="M65" i="3"/>
  <c r="L65" i="3"/>
  <c r="K65" i="3"/>
  <c r="J65" i="3"/>
  <c r="I65" i="3"/>
  <c r="H65" i="3"/>
  <c r="G65" i="3"/>
  <c r="F64" i="3"/>
  <c r="M64" i="24"/>
  <c r="L64" i="24"/>
  <c r="K64" i="24"/>
  <c r="J64" i="24"/>
  <c r="I64" i="24"/>
  <c r="H64" i="24"/>
  <c r="G64" i="24"/>
  <c r="F64" i="24"/>
  <c r="M64" i="3"/>
  <c r="L64" i="3"/>
  <c r="K64" i="3"/>
  <c r="J64" i="3"/>
  <c r="I64" i="3"/>
  <c r="H64" i="3"/>
  <c r="G64" i="3"/>
  <c r="F63" i="3"/>
  <c r="M63" i="24"/>
  <c r="L63" i="24"/>
  <c r="K63" i="24"/>
  <c r="J63" i="24"/>
  <c r="I63" i="24"/>
  <c r="H63" i="24"/>
  <c r="G63" i="24"/>
  <c r="F63" i="24"/>
  <c r="M63" i="3"/>
  <c r="L63" i="3"/>
  <c r="K63" i="3"/>
  <c r="J63" i="3"/>
  <c r="I63" i="3"/>
  <c r="H63" i="3"/>
  <c r="G63" i="3"/>
  <c r="F60" i="3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9" i="12"/>
  <c r="A310" i="12"/>
  <c r="A311" i="12"/>
  <c r="A312" i="12"/>
  <c r="A313" i="12"/>
  <c r="A314" i="12"/>
  <c r="A315" i="12"/>
  <c r="A316" i="12"/>
  <c r="A317" i="12"/>
  <c r="A260" i="12"/>
  <c r="A261" i="12"/>
  <c r="A262" i="12"/>
  <c r="A263" i="12"/>
  <c r="A286" i="12"/>
  <c r="A289" i="12"/>
  <c r="A290" i="12"/>
  <c r="A291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Y29" i="35" l="1"/>
  <c r="Y28" i="35" s="1"/>
  <c r="Y3" i="35" s="1"/>
  <c r="AD125" i="32"/>
  <c r="AC139" i="32"/>
  <c r="AF121" i="32"/>
  <c r="AD129" i="32"/>
  <c r="AE129" i="32" s="1"/>
  <c r="AF129" i="32" s="1"/>
  <c r="AQ127" i="32"/>
  <c r="Q139" i="32"/>
  <c r="R113" i="32"/>
  <c r="A388" i="12"/>
  <c r="A377" i="12"/>
  <c r="Z29" i="35" l="1"/>
  <c r="Z28" i="35" s="1"/>
  <c r="Z3" i="35" s="1"/>
  <c r="AF131" i="32"/>
  <c r="AG129" i="32"/>
  <c r="C153" i="32"/>
  <c r="C151" i="32"/>
  <c r="AE125" i="32"/>
  <c r="AD139" i="32"/>
  <c r="R139" i="32"/>
  <c r="S113" i="32"/>
  <c r="AG121" i="32"/>
  <c r="AR127" i="32"/>
  <c r="A270" i="12"/>
  <c r="F60" i="24"/>
  <c r="M60" i="24"/>
  <c r="L60" i="24"/>
  <c r="K60" i="24"/>
  <c r="J60" i="24"/>
  <c r="I60" i="24"/>
  <c r="H60" i="24"/>
  <c r="G60" i="24"/>
  <c r="A246" i="12"/>
  <c r="A245" i="12"/>
  <c r="A244" i="12"/>
  <c r="A243" i="12"/>
  <c r="A242" i="12"/>
  <c r="A241" i="12"/>
  <c r="A240" i="12"/>
  <c r="A239" i="12"/>
  <c r="A235" i="12"/>
  <c r="A222" i="12"/>
  <c r="A225" i="12"/>
  <c r="A226" i="12"/>
  <c r="A227" i="12"/>
  <c r="A228" i="12"/>
  <c r="A229" i="12"/>
  <c r="A230" i="12"/>
  <c r="A231" i="12"/>
  <c r="A232" i="12"/>
  <c r="A233" i="12"/>
  <c r="A234" i="12"/>
  <c r="A236" i="12"/>
  <c r="A238" i="12"/>
  <c r="A247" i="12"/>
  <c r="A248" i="12"/>
  <c r="A250" i="12"/>
  <c r="A251" i="12"/>
  <c r="M60" i="3"/>
  <c r="L60" i="3"/>
  <c r="K60" i="3"/>
  <c r="J60" i="3"/>
  <c r="I60" i="3"/>
  <c r="H60" i="3"/>
  <c r="G60" i="3"/>
  <c r="AA29" i="35" l="1"/>
  <c r="AA28" i="35" s="1"/>
  <c r="AA3" i="35" s="1"/>
  <c r="AF125" i="32"/>
  <c r="AE139" i="32"/>
  <c r="B127" i="32"/>
  <c r="AH121" i="32"/>
  <c r="AH129" i="32"/>
  <c r="AI129" i="32" s="1"/>
  <c r="AJ129" i="32" s="1"/>
  <c r="AK129" i="32" s="1"/>
  <c r="AL129" i="32" s="1"/>
  <c r="AM129" i="32" s="1"/>
  <c r="AN129" i="32" s="1"/>
  <c r="AO129" i="32" s="1"/>
  <c r="AP129" i="32" s="1"/>
  <c r="S139" i="32"/>
  <c r="T113" i="32"/>
  <c r="AG131" i="32"/>
  <c r="AH131" i="32" s="1"/>
  <c r="AI131" i="32" s="1"/>
  <c r="AB29" i="35" l="1"/>
  <c r="AB28" i="35" s="1"/>
  <c r="AB3" i="35" s="1"/>
  <c r="AQ129" i="32"/>
  <c r="AJ131" i="32"/>
  <c r="AI133" i="32"/>
  <c r="U113" i="32"/>
  <c r="T139" i="32"/>
  <c r="AG125" i="32"/>
  <c r="AF139" i="32"/>
  <c r="AI121" i="32"/>
  <c r="F17" i="21"/>
  <c r="F16" i="21"/>
  <c r="S14" i="21"/>
  <c r="R14" i="21" s="1"/>
  <c r="S13" i="21"/>
  <c r="J14" i="21"/>
  <c r="J13" i="21"/>
  <c r="H13" i="21"/>
  <c r="H14" i="21"/>
  <c r="K94" i="12"/>
  <c r="K106" i="12"/>
  <c r="K81" i="12"/>
  <c r="M56" i="24"/>
  <c r="L56" i="24"/>
  <c r="K56" i="24"/>
  <c r="J56" i="24"/>
  <c r="I56" i="24"/>
  <c r="H56" i="24"/>
  <c r="G56" i="24"/>
  <c r="F56" i="24"/>
  <c r="BP132" i="12"/>
  <c r="BQ132" i="12"/>
  <c r="BR132" i="12"/>
  <c r="BP133" i="12"/>
  <c r="BQ133" i="12"/>
  <c r="BR133" i="12"/>
  <c r="BP129" i="12"/>
  <c r="BQ129" i="12"/>
  <c r="BR129" i="12"/>
  <c r="BP130" i="12"/>
  <c r="BQ130" i="12"/>
  <c r="BR130" i="12"/>
  <c r="BM194" i="24"/>
  <c r="BL194" i="24"/>
  <c r="BK194" i="24"/>
  <c r="BJ194" i="24"/>
  <c r="BI194" i="24"/>
  <c r="BH194" i="24"/>
  <c r="BG194" i="24"/>
  <c r="BF194" i="24"/>
  <c r="BE194" i="24"/>
  <c r="BD194" i="24"/>
  <c r="BC194" i="24"/>
  <c r="BB194" i="24"/>
  <c r="BA194" i="24"/>
  <c r="AZ194" i="24"/>
  <c r="AY194" i="24"/>
  <c r="AX194" i="24"/>
  <c r="AW194" i="24"/>
  <c r="AV194" i="24"/>
  <c r="AU194" i="24"/>
  <c r="AT194" i="24"/>
  <c r="AS194" i="24"/>
  <c r="AR194" i="24"/>
  <c r="AQ194" i="24"/>
  <c r="AP194" i="24"/>
  <c r="AO194" i="24"/>
  <c r="AN194" i="24"/>
  <c r="AM194" i="24"/>
  <c r="AL194" i="24"/>
  <c r="AK194" i="24"/>
  <c r="AJ194" i="24"/>
  <c r="AI194" i="24"/>
  <c r="AH194" i="24"/>
  <c r="AG194" i="24"/>
  <c r="AF194" i="24"/>
  <c r="AE194" i="24"/>
  <c r="AD194" i="24"/>
  <c r="AC194" i="24"/>
  <c r="AB194" i="24"/>
  <c r="AA194" i="24"/>
  <c r="Z194" i="24"/>
  <c r="Y194" i="24"/>
  <c r="X194" i="24"/>
  <c r="W194" i="24"/>
  <c r="V194" i="24"/>
  <c r="U194" i="24"/>
  <c r="T194" i="24"/>
  <c r="S194" i="24"/>
  <c r="R194" i="24"/>
  <c r="Q194" i="24"/>
  <c r="P194" i="24"/>
  <c r="O194" i="24"/>
  <c r="O195" i="24" s="1"/>
  <c r="N194" i="24"/>
  <c r="M194" i="24"/>
  <c r="L194" i="24"/>
  <c r="K194" i="24"/>
  <c r="J194" i="24"/>
  <c r="I194" i="24"/>
  <c r="H194" i="24"/>
  <c r="G194" i="24"/>
  <c r="F194" i="24"/>
  <c r="BM194" i="3"/>
  <c r="BL194" i="3"/>
  <c r="BK194" i="3"/>
  <c r="BJ194" i="3"/>
  <c r="BI194" i="3"/>
  <c r="BH194" i="3"/>
  <c r="BG194" i="3"/>
  <c r="BF194" i="3"/>
  <c r="BE194" i="3"/>
  <c r="BD194" i="3"/>
  <c r="BC194" i="3"/>
  <c r="BB194" i="3"/>
  <c r="BA194" i="3"/>
  <c r="AZ194" i="3"/>
  <c r="AY194" i="3"/>
  <c r="AX194" i="3"/>
  <c r="AW194" i="3"/>
  <c r="AV194" i="3"/>
  <c r="AU194" i="3"/>
  <c r="AT194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W195" i="3" s="1"/>
  <c r="V194" i="3"/>
  <c r="V195" i="3" s="1"/>
  <c r="U194" i="3"/>
  <c r="U195" i="3" s="1"/>
  <c r="T194" i="3"/>
  <c r="S194" i="3"/>
  <c r="S195" i="3" s="1"/>
  <c r="R194" i="3"/>
  <c r="R195" i="3" s="1"/>
  <c r="Q194" i="3"/>
  <c r="Q195" i="3" s="1"/>
  <c r="P194" i="3"/>
  <c r="P195" i="3" s="1"/>
  <c r="O194" i="3"/>
  <c r="O195" i="3" s="1"/>
  <c r="N194" i="3"/>
  <c r="N195" i="3" s="1"/>
  <c r="M194" i="3"/>
  <c r="L194" i="3"/>
  <c r="K194" i="3"/>
  <c r="J194" i="3"/>
  <c r="I194" i="3"/>
  <c r="H194" i="3"/>
  <c r="G194" i="3"/>
  <c r="F194" i="3"/>
  <c r="I121" i="12"/>
  <c r="A121" i="12" s="1"/>
  <c r="I120" i="12"/>
  <c r="A120" i="12" s="1"/>
  <c r="I119" i="12"/>
  <c r="A119" i="12" s="1"/>
  <c r="I118" i="12"/>
  <c r="A118" i="12" s="1"/>
  <c r="A117" i="12"/>
  <c r="I116" i="12"/>
  <c r="A116" i="12" s="1"/>
  <c r="G52" i="24"/>
  <c r="H52" i="24"/>
  <c r="I52" i="24"/>
  <c r="J52" i="24"/>
  <c r="K52" i="24"/>
  <c r="L52" i="24"/>
  <c r="M52" i="24"/>
  <c r="F52" i="24"/>
  <c r="G51" i="24"/>
  <c r="H51" i="24"/>
  <c r="I51" i="24"/>
  <c r="J51" i="24"/>
  <c r="K51" i="24"/>
  <c r="L51" i="24"/>
  <c r="M51" i="24"/>
  <c r="F51" i="24"/>
  <c r="G55" i="24"/>
  <c r="H55" i="24"/>
  <c r="I55" i="24"/>
  <c r="J55" i="24"/>
  <c r="K55" i="24"/>
  <c r="L55" i="24"/>
  <c r="M55" i="24"/>
  <c r="F55" i="24"/>
  <c r="G55" i="3"/>
  <c r="H55" i="3"/>
  <c r="I55" i="3"/>
  <c r="J55" i="3"/>
  <c r="K55" i="3"/>
  <c r="L55" i="3"/>
  <c r="M55" i="3"/>
  <c r="F55" i="3"/>
  <c r="I99" i="12"/>
  <c r="I97" i="12"/>
  <c r="R13" i="21" l="1"/>
  <c r="AC29" i="35"/>
  <c r="AH125" i="32"/>
  <c r="AG139" i="32"/>
  <c r="U139" i="32"/>
  <c r="V113" i="32"/>
  <c r="AK131" i="32"/>
  <c r="AL131" i="32" s="1"/>
  <c r="AM131" i="32" s="1"/>
  <c r="AN131" i="32" s="1"/>
  <c r="AO131" i="32" s="1"/>
  <c r="AP131" i="32" s="1"/>
  <c r="AJ133" i="32"/>
  <c r="AK133" i="32" s="1"/>
  <c r="AL133" i="32" s="1"/>
  <c r="AM133" i="32" s="1"/>
  <c r="AN133" i="32" s="1"/>
  <c r="AO133" i="32" s="1"/>
  <c r="AP133" i="32" s="1"/>
  <c r="AQ133" i="32" s="1"/>
  <c r="AR133" i="32" s="1"/>
  <c r="AS133" i="32" s="1"/>
  <c r="AT133" i="32" s="1"/>
  <c r="AU133" i="32" s="1"/>
  <c r="AV133" i="32" s="1"/>
  <c r="AW133" i="32" s="1"/>
  <c r="AX133" i="32" s="1"/>
  <c r="AY133" i="32" s="1"/>
  <c r="AJ121" i="32"/>
  <c r="B121" i="32"/>
  <c r="AR129" i="32"/>
  <c r="P197" i="24"/>
  <c r="P196" i="24"/>
  <c r="U1" i="16"/>
  <c r="AC28" i="35" l="1"/>
  <c r="AZ133" i="32"/>
  <c r="AY139" i="32"/>
  <c r="AQ131" i="32"/>
  <c r="AP139" i="32"/>
  <c r="AS129" i="32"/>
  <c r="V139" i="32"/>
  <c r="W113" i="32"/>
  <c r="AK121" i="32"/>
  <c r="AI125" i="32"/>
  <c r="AH139" i="32"/>
  <c r="N81" i="12"/>
  <c r="O81" i="12"/>
  <c r="P81" i="12"/>
  <c r="Q81" i="12"/>
  <c r="R81" i="12"/>
  <c r="N123" i="12"/>
  <c r="O123" i="12"/>
  <c r="P123" i="12"/>
  <c r="Q123" i="12"/>
  <c r="R123" i="12"/>
  <c r="N128" i="12"/>
  <c r="O128" i="12"/>
  <c r="P128" i="12"/>
  <c r="Q128" i="12"/>
  <c r="R128" i="12"/>
  <c r="N37" i="12"/>
  <c r="O37" i="12"/>
  <c r="P37" i="12"/>
  <c r="Q37" i="12"/>
  <c r="R37" i="12"/>
  <c r="N41" i="12"/>
  <c r="O41" i="12"/>
  <c r="P41" i="12"/>
  <c r="Q41" i="12"/>
  <c r="R41" i="12"/>
  <c r="A151" i="16"/>
  <c r="B151" i="16"/>
  <c r="C151" i="16"/>
  <c r="A152" i="16"/>
  <c r="B152" i="16"/>
  <c r="C152" i="16"/>
  <c r="A153" i="16"/>
  <c r="B153" i="16"/>
  <c r="C153" i="16"/>
  <c r="A154" i="16"/>
  <c r="B154" i="16"/>
  <c r="C154" i="16"/>
  <c r="A155" i="16"/>
  <c r="B155" i="16"/>
  <c r="C155" i="16"/>
  <c r="A156" i="16"/>
  <c r="B156" i="16"/>
  <c r="C156" i="16"/>
  <c r="A157" i="16"/>
  <c r="B157" i="16"/>
  <c r="C157" i="16"/>
  <c r="A158" i="16"/>
  <c r="B158" i="16"/>
  <c r="C158" i="16"/>
  <c r="A159" i="16"/>
  <c r="B159" i="16"/>
  <c r="C159" i="16"/>
  <c r="A160" i="16"/>
  <c r="B160" i="16"/>
  <c r="C160" i="16"/>
  <c r="A161" i="16"/>
  <c r="B161" i="16"/>
  <c r="C161" i="16"/>
  <c r="A162" i="16"/>
  <c r="B162" i="16"/>
  <c r="C162" i="16"/>
  <c r="A163" i="16"/>
  <c r="B163" i="16"/>
  <c r="C163" i="16"/>
  <c r="A164" i="16"/>
  <c r="B164" i="16"/>
  <c r="C164" i="16"/>
  <c r="A165" i="16"/>
  <c r="B165" i="16"/>
  <c r="C165" i="16"/>
  <c r="A166" i="16"/>
  <c r="B166" i="16"/>
  <c r="C166" i="16"/>
  <c r="A167" i="16"/>
  <c r="B167" i="16"/>
  <c r="C167" i="16"/>
  <c r="A168" i="16"/>
  <c r="B168" i="16"/>
  <c r="C168" i="16"/>
  <c r="A169" i="16"/>
  <c r="B169" i="16"/>
  <c r="C169" i="16"/>
  <c r="A170" i="16"/>
  <c r="B170" i="16"/>
  <c r="C170" i="16"/>
  <c r="A171" i="16"/>
  <c r="B171" i="16"/>
  <c r="C171" i="16"/>
  <c r="A172" i="16"/>
  <c r="B172" i="16"/>
  <c r="C172" i="16"/>
  <c r="A173" i="16"/>
  <c r="B173" i="16"/>
  <c r="C173" i="16"/>
  <c r="A174" i="16"/>
  <c r="B174" i="16"/>
  <c r="C174" i="16"/>
  <c r="A175" i="16"/>
  <c r="B175" i="16"/>
  <c r="C175" i="16"/>
  <c r="A176" i="16"/>
  <c r="B176" i="16"/>
  <c r="C176" i="16"/>
  <c r="A177" i="16"/>
  <c r="B177" i="16"/>
  <c r="C177" i="16"/>
  <c r="A178" i="16"/>
  <c r="B178" i="16"/>
  <c r="C178" i="16"/>
  <c r="A179" i="16"/>
  <c r="B179" i="16"/>
  <c r="C179" i="16"/>
  <c r="A180" i="16"/>
  <c r="B180" i="16"/>
  <c r="C180" i="16"/>
  <c r="A181" i="16"/>
  <c r="B181" i="16"/>
  <c r="C181" i="16"/>
  <c r="A182" i="16"/>
  <c r="B182" i="16"/>
  <c r="C182" i="16"/>
  <c r="A183" i="16"/>
  <c r="B183" i="16"/>
  <c r="C183" i="16"/>
  <c r="A184" i="16"/>
  <c r="B184" i="16"/>
  <c r="C184" i="16"/>
  <c r="A185" i="16"/>
  <c r="B185" i="16"/>
  <c r="C185" i="16"/>
  <c r="A186" i="16"/>
  <c r="B186" i="16"/>
  <c r="C186" i="16"/>
  <c r="A187" i="16"/>
  <c r="B187" i="16"/>
  <c r="C187" i="16"/>
  <c r="A188" i="16"/>
  <c r="B188" i="16"/>
  <c r="C188" i="16"/>
  <c r="A189" i="16"/>
  <c r="B189" i="16"/>
  <c r="C189" i="16"/>
  <c r="A190" i="16"/>
  <c r="B190" i="16"/>
  <c r="C190" i="16"/>
  <c r="A191" i="16"/>
  <c r="B191" i="16"/>
  <c r="C191" i="16"/>
  <c r="A192" i="16"/>
  <c r="B192" i="16"/>
  <c r="C192" i="16"/>
  <c r="A193" i="16"/>
  <c r="B193" i="16"/>
  <c r="C193" i="16"/>
  <c r="A194" i="16"/>
  <c r="B194" i="16"/>
  <c r="C194" i="16"/>
  <c r="A195" i="16"/>
  <c r="B195" i="16"/>
  <c r="C195" i="16"/>
  <c r="A196" i="16"/>
  <c r="B196" i="16"/>
  <c r="C196" i="16"/>
  <c r="A197" i="16"/>
  <c r="B197" i="16"/>
  <c r="C197" i="16"/>
  <c r="A198" i="16"/>
  <c r="B198" i="16"/>
  <c r="C198" i="16"/>
  <c r="A199" i="16"/>
  <c r="B199" i="16"/>
  <c r="C199" i="16"/>
  <c r="BM126" i="29"/>
  <c r="BL126" i="29"/>
  <c r="BK126" i="29"/>
  <c r="BJ126" i="29"/>
  <c r="BI126" i="29"/>
  <c r="BH126" i="29"/>
  <c r="BG126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BM125" i="29"/>
  <c r="BL125" i="29"/>
  <c r="BK125" i="29"/>
  <c r="BJ125" i="29"/>
  <c r="BI125" i="29"/>
  <c r="BH125" i="29"/>
  <c r="BG125" i="29"/>
  <c r="BF125" i="29"/>
  <c r="BE125" i="29"/>
  <c r="BD125" i="29"/>
  <c r="BC125" i="29"/>
  <c r="BB125" i="29"/>
  <c r="BA125" i="29"/>
  <c r="AZ125" i="29"/>
  <c r="AY125" i="29"/>
  <c r="AX125" i="29"/>
  <c r="AW125" i="29"/>
  <c r="AV125" i="29"/>
  <c r="AU125" i="29"/>
  <c r="AT125" i="29"/>
  <c r="AS125" i="29"/>
  <c r="AR125" i="29"/>
  <c r="AQ125" i="29"/>
  <c r="AP125" i="29"/>
  <c r="AO125" i="29"/>
  <c r="AN125" i="29"/>
  <c r="AM125" i="29"/>
  <c r="AL125" i="29"/>
  <c r="AK125" i="29"/>
  <c r="AJ125" i="29"/>
  <c r="AI125" i="29"/>
  <c r="AH125" i="29"/>
  <c r="AG125" i="29"/>
  <c r="AF125" i="29"/>
  <c r="AE125" i="29"/>
  <c r="AD125" i="29"/>
  <c r="AC125" i="29"/>
  <c r="AB125" i="29"/>
  <c r="AA125" i="29"/>
  <c r="Z125" i="29"/>
  <c r="Y125" i="29"/>
  <c r="X125" i="29"/>
  <c r="W125" i="29"/>
  <c r="V125" i="29"/>
  <c r="U125" i="29"/>
  <c r="T125" i="29"/>
  <c r="S125" i="29"/>
  <c r="R125" i="29"/>
  <c r="Q125" i="29"/>
  <c r="P125" i="29"/>
  <c r="O125" i="29"/>
  <c r="N125" i="29"/>
  <c r="M125" i="29"/>
  <c r="L125" i="29"/>
  <c r="K125" i="29"/>
  <c r="J125" i="29"/>
  <c r="I125" i="29"/>
  <c r="H125" i="29"/>
  <c r="G125" i="29"/>
  <c r="F125" i="29"/>
  <c r="BM124" i="29"/>
  <c r="BL124" i="29"/>
  <c r="BK124" i="29"/>
  <c r="BJ124" i="29"/>
  <c r="BI124" i="29"/>
  <c r="BH124" i="29"/>
  <c r="BG124" i="29"/>
  <c r="BF124" i="29"/>
  <c r="BE124" i="29"/>
  <c r="BD124" i="29"/>
  <c r="BC124" i="29"/>
  <c r="BB124" i="29"/>
  <c r="BA124" i="29"/>
  <c r="AZ124" i="29"/>
  <c r="AY124" i="29"/>
  <c r="AX124" i="29"/>
  <c r="AW124" i="29"/>
  <c r="AV124" i="29"/>
  <c r="AU124" i="29"/>
  <c r="AT124" i="29"/>
  <c r="AS124" i="29"/>
  <c r="AR124" i="29"/>
  <c r="AQ124" i="29"/>
  <c r="AP124" i="29"/>
  <c r="AO124" i="29"/>
  <c r="AN124" i="29"/>
  <c r="AM124" i="29"/>
  <c r="AL124" i="29"/>
  <c r="AK124" i="29"/>
  <c r="AJ124" i="29"/>
  <c r="AI124" i="29"/>
  <c r="AH124" i="29"/>
  <c r="AG124" i="29"/>
  <c r="AF124" i="29"/>
  <c r="AE124" i="29"/>
  <c r="AD124" i="29"/>
  <c r="AC124" i="29"/>
  <c r="AB124" i="29"/>
  <c r="AA124" i="29"/>
  <c r="Z124" i="29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BM121" i="29"/>
  <c r="BL121" i="29"/>
  <c r="BK121" i="29"/>
  <c r="BJ121" i="29"/>
  <c r="BI121" i="29"/>
  <c r="BH121" i="29"/>
  <c r="BG121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BM116" i="29"/>
  <c r="BL116" i="29"/>
  <c r="BK116" i="29"/>
  <c r="BJ116" i="29"/>
  <c r="BI116" i="29"/>
  <c r="BH116" i="29"/>
  <c r="BG116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BM113" i="29"/>
  <c r="BL113" i="29"/>
  <c r="BK113" i="29"/>
  <c r="BJ113" i="29"/>
  <c r="BI113" i="29"/>
  <c r="BH113" i="29"/>
  <c r="BG113" i="29"/>
  <c r="BF113" i="29"/>
  <c r="BE113" i="29"/>
  <c r="BD113" i="29"/>
  <c r="BC113" i="29"/>
  <c r="BB113" i="29"/>
  <c r="BA113" i="29"/>
  <c r="AZ113" i="29"/>
  <c r="AY113" i="29"/>
  <c r="AX113" i="29"/>
  <c r="AW113" i="29"/>
  <c r="AV113" i="29"/>
  <c r="AU113" i="29"/>
  <c r="AT113" i="29"/>
  <c r="AS113" i="29"/>
  <c r="AR113" i="29"/>
  <c r="AQ113" i="29"/>
  <c r="AP113" i="29"/>
  <c r="AO113" i="29"/>
  <c r="AN113" i="29"/>
  <c r="AM113" i="29"/>
  <c r="AL113" i="29"/>
  <c r="AK113" i="29"/>
  <c r="AJ113" i="29"/>
  <c r="AI113" i="29"/>
  <c r="AH113" i="29"/>
  <c r="AG113" i="29"/>
  <c r="AF113" i="29"/>
  <c r="AE113" i="29"/>
  <c r="AD113" i="29"/>
  <c r="AC113" i="29"/>
  <c r="AB113" i="29"/>
  <c r="AA113" i="29"/>
  <c r="Z113" i="29"/>
  <c r="Y113" i="29"/>
  <c r="X113" i="29"/>
  <c r="W113" i="29"/>
  <c r="V113" i="29"/>
  <c r="U113" i="29"/>
  <c r="T113" i="29"/>
  <c r="S113" i="29"/>
  <c r="R113" i="29"/>
  <c r="Q113" i="29"/>
  <c r="P113" i="29"/>
  <c r="O113" i="29"/>
  <c r="N113" i="29"/>
  <c r="M113" i="29"/>
  <c r="L113" i="29"/>
  <c r="K113" i="29"/>
  <c r="J113" i="29"/>
  <c r="I113" i="29"/>
  <c r="H113" i="29"/>
  <c r="G113" i="29"/>
  <c r="F113" i="29"/>
  <c r="BM108" i="29"/>
  <c r="BL108" i="29"/>
  <c r="BK108" i="29"/>
  <c r="BJ108" i="29"/>
  <c r="BI108" i="29"/>
  <c r="BH108" i="29"/>
  <c r="BG108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BM105" i="29"/>
  <c r="BL105" i="29"/>
  <c r="BK105" i="29"/>
  <c r="BJ105" i="29"/>
  <c r="BI105" i="29"/>
  <c r="BH105" i="29"/>
  <c r="BG105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BM102" i="29"/>
  <c r="BL102" i="29"/>
  <c r="BK102" i="29"/>
  <c r="BJ102" i="29"/>
  <c r="BI102" i="29"/>
  <c r="BH102" i="29"/>
  <c r="BG102" i="29"/>
  <c r="BF102" i="29"/>
  <c r="BE102" i="29"/>
  <c r="BD102" i="29"/>
  <c r="BC102" i="29"/>
  <c r="BB102" i="29"/>
  <c r="BA102" i="29"/>
  <c r="AZ102" i="29"/>
  <c r="AY102" i="29"/>
  <c r="AX102" i="29"/>
  <c r="AW102" i="29"/>
  <c r="AV102" i="29"/>
  <c r="AU102" i="29"/>
  <c r="AT102" i="29"/>
  <c r="AS102" i="29"/>
  <c r="AR102" i="29"/>
  <c r="AQ102" i="29"/>
  <c r="AP102" i="29"/>
  <c r="AO102" i="29"/>
  <c r="AN102" i="29"/>
  <c r="AM102" i="29"/>
  <c r="AL102" i="29"/>
  <c r="AK102" i="29"/>
  <c r="AJ102" i="29"/>
  <c r="AI102" i="29"/>
  <c r="AH102" i="29"/>
  <c r="AG102" i="29"/>
  <c r="AF102" i="29"/>
  <c r="AE102" i="29"/>
  <c r="AD102" i="29"/>
  <c r="AC102" i="29"/>
  <c r="AB102" i="29"/>
  <c r="AA102" i="29"/>
  <c r="Z102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BM99" i="29"/>
  <c r="BL99" i="29"/>
  <c r="BK99" i="29"/>
  <c r="BJ99" i="29"/>
  <c r="BI99" i="29"/>
  <c r="BH99" i="29"/>
  <c r="BG99" i="29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BM88" i="29"/>
  <c r="BL88" i="29"/>
  <c r="BK88" i="29"/>
  <c r="BJ88" i="29"/>
  <c r="BI88" i="29"/>
  <c r="BH88" i="29"/>
  <c r="BG88" i="29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M89" i="29"/>
  <c r="L89" i="29"/>
  <c r="K89" i="29"/>
  <c r="J89" i="29"/>
  <c r="I89" i="29"/>
  <c r="H89" i="29"/>
  <c r="G89" i="29"/>
  <c r="F89" i="29"/>
  <c r="E66" i="29"/>
  <c r="E62" i="29"/>
  <c r="F64" i="29"/>
  <c r="F60" i="29"/>
  <c r="F46" i="24"/>
  <c r="F44" i="24"/>
  <c r="F61" i="29" s="1"/>
  <c r="F35" i="24"/>
  <c r="F9" i="3"/>
  <c r="F18" i="3" s="1"/>
  <c r="F10" i="3"/>
  <c r="F19" i="3" s="1"/>
  <c r="F28" i="3" s="1"/>
  <c r="F12" i="3"/>
  <c r="F14" i="3"/>
  <c r="F32" i="3" s="1"/>
  <c r="I18" i="12"/>
  <c r="A18" i="12" s="1"/>
  <c r="F55" i="29"/>
  <c r="E21" i="29"/>
  <c r="E17" i="29"/>
  <c r="AT4" i="29"/>
  <c r="AU4" i="29"/>
  <c r="AV4" i="29"/>
  <c r="AW4" i="29"/>
  <c r="AX4" i="29"/>
  <c r="AY4" i="29"/>
  <c r="AZ4" i="29"/>
  <c r="BA4" i="29"/>
  <c r="BB4" i="29"/>
  <c r="BC4" i="29"/>
  <c r="BD4" i="29"/>
  <c r="BE4" i="29"/>
  <c r="BF4" i="29"/>
  <c r="BG4" i="29"/>
  <c r="BH4" i="29"/>
  <c r="BI4" i="29"/>
  <c r="BJ4" i="29"/>
  <c r="BK4" i="29"/>
  <c r="BL4" i="29"/>
  <c r="BM4" i="29"/>
  <c r="R216" i="29"/>
  <c r="Q216" i="29"/>
  <c r="P216" i="29"/>
  <c r="O216" i="29"/>
  <c r="N216" i="29"/>
  <c r="M216" i="29"/>
  <c r="L216" i="29"/>
  <c r="K216" i="29"/>
  <c r="J216" i="29"/>
  <c r="I216" i="29"/>
  <c r="H216" i="29"/>
  <c r="G216" i="29"/>
  <c r="F216" i="29"/>
  <c r="R215" i="29"/>
  <c r="Q215" i="29"/>
  <c r="P215" i="29"/>
  <c r="O215" i="29"/>
  <c r="N215" i="29"/>
  <c r="M215" i="29"/>
  <c r="L215" i="29"/>
  <c r="K215" i="29"/>
  <c r="J215" i="29"/>
  <c r="I215" i="29"/>
  <c r="H215" i="29"/>
  <c r="G215" i="29"/>
  <c r="F215" i="29"/>
  <c r="R214" i="29"/>
  <c r="Q214" i="29"/>
  <c r="P214" i="29"/>
  <c r="O214" i="29"/>
  <c r="N214" i="29"/>
  <c r="M214" i="29"/>
  <c r="L214" i="29"/>
  <c r="K214" i="29"/>
  <c r="J214" i="29"/>
  <c r="I214" i="29"/>
  <c r="H214" i="29"/>
  <c r="G214" i="29"/>
  <c r="F214" i="29"/>
  <c r="S215" i="29"/>
  <c r="E171" i="29"/>
  <c r="E163" i="29"/>
  <c r="E155" i="29"/>
  <c r="E147" i="29"/>
  <c r="D138" i="29"/>
  <c r="D145" i="29" s="1"/>
  <c r="D137" i="29"/>
  <c r="D144" i="29" s="1"/>
  <c r="D136" i="29"/>
  <c r="D143" i="29" s="1"/>
  <c r="D135" i="29"/>
  <c r="D142" i="29" s="1"/>
  <c r="D134" i="29"/>
  <c r="D141" i="29" s="1"/>
  <c r="D133" i="29"/>
  <c r="D140" i="29" s="1"/>
  <c r="B87" i="29"/>
  <c r="B86" i="29"/>
  <c r="B85" i="29"/>
  <c r="B84" i="29"/>
  <c r="B89" i="29"/>
  <c r="B83" i="29"/>
  <c r="B82" i="29"/>
  <c r="BM51" i="29"/>
  <c r="BG51" i="29"/>
  <c r="BA51" i="29"/>
  <c r="AX51" i="29"/>
  <c r="AU51" i="29"/>
  <c r="AO51" i="29"/>
  <c r="AI51" i="29"/>
  <c r="AF51" i="29"/>
  <c r="AC51" i="29"/>
  <c r="Z51" i="29"/>
  <c r="W51" i="29"/>
  <c r="Q51" i="29"/>
  <c r="N51" i="29"/>
  <c r="K51" i="29"/>
  <c r="B21" i="29"/>
  <c r="B36" i="29" s="1"/>
  <c r="B51" i="29" s="1"/>
  <c r="B66" i="29" s="1"/>
  <c r="D154" i="29" s="1"/>
  <c r="D162" i="29" s="1"/>
  <c r="D170" i="29" s="1"/>
  <c r="D178" i="29" s="1"/>
  <c r="B18" i="29"/>
  <c r="B33" i="29" s="1"/>
  <c r="B48" i="29" s="1"/>
  <c r="B63" i="29" s="1"/>
  <c r="D153" i="29" s="1"/>
  <c r="D161" i="29" s="1"/>
  <c r="D169" i="29" s="1"/>
  <c r="D177" i="29" s="1"/>
  <c r="BK47" i="29"/>
  <c r="BH47" i="29"/>
  <c r="BE47" i="29"/>
  <c r="AY47" i="29"/>
  <c r="AV47" i="29"/>
  <c r="AJ47" i="29"/>
  <c r="AD47" i="29"/>
  <c r="X47" i="29"/>
  <c r="L47" i="29"/>
  <c r="B17" i="29"/>
  <c r="B32" i="29" s="1"/>
  <c r="B47" i="29" s="1"/>
  <c r="B62" i="29" s="1"/>
  <c r="D152" i="29" s="1"/>
  <c r="D160" i="29" s="1"/>
  <c r="D168" i="29" s="1"/>
  <c r="D176" i="29" s="1"/>
  <c r="B14" i="29"/>
  <c r="B29" i="29" s="1"/>
  <c r="B44" i="29" s="1"/>
  <c r="B59" i="29" s="1"/>
  <c r="D151" i="29" s="1"/>
  <c r="D159" i="29" s="1"/>
  <c r="D167" i="29" s="1"/>
  <c r="D175" i="29" s="1"/>
  <c r="B13" i="29"/>
  <c r="B28" i="29" s="1"/>
  <c r="B43" i="29" s="1"/>
  <c r="B58" i="29" s="1"/>
  <c r="D150" i="29" s="1"/>
  <c r="D158" i="29" s="1"/>
  <c r="D166" i="29" s="1"/>
  <c r="D174" i="29" s="1"/>
  <c r="B12" i="29"/>
  <c r="B27" i="29" s="1"/>
  <c r="B42" i="29" s="1"/>
  <c r="B57" i="29" s="1"/>
  <c r="D149" i="29" s="1"/>
  <c r="D157" i="29" s="1"/>
  <c r="D165" i="29" s="1"/>
  <c r="D173" i="29" s="1"/>
  <c r="B9" i="29"/>
  <c r="B24" i="29" s="1"/>
  <c r="B39" i="29" s="1"/>
  <c r="B54" i="29" s="1"/>
  <c r="D148" i="29" s="1"/>
  <c r="D156" i="29" s="1"/>
  <c r="D164" i="29" s="1"/>
  <c r="D172" i="29" s="1"/>
  <c r="F6" i="29"/>
  <c r="AC3" i="35" l="1"/>
  <c r="AR131" i="32"/>
  <c r="AQ139" i="32"/>
  <c r="AT129" i="32"/>
  <c r="AJ125" i="32"/>
  <c r="AI139" i="32"/>
  <c r="AL121" i="32"/>
  <c r="W139" i="32"/>
  <c r="B113" i="32"/>
  <c r="BA133" i="32"/>
  <c r="BA139" i="32" s="1"/>
  <c r="AZ139" i="32"/>
  <c r="B133" i="32"/>
  <c r="E105" i="29"/>
  <c r="E125" i="29"/>
  <c r="E88" i="29"/>
  <c r="E102" i="29"/>
  <c r="E108" i="29"/>
  <c r="E116" i="29"/>
  <c r="E124" i="29"/>
  <c r="E126" i="29"/>
  <c r="E99" i="29"/>
  <c r="E113" i="29"/>
  <c r="E121" i="29"/>
  <c r="F59" i="29"/>
  <c r="F27" i="3"/>
  <c r="F21" i="3"/>
  <c r="F30" i="3" s="1"/>
  <c r="T51" i="29"/>
  <c r="BB47" i="29"/>
  <c r="R47" i="29"/>
  <c r="AL51" i="29"/>
  <c r="AP47" i="29"/>
  <c r="H51" i="29"/>
  <c r="BD51" i="29"/>
  <c r="AR51" i="29"/>
  <c r="AA42" i="29"/>
  <c r="U47" i="29"/>
  <c r="F47" i="29"/>
  <c r="BJ51" i="29"/>
  <c r="AK43" i="29"/>
  <c r="BK42" i="29"/>
  <c r="R42" i="29"/>
  <c r="BB42" i="29"/>
  <c r="L42" i="29"/>
  <c r="AV42" i="29"/>
  <c r="AH43" i="29"/>
  <c r="G42" i="29"/>
  <c r="M42" i="29"/>
  <c r="S42" i="29"/>
  <c r="Y42" i="29"/>
  <c r="AE42" i="29"/>
  <c r="AK42" i="29"/>
  <c r="AQ42" i="29"/>
  <c r="AW42" i="29"/>
  <c r="BC42" i="29"/>
  <c r="BI42" i="29"/>
  <c r="K43" i="29"/>
  <c r="Q43" i="29"/>
  <c r="W43" i="29"/>
  <c r="AC43" i="29"/>
  <c r="AI43" i="29"/>
  <c r="AO43" i="29"/>
  <c r="AU43" i="29"/>
  <c r="BA43" i="29"/>
  <c r="BG43" i="29"/>
  <c r="BM43" i="29"/>
  <c r="G47" i="29"/>
  <c r="M47" i="29"/>
  <c r="S47" i="29"/>
  <c r="Y47" i="29"/>
  <c r="AE47" i="29"/>
  <c r="AK47" i="29"/>
  <c r="AQ47" i="29"/>
  <c r="AW47" i="29"/>
  <c r="BC47" i="29"/>
  <c r="BI47" i="29"/>
  <c r="J51" i="29"/>
  <c r="P51" i="29"/>
  <c r="V51" i="29"/>
  <c r="AB51" i="29"/>
  <c r="AH51" i="29"/>
  <c r="AN51" i="29"/>
  <c r="AT51" i="29"/>
  <c r="AZ51" i="29"/>
  <c r="BF51" i="29"/>
  <c r="BL51" i="29"/>
  <c r="BL43" i="29"/>
  <c r="T42" i="29"/>
  <c r="AL42" i="29"/>
  <c r="BD42" i="29"/>
  <c r="L43" i="29"/>
  <c r="AD43" i="29"/>
  <c r="AV43" i="29"/>
  <c r="N47" i="29"/>
  <c r="AF47" i="29"/>
  <c r="AX47" i="29"/>
  <c r="AD42" i="29"/>
  <c r="AM42" i="29"/>
  <c r="M43" i="29"/>
  <c r="AN43" i="29"/>
  <c r="AW43" i="29"/>
  <c r="BF43" i="29"/>
  <c r="AG47" i="29"/>
  <c r="I51" i="29"/>
  <c r="AS51" i="29"/>
  <c r="BK51" i="29"/>
  <c r="AB43" i="29"/>
  <c r="G6" i="29"/>
  <c r="F51" i="29"/>
  <c r="R51" i="29"/>
  <c r="X51" i="29"/>
  <c r="AJ51" i="29"/>
  <c r="AP51" i="29"/>
  <c r="BB51" i="29"/>
  <c r="BH51" i="29"/>
  <c r="N42" i="29"/>
  <c r="AF42" i="29"/>
  <c r="AX42" i="29"/>
  <c r="F43" i="29"/>
  <c r="X43" i="29"/>
  <c r="AP43" i="29"/>
  <c r="BH43" i="29"/>
  <c r="H47" i="29"/>
  <c r="Z47" i="29"/>
  <c r="AR47" i="29"/>
  <c r="BJ47" i="29"/>
  <c r="AZ43" i="29"/>
  <c r="AA51" i="29"/>
  <c r="P42" i="29"/>
  <c r="AB42" i="29"/>
  <c r="AN42" i="29"/>
  <c r="AZ42" i="29"/>
  <c r="BL42" i="29"/>
  <c r="N43" i="29"/>
  <c r="T43" i="29"/>
  <c r="AF43" i="29"/>
  <c r="AL43" i="29"/>
  <c r="AR43" i="29"/>
  <c r="AX43" i="29"/>
  <c r="BD43" i="29"/>
  <c r="J47" i="29"/>
  <c r="P47" i="29"/>
  <c r="V47" i="29"/>
  <c r="AB47" i="29"/>
  <c r="AH47" i="29"/>
  <c r="AN47" i="29"/>
  <c r="AT47" i="29"/>
  <c r="AZ47" i="29"/>
  <c r="BF47" i="29"/>
  <c r="BL47" i="29"/>
  <c r="G51" i="29"/>
  <c r="M51" i="29"/>
  <c r="S51" i="29"/>
  <c r="Y51" i="29"/>
  <c r="AE51" i="29"/>
  <c r="AK51" i="29"/>
  <c r="AQ51" i="29"/>
  <c r="AW51" i="29"/>
  <c r="BC51" i="29"/>
  <c r="BI51" i="29"/>
  <c r="F42" i="29"/>
  <c r="O42" i="29"/>
  <c r="X42" i="29"/>
  <c r="AP42" i="29"/>
  <c r="AY42" i="29"/>
  <c r="BH42" i="29"/>
  <c r="G43" i="29"/>
  <c r="P43" i="29"/>
  <c r="Y43" i="29"/>
  <c r="AQ43" i="29"/>
  <c r="BI43" i="29"/>
  <c r="I47" i="29"/>
  <c r="AA47" i="29"/>
  <c r="AS47" i="29"/>
  <c r="L51" i="29"/>
  <c r="U51" i="29"/>
  <c r="AD51" i="29"/>
  <c r="AM51" i="29"/>
  <c r="AV51" i="29"/>
  <c r="BE51" i="29"/>
  <c r="AJ42" i="29"/>
  <c r="J43" i="29"/>
  <c r="AT43" i="29"/>
  <c r="F7" i="29"/>
  <c r="J42" i="29"/>
  <c r="AH42" i="29"/>
  <c r="AT42" i="29"/>
  <c r="BF42" i="29"/>
  <c r="H43" i="29"/>
  <c r="Z43" i="29"/>
  <c r="BJ43" i="29"/>
  <c r="K42" i="29"/>
  <c r="W42" i="29"/>
  <c r="AC42" i="29"/>
  <c r="AO42" i="29"/>
  <c r="AU42" i="29"/>
  <c r="BG42" i="29"/>
  <c r="BM42" i="29"/>
  <c r="O43" i="29"/>
  <c r="U43" i="29"/>
  <c r="AG43" i="29"/>
  <c r="AM43" i="29"/>
  <c r="AY43" i="29"/>
  <c r="BE43" i="29"/>
  <c r="Q47" i="29"/>
  <c r="W47" i="29"/>
  <c r="AI47" i="29"/>
  <c r="AO47" i="29"/>
  <c r="BA47" i="29"/>
  <c r="BG47" i="29"/>
  <c r="H42" i="29"/>
  <c r="Q42" i="29"/>
  <c r="Z42" i="29"/>
  <c r="AI42" i="29"/>
  <c r="AR42" i="29"/>
  <c r="BA42" i="29"/>
  <c r="BJ42" i="29"/>
  <c r="I43" i="29"/>
  <c r="R43" i="29"/>
  <c r="AA43" i="29"/>
  <c r="AJ43" i="29"/>
  <c r="AS43" i="29"/>
  <c r="BB43" i="29"/>
  <c r="BK43" i="29"/>
  <c r="K47" i="29"/>
  <c r="T47" i="29"/>
  <c r="AC47" i="29"/>
  <c r="AL47" i="29"/>
  <c r="AU47" i="29"/>
  <c r="BD47" i="29"/>
  <c r="BM47" i="29"/>
  <c r="I42" i="29"/>
  <c r="U42" i="29"/>
  <c r="AG42" i="29"/>
  <c r="AS42" i="29"/>
  <c r="BE42" i="29"/>
  <c r="S43" i="29"/>
  <c r="AE43" i="29"/>
  <c r="BC43" i="29"/>
  <c r="O47" i="29"/>
  <c r="AM47" i="29"/>
  <c r="O51" i="29"/>
  <c r="AG51" i="29"/>
  <c r="AY51" i="29"/>
  <c r="S214" i="29"/>
  <c r="S216" i="29"/>
  <c r="F207" i="29" l="1"/>
  <c r="C1" i="35"/>
  <c r="AY273" i="35"/>
  <c r="AK125" i="32"/>
  <c r="AJ139" i="32"/>
  <c r="C157" i="32"/>
  <c r="B139" i="32"/>
  <c r="AS131" i="32"/>
  <c r="AR139" i="32"/>
  <c r="B129" i="32"/>
  <c r="E51" i="29"/>
  <c r="E36" i="29" s="1"/>
  <c r="E47" i="29"/>
  <c r="E32" i="29" s="1"/>
  <c r="G57" i="29"/>
  <c r="H6" i="29"/>
  <c r="G7" i="29"/>
  <c r="T214" i="29"/>
  <c r="T216" i="29"/>
  <c r="T215" i="29"/>
  <c r="G58" i="29"/>
  <c r="G207" i="29" l="1"/>
  <c r="D1" i="35"/>
  <c r="AT131" i="32"/>
  <c r="AS139" i="32"/>
  <c r="AL125" i="32"/>
  <c r="AK139" i="32"/>
  <c r="H57" i="29"/>
  <c r="H58" i="29"/>
  <c r="U215" i="29"/>
  <c r="U214" i="29"/>
  <c r="U216" i="29"/>
  <c r="I6" i="29"/>
  <c r="H7" i="29"/>
  <c r="H207" i="29" l="1"/>
  <c r="E1" i="35"/>
  <c r="AM125" i="32"/>
  <c r="AL139" i="32"/>
  <c r="AU131" i="32"/>
  <c r="AT139" i="32"/>
  <c r="I58" i="29"/>
  <c r="J58" i="29" s="1"/>
  <c r="K58" i="29" s="1"/>
  <c r="I7" i="29"/>
  <c r="J6" i="29"/>
  <c r="I57" i="29"/>
  <c r="V216" i="29"/>
  <c r="V214" i="29"/>
  <c r="V215" i="29"/>
  <c r="I207" i="29" l="1"/>
  <c r="F1" i="35"/>
  <c r="AV131" i="32"/>
  <c r="AU139" i="32"/>
  <c r="AN125" i="32"/>
  <c r="AM139" i="32"/>
  <c r="W216" i="29"/>
  <c r="W215" i="29"/>
  <c r="W214" i="29"/>
  <c r="L58" i="29"/>
  <c r="J57" i="29"/>
  <c r="K6" i="29"/>
  <c r="J7" i="29"/>
  <c r="J207" i="29" l="1"/>
  <c r="G1" i="35"/>
  <c r="AO125" i="32"/>
  <c r="AN139" i="32"/>
  <c r="AW131" i="32"/>
  <c r="AV139" i="32"/>
  <c r="M58" i="29"/>
  <c r="L6" i="29"/>
  <c r="K7" i="29"/>
  <c r="K57" i="29"/>
  <c r="X216" i="29"/>
  <c r="X215" i="29"/>
  <c r="X214" i="29"/>
  <c r="K207" i="29" l="1"/>
  <c r="H1" i="35"/>
  <c r="AX131" i="32"/>
  <c r="AW139" i="32"/>
  <c r="AO139" i="32"/>
  <c r="B125" i="32"/>
  <c r="N58" i="29"/>
  <c r="O58" i="29" s="1"/>
  <c r="P58" i="29" s="1"/>
  <c r="Q58" i="29" s="1"/>
  <c r="R58" i="29" s="1"/>
  <c r="Y215" i="29"/>
  <c r="Y216" i="29"/>
  <c r="Y214" i="29"/>
  <c r="M6" i="29"/>
  <c r="L7" i="29"/>
  <c r="L57" i="29"/>
  <c r="M57" i="29" s="1"/>
  <c r="L207" i="29" l="1"/>
  <c r="I1" i="35"/>
  <c r="AX139" i="32"/>
  <c r="B131" i="32"/>
  <c r="S58" i="29"/>
  <c r="T58" i="29" s="1"/>
  <c r="U58" i="29" s="1"/>
  <c r="N57" i="29"/>
  <c r="O57" i="29" s="1"/>
  <c r="P57" i="29" s="1"/>
  <c r="Q57" i="29" s="1"/>
  <c r="R57" i="29" s="1"/>
  <c r="S57" i="29" s="1"/>
  <c r="T57" i="29" s="1"/>
  <c r="U57" i="29" s="1"/>
  <c r="N6" i="29"/>
  <c r="M7" i="29"/>
  <c r="Z216" i="29"/>
  <c r="Z214" i="29"/>
  <c r="Z215" i="29"/>
  <c r="M207" i="29" l="1"/>
  <c r="J1" i="35"/>
  <c r="AA215" i="29"/>
  <c r="AA216" i="29"/>
  <c r="AA214" i="29"/>
  <c r="O6" i="29"/>
  <c r="N7" i="29"/>
  <c r="N207" i="29" l="1"/>
  <c r="K1" i="35"/>
  <c r="O7" i="29"/>
  <c r="P6" i="29"/>
  <c r="AB216" i="29"/>
  <c r="AB215" i="29"/>
  <c r="AB214" i="29"/>
  <c r="O207" i="29" l="1"/>
  <c r="L1" i="35"/>
  <c r="P7" i="29"/>
  <c r="Q6" i="29"/>
  <c r="AC216" i="29"/>
  <c r="AC215" i="29"/>
  <c r="AC214" i="29"/>
  <c r="P207" i="29" l="1"/>
  <c r="M1" i="35"/>
  <c r="AD216" i="29"/>
  <c r="AD215" i="29"/>
  <c r="AD214" i="29"/>
  <c r="R6" i="29"/>
  <c r="Q7" i="29"/>
  <c r="Q207" i="29" l="1"/>
  <c r="N1" i="35"/>
  <c r="S6" i="29"/>
  <c r="R7" i="29"/>
  <c r="AE215" i="29"/>
  <c r="AE216" i="29"/>
  <c r="AE214" i="29"/>
  <c r="R207" i="29" l="1"/>
  <c r="O1" i="35"/>
  <c r="AF216" i="29"/>
  <c r="AF214" i="29"/>
  <c r="AF215" i="29"/>
  <c r="S7" i="29"/>
  <c r="T6" i="29"/>
  <c r="S207" i="29" l="1"/>
  <c r="P1" i="35"/>
  <c r="U6" i="29"/>
  <c r="T7" i="29"/>
  <c r="AG214" i="29"/>
  <c r="AG216" i="29"/>
  <c r="AG215" i="29"/>
  <c r="T207" i="29" l="1"/>
  <c r="Q1" i="35"/>
  <c r="AH216" i="29"/>
  <c r="AH214" i="29"/>
  <c r="AH215" i="29"/>
  <c r="U7" i="29"/>
  <c r="V6" i="29"/>
  <c r="U207" i="29" l="1"/>
  <c r="R1" i="35"/>
  <c r="V7" i="29"/>
  <c r="W6" i="29"/>
  <c r="AI216" i="29"/>
  <c r="AI215" i="29"/>
  <c r="AI214" i="29"/>
  <c r="V207" i="29" l="1"/>
  <c r="S1" i="35"/>
  <c r="X6" i="29"/>
  <c r="W7" i="29"/>
  <c r="AJ216" i="29"/>
  <c r="AJ215" i="29"/>
  <c r="AJ214" i="29"/>
  <c r="W207" i="29" l="1"/>
  <c r="T1" i="35"/>
  <c r="AK215" i="29"/>
  <c r="AK214" i="29"/>
  <c r="AK216" i="29"/>
  <c r="Y6" i="29"/>
  <c r="X7" i="29"/>
  <c r="X207" i="29" l="1"/>
  <c r="U1" i="35"/>
  <c r="Z6" i="29"/>
  <c r="Y7" i="29"/>
  <c r="AL215" i="29"/>
  <c r="AL216" i="29"/>
  <c r="AL214" i="29"/>
  <c r="Y207" i="29" l="1"/>
  <c r="V1" i="35"/>
  <c r="AM215" i="29"/>
  <c r="AM216" i="29"/>
  <c r="AM214" i="29"/>
  <c r="AA6" i="29"/>
  <c r="Z7" i="29"/>
  <c r="Z207" i="29" l="1"/>
  <c r="W1" i="35"/>
  <c r="AN216" i="29"/>
  <c r="AN214" i="29"/>
  <c r="AN215" i="29"/>
  <c r="AA7" i="29"/>
  <c r="AB6" i="29"/>
  <c r="AA207" i="29" l="1"/>
  <c r="X1" i="35"/>
  <c r="AO216" i="29"/>
  <c r="AO215" i="29"/>
  <c r="AO214" i="29"/>
  <c r="AB7" i="29"/>
  <c r="AC6" i="29"/>
  <c r="AB207" i="29" l="1"/>
  <c r="Y1" i="35"/>
  <c r="AD6" i="29"/>
  <c r="AC7" i="29"/>
  <c r="AP216" i="29"/>
  <c r="AP215" i="29"/>
  <c r="AP214" i="29"/>
  <c r="AC207" i="29" l="1"/>
  <c r="Z1" i="35"/>
  <c r="AQ216" i="29"/>
  <c r="AQ215" i="29"/>
  <c r="AQ214" i="29"/>
  <c r="AE6" i="29"/>
  <c r="AD7" i="29"/>
  <c r="AD207" i="29" l="1"/>
  <c r="AA1" i="35"/>
  <c r="AF6" i="29"/>
  <c r="AE7" i="29"/>
  <c r="AR216" i="29"/>
  <c r="AR214" i="29"/>
  <c r="AR215" i="29"/>
  <c r="AE207" i="29" l="1"/>
  <c r="AB1" i="35"/>
  <c r="AS215" i="29"/>
  <c r="AS216" i="29"/>
  <c r="AS214" i="29"/>
  <c r="AG6" i="29"/>
  <c r="AF7" i="29"/>
  <c r="AF207" i="29" l="1"/>
  <c r="AC1" i="35"/>
  <c r="AG7" i="29"/>
  <c r="AH6" i="29"/>
  <c r="AT214" i="29"/>
  <c r="AT216" i="29"/>
  <c r="AT215" i="29"/>
  <c r="AG207" i="29" l="1"/>
  <c r="AD1" i="35"/>
  <c r="AU216" i="29"/>
  <c r="AU215" i="29"/>
  <c r="AU214" i="29"/>
  <c r="AH7" i="29"/>
  <c r="AI6" i="29"/>
  <c r="AH207" i="29" l="1"/>
  <c r="AE1" i="35"/>
  <c r="AV216" i="29"/>
  <c r="AV215" i="29"/>
  <c r="AV214" i="29"/>
  <c r="AJ6" i="29"/>
  <c r="AI7" i="29"/>
  <c r="AI207" i="29" l="1"/>
  <c r="AF1" i="35"/>
  <c r="AK6" i="29"/>
  <c r="AJ7" i="29"/>
  <c r="AW215" i="29"/>
  <c r="AW214" i="29"/>
  <c r="AW216" i="29"/>
  <c r="AJ207" i="29" l="1"/>
  <c r="AG1" i="35"/>
  <c r="AL6" i="29"/>
  <c r="AK7" i="29"/>
  <c r="AX216" i="29"/>
  <c r="AX214" i="29"/>
  <c r="AX215" i="29"/>
  <c r="AK207" i="29" l="1"/>
  <c r="AH1" i="35"/>
  <c r="AM6" i="29"/>
  <c r="AL7" i="29"/>
  <c r="AY215" i="29"/>
  <c r="AY216" i="29"/>
  <c r="AY214" i="29"/>
  <c r="AL207" i="29" l="1"/>
  <c r="AI1" i="35"/>
  <c r="AM7" i="29"/>
  <c r="AN6" i="29"/>
  <c r="AZ216" i="29"/>
  <c r="AZ214" i="29"/>
  <c r="AZ215" i="29"/>
  <c r="AM207" i="29" l="1"/>
  <c r="AJ1" i="35"/>
  <c r="BA216" i="29"/>
  <c r="BA215" i="29"/>
  <c r="BA214" i="29"/>
  <c r="AN7" i="29"/>
  <c r="AO6" i="29"/>
  <c r="AN207" i="29" l="1"/>
  <c r="AK1" i="35"/>
  <c r="BB216" i="29"/>
  <c r="BB215" i="29"/>
  <c r="BB214" i="29"/>
  <c r="AP6" i="29"/>
  <c r="AO7" i="29"/>
  <c r="AO207" i="29" l="1"/>
  <c r="AL1" i="35"/>
  <c r="AQ6" i="29"/>
  <c r="AP7" i="29"/>
  <c r="BC215" i="29"/>
  <c r="BC216" i="29"/>
  <c r="BC214" i="29"/>
  <c r="AP207" i="29" l="1"/>
  <c r="AM1" i="35"/>
  <c r="BD216" i="29"/>
  <c r="BD215" i="29"/>
  <c r="BD214" i="29"/>
  <c r="AR6" i="29"/>
  <c r="AQ7" i="29"/>
  <c r="AQ207" i="29" l="1"/>
  <c r="AN1" i="35"/>
  <c r="BE215" i="29"/>
  <c r="BE216" i="29"/>
  <c r="BE214" i="29"/>
  <c r="AS6" i="29"/>
  <c r="AR7" i="29"/>
  <c r="AR207" i="29" l="1"/>
  <c r="AO1" i="35"/>
  <c r="BF216" i="29"/>
  <c r="BF214" i="29"/>
  <c r="BF215" i="29"/>
  <c r="AS7" i="29"/>
  <c r="AT6" i="29"/>
  <c r="AS207" i="29" l="1"/>
  <c r="AP1" i="35"/>
  <c r="BG216" i="29"/>
  <c r="BG215" i="29"/>
  <c r="BG214" i="29"/>
  <c r="AU6" i="29"/>
  <c r="AT7" i="29"/>
  <c r="AT207" i="29" l="1"/>
  <c r="AQ1" i="35"/>
  <c r="BH216" i="29"/>
  <c r="BH215" i="29"/>
  <c r="BH214" i="29"/>
  <c r="AV6" i="29"/>
  <c r="AU7" i="29"/>
  <c r="AU207" i="29" l="1"/>
  <c r="AR1" i="35"/>
  <c r="BI214" i="29"/>
  <c r="BI216" i="29"/>
  <c r="BI215" i="29"/>
  <c r="AV7" i="29"/>
  <c r="AW6" i="29"/>
  <c r="AV207" i="29" l="1"/>
  <c r="AS1" i="35"/>
  <c r="BJ216" i="29"/>
  <c r="BJ214" i="29"/>
  <c r="BJ215" i="29"/>
  <c r="AX6" i="29"/>
  <c r="AW7" i="29"/>
  <c r="AW207" i="29" l="1"/>
  <c r="AT1" i="35"/>
  <c r="AY6" i="29"/>
  <c r="AX7" i="29"/>
  <c r="BK215" i="29"/>
  <c r="BK214" i="29"/>
  <c r="BK216" i="29"/>
  <c r="AX207" i="29" l="1"/>
  <c r="AU1" i="35"/>
  <c r="BL215" i="29"/>
  <c r="BL216" i="29"/>
  <c r="BL214" i="29"/>
  <c r="AY7" i="29"/>
  <c r="AZ6" i="29"/>
  <c r="AY207" i="29" l="1"/>
  <c r="AV1" i="35"/>
  <c r="BM216" i="29"/>
  <c r="BM215" i="29"/>
  <c r="BM214" i="29"/>
  <c r="AZ7" i="29"/>
  <c r="BA6" i="29"/>
  <c r="AZ207" i="29" l="1"/>
  <c r="AW1" i="35"/>
  <c r="BB6" i="29"/>
  <c r="BA7" i="29"/>
  <c r="BA207" i="29" s="1"/>
  <c r="BC6" i="29" l="1"/>
  <c r="BB7" i="29"/>
  <c r="BB207" i="29" s="1"/>
  <c r="BD6" i="29" l="1"/>
  <c r="BC7" i="29"/>
  <c r="BC207" i="29" s="1"/>
  <c r="BE6" i="29" l="1"/>
  <c r="BD7" i="29"/>
  <c r="BD207" i="29" s="1"/>
  <c r="BE7" i="29" l="1"/>
  <c r="BE207" i="29" s="1"/>
  <c r="BF6" i="29"/>
  <c r="BF7" i="29" l="1"/>
  <c r="BF207" i="29" s="1"/>
  <c r="BG6" i="29"/>
  <c r="BH6" i="29" l="1"/>
  <c r="BG7" i="29"/>
  <c r="BG207" i="29" s="1"/>
  <c r="BI6" i="29" l="1"/>
  <c r="BH7" i="29"/>
  <c r="BH207" i="29" s="1"/>
  <c r="BJ6" i="29" l="1"/>
  <c r="BI7" i="29"/>
  <c r="BI207" i="29" s="1"/>
  <c r="BK6" i="29" l="1"/>
  <c r="BJ7" i="29"/>
  <c r="BJ207" i="29" s="1"/>
  <c r="BK7" i="29" l="1"/>
  <c r="BK207" i="29" s="1"/>
  <c r="BL6" i="29"/>
  <c r="BL7" i="29" l="1"/>
  <c r="BL207" i="29" s="1"/>
  <c r="BM6" i="29"/>
  <c r="BM7" i="29" l="1"/>
  <c r="BM207" i="29" s="1"/>
  <c r="F51" i="3" l="1"/>
  <c r="F70" i="29" s="1"/>
  <c r="F52" i="3"/>
  <c r="F71" i="29" s="1"/>
  <c r="F8" i="3"/>
  <c r="F10" i="29" s="1"/>
  <c r="F11" i="3"/>
  <c r="F15" i="29" s="1"/>
  <c r="F13" i="3"/>
  <c r="F19" i="29" s="1"/>
  <c r="F56" i="29"/>
  <c r="F54" i="29" s="1"/>
  <c r="F8" i="24"/>
  <c r="F11" i="29" s="1"/>
  <c r="F9" i="24"/>
  <c r="F18" i="24" s="1"/>
  <c r="F27" i="24" s="1"/>
  <c r="F10" i="24"/>
  <c r="F19" i="24" s="1"/>
  <c r="F28" i="24" s="1"/>
  <c r="F11" i="24"/>
  <c r="F16" i="29" s="1"/>
  <c r="F12" i="24"/>
  <c r="F21" i="24" s="1"/>
  <c r="F30" i="24" s="1"/>
  <c r="F13" i="24"/>
  <c r="F20" i="29" s="1"/>
  <c r="F29" i="23"/>
  <c r="G13" i="23"/>
  <c r="G14" i="23"/>
  <c r="K67" i="25"/>
  <c r="H80" i="25" s="1"/>
  <c r="P22" i="21"/>
  <c r="P24" i="21" s="1"/>
  <c r="C25" i="21"/>
  <c r="P48" i="23"/>
  <c r="C70" i="25" s="1"/>
  <c r="P48" i="1"/>
  <c r="AS83" i="25"/>
  <c r="E83" i="25"/>
  <c r="I80" i="25"/>
  <c r="AP69" i="25"/>
  <c r="AP62" i="25"/>
  <c r="AP85" i="25" s="1"/>
  <c r="AO62" i="25"/>
  <c r="AO68" i="25" s="1"/>
  <c r="B52" i="25"/>
  <c r="F38" i="25"/>
  <c r="B20" i="25"/>
  <c r="BM12" i="25"/>
  <c r="BL12" i="25"/>
  <c r="BK12" i="25"/>
  <c r="BM11" i="25"/>
  <c r="BL11" i="25"/>
  <c r="BK11" i="25"/>
  <c r="BJ11" i="25"/>
  <c r="BI11" i="25"/>
  <c r="BH11" i="25"/>
  <c r="BG11" i="25"/>
  <c r="BF11" i="25"/>
  <c r="BE11" i="25"/>
  <c r="BD11" i="25"/>
  <c r="BC11" i="25"/>
  <c r="BB11" i="25"/>
  <c r="BA11" i="25"/>
  <c r="AZ11" i="25"/>
  <c r="AY11" i="25"/>
  <c r="AX11" i="25"/>
  <c r="AW11" i="25"/>
  <c r="AV11" i="25"/>
  <c r="AU11" i="25"/>
  <c r="AT11" i="25"/>
  <c r="AS11" i="25"/>
  <c r="AR11" i="25"/>
  <c r="AQ11" i="25"/>
  <c r="AP11" i="25"/>
  <c r="AO11" i="25"/>
  <c r="AN11" i="25"/>
  <c r="AM11" i="25"/>
  <c r="AL11" i="25"/>
  <c r="AK11" i="25"/>
  <c r="AJ11" i="25"/>
  <c r="AI11" i="25"/>
  <c r="AH11" i="25"/>
  <c r="AG11" i="25"/>
  <c r="AF11" i="25"/>
  <c r="AE11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B11" i="25"/>
  <c r="B25" i="25" s="1"/>
  <c r="F10" i="25"/>
  <c r="B10" i="25"/>
  <c r="B24" i="25" s="1"/>
  <c r="BM9" i="25"/>
  <c r="J8" i="25"/>
  <c r="I8" i="25"/>
  <c r="H8" i="25"/>
  <c r="G8" i="25"/>
  <c r="F8" i="25"/>
  <c r="B8" i="25"/>
  <c r="J7" i="25"/>
  <c r="I7" i="25"/>
  <c r="H7" i="25"/>
  <c r="G7" i="25"/>
  <c r="F7" i="25"/>
  <c r="B7" i="25"/>
  <c r="B21" i="25" s="1"/>
  <c r="H4" i="25"/>
  <c r="G9" i="25" s="1"/>
  <c r="C4" i="25"/>
  <c r="AG63" i="25" s="1"/>
  <c r="R197" i="24"/>
  <c r="Q197" i="24"/>
  <c r="O197" i="24"/>
  <c r="N197" i="24"/>
  <c r="M197" i="24"/>
  <c r="L197" i="24"/>
  <c r="K197" i="24"/>
  <c r="J197" i="24"/>
  <c r="I197" i="24"/>
  <c r="H197" i="24"/>
  <c r="G197" i="24"/>
  <c r="F197" i="24"/>
  <c r="R196" i="24"/>
  <c r="Q196" i="24"/>
  <c r="O196" i="24"/>
  <c r="N196" i="24"/>
  <c r="M196" i="24"/>
  <c r="L196" i="24"/>
  <c r="K196" i="24"/>
  <c r="J196" i="24"/>
  <c r="I196" i="24"/>
  <c r="H196" i="24"/>
  <c r="G196" i="24"/>
  <c r="F196" i="24"/>
  <c r="N195" i="24"/>
  <c r="M195" i="24"/>
  <c r="L195" i="24"/>
  <c r="K195" i="24"/>
  <c r="J195" i="24"/>
  <c r="I195" i="24"/>
  <c r="H195" i="24"/>
  <c r="G195" i="24"/>
  <c r="F195" i="24"/>
  <c r="S197" i="24"/>
  <c r="E152" i="24"/>
  <c r="E144" i="24"/>
  <c r="E136" i="24"/>
  <c r="E128" i="24"/>
  <c r="D119" i="24"/>
  <c r="D126" i="24" s="1"/>
  <c r="D118" i="24"/>
  <c r="D125" i="24" s="1"/>
  <c r="D117" i="24"/>
  <c r="D124" i="24" s="1"/>
  <c r="D116" i="24"/>
  <c r="D123" i="24" s="1"/>
  <c r="D115" i="24"/>
  <c r="D122" i="24" s="1"/>
  <c r="D114" i="24"/>
  <c r="D121" i="24" s="1"/>
  <c r="E107" i="24"/>
  <c r="E106" i="24"/>
  <c r="E105" i="24"/>
  <c r="E102" i="24"/>
  <c r="E97" i="24"/>
  <c r="E94" i="24"/>
  <c r="E89" i="24"/>
  <c r="E86" i="24"/>
  <c r="E83" i="24"/>
  <c r="E80" i="24"/>
  <c r="E69" i="24"/>
  <c r="B68" i="24"/>
  <c r="B67" i="24"/>
  <c r="AS74" i="25" s="1"/>
  <c r="AS86" i="25" s="1"/>
  <c r="B66" i="24"/>
  <c r="AS73" i="25" s="1"/>
  <c r="AS85" i="25" s="1"/>
  <c r="B65" i="24"/>
  <c r="AS72" i="25" s="1"/>
  <c r="AS84" i="25" s="1"/>
  <c r="B71" i="24"/>
  <c r="B64" i="24"/>
  <c r="B63" i="24"/>
  <c r="F34" i="24"/>
  <c r="F14" i="24"/>
  <c r="F23" i="24" s="1"/>
  <c r="B14" i="24"/>
  <c r="AR69" i="25" s="1"/>
  <c r="AR81" i="25" s="1"/>
  <c r="AR93" i="25" s="1"/>
  <c r="AR101" i="25" s="1"/>
  <c r="AR109" i="25" s="1"/>
  <c r="AR117" i="25" s="1"/>
  <c r="B13" i="24"/>
  <c r="B12" i="24"/>
  <c r="AR67" i="25" s="1"/>
  <c r="AR79" i="25" s="1"/>
  <c r="AR91" i="25" s="1"/>
  <c r="AR99" i="25" s="1"/>
  <c r="AR107" i="25" s="1"/>
  <c r="AR115" i="25" s="1"/>
  <c r="B11" i="24"/>
  <c r="AR66" i="25" s="1"/>
  <c r="AR78" i="25" s="1"/>
  <c r="AR90" i="25" s="1"/>
  <c r="AR98" i="25" s="1"/>
  <c r="AR106" i="25" s="1"/>
  <c r="AR114" i="25" s="1"/>
  <c r="B10" i="24"/>
  <c r="AR65" i="25" s="1"/>
  <c r="AR77" i="25" s="1"/>
  <c r="AR89" i="25" s="1"/>
  <c r="AR97" i="25" s="1"/>
  <c r="AR105" i="25" s="1"/>
  <c r="AR113" i="25" s="1"/>
  <c r="B9" i="24"/>
  <c r="AR64" i="25" s="1"/>
  <c r="AR76" i="25" s="1"/>
  <c r="AR88" i="25" s="1"/>
  <c r="AR96" i="25" s="1"/>
  <c r="AR104" i="25" s="1"/>
  <c r="AR112" i="25" s="1"/>
  <c r="B8" i="24"/>
  <c r="F5" i="24"/>
  <c r="R49" i="23"/>
  <c r="R48" i="23"/>
  <c r="D25" i="23"/>
  <c r="C25" i="23" s="1"/>
  <c r="P22" i="23"/>
  <c r="P39" i="23" s="1"/>
  <c r="L17" i="23"/>
  <c r="L16" i="23"/>
  <c r="L15" i="23"/>
  <c r="L14" i="23"/>
  <c r="L13" i="23"/>
  <c r="A13" i="23"/>
  <c r="A14" i="23" s="1"/>
  <c r="L12" i="23"/>
  <c r="B50" i="25" s="1"/>
  <c r="L11" i="23"/>
  <c r="B48" i="25" s="1"/>
  <c r="L10" i="23"/>
  <c r="B46" i="25" s="1"/>
  <c r="L9" i="23"/>
  <c r="B44" i="25" s="1"/>
  <c r="L8" i="23"/>
  <c r="B40" i="25" s="1"/>
  <c r="L7" i="23"/>
  <c r="R49" i="21"/>
  <c r="R48" i="21"/>
  <c r="F29" i="21"/>
  <c r="L17" i="21"/>
  <c r="L16" i="21"/>
  <c r="L15" i="21"/>
  <c r="L14" i="21"/>
  <c r="L13" i="21"/>
  <c r="A14" i="21"/>
  <c r="L12" i="21"/>
  <c r="L11" i="21"/>
  <c r="L10" i="21"/>
  <c r="L9" i="21"/>
  <c r="L8" i="21"/>
  <c r="L7" i="21"/>
  <c r="P23" i="23" l="1"/>
  <c r="P24" i="23"/>
  <c r="AP63" i="25"/>
  <c r="AO67" i="25"/>
  <c r="AO69" i="25"/>
  <c r="O4" i="25"/>
  <c r="O8" i="25"/>
  <c r="F4" i="25"/>
  <c r="F17" i="24"/>
  <c r="F26" i="24" s="1"/>
  <c r="F41" i="29" s="1"/>
  <c r="F18" i="29"/>
  <c r="F14" i="29"/>
  <c r="F22" i="24"/>
  <c r="F35" i="29" s="1"/>
  <c r="F9" i="29"/>
  <c r="F20" i="24"/>
  <c r="F29" i="24" s="1"/>
  <c r="F46" i="29" s="1"/>
  <c r="F13" i="21"/>
  <c r="F14" i="21"/>
  <c r="G4" i="25"/>
  <c r="F9" i="25" s="1"/>
  <c r="F32" i="24"/>
  <c r="F74" i="29"/>
  <c r="F20" i="3"/>
  <c r="F29" i="3" s="1"/>
  <c r="F45" i="29" s="1"/>
  <c r="F22" i="3"/>
  <c r="F17" i="3"/>
  <c r="F26" i="3" s="1"/>
  <c r="F40" i="29" s="1"/>
  <c r="I4" i="25"/>
  <c r="F12" i="25" s="1"/>
  <c r="J4" i="25"/>
  <c r="G12" i="25" s="1"/>
  <c r="K4" i="25"/>
  <c r="H12" i="25" s="1"/>
  <c r="L4" i="25"/>
  <c r="I12" i="25" s="1"/>
  <c r="M4" i="25"/>
  <c r="J12" i="25" s="1"/>
  <c r="M2" i="23"/>
  <c r="E84" i="25"/>
  <c r="E86" i="25" s="1"/>
  <c r="B19" i="24"/>
  <c r="B28" i="24" s="1"/>
  <c r="B43" i="24" s="1"/>
  <c r="D131" i="24" s="1"/>
  <c r="D139" i="24" s="1"/>
  <c r="D147" i="24" s="1"/>
  <c r="D155" i="24" s="1"/>
  <c r="P23" i="21"/>
  <c r="P39" i="21"/>
  <c r="F60" i="25"/>
  <c r="H2" i="23"/>
  <c r="F17" i="25"/>
  <c r="G5" i="24"/>
  <c r="F6" i="24"/>
  <c r="AR68" i="25"/>
  <c r="AR80" i="25" s="1"/>
  <c r="AR92" i="25" s="1"/>
  <c r="AR100" i="25" s="1"/>
  <c r="AR108" i="25" s="1"/>
  <c r="AR116" i="25" s="1"/>
  <c r="B22" i="24"/>
  <c r="B31" i="24" s="1"/>
  <c r="B46" i="24" s="1"/>
  <c r="D134" i="24" s="1"/>
  <c r="D142" i="24" s="1"/>
  <c r="D150" i="24" s="1"/>
  <c r="D158" i="24" s="1"/>
  <c r="AR63" i="25"/>
  <c r="AR75" i="25" s="1"/>
  <c r="AR87" i="25" s="1"/>
  <c r="AR95" i="25" s="1"/>
  <c r="AR103" i="25" s="1"/>
  <c r="AR111" i="25" s="1"/>
  <c r="B17" i="24"/>
  <c r="B26" i="24" s="1"/>
  <c r="B35" i="24" s="1"/>
  <c r="D129" i="24" s="1"/>
  <c r="D137" i="24" s="1"/>
  <c r="D145" i="24" s="1"/>
  <c r="D153" i="24" s="1"/>
  <c r="E67" i="25"/>
  <c r="F67" i="25" s="1"/>
  <c r="E65" i="25"/>
  <c r="F65" i="25" s="1"/>
  <c r="E68" i="25"/>
  <c r="F68" i="25" s="1"/>
  <c r="E63" i="25"/>
  <c r="F63" i="25" s="1"/>
  <c r="B18" i="24"/>
  <c r="B27" i="24" s="1"/>
  <c r="B42" i="24" s="1"/>
  <c r="D130" i="24" s="1"/>
  <c r="D138" i="24" s="1"/>
  <c r="D146" i="24" s="1"/>
  <c r="D154" i="24" s="1"/>
  <c r="B20" i="24"/>
  <c r="B29" i="24" s="1"/>
  <c r="B44" i="24" s="1"/>
  <c r="D132" i="24" s="1"/>
  <c r="D140" i="24" s="1"/>
  <c r="D148" i="24" s="1"/>
  <c r="D156" i="24" s="1"/>
  <c r="B21" i="24"/>
  <c r="B30" i="24" s="1"/>
  <c r="B45" i="24" s="1"/>
  <c r="D133" i="24" s="1"/>
  <c r="D141" i="24" s="1"/>
  <c r="D149" i="24" s="1"/>
  <c r="D157" i="24" s="1"/>
  <c r="B23" i="24"/>
  <c r="B32" i="24" s="1"/>
  <c r="B47" i="24" s="1"/>
  <c r="D135" i="24" s="1"/>
  <c r="D143" i="24" s="1"/>
  <c r="D151" i="24" s="1"/>
  <c r="D159" i="24" s="1"/>
  <c r="BK8" i="25"/>
  <c r="AY8" i="25"/>
  <c r="AM8" i="25"/>
  <c r="AA8" i="25"/>
  <c r="BC4" i="25"/>
  <c r="AQ4" i="25"/>
  <c r="AE4" i="25"/>
  <c r="S4" i="25"/>
  <c r="BJ8" i="25"/>
  <c r="AX8" i="25"/>
  <c r="AL8" i="25"/>
  <c r="Z8" i="25"/>
  <c r="N8" i="25"/>
  <c r="BB4" i="25"/>
  <c r="AP4" i="25"/>
  <c r="AD4" i="25"/>
  <c r="R4" i="25"/>
  <c r="BM4" i="25"/>
  <c r="BA4" i="25"/>
  <c r="AO4" i="25"/>
  <c r="AC4" i="25"/>
  <c r="Q4" i="25"/>
  <c r="BH8" i="25"/>
  <c r="AV8" i="25"/>
  <c r="AJ8" i="25"/>
  <c r="X8" i="25"/>
  <c r="L8" i="25"/>
  <c r="BL4" i="25"/>
  <c r="AZ4" i="25"/>
  <c r="AN4" i="25"/>
  <c r="AB4" i="25"/>
  <c r="P4" i="25"/>
  <c r="BG8" i="25"/>
  <c r="AU8" i="25"/>
  <c r="AI8" i="25"/>
  <c r="W8" i="25"/>
  <c r="K8" i="25"/>
  <c r="BK4" i="25"/>
  <c r="AY4" i="25"/>
  <c r="AM4" i="25"/>
  <c r="AA4" i="25"/>
  <c r="BF8" i="25"/>
  <c r="AT8" i="25"/>
  <c r="AH8" i="25"/>
  <c r="V8" i="25"/>
  <c r="BJ4" i="25"/>
  <c r="AX4" i="25"/>
  <c r="AL4" i="25"/>
  <c r="Z4" i="25"/>
  <c r="N4" i="25"/>
  <c r="BE8" i="25"/>
  <c r="AS8" i="25"/>
  <c r="AG8" i="25"/>
  <c r="U8" i="25"/>
  <c r="BI4" i="25"/>
  <c r="AW4" i="25"/>
  <c r="AK4" i="25"/>
  <c r="Y4" i="25"/>
  <c r="BD8" i="25"/>
  <c r="AR8" i="25"/>
  <c r="AF8" i="25"/>
  <c r="T8" i="25"/>
  <c r="BH4" i="25"/>
  <c r="AV4" i="25"/>
  <c r="AJ4" i="25"/>
  <c r="X4" i="25"/>
  <c r="BC8" i="25"/>
  <c r="AQ8" i="25"/>
  <c r="AE8" i="25"/>
  <c r="S8" i="25"/>
  <c r="BG4" i="25"/>
  <c r="AU4" i="25"/>
  <c r="AI4" i="25"/>
  <c r="W4" i="25"/>
  <c r="BB8" i="25"/>
  <c r="AP8" i="25"/>
  <c r="AD8" i="25"/>
  <c r="R8" i="25"/>
  <c r="BF4" i="25"/>
  <c r="AT4" i="25"/>
  <c r="AH4" i="25"/>
  <c r="V4" i="25"/>
  <c r="AO8" i="25"/>
  <c r="AN8" i="25"/>
  <c r="BE4" i="25"/>
  <c r="AC8" i="25"/>
  <c r="BD4" i="25"/>
  <c r="AB8" i="25"/>
  <c r="AS4" i="25"/>
  <c r="Q8" i="25"/>
  <c r="AR4" i="25"/>
  <c r="P8" i="25"/>
  <c r="AG4" i="25"/>
  <c r="AF4" i="25"/>
  <c r="U4" i="25"/>
  <c r="BM8" i="25"/>
  <c r="T4" i="25"/>
  <c r="BL8" i="25"/>
  <c r="BA8" i="25"/>
  <c r="AZ8" i="25"/>
  <c r="BI8" i="25"/>
  <c r="S196" i="24"/>
  <c r="U7" i="25"/>
  <c r="V7" i="25" s="1"/>
  <c r="W7" i="25" s="1"/>
  <c r="G10" i="25"/>
  <c r="H10" i="25" s="1"/>
  <c r="I10" i="25" s="1"/>
  <c r="J10" i="25" s="1"/>
  <c r="AG64" i="25"/>
  <c r="AF63" i="25"/>
  <c r="M8" i="25"/>
  <c r="Y8" i="25"/>
  <c r="AK8" i="25"/>
  <c r="AW8" i="25"/>
  <c r="AP74" i="25"/>
  <c r="AP95" i="25"/>
  <c r="AP71" i="25"/>
  <c r="AP76" i="25"/>
  <c r="AP122" i="25"/>
  <c r="AP118" i="25"/>
  <c r="AP117" i="25"/>
  <c r="AP116" i="25"/>
  <c r="AP115" i="25"/>
  <c r="AP114" i="25"/>
  <c r="AP113" i="25"/>
  <c r="AP105" i="25"/>
  <c r="AP100" i="25"/>
  <c r="AP96" i="25"/>
  <c r="AP89" i="25"/>
  <c r="AP88" i="25"/>
  <c r="AP86" i="25"/>
  <c r="AP106" i="25"/>
  <c r="AP107" i="25"/>
  <c r="AP91" i="25"/>
  <c r="AP119" i="25"/>
  <c r="AP108" i="25"/>
  <c r="AP101" i="25"/>
  <c r="AP109" i="25"/>
  <c r="AP93" i="25"/>
  <c r="AP110" i="25"/>
  <c r="AP94" i="25"/>
  <c r="AP120" i="25"/>
  <c r="AP111" i="25"/>
  <c r="AP102" i="25"/>
  <c r="AP98" i="25"/>
  <c r="AP81" i="25"/>
  <c r="AP80" i="25"/>
  <c r="AP112" i="25"/>
  <c r="AP82" i="25"/>
  <c r="AP79" i="25"/>
  <c r="AP78" i="25"/>
  <c r="AP77" i="25"/>
  <c r="AP103" i="25"/>
  <c r="AP84" i="25"/>
  <c r="AP104" i="25"/>
  <c r="AP99" i="25"/>
  <c r="AP121" i="25"/>
  <c r="AP64" i="25"/>
  <c r="AP67" i="25"/>
  <c r="AP92" i="25"/>
  <c r="AP87" i="25"/>
  <c r="AP73" i="25"/>
  <c r="AP75" i="25"/>
  <c r="AP97" i="25"/>
  <c r="AP66" i="25"/>
  <c r="AP83" i="25"/>
  <c r="AP70" i="25"/>
  <c r="AP68" i="25"/>
  <c r="AP90" i="25"/>
  <c r="G77" i="25"/>
  <c r="H70" i="25"/>
  <c r="AP65" i="25"/>
  <c r="G76" i="25"/>
  <c r="H79" i="25"/>
  <c r="H76" i="25"/>
  <c r="H74" i="25"/>
  <c r="H78" i="25"/>
  <c r="H71" i="25"/>
  <c r="H69" i="25"/>
  <c r="H72" i="25"/>
  <c r="H77" i="25"/>
  <c r="H75" i="25"/>
  <c r="H73" i="25"/>
  <c r="AP72" i="25"/>
  <c r="AO70" i="25"/>
  <c r="I9" i="25" l="1"/>
  <c r="L9" i="25"/>
  <c r="J9" i="25"/>
  <c r="F26" i="29"/>
  <c r="F31" i="24"/>
  <c r="F50" i="29" s="1"/>
  <c r="F31" i="29"/>
  <c r="F31" i="3"/>
  <c r="F49" i="29" s="1"/>
  <c r="F34" i="29"/>
  <c r="F44" i="29"/>
  <c r="F29" i="29" s="1"/>
  <c r="H9" i="25"/>
  <c r="K9" i="25"/>
  <c r="F25" i="29"/>
  <c r="F30" i="29"/>
  <c r="F39" i="29"/>
  <c r="G12" i="23"/>
  <c r="J35" i="23" s="1"/>
  <c r="AO73" i="25"/>
  <c r="AO72" i="25"/>
  <c r="AO71" i="25"/>
  <c r="AO74" i="25"/>
  <c r="R12" i="25"/>
  <c r="T9" i="25"/>
  <c r="BD12" i="25"/>
  <c r="BF9" i="25"/>
  <c r="AU12" i="25"/>
  <c r="AW9" i="25"/>
  <c r="AR12" i="25"/>
  <c r="AT9" i="25"/>
  <c r="AC12" i="25"/>
  <c r="AE9" i="25"/>
  <c r="S12" i="25"/>
  <c r="U9" i="25"/>
  <c r="V12" i="25"/>
  <c r="X9" i="25"/>
  <c r="BG12" i="25"/>
  <c r="BI9" i="25"/>
  <c r="N12" i="25"/>
  <c r="P9" i="25"/>
  <c r="F36" i="25"/>
  <c r="F19" i="25"/>
  <c r="K10" i="25"/>
  <c r="L10" i="25" s="1"/>
  <c r="M10" i="25" s="1"/>
  <c r="N10" i="25" s="1"/>
  <c r="O10" i="25" s="1"/>
  <c r="P10" i="25" s="1"/>
  <c r="Q10" i="25" s="1"/>
  <c r="R10" i="25" s="1"/>
  <c r="S10" i="25" s="1"/>
  <c r="T10" i="25" s="1"/>
  <c r="U10" i="25" s="1"/>
  <c r="V10" i="25" s="1"/>
  <c r="W10" i="25" s="1"/>
  <c r="X10" i="25" s="1"/>
  <c r="Y10" i="25" s="1"/>
  <c r="Z10" i="25" s="1"/>
  <c r="AA10" i="25" s="1"/>
  <c r="AB10" i="25" s="1"/>
  <c r="AC10" i="25" s="1"/>
  <c r="AD10" i="25" s="1"/>
  <c r="AE10" i="25" s="1"/>
  <c r="AF10" i="25" s="1"/>
  <c r="AG10" i="25" s="1"/>
  <c r="AH10" i="25" s="1"/>
  <c r="AI10" i="25" s="1"/>
  <c r="AJ10" i="25" s="1"/>
  <c r="AK10" i="25" s="1"/>
  <c r="AL10" i="25" s="1"/>
  <c r="AM10" i="25" s="1"/>
  <c r="AN10" i="25" s="1"/>
  <c r="AO10" i="25" s="1"/>
  <c r="AP10" i="25" s="1"/>
  <c r="AQ10" i="25" s="1"/>
  <c r="AR10" i="25" s="1"/>
  <c r="AS10" i="25" s="1"/>
  <c r="AT10" i="25" s="1"/>
  <c r="AU10" i="25" s="1"/>
  <c r="AV10" i="25" s="1"/>
  <c r="AW10" i="25" s="1"/>
  <c r="AX10" i="25" s="1"/>
  <c r="AY10" i="25" s="1"/>
  <c r="AZ10" i="25" s="1"/>
  <c r="BA10" i="25" s="1"/>
  <c r="BB10" i="25" s="1"/>
  <c r="BC10" i="25" s="1"/>
  <c r="BD10" i="25" s="1"/>
  <c r="BE10" i="25" s="1"/>
  <c r="BF10" i="25" s="1"/>
  <c r="BG10" i="25" s="1"/>
  <c r="BH10" i="25" s="1"/>
  <c r="BI10" i="25" s="1"/>
  <c r="BJ10" i="25" s="1"/>
  <c r="BK10" i="25" s="1"/>
  <c r="BL10" i="25" s="1"/>
  <c r="BM10" i="25" s="1"/>
  <c r="AQ12" i="25"/>
  <c r="AS9" i="25"/>
  <c r="AT12" i="25"/>
  <c r="AV9" i="25"/>
  <c r="Z12" i="25"/>
  <c r="AB9" i="25"/>
  <c r="T197" i="24"/>
  <c r="T196" i="24"/>
  <c r="AO12" i="25"/>
  <c r="AQ9" i="25"/>
  <c r="BC12" i="25"/>
  <c r="BE9" i="25"/>
  <c r="BF12" i="25"/>
  <c r="BH9" i="25"/>
  <c r="M12" i="25"/>
  <c r="O9" i="25"/>
  <c r="AL12" i="25"/>
  <c r="AN9" i="25"/>
  <c r="P12" i="25"/>
  <c r="R9" i="25"/>
  <c r="AE12" i="25"/>
  <c r="AG9" i="25"/>
  <c r="U12" i="25"/>
  <c r="W9" i="25"/>
  <c r="Y12" i="25"/>
  <c r="AA9" i="25"/>
  <c r="AX12" i="25"/>
  <c r="AZ9" i="25"/>
  <c r="AB12" i="25"/>
  <c r="AD9" i="25"/>
  <c r="X7" i="25"/>
  <c r="AP12" i="25"/>
  <c r="AR9" i="25"/>
  <c r="AG12" i="25"/>
  <c r="AI9" i="25"/>
  <c r="L12" i="25"/>
  <c r="N9" i="25"/>
  <c r="AK12" i="25"/>
  <c r="AM9" i="25"/>
  <c r="BL9" i="25"/>
  <c r="BJ12" i="25"/>
  <c r="AN12" i="25"/>
  <c r="AP9" i="25"/>
  <c r="AH12" i="25"/>
  <c r="AJ9" i="25"/>
  <c r="AF64" i="25"/>
  <c r="AG65" i="25"/>
  <c r="AS12" i="25"/>
  <c r="AU9" i="25"/>
  <c r="X12" i="25"/>
  <c r="Z9" i="25"/>
  <c r="AW12" i="25"/>
  <c r="AY9" i="25"/>
  <c r="O12" i="25"/>
  <c r="Q9" i="25"/>
  <c r="AZ12" i="25"/>
  <c r="BB9" i="25"/>
  <c r="BA12" i="25"/>
  <c r="BC9" i="25"/>
  <c r="BE12" i="25"/>
  <c r="BG9" i="25"/>
  <c r="AJ12" i="25"/>
  <c r="AL9" i="25"/>
  <c r="BI12" i="25"/>
  <c r="BK9" i="25"/>
  <c r="AA12" i="25"/>
  <c r="AC9" i="25"/>
  <c r="AI12" i="25"/>
  <c r="AK9" i="25"/>
  <c r="T12" i="25"/>
  <c r="V9" i="25"/>
  <c r="K12" i="25"/>
  <c r="M9" i="25"/>
  <c r="AV12" i="25"/>
  <c r="AX9" i="25"/>
  <c r="AM12" i="25"/>
  <c r="AO9" i="25"/>
  <c r="G17" i="25"/>
  <c r="G6" i="24"/>
  <c r="H5" i="24"/>
  <c r="AD12" i="25"/>
  <c r="AF9" i="25"/>
  <c r="Q12" i="25"/>
  <c r="S9" i="25"/>
  <c r="BB12" i="25"/>
  <c r="BD9" i="25"/>
  <c r="AF12" i="25"/>
  <c r="AH9" i="25"/>
  <c r="W12" i="25"/>
  <c r="Y9" i="25"/>
  <c r="BH12" i="25"/>
  <c r="BJ9" i="25"/>
  <c r="AY12" i="25"/>
  <c r="BA9" i="25"/>
  <c r="F18" i="25"/>
  <c r="F37" i="25" s="1"/>
  <c r="F188" i="24"/>
  <c r="F25" i="24" l="1"/>
  <c r="F48" i="29"/>
  <c r="F33" i="29" s="1"/>
  <c r="F65" i="29"/>
  <c r="F63" i="29" s="1"/>
  <c r="F24" i="29"/>
  <c r="G12" i="1"/>
  <c r="G12" i="21" s="1"/>
  <c r="F12" i="21"/>
  <c r="F10" i="21"/>
  <c r="P52" i="23"/>
  <c r="E85" i="25" s="1"/>
  <c r="P52" i="1"/>
  <c r="H35" i="23"/>
  <c r="G9" i="23"/>
  <c r="H9" i="23" s="1"/>
  <c r="G10" i="23"/>
  <c r="E66" i="25"/>
  <c r="F66" i="25" s="1"/>
  <c r="G18" i="25"/>
  <c r="G37" i="25" s="1"/>
  <c r="G188" i="24"/>
  <c r="U196" i="24"/>
  <c r="U197" i="24"/>
  <c r="H17" i="25"/>
  <c r="H6" i="24"/>
  <c r="I5" i="24"/>
  <c r="AF65" i="25"/>
  <c r="AG66" i="25"/>
  <c r="F27" i="25"/>
  <c r="F26" i="25"/>
  <c r="F25" i="25"/>
  <c r="F24" i="25"/>
  <c r="F23" i="25"/>
  <c r="F22" i="25"/>
  <c r="F21" i="25"/>
  <c r="AO76" i="25"/>
  <c r="AO78" i="25"/>
  <c r="AO75" i="25"/>
  <c r="AO77" i="25"/>
  <c r="G36" i="25"/>
  <c r="G19" i="25"/>
  <c r="Y7" i="25"/>
  <c r="F38" i="29" l="1"/>
  <c r="F9" i="21"/>
  <c r="F28" i="25"/>
  <c r="F30" i="25" s="1"/>
  <c r="H10" i="23"/>
  <c r="E46" i="25" s="1"/>
  <c r="F47" i="25" s="1"/>
  <c r="J9" i="23"/>
  <c r="E44" i="25"/>
  <c r="F45" i="25" s="1"/>
  <c r="Z7" i="25"/>
  <c r="AA7" i="25" s="1"/>
  <c r="V196" i="24"/>
  <c r="V197" i="24"/>
  <c r="F16" i="25"/>
  <c r="F67" i="24"/>
  <c r="AO81" i="25"/>
  <c r="AO80" i="25"/>
  <c r="AO79" i="25"/>
  <c r="AO82" i="25"/>
  <c r="G27" i="25"/>
  <c r="G26" i="25"/>
  <c r="G25" i="25"/>
  <c r="G24" i="25"/>
  <c r="G23" i="25"/>
  <c r="G22" i="25"/>
  <c r="G21" i="25"/>
  <c r="I17" i="25"/>
  <c r="J5" i="24"/>
  <c r="I6" i="24"/>
  <c r="AF66" i="25"/>
  <c r="AG67" i="25"/>
  <c r="H18" i="25"/>
  <c r="H37" i="25" s="1"/>
  <c r="H188" i="24"/>
  <c r="H36" i="25"/>
  <c r="H19" i="25"/>
  <c r="AB7" i="25" l="1"/>
  <c r="F29" i="25"/>
  <c r="F32" i="25"/>
  <c r="AC7" i="25"/>
  <c r="J10" i="23"/>
  <c r="AG68" i="25"/>
  <c r="AF67" i="25"/>
  <c r="F35" i="25"/>
  <c r="K2" i="12" s="1"/>
  <c r="G28" i="25"/>
  <c r="G29" i="25" s="1"/>
  <c r="G67" i="24"/>
  <c r="H27" i="25"/>
  <c r="H26" i="25"/>
  <c r="H25" i="25"/>
  <c r="H16" i="25" s="1"/>
  <c r="H35" i="25" s="1"/>
  <c r="M2" i="12" s="1"/>
  <c r="H24" i="25"/>
  <c r="H23" i="25"/>
  <c r="H22" i="25"/>
  <c r="H21" i="25"/>
  <c r="G16" i="25"/>
  <c r="G35" i="25" s="1"/>
  <c r="L2" i="12" s="1"/>
  <c r="I18" i="25"/>
  <c r="I37" i="25" s="1"/>
  <c r="I188" i="24"/>
  <c r="AO85" i="25"/>
  <c r="AO83" i="25"/>
  <c r="AO86" i="25"/>
  <c r="AO84" i="25"/>
  <c r="J17" i="25"/>
  <c r="J6" i="24"/>
  <c r="K5" i="24"/>
  <c r="W197" i="24"/>
  <c r="W196" i="24"/>
  <c r="AD7" i="25"/>
  <c r="I36" i="25"/>
  <c r="I19" i="25"/>
  <c r="G30" i="25" l="1"/>
  <c r="H28" i="25"/>
  <c r="H30" i="25" s="1"/>
  <c r="K17" i="25"/>
  <c r="K6" i="24"/>
  <c r="L5" i="24"/>
  <c r="AO104" i="25"/>
  <c r="AO122" i="25"/>
  <c r="AO118" i="25"/>
  <c r="AO117" i="25"/>
  <c r="AO116" i="25"/>
  <c r="AO115" i="25"/>
  <c r="AO114" i="25"/>
  <c r="AO113" i="25"/>
  <c r="AO106" i="25"/>
  <c r="AO90" i="25"/>
  <c r="AO87" i="25"/>
  <c r="AO107" i="25"/>
  <c r="AO119" i="25"/>
  <c r="AO108" i="25"/>
  <c r="AO101" i="25"/>
  <c r="AO97" i="25"/>
  <c r="AO92" i="25"/>
  <c r="AO109" i="25"/>
  <c r="AO93" i="25"/>
  <c r="AO110" i="25"/>
  <c r="AO94" i="25"/>
  <c r="AO120" i="25"/>
  <c r="AO111" i="25"/>
  <c r="AO102" i="25"/>
  <c r="AO98" i="25"/>
  <c r="AO121" i="25"/>
  <c r="AO99" i="25"/>
  <c r="AO95" i="25"/>
  <c r="AO91" i="25"/>
  <c r="AO96" i="25"/>
  <c r="AO105" i="25"/>
  <c r="AO100" i="25"/>
  <c r="AO112" i="25"/>
  <c r="AO88" i="25"/>
  <c r="AO103" i="25"/>
  <c r="AO89" i="25"/>
  <c r="AG69" i="25"/>
  <c r="AF68" i="25"/>
  <c r="H67" i="24"/>
  <c r="I24" i="25"/>
  <c r="I23" i="25"/>
  <c r="I22" i="25"/>
  <c r="I21" i="25"/>
  <c r="I25" i="25"/>
  <c r="I26" i="25"/>
  <c r="I27" i="25"/>
  <c r="J18" i="25"/>
  <c r="J37" i="25" s="1"/>
  <c r="J188" i="24"/>
  <c r="AE7" i="25"/>
  <c r="AF7" i="25" s="1"/>
  <c r="J36" i="25"/>
  <c r="J19" i="25"/>
  <c r="X197" i="24"/>
  <c r="X196" i="24"/>
  <c r="H29" i="25" l="1"/>
  <c r="D12" i="23"/>
  <c r="D9" i="23"/>
  <c r="D10" i="23"/>
  <c r="AG7" i="25"/>
  <c r="AH7" i="25" s="1"/>
  <c r="AI7" i="25" s="1"/>
  <c r="AJ7" i="25" s="1"/>
  <c r="AK7" i="25" s="1"/>
  <c r="AL7" i="25" s="1"/>
  <c r="AM7" i="25" s="1"/>
  <c r="AN7" i="25" s="1"/>
  <c r="AO7" i="25" s="1"/>
  <c r="AP7" i="25" s="1"/>
  <c r="AQ7" i="25" s="1"/>
  <c r="AR7" i="25" s="1"/>
  <c r="I28" i="25"/>
  <c r="I30" i="25" s="1"/>
  <c r="K36" i="25"/>
  <c r="K19" i="25"/>
  <c r="J23" i="25"/>
  <c r="J22" i="25"/>
  <c r="J21" i="25"/>
  <c r="J24" i="25"/>
  <c r="J25" i="25"/>
  <c r="J26" i="25"/>
  <c r="J27" i="25"/>
  <c r="AG70" i="25"/>
  <c r="AF69" i="25"/>
  <c r="L17" i="25"/>
  <c r="L6" i="24"/>
  <c r="M5" i="24"/>
  <c r="Y197" i="24"/>
  <c r="Y196" i="24"/>
  <c r="I67" i="24"/>
  <c r="I16" i="25"/>
  <c r="K188" i="24"/>
  <c r="K18" i="25"/>
  <c r="K37" i="25" s="1"/>
  <c r="I29" i="25" l="1"/>
  <c r="AS7" i="25"/>
  <c r="AT7" i="25" s="1"/>
  <c r="AU7" i="25" s="1"/>
  <c r="AV7" i="25" s="1"/>
  <c r="AW7" i="25" s="1"/>
  <c r="AX7" i="25" s="1"/>
  <c r="AY7" i="25" s="1"/>
  <c r="AZ7" i="25" s="1"/>
  <c r="BA7" i="25" s="1"/>
  <c r="BB7" i="25" s="1"/>
  <c r="BC7" i="25" s="1"/>
  <c r="BD7" i="25" s="1"/>
  <c r="BE7" i="25" s="1"/>
  <c r="BF7" i="25" s="1"/>
  <c r="BG7" i="25" s="1"/>
  <c r="BH7" i="25" s="1"/>
  <c r="BI7" i="25" s="1"/>
  <c r="BJ7" i="25" s="1"/>
  <c r="BK7" i="25" s="1"/>
  <c r="BL7" i="25" s="1"/>
  <c r="BM7" i="25" s="1"/>
  <c r="AG71" i="25"/>
  <c r="AF70" i="25"/>
  <c r="J28" i="25"/>
  <c r="J30" i="25" s="1"/>
  <c r="Z197" i="24"/>
  <c r="Z196" i="24"/>
  <c r="J67" i="24"/>
  <c r="I35" i="25"/>
  <c r="N2" i="12" s="1"/>
  <c r="K27" i="25"/>
  <c r="K26" i="25"/>
  <c r="K25" i="25"/>
  <c r="K16" i="25" s="1"/>
  <c r="K35" i="25" s="1"/>
  <c r="P2" i="12" s="1"/>
  <c r="K23" i="25"/>
  <c r="K24" i="25"/>
  <c r="K21" i="25"/>
  <c r="K22" i="25"/>
  <c r="J16" i="25"/>
  <c r="J35" i="25" s="1"/>
  <c r="O2" i="12" s="1"/>
  <c r="L18" i="25"/>
  <c r="L37" i="25" s="1"/>
  <c r="L188" i="24"/>
  <c r="M17" i="25"/>
  <c r="N5" i="24"/>
  <c r="M6" i="24"/>
  <c r="L36" i="25"/>
  <c r="L19" i="25"/>
  <c r="K28" i="25" l="1"/>
  <c r="K29" i="25" s="1"/>
  <c r="M36" i="25"/>
  <c r="M19" i="25"/>
  <c r="AF71" i="25"/>
  <c r="AG72" i="25"/>
  <c r="J29" i="25"/>
  <c r="L27" i="25"/>
  <c r="L26" i="25"/>
  <c r="L25" i="25"/>
  <c r="L24" i="25"/>
  <c r="L21" i="25"/>
  <c r="L23" i="25"/>
  <c r="L22" i="25"/>
  <c r="K30" i="25"/>
  <c r="AA197" i="24"/>
  <c r="AA196" i="24"/>
  <c r="M18" i="25"/>
  <c r="M37" i="25" s="1"/>
  <c r="M188" i="24"/>
  <c r="N17" i="25"/>
  <c r="N6" i="24"/>
  <c r="O5" i="24"/>
  <c r="K67" i="24"/>
  <c r="AF72" i="25" l="1"/>
  <c r="AG73" i="25"/>
  <c r="O17" i="25"/>
  <c r="O6" i="24"/>
  <c r="P5" i="24"/>
  <c r="AB197" i="24"/>
  <c r="AB196" i="24"/>
  <c r="N18" i="25"/>
  <c r="N37" i="25" s="1"/>
  <c r="N188" i="24"/>
  <c r="M27" i="25"/>
  <c r="M26" i="25"/>
  <c r="M25" i="25"/>
  <c r="M24" i="25"/>
  <c r="M23" i="25"/>
  <c r="M22" i="25"/>
  <c r="M21" i="25"/>
  <c r="N36" i="25"/>
  <c r="N19" i="25"/>
  <c r="L28" i="25"/>
  <c r="L29" i="25" s="1"/>
  <c r="L67" i="24"/>
  <c r="L16" i="25"/>
  <c r="M28" i="25" l="1"/>
  <c r="M30" i="25" s="1"/>
  <c r="AG74" i="25"/>
  <c r="AF73" i="25"/>
  <c r="L35" i="25"/>
  <c r="Q2" i="12" s="1"/>
  <c r="L30" i="25"/>
  <c r="AC197" i="24"/>
  <c r="AC196" i="24"/>
  <c r="M67" i="24"/>
  <c r="M16" i="25"/>
  <c r="M35" i="25" s="1"/>
  <c r="R2" i="12" s="1"/>
  <c r="P17" i="25"/>
  <c r="Q5" i="24"/>
  <c r="P6" i="24"/>
  <c r="N27" i="25"/>
  <c r="N26" i="25"/>
  <c r="N25" i="25"/>
  <c r="S319" i="12" s="1"/>
  <c r="N24" i="25"/>
  <c r="N23" i="25"/>
  <c r="N21" i="25"/>
  <c r="N22" i="25"/>
  <c r="O18" i="25"/>
  <c r="O37" i="25" s="1"/>
  <c r="O188" i="24"/>
  <c r="O36" i="25"/>
  <c r="O19" i="25"/>
  <c r="M29" i="25" l="1"/>
  <c r="Q17" i="25"/>
  <c r="R5" i="24"/>
  <c r="Q6" i="24"/>
  <c r="P36" i="25"/>
  <c r="P19" i="25"/>
  <c r="AD197" i="24"/>
  <c r="AD196" i="24"/>
  <c r="N67" i="24"/>
  <c r="N16" i="25"/>
  <c r="O27" i="25"/>
  <c r="O26" i="25"/>
  <c r="O25" i="25"/>
  <c r="T319" i="12" s="1"/>
  <c r="O24" i="25"/>
  <c r="O23" i="25"/>
  <c r="O22" i="25"/>
  <c r="O21" i="25"/>
  <c r="AF74" i="25"/>
  <c r="AG75" i="25"/>
  <c r="N28" i="25"/>
  <c r="P18" i="25"/>
  <c r="P37" i="25" s="1"/>
  <c r="P188" i="24"/>
  <c r="O28" i="25" l="1"/>
  <c r="O30" i="25" s="1"/>
  <c r="AG76" i="25"/>
  <c r="AF75" i="25"/>
  <c r="O67" i="24"/>
  <c r="O16" i="25"/>
  <c r="O35" i="25" s="1"/>
  <c r="T2" i="12" s="1"/>
  <c r="Q18" i="25"/>
  <c r="Q37" i="25" s="1"/>
  <c r="Q188" i="24"/>
  <c r="R17" i="25"/>
  <c r="R6" i="24"/>
  <c r="S5" i="24"/>
  <c r="N35" i="25"/>
  <c r="S2" i="12" s="1"/>
  <c r="Q36" i="25"/>
  <c r="Q19" i="25"/>
  <c r="AE197" i="24"/>
  <c r="AE196" i="24"/>
  <c r="N30" i="25"/>
  <c r="P27" i="25"/>
  <c r="P26" i="25"/>
  <c r="P25" i="25"/>
  <c r="U319" i="12" s="1"/>
  <c r="P24" i="25"/>
  <c r="P23" i="25"/>
  <c r="P22" i="25"/>
  <c r="P21" i="25"/>
  <c r="N29" i="25"/>
  <c r="O29" i="25" l="1"/>
  <c r="R18" i="25"/>
  <c r="R37" i="25" s="1"/>
  <c r="R188" i="24"/>
  <c r="AF197" i="24"/>
  <c r="AF196" i="24"/>
  <c r="R36" i="25"/>
  <c r="R19" i="25"/>
  <c r="S17" i="25"/>
  <c r="S6" i="24"/>
  <c r="T5" i="24"/>
  <c r="P67" i="24"/>
  <c r="P16" i="25"/>
  <c r="P35" i="25" s="1"/>
  <c r="U2" i="12" s="1"/>
  <c r="AG77" i="25"/>
  <c r="AF76" i="25"/>
  <c r="Q27" i="25"/>
  <c r="Q26" i="25"/>
  <c r="Q25" i="25"/>
  <c r="V319" i="12" s="1"/>
  <c r="Q24" i="25"/>
  <c r="Q23" i="25"/>
  <c r="Q22" i="25"/>
  <c r="Q21" i="25"/>
  <c r="P28" i="25"/>
  <c r="P29" i="25" s="1"/>
  <c r="S36" i="25" l="1"/>
  <c r="S19" i="25"/>
  <c r="AG197" i="24"/>
  <c r="AG196" i="24"/>
  <c r="AG78" i="25"/>
  <c r="AF77" i="25"/>
  <c r="R27" i="25"/>
  <c r="R26" i="25"/>
  <c r="R25" i="25"/>
  <c r="W319" i="12" s="1"/>
  <c r="R24" i="25"/>
  <c r="R23" i="25"/>
  <c r="R22" i="25"/>
  <c r="R21" i="25"/>
  <c r="Q28" i="25"/>
  <c r="Q67" i="24"/>
  <c r="Q16" i="25"/>
  <c r="Q35" i="25" s="1"/>
  <c r="V2" i="12" s="1"/>
  <c r="P30" i="25"/>
  <c r="T17" i="25"/>
  <c r="T6" i="24"/>
  <c r="U5" i="24"/>
  <c r="S18" i="25"/>
  <c r="S37" i="25" s="1"/>
  <c r="S188" i="24"/>
  <c r="R28" i="25" l="1"/>
  <c r="R29" i="25" s="1"/>
  <c r="S27" i="25"/>
  <c r="S26" i="25"/>
  <c r="S25" i="25"/>
  <c r="X319" i="12" s="1"/>
  <c r="S24" i="25"/>
  <c r="S23" i="25"/>
  <c r="S22" i="25"/>
  <c r="S21" i="25"/>
  <c r="U17" i="25"/>
  <c r="V5" i="24"/>
  <c r="U6" i="24"/>
  <c r="T18" i="25"/>
  <c r="T37" i="25" s="1"/>
  <c r="T188" i="24"/>
  <c r="AG79" i="25"/>
  <c r="AF78" i="25"/>
  <c r="Q29" i="25"/>
  <c r="T36" i="25"/>
  <c r="T19" i="25"/>
  <c r="R30" i="25"/>
  <c r="Q30" i="25"/>
  <c r="R67" i="24"/>
  <c r="R16" i="25"/>
  <c r="R35" i="25" s="1"/>
  <c r="W2" i="12" s="1"/>
  <c r="AH197" i="24"/>
  <c r="AH196" i="24"/>
  <c r="S28" i="25" l="1"/>
  <c r="S29" i="25" s="1"/>
  <c r="V17" i="25"/>
  <c r="V6" i="24"/>
  <c r="W5" i="24"/>
  <c r="AG80" i="25"/>
  <c r="AF79" i="25"/>
  <c r="U36" i="25"/>
  <c r="U19" i="25"/>
  <c r="S30" i="25"/>
  <c r="AI197" i="24"/>
  <c r="AI196" i="24"/>
  <c r="S67" i="24"/>
  <c r="S16" i="25"/>
  <c r="S35" i="25" s="1"/>
  <c r="X2" i="12" s="1"/>
  <c r="T27" i="25"/>
  <c r="T26" i="25"/>
  <c r="T25" i="25"/>
  <c r="Y319" i="12" s="1"/>
  <c r="T24" i="25"/>
  <c r="T23" i="25"/>
  <c r="T22" i="25"/>
  <c r="T21" i="25"/>
  <c r="U18" i="25"/>
  <c r="U37" i="25" s="1"/>
  <c r="U188" i="24"/>
  <c r="AJ197" i="24" l="1"/>
  <c r="AJ196" i="24"/>
  <c r="V18" i="25"/>
  <c r="V37" i="25" s="1"/>
  <c r="V188" i="24"/>
  <c r="W17" i="25"/>
  <c r="W6" i="24"/>
  <c r="X5" i="24"/>
  <c r="V36" i="25"/>
  <c r="V19" i="25"/>
  <c r="AF80" i="25"/>
  <c r="AG81" i="25"/>
  <c r="T28" i="25"/>
  <c r="T30" i="25" s="1"/>
  <c r="T67" i="24"/>
  <c r="T16" i="25"/>
  <c r="T35" i="25" s="1"/>
  <c r="Y2" i="12" s="1"/>
  <c r="U24" i="25"/>
  <c r="U23" i="25"/>
  <c r="U22" i="25"/>
  <c r="U21" i="25"/>
  <c r="U25" i="25"/>
  <c r="Z319" i="12" s="1"/>
  <c r="U26" i="25"/>
  <c r="U27" i="25"/>
  <c r="T29" i="25" l="1"/>
  <c r="AK197" i="24"/>
  <c r="AK196" i="24"/>
  <c r="V23" i="25"/>
  <c r="V22" i="25"/>
  <c r="V21" i="25"/>
  <c r="V24" i="25"/>
  <c r="V25" i="25"/>
  <c r="AA319" i="12" s="1"/>
  <c r="V26" i="25"/>
  <c r="V27" i="25"/>
  <c r="X17" i="25"/>
  <c r="X6" i="24"/>
  <c r="Y5" i="24"/>
  <c r="W18" i="25"/>
  <c r="W37" i="25" s="1"/>
  <c r="W188" i="24"/>
  <c r="U67" i="24"/>
  <c r="U16" i="25"/>
  <c r="U35" i="25" s="1"/>
  <c r="Z2" i="12" s="1"/>
  <c r="AG82" i="25"/>
  <c r="AF81" i="25"/>
  <c r="W36" i="25"/>
  <c r="W19" i="25"/>
  <c r="U28" i="25"/>
  <c r="U29" i="25" s="1"/>
  <c r="U30" i="25" l="1"/>
  <c r="X36" i="25"/>
  <c r="X19" i="25"/>
  <c r="AL197" i="24"/>
  <c r="AL196" i="24"/>
  <c r="V67" i="24"/>
  <c r="V16" i="25"/>
  <c r="V35" i="25" s="1"/>
  <c r="AA2" i="12" s="1"/>
  <c r="V28" i="25"/>
  <c r="V30" i="25" s="1"/>
  <c r="W27" i="25"/>
  <c r="W26" i="25"/>
  <c r="W25" i="25"/>
  <c r="AB319" i="12" s="1"/>
  <c r="W22" i="25"/>
  <c r="W21" i="25"/>
  <c r="W24" i="25"/>
  <c r="W23" i="25"/>
  <c r="AG83" i="25"/>
  <c r="AF82" i="25"/>
  <c r="Y17" i="25"/>
  <c r="Z5" i="24"/>
  <c r="Y6" i="24"/>
  <c r="X18" i="25"/>
  <c r="X37" i="25" s="1"/>
  <c r="X188" i="24"/>
  <c r="V29" i="25" l="1"/>
  <c r="W28" i="25"/>
  <c r="W30" i="25" s="1"/>
  <c r="AM197" i="24"/>
  <c r="AM196" i="24"/>
  <c r="X27" i="25"/>
  <c r="X26" i="25"/>
  <c r="X25" i="25"/>
  <c r="AC319" i="12" s="1"/>
  <c r="X24" i="25"/>
  <c r="X22" i="25"/>
  <c r="X23" i="25"/>
  <c r="X21" i="25"/>
  <c r="W29" i="25"/>
  <c r="Z17" i="25"/>
  <c r="Z6" i="24"/>
  <c r="AA5" i="24"/>
  <c r="W67" i="24"/>
  <c r="W16" i="25"/>
  <c r="W35" i="25" s="1"/>
  <c r="AB2" i="12" s="1"/>
  <c r="Y36" i="25"/>
  <c r="Y19" i="25"/>
  <c r="Y18" i="25"/>
  <c r="Y37" i="25" s="1"/>
  <c r="Y188" i="24"/>
  <c r="AG84" i="25"/>
  <c r="AF83" i="25"/>
  <c r="X28" i="25" l="1"/>
  <c r="AG85" i="25"/>
  <c r="AF84" i="25"/>
  <c r="X67" i="24"/>
  <c r="X16" i="25"/>
  <c r="X35" i="25" s="1"/>
  <c r="AC2" i="12" s="1"/>
  <c r="AN197" i="24"/>
  <c r="AN196" i="24"/>
  <c r="Z36" i="25"/>
  <c r="Z19" i="25"/>
  <c r="Y27" i="25"/>
  <c r="Y26" i="25"/>
  <c r="Y25" i="25"/>
  <c r="AD319" i="12" s="1"/>
  <c r="Y24" i="25"/>
  <c r="Y23" i="25"/>
  <c r="Y22" i="25"/>
  <c r="Y21" i="25"/>
  <c r="AA17" i="25"/>
  <c r="AA6" i="24"/>
  <c r="AB5" i="24"/>
  <c r="Z18" i="25"/>
  <c r="Z37" i="25" s="1"/>
  <c r="Z188" i="24"/>
  <c r="X30" i="25"/>
  <c r="X29" i="25"/>
  <c r="Y28" i="25" l="1"/>
  <c r="Y30" i="25" s="1"/>
  <c r="AO197" i="24"/>
  <c r="AO196" i="24"/>
  <c r="Y67" i="24"/>
  <c r="Y16" i="25"/>
  <c r="Y35" i="25" s="1"/>
  <c r="AD2" i="12" s="1"/>
  <c r="AG86" i="25"/>
  <c r="AF85" i="25"/>
  <c r="AB17" i="25"/>
  <c r="AB6" i="24"/>
  <c r="AC5" i="24"/>
  <c r="AA18" i="25"/>
  <c r="AA37" i="25" s="1"/>
  <c r="AA188" i="24"/>
  <c r="Z27" i="25"/>
  <c r="Z26" i="25"/>
  <c r="Z25" i="25"/>
  <c r="AE319" i="12" s="1"/>
  <c r="Z24" i="25"/>
  <c r="Z23" i="25"/>
  <c r="Z22" i="25"/>
  <c r="Z21" i="25"/>
  <c r="AA19" i="25"/>
  <c r="AA36" i="25"/>
  <c r="Z28" i="25" l="1"/>
  <c r="Z30" i="25" s="1"/>
  <c r="Y29" i="25"/>
  <c r="AF86" i="25"/>
  <c r="AG87" i="25"/>
  <c r="AC17" i="25"/>
  <c r="AC6" i="24"/>
  <c r="AD5" i="24"/>
  <c r="AB18" i="25"/>
  <c r="AB37" i="25" s="1"/>
  <c r="AB188" i="24"/>
  <c r="Z67" i="24"/>
  <c r="Z16" i="25"/>
  <c r="Z35" i="25" s="1"/>
  <c r="AE2" i="12" s="1"/>
  <c r="AB36" i="25"/>
  <c r="AB19" i="25"/>
  <c r="AA27" i="25"/>
  <c r="AA26" i="25"/>
  <c r="AA25" i="25"/>
  <c r="AF319" i="12" s="1"/>
  <c r="AA24" i="25"/>
  <c r="AA23" i="25"/>
  <c r="AA22" i="25"/>
  <c r="AA21" i="25"/>
  <c r="AP197" i="24"/>
  <c r="AP196" i="24"/>
  <c r="Z29" i="25" l="1"/>
  <c r="AA28" i="25"/>
  <c r="AA30" i="25" s="1"/>
  <c r="AD17" i="25"/>
  <c r="AE5" i="24"/>
  <c r="AD6" i="24"/>
  <c r="AG88" i="25"/>
  <c r="AF87" i="25"/>
  <c r="AC18" i="25"/>
  <c r="AC37" i="25" s="1"/>
  <c r="AC188" i="24"/>
  <c r="AQ197" i="24"/>
  <c r="AQ196" i="24"/>
  <c r="AC36" i="25"/>
  <c r="AC19" i="25"/>
  <c r="AA29" i="25"/>
  <c r="AB27" i="25"/>
  <c r="AB26" i="25"/>
  <c r="AB25" i="25"/>
  <c r="AG319" i="12" s="1"/>
  <c r="AB24" i="25"/>
  <c r="AB23" i="25"/>
  <c r="AB22" i="25"/>
  <c r="AB21" i="25"/>
  <c r="AA67" i="24"/>
  <c r="AA16" i="25"/>
  <c r="AA35" i="25" s="1"/>
  <c r="AF2" i="12" s="1"/>
  <c r="AB28" i="25" l="1"/>
  <c r="AB30" i="25" s="1"/>
  <c r="AD36" i="25"/>
  <c r="AD19" i="25"/>
  <c r="AC27" i="25"/>
  <c r="AC26" i="25"/>
  <c r="AC25" i="25"/>
  <c r="AH319" i="12" s="1"/>
  <c r="AC24" i="25"/>
  <c r="AC23" i="25"/>
  <c r="AC22" i="25"/>
  <c r="AC21" i="25"/>
  <c r="AG89" i="25"/>
  <c r="AF88" i="25"/>
  <c r="AD18" i="25"/>
  <c r="AD37" i="25" s="1"/>
  <c r="AD188" i="24"/>
  <c r="AB67" i="24"/>
  <c r="AB16" i="25"/>
  <c r="AB35" i="25" s="1"/>
  <c r="AG2" i="12" s="1"/>
  <c r="AR197" i="24"/>
  <c r="AR196" i="24"/>
  <c r="AE17" i="25"/>
  <c r="AF5" i="24"/>
  <c r="AE6" i="24"/>
  <c r="AB29" i="25" l="1"/>
  <c r="AD27" i="25"/>
  <c r="AD26" i="25"/>
  <c r="AD25" i="25"/>
  <c r="AI319" i="12" s="1"/>
  <c r="AD24" i="25"/>
  <c r="AD23" i="25"/>
  <c r="AD22" i="25"/>
  <c r="AD21" i="25"/>
  <c r="AE18" i="25"/>
  <c r="AE37" i="25" s="1"/>
  <c r="AE188" i="24"/>
  <c r="AF17" i="25"/>
  <c r="AF6" i="24"/>
  <c r="AG5" i="24"/>
  <c r="AE36" i="25"/>
  <c r="AE19" i="25"/>
  <c r="AS196" i="24"/>
  <c r="AS197" i="24"/>
  <c r="AG90" i="25"/>
  <c r="AF89" i="25"/>
  <c r="AC28" i="25"/>
  <c r="AC30" i="25" s="1"/>
  <c r="AC67" i="24"/>
  <c r="AC16" i="25"/>
  <c r="AC35" i="25" s="1"/>
  <c r="AH2" i="12" s="1"/>
  <c r="AD28" i="25" l="1"/>
  <c r="AD30" i="25" s="1"/>
  <c r="AF36" i="25"/>
  <c r="AF19" i="25"/>
  <c r="AF90" i="25"/>
  <c r="AG91" i="25"/>
  <c r="AC29" i="25"/>
  <c r="AE27" i="25"/>
  <c r="AE26" i="25"/>
  <c r="AE25" i="25"/>
  <c r="AJ319" i="12" s="1"/>
  <c r="AE24" i="25"/>
  <c r="AE23" i="25"/>
  <c r="AE22" i="25"/>
  <c r="AE21" i="25"/>
  <c r="AD29" i="25"/>
  <c r="AT196" i="24"/>
  <c r="AT197" i="24"/>
  <c r="AD67" i="24"/>
  <c r="AD16" i="25"/>
  <c r="AD35" i="25" s="1"/>
  <c r="AI2" i="12" s="1"/>
  <c r="AG17" i="25"/>
  <c r="AH5" i="24"/>
  <c r="AG6" i="24"/>
  <c r="AF18" i="25"/>
  <c r="AF37" i="25" s="1"/>
  <c r="AF188" i="24"/>
  <c r="AE28" i="25" l="1"/>
  <c r="AE30" i="25" s="1"/>
  <c r="AE67" i="24"/>
  <c r="AE16" i="25"/>
  <c r="AE35" i="25" s="1"/>
  <c r="AJ2" i="12" s="1"/>
  <c r="AU197" i="24"/>
  <c r="AU196" i="24"/>
  <c r="AG18" i="25"/>
  <c r="AG37" i="25" s="1"/>
  <c r="AG188" i="24"/>
  <c r="AG92" i="25"/>
  <c r="AF91" i="25"/>
  <c r="AH17" i="25"/>
  <c r="AH6" i="24"/>
  <c r="AI5" i="24"/>
  <c r="AG36" i="25"/>
  <c r="AG19" i="25"/>
  <c r="AE29" i="25"/>
  <c r="AF27" i="25"/>
  <c r="AF26" i="25"/>
  <c r="AF25" i="25"/>
  <c r="AK319" i="12" s="1"/>
  <c r="AF24" i="25"/>
  <c r="AF23" i="25"/>
  <c r="AF22" i="25"/>
  <c r="AF21" i="25"/>
  <c r="AF28" i="25" l="1"/>
  <c r="AF30" i="25" s="1"/>
  <c r="AI17" i="25"/>
  <c r="AI6" i="24"/>
  <c r="AJ5" i="24"/>
  <c r="AF67" i="24"/>
  <c r="AF16" i="25"/>
  <c r="AF35" i="25" s="1"/>
  <c r="AK2" i="12" s="1"/>
  <c r="AH18" i="25"/>
  <c r="AH37" i="25" s="1"/>
  <c r="AH188" i="24"/>
  <c r="AG24" i="25"/>
  <c r="AG23" i="25"/>
  <c r="AG22" i="25"/>
  <c r="AG21" i="25"/>
  <c r="AG25" i="25"/>
  <c r="AL319" i="12" s="1"/>
  <c r="AG26" i="25"/>
  <c r="AG27" i="25"/>
  <c r="AH36" i="25"/>
  <c r="AH19" i="25"/>
  <c r="AV197" i="24"/>
  <c r="AV196" i="24"/>
  <c r="AF92" i="25"/>
  <c r="AG93" i="25"/>
  <c r="AG28" i="25" l="1"/>
  <c r="AG30" i="25" s="1"/>
  <c r="AF29" i="25"/>
  <c r="AG67" i="24"/>
  <c r="AG16" i="25"/>
  <c r="AG35" i="25" s="1"/>
  <c r="AL2" i="12" s="1"/>
  <c r="AJ17" i="25"/>
  <c r="AJ6" i="24"/>
  <c r="AK5" i="24"/>
  <c r="AI18" i="25"/>
  <c r="AI37" i="25" s="1"/>
  <c r="AI188" i="24"/>
  <c r="AH23" i="25"/>
  <c r="AH22" i="25"/>
  <c r="AH21" i="25"/>
  <c r="AH26" i="25"/>
  <c r="AH27" i="25"/>
  <c r="AH25" i="25"/>
  <c r="AM319" i="12" s="1"/>
  <c r="AH24" i="25"/>
  <c r="AI36" i="25"/>
  <c r="AI19" i="25"/>
  <c r="AW197" i="24"/>
  <c r="AW196" i="24"/>
  <c r="AG94" i="25"/>
  <c r="AF93" i="25"/>
  <c r="AG29" i="25" l="1"/>
  <c r="AH67" i="24"/>
  <c r="AH16" i="25"/>
  <c r="AH35" i="25" s="1"/>
  <c r="AM2" i="12" s="1"/>
  <c r="AK17" i="25"/>
  <c r="AL5" i="24"/>
  <c r="AK6" i="24"/>
  <c r="AX197" i="24"/>
  <c r="AX196" i="24"/>
  <c r="AJ188" i="24"/>
  <c r="AJ18" i="25"/>
  <c r="AJ37" i="25" s="1"/>
  <c r="AI27" i="25"/>
  <c r="AI26" i="25"/>
  <c r="AI25" i="25"/>
  <c r="AN319" i="12" s="1"/>
  <c r="AI22" i="25"/>
  <c r="AI23" i="25"/>
  <c r="AI21" i="25"/>
  <c r="AI24" i="25"/>
  <c r="AG95" i="25"/>
  <c r="AF94" i="25"/>
  <c r="AJ36" i="25"/>
  <c r="AJ19" i="25"/>
  <c r="AH28" i="25"/>
  <c r="AI28" i="25" l="1"/>
  <c r="AI29" i="25" s="1"/>
  <c r="AF95" i="25"/>
  <c r="AG96" i="25"/>
  <c r="AY197" i="24"/>
  <c r="AY196" i="24"/>
  <c r="AK18" i="25"/>
  <c r="AK37" i="25" s="1"/>
  <c r="AK188" i="24"/>
  <c r="AL17" i="25"/>
  <c r="AL6" i="24"/>
  <c r="AM5" i="24"/>
  <c r="AI30" i="25"/>
  <c r="AK36" i="25"/>
  <c r="AK19" i="25"/>
  <c r="AH29" i="25"/>
  <c r="AI67" i="24"/>
  <c r="AI16" i="25"/>
  <c r="AI35" i="25" s="1"/>
  <c r="AN2" i="12" s="1"/>
  <c r="AH30" i="25"/>
  <c r="AJ27" i="25"/>
  <c r="AJ26" i="25"/>
  <c r="AJ25" i="25"/>
  <c r="AO319" i="12" s="1"/>
  <c r="AJ24" i="25"/>
  <c r="AJ22" i="25"/>
  <c r="AJ23" i="25"/>
  <c r="AJ21" i="25"/>
  <c r="AJ28" i="25" l="1"/>
  <c r="AJ30" i="25" s="1"/>
  <c r="AK27" i="25"/>
  <c r="AK26" i="25"/>
  <c r="AK25" i="25"/>
  <c r="AP319" i="12" s="1"/>
  <c r="AK24" i="25"/>
  <c r="AK23" i="25"/>
  <c r="AK22" i="25"/>
  <c r="AK21" i="25"/>
  <c r="AG97" i="25"/>
  <c r="AF96" i="25"/>
  <c r="AM17" i="25"/>
  <c r="AM6" i="24"/>
  <c r="AN5" i="24"/>
  <c r="AZ197" i="24"/>
  <c r="AZ196" i="24"/>
  <c r="AL18" i="25"/>
  <c r="AL37" i="25" s="1"/>
  <c r="AL188" i="24"/>
  <c r="AJ67" i="24"/>
  <c r="AJ16" i="25"/>
  <c r="AJ35" i="25" s="1"/>
  <c r="AO2" i="12" s="1"/>
  <c r="AL36" i="25"/>
  <c r="AL19" i="25"/>
  <c r="AJ29" i="25" l="1"/>
  <c r="AK28" i="25"/>
  <c r="AK29" i="25" s="1"/>
  <c r="BA197" i="24"/>
  <c r="BA196" i="24"/>
  <c r="AM36" i="25"/>
  <c r="AM19" i="25"/>
  <c r="AK30" i="25"/>
  <c r="AG98" i="25"/>
  <c r="AF97" i="25"/>
  <c r="AK67" i="24"/>
  <c r="AK16" i="25"/>
  <c r="AK35" i="25" s="1"/>
  <c r="AP2" i="12" s="1"/>
  <c r="AL27" i="25"/>
  <c r="AL26" i="25"/>
  <c r="AL25" i="25"/>
  <c r="AQ319" i="12" s="1"/>
  <c r="AL24" i="25"/>
  <c r="AL23" i="25"/>
  <c r="AL22" i="25"/>
  <c r="AL21" i="25"/>
  <c r="AN17" i="25"/>
  <c r="AN6" i="24"/>
  <c r="AO5" i="24"/>
  <c r="AM18" i="25"/>
  <c r="AM37" i="25" s="1"/>
  <c r="AM188" i="24"/>
  <c r="AL67" i="24" l="1"/>
  <c r="AL16" i="25"/>
  <c r="AL35" i="25" s="1"/>
  <c r="AQ2" i="12" s="1"/>
  <c r="AF98" i="25"/>
  <c r="AG99" i="25"/>
  <c r="AO17" i="25"/>
  <c r="AO6" i="24"/>
  <c r="AP5" i="24"/>
  <c r="BB197" i="24"/>
  <c r="BB196" i="24"/>
  <c r="AN18" i="25"/>
  <c r="AN37" i="25" s="1"/>
  <c r="AN188" i="24"/>
  <c r="AN36" i="25"/>
  <c r="AN19" i="25"/>
  <c r="AL28" i="25"/>
  <c r="AL30" i="25" s="1"/>
  <c r="AM27" i="25"/>
  <c r="AM26" i="25"/>
  <c r="AM25" i="25"/>
  <c r="AR319" i="12" s="1"/>
  <c r="AM24" i="25"/>
  <c r="AM23" i="25"/>
  <c r="AM22" i="25"/>
  <c r="AM21" i="25"/>
  <c r="AL29" i="25" l="1"/>
  <c r="AM28" i="25"/>
  <c r="AM30" i="25" s="1"/>
  <c r="AM67" i="24"/>
  <c r="AM16" i="25"/>
  <c r="AM35" i="25" s="1"/>
  <c r="AR2" i="12" s="1"/>
  <c r="AP17" i="25"/>
  <c r="AP6" i="24"/>
  <c r="AQ5" i="24"/>
  <c r="AO18" i="25"/>
  <c r="AO37" i="25" s="1"/>
  <c r="AO188" i="24"/>
  <c r="AO36" i="25"/>
  <c r="AO19" i="25"/>
  <c r="AF99" i="25"/>
  <c r="AG100" i="25"/>
  <c r="AN27" i="25"/>
  <c r="AN26" i="25"/>
  <c r="AN25" i="25"/>
  <c r="AS319" i="12" s="1"/>
  <c r="AN24" i="25"/>
  <c r="AN23" i="25"/>
  <c r="AN22" i="25"/>
  <c r="AN21" i="25"/>
  <c r="BC197" i="24"/>
  <c r="BC196" i="24"/>
  <c r="AM29" i="25" l="1"/>
  <c r="AG101" i="25"/>
  <c r="AF100" i="25"/>
  <c r="AO27" i="25"/>
  <c r="AO26" i="25"/>
  <c r="AO25" i="25"/>
  <c r="AT319" i="12" s="1"/>
  <c r="AO24" i="25"/>
  <c r="AO23" i="25"/>
  <c r="AO22" i="25"/>
  <c r="AO21" i="25"/>
  <c r="AN28" i="25"/>
  <c r="AN30" i="25" s="1"/>
  <c r="AQ17" i="25"/>
  <c r="AQ6" i="24"/>
  <c r="AR5" i="24"/>
  <c r="AN67" i="24"/>
  <c r="AN16" i="25"/>
  <c r="AN35" i="25" s="1"/>
  <c r="AS2" i="12" s="1"/>
  <c r="AP18" i="25"/>
  <c r="AP37" i="25" s="1"/>
  <c r="AP188" i="24"/>
  <c r="AP36" i="25"/>
  <c r="AP19" i="25"/>
  <c r="BD197" i="24"/>
  <c r="BD196" i="24"/>
  <c r="AN29" i="25" l="1"/>
  <c r="AR17" i="25"/>
  <c r="AS5" i="24"/>
  <c r="AR6" i="24"/>
  <c r="AO28" i="25"/>
  <c r="AO30" i="25" s="1"/>
  <c r="AO67" i="24"/>
  <c r="AO16" i="25"/>
  <c r="AO35" i="25" s="1"/>
  <c r="AT2" i="12" s="1"/>
  <c r="AP27" i="25"/>
  <c r="AP26" i="25"/>
  <c r="AP25" i="25"/>
  <c r="AU319" i="12" s="1"/>
  <c r="AP24" i="25"/>
  <c r="AP23" i="25"/>
  <c r="AP22" i="25"/>
  <c r="AP21" i="25"/>
  <c r="AQ18" i="25"/>
  <c r="AQ37" i="25" s="1"/>
  <c r="AQ188" i="24"/>
  <c r="AQ36" i="25"/>
  <c r="AQ19" i="25"/>
  <c r="AF101" i="25"/>
  <c r="AG102" i="25"/>
  <c r="BE196" i="24"/>
  <c r="BE197" i="24"/>
  <c r="AO29" i="25" l="1"/>
  <c r="AP28" i="25"/>
  <c r="AQ27" i="25"/>
  <c r="AQ26" i="25"/>
  <c r="AQ25" i="25"/>
  <c r="AV319" i="12" s="1"/>
  <c r="AQ24" i="25"/>
  <c r="AQ23" i="25"/>
  <c r="AQ22" i="25"/>
  <c r="AQ21" i="25"/>
  <c r="AP29" i="25"/>
  <c r="AP30" i="25"/>
  <c r="AR18" i="25"/>
  <c r="AR37" i="25" s="1"/>
  <c r="AR188" i="24"/>
  <c r="AS17" i="25"/>
  <c r="AT5" i="24"/>
  <c r="AS6" i="24"/>
  <c r="AP67" i="24"/>
  <c r="AP16" i="25"/>
  <c r="AP35" i="25" s="1"/>
  <c r="AU2" i="12" s="1"/>
  <c r="AR36" i="25"/>
  <c r="AR19" i="25"/>
  <c r="AF102" i="25"/>
  <c r="AG103" i="25"/>
  <c r="BF196" i="24"/>
  <c r="BF197" i="24"/>
  <c r="AQ28" i="25" l="1"/>
  <c r="AQ67" i="24"/>
  <c r="AQ16" i="25"/>
  <c r="AQ35" i="25" s="1"/>
  <c r="AV2" i="12" s="1"/>
  <c r="BG197" i="24"/>
  <c r="BG196" i="24"/>
  <c r="AS18" i="25"/>
  <c r="AS37" i="25" s="1"/>
  <c r="AS188" i="24"/>
  <c r="AT17" i="25"/>
  <c r="AT6" i="24"/>
  <c r="AU5" i="24"/>
  <c r="AR27" i="25"/>
  <c r="AR26" i="25"/>
  <c r="AR25" i="25"/>
  <c r="AW319" i="12" s="1"/>
  <c r="AR24" i="25"/>
  <c r="AR23" i="25"/>
  <c r="AR22" i="25"/>
  <c r="AR21" i="25"/>
  <c r="AQ29" i="25"/>
  <c r="AQ30" i="25"/>
  <c r="AG104" i="25"/>
  <c r="AF103" i="25"/>
  <c r="AS36" i="25"/>
  <c r="AS19" i="25"/>
  <c r="AR28" i="25" l="1"/>
  <c r="AR30" i="25" s="1"/>
  <c r="AT18" i="25"/>
  <c r="AT37" i="25" s="1"/>
  <c r="AT188" i="24"/>
  <c r="AS24" i="25"/>
  <c r="AS23" i="25"/>
  <c r="AS22" i="25"/>
  <c r="AS21" i="25"/>
  <c r="AS26" i="25"/>
  <c r="AS27" i="25"/>
  <c r="AS25" i="25"/>
  <c r="AX319" i="12" s="1"/>
  <c r="AT36" i="25"/>
  <c r="AT19" i="25"/>
  <c r="AR67" i="24"/>
  <c r="AR16" i="25"/>
  <c r="AR35" i="25" s="1"/>
  <c r="AW2" i="12" s="1"/>
  <c r="BH197" i="24"/>
  <c r="BH196" i="24"/>
  <c r="AG105" i="25"/>
  <c r="AF104" i="25"/>
  <c r="AU17" i="25"/>
  <c r="AU6" i="24"/>
  <c r="AV5" i="24"/>
  <c r="AR29" i="25" l="1"/>
  <c r="AS28" i="25"/>
  <c r="AS30" i="25" s="1"/>
  <c r="AF105" i="25"/>
  <c r="AG106" i="25"/>
  <c r="AT23" i="25"/>
  <c r="AT22" i="25"/>
  <c r="AT21" i="25"/>
  <c r="AT27" i="25"/>
  <c r="AT24" i="25"/>
  <c r="AT25" i="25"/>
  <c r="AY319" i="12" s="1"/>
  <c r="AT26" i="25"/>
  <c r="AS29" i="25"/>
  <c r="AU36" i="25"/>
  <c r="AU19" i="25"/>
  <c r="AU18" i="25"/>
  <c r="AU37" i="25" s="1"/>
  <c r="AU188" i="24"/>
  <c r="AV17" i="25"/>
  <c r="AV6" i="24"/>
  <c r="AW5" i="24"/>
  <c r="AS67" i="24"/>
  <c r="AS16" i="25"/>
  <c r="U25" i="23"/>
  <c r="BI197" i="24"/>
  <c r="BI196" i="24"/>
  <c r="M8" i="23" l="1"/>
  <c r="T65" i="10" s="1"/>
  <c r="M9" i="23"/>
  <c r="C44" i="25" s="1"/>
  <c r="M10" i="23"/>
  <c r="C46" i="25" s="1"/>
  <c r="C40" i="25"/>
  <c r="P63" i="25"/>
  <c r="Z63" i="25"/>
  <c r="X87" i="24"/>
  <c r="Y87" i="24"/>
  <c r="Z87" i="24"/>
  <c r="AA87" i="24"/>
  <c r="AB87" i="24"/>
  <c r="AC87" i="24"/>
  <c r="AD87" i="24"/>
  <c r="AE87" i="24"/>
  <c r="AF87" i="24"/>
  <c r="AG87" i="24"/>
  <c r="AH87" i="24"/>
  <c r="AI87" i="24"/>
  <c r="AJ87" i="24"/>
  <c r="AK87" i="24"/>
  <c r="AL87" i="24"/>
  <c r="AM87" i="24"/>
  <c r="AN87" i="24"/>
  <c r="AO87" i="24"/>
  <c r="AP87" i="24"/>
  <c r="AQ87" i="24"/>
  <c r="AR87" i="24"/>
  <c r="AS87" i="24"/>
  <c r="AT87" i="24"/>
  <c r="AU87" i="24"/>
  <c r="AS35" i="25"/>
  <c r="AX2" i="12" s="1"/>
  <c r="U27" i="23"/>
  <c r="AW17" i="25"/>
  <c r="AW87" i="24"/>
  <c r="AX5" i="24"/>
  <c r="AW6" i="24"/>
  <c r="AF106" i="25"/>
  <c r="AG107" i="25"/>
  <c r="AV18" i="25"/>
  <c r="AV37" i="25" s="1"/>
  <c r="AV188" i="24"/>
  <c r="AV87" i="24"/>
  <c r="AV36" i="25"/>
  <c r="AV19" i="25"/>
  <c r="AU27" i="25"/>
  <c r="AU26" i="25"/>
  <c r="AU25" i="25"/>
  <c r="AZ319" i="12" s="1"/>
  <c r="AU22" i="25"/>
  <c r="AU21" i="25"/>
  <c r="AU23" i="25"/>
  <c r="AU24" i="25"/>
  <c r="AT67" i="24"/>
  <c r="AT16" i="25"/>
  <c r="AT35" i="25" s="1"/>
  <c r="AY2" i="12" s="1"/>
  <c r="AT28" i="25"/>
  <c r="BJ197" i="24"/>
  <c r="BJ196" i="24"/>
  <c r="G167" i="24" l="1"/>
  <c r="H167" i="24" s="1"/>
  <c r="I167" i="24" s="1"/>
  <c r="J167" i="24" s="1"/>
  <c r="K167" i="24" s="1"/>
  <c r="L167" i="24" s="1"/>
  <c r="T63" i="10"/>
  <c r="AI33" i="25"/>
  <c r="AX3" i="24"/>
  <c r="AX5" i="29" s="1"/>
  <c r="AU3" i="24"/>
  <c r="AU5" i="29" s="1"/>
  <c r="AV3" i="24"/>
  <c r="AV5" i="29" s="1"/>
  <c r="AW3" i="24"/>
  <c r="AW5" i="29" s="1"/>
  <c r="AT3" i="24"/>
  <c r="AT5" i="29" s="1"/>
  <c r="AV50" i="25"/>
  <c r="AV12" i="24" s="1"/>
  <c r="U27" i="21"/>
  <c r="R63" i="10" s="1"/>
  <c r="J63" i="10" s="1"/>
  <c r="AJ67" i="25"/>
  <c r="AJ75" i="25"/>
  <c r="AJ83" i="25"/>
  <c r="AJ91" i="25"/>
  <c r="AJ99" i="25"/>
  <c r="AJ107" i="25"/>
  <c r="AJ63" i="25"/>
  <c r="AJ101" i="25"/>
  <c r="AJ78" i="25"/>
  <c r="AJ94" i="25"/>
  <c r="AJ87" i="25"/>
  <c r="AJ64" i="25"/>
  <c r="AJ88" i="25"/>
  <c r="AJ96" i="25"/>
  <c r="AJ104" i="25"/>
  <c r="AJ65" i="25"/>
  <c r="AJ81" i="25"/>
  <c r="AJ97" i="25"/>
  <c r="AJ66" i="25"/>
  <c r="AJ82" i="25"/>
  <c r="AJ68" i="25"/>
  <c r="AJ76" i="25"/>
  <c r="AJ84" i="25"/>
  <c r="AJ92" i="25"/>
  <c r="AJ100" i="25"/>
  <c r="AJ69" i="25"/>
  <c r="AJ77" i="25"/>
  <c r="AJ85" i="25"/>
  <c r="AJ93" i="25"/>
  <c r="AJ70" i="25"/>
  <c r="AJ86" i="25"/>
  <c r="AJ102" i="25"/>
  <c r="AJ79" i="25"/>
  <c r="AJ103" i="25"/>
  <c r="AJ80" i="25"/>
  <c r="AJ73" i="25"/>
  <c r="AJ89" i="25"/>
  <c r="AJ71" i="25"/>
  <c r="AJ95" i="25"/>
  <c r="AJ72" i="25"/>
  <c r="AJ74" i="25"/>
  <c r="AJ105" i="25"/>
  <c r="AJ106" i="25"/>
  <c r="AJ90" i="25"/>
  <c r="AJ98" i="25"/>
  <c r="N3" i="24"/>
  <c r="N5" i="29" s="1"/>
  <c r="AU28" i="25"/>
  <c r="AU29" i="25" s="1"/>
  <c r="G46" i="25"/>
  <c r="G10" i="24" s="1"/>
  <c r="G19" i="24" s="1"/>
  <c r="G28" i="24" s="1"/>
  <c r="H46" i="25"/>
  <c r="H10" i="24" s="1"/>
  <c r="H19" i="24" s="1"/>
  <c r="H28" i="24" s="1"/>
  <c r="I46" i="25"/>
  <c r="J46" i="25"/>
  <c r="K46" i="25"/>
  <c r="L46" i="25"/>
  <c r="M46" i="25"/>
  <c r="G44" i="25"/>
  <c r="G9" i="24" s="1"/>
  <c r="G18" i="24" s="1"/>
  <c r="G27" i="24" s="1"/>
  <c r="H44" i="25"/>
  <c r="H9" i="24" s="1"/>
  <c r="H18" i="24" s="1"/>
  <c r="H27" i="24" s="1"/>
  <c r="I44" i="25"/>
  <c r="J44" i="25"/>
  <c r="K44" i="25"/>
  <c r="L44" i="25"/>
  <c r="M44" i="25"/>
  <c r="L40" i="25"/>
  <c r="M40" i="25"/>
  <c r="AV27" i="25"/>
  <c r="AV26" i="25"/>
  <c r="AV25" i="25"/>
  <c r="BA319" i="12" s="1"/>
  <c r="AV24" i="25"/>
  <c r="AV22" i="25"/>
  <c r="AV21" i="25"/>
  <c r="AV23" i="25"/>
  <c r="AK106" i="25"/>
  <c r="AK97" i="25"/>
  <c r="AK89" i="25"/>
  <c r="R3" i="24"/>
  <c r="R5" i="29" s="1"/>
  <c r="AI3" i="24"/>
  <c r="AI5" i="29" s="1"/>
  <c r="Y3" i="24"/>
  <c r="Y5" i="29" s="1"/>
  <c r="Z3" i="24"/>
  <c r="Z5" i="29" s="1"/>
  <c r="AG108" i="25"/>
  <c r="AJ108" i="25" s="1"/>
  <c r="AF107" i="25"/>
  <c r="AK107" i="25"/>
  <c r="AK105" i="25"/>
  <c r="AK93" i="25"/>
  <c r="AK65" i="25"/>
  <c r="AF3" i="24"/>
  <c r="AF5" i="29" s="1"/>
  <c r="I3" i="24"/>
  <c r="I5" i="29" s="1"/>
  <c r="AN3" i="24"/>
  <c r="AN5" i="29" s="1"/>
  <c r="AL3" i="24"/>
  <c r="AL5" i="29" s="1"/>
  <c r="AT29" i="25"/>
  <c r="AK101" i="25"/>
  <c r="AK85" i="25"/>
  <c r="AR3" i="24"/>
  <c r="AR5" i="29" s="1"/>
  <c r="V3" i="24"/>
  <c r="V5" i="29" s="1"/>
  <c r="M3" i="24"/>
  <c r="M5" i="29" s="1"/>
  <c r="X65" i="25"/>
  <c r="Z64" i="25"/>
  <c r="Y63" i="25"/>
  <c r="AT30" i="25"/>
  <c r="AV33" i="25"/>
  <c r="AK96" i="25"/>
  <c r="AK64" i="25"/>
  <c r="F3" i="24"/>
  <c r="AJ3" i="24"/>
  <c r="AJ5" i="29" s="1"/>
  <c r="AA3" i="24"/>
  <c r="AA5" i="29" s="1"/>
  <c r="P64" i="25"/>
  <c r="O63" i="25"/>
  <c r="AW50" i="25"/>
  <c r="AK88" i="25"/>
  <c r="S3" i="24"/>
  <c r="S5" i="29" s="1"/>
  <c r="J3" i="24"/>
  <c r="J5" i="29" s="1"/>
  <c r="AO3" i="24"/>
  <c r="AO5" i="29" s="1"/>
  <c r="AW18" i="25"/>
  <c r="AW37" i="25" s="1"/>
  <c r="AW188" i="24"/>
  <c r="AK104" i="25"/>
  <c r="AK100" i="25"/>
  <c r="AK92" i="25"/>
  <c r="AG3" i="24"/>
  <c r="AG5" i="29" s="1"/>
  <c r="W3" i="24"/>
  <c r="W5" i="29" s="1"/>
  <c r="P3" i="24"/>
  <c r="P5" i="29" s="1"/>
  <c r="BK197" i="24"/>
  <c r="BK196" i="24"/>
  <c r="AX17" i="25"/>
  <c r="AX87" i="24"/>
  <c r="AX6" i="24"/>
  <c r="AY5" i="24"/>
  <c r="AY175" i="24" s="1"/>
  <c r="AK99" i="25"/>
  <c r="AK95" i="25"/>
  <c r="AK87" i="25"/>
  <c r="G40" i="25"/>
  <c r="G41" i="25" s="1"/>
  <c r="H40" i="25"/>
  <c r="I40" i="25"/>
  <c r="I41" i="25" s="1"/>
  <c r="J40" i="25"/>
  <c r="J41" i="25" s="1"/>
  <c r="K40" i="25"/>
  <c r="AK3" i="24"/>
  <c r="AK5" i="29" s="1"/>
  <c r="O3" i="24"/>
  <c r="O5" i="29" s="1"/>
  <c r="AK103" i="25"/>
  <c r="AK91" i="25"/>
  <c r="G3" i="24"/>
  <c r="G5" i="29" s="1"/>
  <c r="K3" i="24"/>
  <c r="K5" i="29" s="1"/>
  <c r="AB3" i="24"/>
  <c r="AB5" i="29" s="1"/>
  <c r="AU67" i="24"/>
  <c r="AU16" i="25"/>
  <c r="AU35" i="25" s="1"/>
  <c r="AZ2" i="12" s="1"/>
  <c r="AW36" i="25"/>
  <c r="AW33" i="25"/>
  <c r="AW19" i="25"/>
  <c r="AK67" i="25"/>
  <c r="AK63" i="25"/>
  <c r="T3" i="24"/>
  <c r="T5" i="29" s="1"/>
  <c r="X3" i="24"/>
  <c r="X5" i="29" s="1"/>
  <c r="AQ3" i="24"/>
  <c r="AQ5" i="29" s="1"/>
  <c r="N66" i="25"/>
  <c r="AW175" i="24"/>
  <c r="AK175" i="24"/>
  <c r="Y175" i="24"/>
  <c r="M175" i="24"/>
  <c r="AU175" i="24"/>
  <c r="AI175" i="24"/>
  <c r="W175" i="24"/>
  <c r="K175" i="24"/>
  <c r="AT175" i="24"/>
  <c r="AH175" i="24"/>
  <c r="V175" i="24"/>
  <c r="J175" i="24"/>
  <c r="AS175" i="24"/>
  <c r="AG175" i="24"/>
  <c r="U175" i="24"/>
  <c r="I175" i="24"/>
  <c r="AR175" i="24"/>
  <c r="AF175" i="24"/>
  <c r="T175" i="24"/>
  <c r="H175" i="24"/>
  <c r="AQ175" i="24"/>
  <c r="AE175" i="24"/>
  <c r="S175" i="24"/>
  <c r="G175" i="24"/>
  <c r="AP175" i="24"/>
  <c r="AD175" i="24"/>
  <c r="R175" i="24"/>
  <c r="F175" i="24"/>
  <c r="AO175" i="24"/>
  <c r="AC175" i="24"/>
  <c r="Q175" i="24"/>
  <c r="AN175" i="24"/>
  <c r="AB175" i="24"/>
  <c r="P175" i="24"/>
  <c r="AX175" i="24"/>
  <c r="AL175" i="24"/>
  <c r="Z175" i="24"/>
  <c r="N175" i="24"/>
  <c r="AM175" i="24"/>
  <c r="AJ175" i="24"/>
  <c r="AA175" i="24"/>
  <c r="X175" i="24"/>
  <c r="O175" i="24"/>
  <c r="L175" i="24"/>
  <c r="AV175" i="24"/>
  <c r="AI63" i="25"/>
  <c r="AI64" i="25" s="1"/>
  <c r="AI65" i="25" s="1"/>
  <c r="AI66" i="25" s="1"/>
  <c r="AI67" i="25" s="1"/>
  <c r="AI68" i="25" s="1"/>
  <c r="AI69" i="25" s="1"/>
  <c r="AI70" i="25" s="1"/>
  <c r="AI71" i="25" s="1"/>
  <c r="AI72" i="25" s="1"/>
  <c r="AI73" i="25" s="1"/>
  <c r="AI74" i="25" s="1"/>
  <c r="AI75" i="25" s="1"/>
  <c r="AI76" i="25" s="1"/>
  <c r="AI77" i="25" s="1"/>
  <c r="AI78" i="25" s="1"/>
  <c r="AI79" i="25" s="1"/>
  <c r="AI80" i="25" s="1"/>
  <c r="AI81" i="25" s="1"/>
  <c r="AI82" i="25" s="1"/>
  <c r="AI83" i="25" s="1"/>
  <c r="AI84" i="25" s="1"/>
  <c r="AI85" i="25" s="1"/>
  <c r="AI86" i="25" s="1"/>
  <c r="AI87" i="25" s="1"/>
  <c r="AI88" i="25" s="1"/>
  <c r="AI89" i="25" s="1"/>
  <c r="AI90" i="25" s="1"/>
  <c r="AI91" i="25" s="1"/>
  <c r="AI92" i="25" s="1"/>
  <c r="AI93" i="25" s="1"/>
  <c r="AI94" i="25" s="1"/>
  <c r="AI95" i="25" s="1"/>
  <c r="AI96" i="25" s="1"/>
  <c r="AI97" i="25" s="1"/>
  <c r="AI98" i="25" s="1"/>
  <c r="AI99" i="25" s="1"/>
  <c r="AI100" i="25" s="1"/>
  <c r="AI101" i="25" s="1"/>
  <c r="AI102" i="25" s="1"/>
  <c r="AI103" i="25" s="1"/>
  <c r="AI104" i="25" s="1"/>
  <c r="AI105" i="25" s="1"/>
  <c r="AI106" i="25" s="1"/>
  <c r="AI107" i="25" s="1"/>
  <c r="AI108" i="25" s="1"/>
  <c r="AH63" i="25"/>
  <c r="F33" i="25"/>
  <c r="G33" i="25"/>
  <c r="G50" i="25"/>
  <c r="G12" i="24" s="1"/>
  <c r="G48" i="25"/>
  <c r="G11" i="24" s="1"/>
  <c r="G16" i="29" s="1"/>
  <c r="H50" i="25"/>
  <c r="H12" i="24" s="1"/>
  <c r="H33" i="25"/>
  <c r="I33" i="25"/>
  <c r="I50" i="25"/>
  <c r="J33" i="25"/>
  <c r="J50" i="25"/>
  <c r="K33" i="25"/>
  <c r="K50" i="25"/>
  <c r="L50" i="25"/>
  <c r="L33" i="25"/>
  <c r="M33" i="25"/>
  <c r="M50" i="25"/>
  <c r="N50" i="25"/>
  <c r="N33" i="25"/>
  <c r="O50" i="25"/>
  <c r="O33" i="25"/>
  <c r="P33" i="25"/>
  <c r="P50" i="25"/>
  <c r="Q50" i="25"/>
  <c r="Q33" i="25"/>
  <c r="R50" i="25"/>
  <c r="R33" i="25"/>
  <c r="S33" i="25"/>
  <c r="S50" i="25"/>
  <c r="T33" i="25"/>
  <c r="T50" i="25"/>
  <c r="U50" i="25"/>
  <c r="U33" i="25"/>
  <c r="V50" i="25"/>
  <c r="V33" i="25"/>
  <c r="W50" i="25"/>
  <c r="W33" i="25"/>
  <c r="X50" i="25"/>
  <c r="X33" i="25"/>
  <c r="Y33" i="25"/>
  <c r="Y50" i="25"/>
  <c r="Z50" i="25"/>
  <c r="Z33" i="25"/>
  <c r="AA33" i="25"/>
  <c r="AA50" i="25"/>
  <c r="AB33" i="25"/>
  <c r="AB50" i="25"/>
  <c r="AC33" i="25"/>
  <c r="AC50" i="25"/>
  <c r="AD33" i="25"/>
  <c r="AD50" i="25"/>
  <c r="AE50" i="25"/>
  <c r="AE33" i="25"/>
  <c r="AF50" i="25"/>
  <c r="AF33" i="25"/>
  <c r="AG33" i="25"/>
  <c r="AG50" i="25"/>
  <c r="AH50" i="25"/>
  <c r="AH33" i="25"/>
  <c r="AJ33" i="25"/>
  <c r="AK33" i="25"/>
  <c r="AK50" i="25"/>
  <c r="AL50" i="25"/>
  <c r="AL33" i="25"/>
  <c r="AM50" i="25"/>
  <c r="AM33" i="25"/>
  <c r="AN50" i="25"/>
  <c r="AN33" i="25"/>
  <c r="AO50" i="25"/>
  <c r="AO33" i="25"/>
  <c r="AP33" i="25"/>
  <c r="AP50" i="25"/>
  <c r="AQ33" i="25"/>
  <c r="AQ50" i="25"/>
  <c r="AR33" i="25"/>
  <c r="AR50" i="25"/>
  <c r="AS33" i="25"/>
  <c r="AS50" i="25"/>
  <c r="AT50" i="25"/>
  <c r="AT33" i="25"/>
  <c r="AU33" i="25"/>
  <c r="AU50" i="25"/>
  <c r="AK70" i="25"/>
  <c r="AK66" i="25"/>
  <c r="Q3" i="24"/>
  <c r="Q5" i="29" s="1"/>
  <c r="AH3" i="24"/>
  <c r="AH5" i="29" s="1"/>
  <c r="AM3" i="24"/>
  <c r="AM5" i="29" s="1"/>
  <c r="AD3" i="24"/>
  <c r="AD5" i="29" s="1"/>
  <c r="AK102" i="25"/>
  <c r="AK98" i="25"/>
  <c r="AK90" i="25"/>
  <c r="AK86" i="25"/>
  <c r="AE3" i="24"/>
  <c r="AE5" i="29" s="1"/>
  <c r="H3" i="24"/>
  <c r="H5" i="29" s="1"/>
  <c r="AC3" i="24"/>
  <c r="AC5" i="29" s="1"/>
  <c r="AP3" i="24"/>
  <c r="AP5" i="29" s="1"/>
  <c r="AK94" i="25"/>
  <c r="AS3" i="24"/>
  <c r="AS5" i="29" s="1"/>
  <c r="U3" i="24"/>
  <c r="U5" i="29" s="1"/>
  <c r="L3" i="24"/>
  <c r="L5" i="29" s="1"/>
  <c r="AK84" i="25" l="1"/>
  <c r="M167" i="24"/>
  <c r="N167" i="24" s="1"/>
  <c r="L63" i="10"/>
  <c r="M8" i="24"/>
  <c r="M17" i="24" s="1"/>
  <c r="M26" i="29" s="1"/>
  <c r="M41" i="25"/>
  <c r="K8" i="24"/>
  <c r="K17" i="24" s="1"/>
  <c r="K26" i="29" s="1"/>
  <c r="K41" i="25"/>
  <c r="L8" i="24"/>
  <c r="L17" i="24" s="1"/>
  <c r="L26" i="29" s="1"/>
  <c r="L41" i="25"/>
  <c r="H8" i="24"/>
  <c r="H11" i="29" s="1"/>
  <c r="H41" i="25"/>
  <c r="AY3" i="24"/>
  <c r="AY5" i="29" s="1"/>
  <c r="Q34" i="24"/>
  <c r="Y34" i="24"/>
  <c r="AG34" i="24"/>
  <c r="R34" i="24"/>
  <c r="Z34" i="24"/>
  <c r="AH34" i="24"/>
  <c r="S34" i="24"/>
  <c r="AA34" i="24"/>
  <c r="T34" i="24"/>
  <c r="N34" i="24"/>
  <c r="AC34" i="24"/>
  <c r="AD34" i="24"/>
  <c r="W34" i="24"/>
  <c r="X34" i="24"/>
  <c r="AB34" i="24"/>
  <c r="O34" i="24"/>
  <c r="AF34" i="24"/>
  <c r="U34" i="24"/>
  <c r="V34" i="24"/>
  <c r="AE34" i="24"/>
  <c r="P34" i="24"/>
  <c r="F189" i="24"/>
  <c r="F198" i="24" s="1"/>
  <c r="G8" i="24"/>
  <c r="G11" i="29" s="1"/>
  <c r="AU30" i="25"/>
  <c r="AK82" i="25"/>
  <c r="F5" i="29"/>
  <c r="AK80" i="25"/>
  <c r="AK81" i="25"/>
  <c r="AV28" i="25"/>
  <c r="AV30" i="25" s="1"/>
  <c r="AK74" i="25"/>
  <c r="AK83" i="25"/>
  <c r="N46" i="25"/>
  <c r="O46" i="25" s="1"/>
  <c r="O47" i="25" s="1"/>
  <c r="H21" i="24"/>
  <c r="H30" i="24" s="1"/>
  <c r="G20" i="24"/>
  <c r="G21" i="24"/>
  <c r="G30" i="24" s="1"/>
  <c r="L45" i="25"/>
  <c r="L9" i="24"/>
  <c r="L18" i="24" s="1"/>
  <c r="L27" i="24" s="1"/>
  <c r="K45" i="25"/>
  <c r="K9" i="24"/>
  <c r="K18" i="24" s="1"/>
  <c r="K27" i="24" s="1"/>
  <c r="J45" i="25"/>
  <c r="J9" i="24"/>
  <c r="J18" i="24" s="1"/>
  <c r="J27" i="24" s="1"/>
  <c r="I45" i="25"/>
  <c r="I9" i="24"/>
  <c r="I18" i="24" s="1"/>
  <c r="I27" i="24" s="1"/>
  <c r="H45" i="25"/>
  <c r="M10" i="24"/>
  <c r="M19" i="24" s="1"/>
  <c r="M28" i="24" s="1"/>
  <c r="M47" i="25"/>
  <c r="H57" i="25"/>
  <c r="I57" i="25" s="1"/>
  <c r="J57" i="25" s="1"/>
  <c r="K57" i="25" s="1"/>
  <c r="L57" i="25" s="1"/>
  <c r="M57" i="25" s="1"/>
  <c r="N57" i="25" s="1"/>
  <c r="G45" i="25"/>
  <c r="L47" i="25"/>
  <c r="L10" i="24"/>
  <c r="L19" i="24" s="1"/>
  <c r="L28" i="24" s="1"/>
  <c r="K10" i="24"/>
  <c r="K19" i="24" s="1"/>
  <c r="K28" i="24" s="1"/>
  <c r="K47" i="25"/>
  <c r="J47" i="25"/>
  <c r="J10" i="24"/>
  <c r="J19" i="24" s="1"/>
  <c r="J28" i="24" s="1"/>
  <c r="I47" i="25"/>
  <c r="I10" i="24"/>
  <c r="I19" i="24" s="1"/>
  <c r="I28" i="24" s="1"/>
  <c r="H47" i="25"/>
  <c r="N44" i="25"/>
  <c r="H58" i="25"/>
  <c r="I58" i="25" s="1"/>
  <c r="J58" i="25" s="1"/>
  <c r="K58" i="25" s="1"/>
  <c r="L58" i="25" s="1"/>
  <c r="M58" i="25" s="1"/>
  <c r="N58" i="25" s="1"/>
  <c r="G47" i="25"/>
  <c r="M45" i="25"/>
  <c r="M9" i="24"/>
  <c r="M18" i="24" s="1"/>
  <c r="M27" i="24" s="1"/>
  <c r="AH12" i="24"/>
  <c r="AE12" i="24"/>
  <c r="W12" i="24"/>
  <c r="AG109" i="25"/>
  <c r="AJ109" i="25" s="1"/>
  <c r="AF108" i="25"/>
  <c r="AK108" i="25"/>
  <c r="AK77" i="25"/>
  <c r="AK73" i="25"/>
  <c r="AP12" i="24"/>
  <c r="AL12" i="24"/>
  <c r="AD12" i="24"/>
  <c r="N12" i="24"/>
  <c r="J12" i="24"/>
  <c r="AL63" i="25"/>
  <c r="AH64" i="25"/>
  <c r="P65" i="25"/>
  <c r="O64" i="25"/>
  <c r="Y64" i="25"/>
  <c r="Z65" i="25"/>
  <c r="AI109" i="25"/>
  <c r="AX50" i="25"/>
  <c r="AK75" i="25"/>
  <c r="J8" i="24"/>
  <c r="AY17" i="25"/>
  <c r="AY87" i="24"/>
  <c r="AY6" i="24"/>
  <c r="AZ5" i="24"/>
  <c r="AZ3" i="24" s="1"/>
  <c r="AZ5" i="29" s="1"/>
  <c r="AV67" i="24"/>
  <c r="AV16" i="25"/>
  <c r="AV35" i="25" s="1"/>
  <c r="BA2" i="12" s="1"/>
  <c r="V12" i="24"/>
  <c r="AS12" i="24"/>
  <c r="I12" i="24"/>
  <c r="AK79" i="25"/>
  <c r="I8" i="24"/>
  <c r="I11" i="29" s="1"/>
  <c r="AX18" i="25"/>
  <c r="AX37" i="25" s="1"/>
  <c r="AX188" i="24"/>
  <c r="AK12" i="24"/>
  <c r="AG12" i="24"/>
  <c r="AC12" i="24"/>
  <c r="Y12" i="24"/>
  <c r="Q12" i="24"/>
  <c r="M12" i="24"/>
  <c r="AW12" i="24"/>
  <c r="AO12" i="24"/>
  <c r="U12" i="24"/>
  <c r="AW174" i="24"/>
  <c r="BB321" i="12" s="1"/>
  <c r="AW68" i="3" s="1"/>
  <c r="AK174" i="24"/>
  <c r="AP321" i="12" s="1"/>
  <c r="AK68" i="3" s="1"/>
  <c r="Y174" i="24"/>
  <c r="M174" i="24"/>
  <c r="M62" i="24" s="1"/>
  <c r="M54" i="24" s="1"/>
  <c r="AU174" i="24"/>
  <c r="AZ321" i="12" s="1"/>
  <c r="AU68" i="3" s="1"/>
  <c r="AI174" i="24"/>
  <c r="AN321" i="12" s="1"/>
  <c r="AI68" i="3" s="1"/>
  <c r="W174" i="24"/>
  <c r="K174" i="24"/>
  <c r="K62" i="24" s="1"/>
  <c r="K54" i="24" s="1"/>
  <c r="AT174" i="24"/>
  <c r="AY321" i="12" s="1"/>
  <c r="AT68" i="3" s="1"/>
  <c r="AH174" i="24"/>
  <c r="V174" i="24"/>
  <c r="J174" i="24"/>
  <c r="J62" i="24" s="1"/>
  <c r="J54" i="24" s="1"/>
  <c r="AS174" i="24"/>
  <c r="AX321" i="12" s="1"/>
  <c r="AS68" i="3" s="1"/>
  <c r="AG174" i="24"/>
  <c r="U174" i="24"/>
  <c r="I174" i="24"/>
  <c r="I62" i="24" s="1"/>
  <c r="I54" i="24" s="1"/>
  <c r="AR174" i="24"/>
  <c r="AW321" i="12" s="1"/>
  <c r="AR68" i="3" s="1"/>
  <c r="AF174" i="24"/>
  <c r="T174" i="24"/>
  <c r="H174" i="24"/>
  <c r="H62" i="24" s="1"/>
  <c r="H54" i="24" s="1"/>
  <c r="AQ174" i="24"/>
  <c r="AV321" i="12" s="1"/>
  <c r="AQ68" i="3" s="1"/>
  <c r="AE174" i="24"/>
  <c r="S174" i="24"/>
  <c r="G174" i="24"/>
  <c r="G62" i="24" s="1"/>
  <c r="G54" i="24" s="1"/>
  <c r="AP174" i="24"/>
  <c r="AU321" i="12" s="1"/>
  <c r="AP68" i="3" s="1"/>
  <c r="AD174" i="24"/>
  <c r="R174" i="24"/>
  <c r="F174" i="24"/>
  <c r="F62" i="24" s="1"/>
  <c r="F54" i="24" s="1"/>
  <c r="AO174" i="24"/>
  <c r="AT321" i="12" s="1"/>
  <c r="AO68" i="3" s="1"/>
  <c r="AC174" i="24"/>
  <c r="Q174" i="24"/>
  <c r="V321" i="12" s="1"/>
  <c r="AZ174" i="24"/>
  <c r="BE321" i="12" s="1"/>
  <c r="AZ68" i="3" s="1"/>
  <c r="AN174" i="24"/>
  <c r="AS321" i="12" s="1"/>
  <c r="AN68" i="3" s="1"/>
  <c r="AB174" i="24"/>
  <c r="P174" i="24"/>
  <c r="AX174" i="24"/>
  <c r="BC321" i="12" s="1"/>
  <c r="AX68" i="3" s="1"/>
  <c r="AL174" i="24"/>
  <c r="AQ321" i="12" s="1"/>
  <c r="AL68" i="3" s="1"/>
  <c r="Z174" i="24"/>
  <c r="N174" i="24"/>
  <c r="AA174" i="24"/>
  <c r="X174" i="24"/>
  <c r="O174" i="24"/>
  <c r="L174" i="24"/>
  <c r="L62" i="24" s="1"/>
  <c r="L54" i="24" s="1"/>
  <c r="AY174" i="24"/>
  <c r="BD321" i="12" s="1"/>
  <c r="AY68" i="3" s="1"/>
  <c r="AM174" i="24"/>
  <c r="AR321" i="12" s="1"/>
  <c r="AM68" i="3" s="1"/>
  <c r="AV174" i="24"/>
  <c r="BA321" i="12" s="1"/>
  <c r="AV68" i="3" s="1"/>
  <c r="AJ174" i="24"/>
  <c r="AO321" i="12" s="1"/>
  <c r="AJ68" i="3" s="1"/>
  <c r="M34" i="24"/>
  <c r="L34" i="24"/>
  <c r="K34" i="24"/>
  <c r="J34" i="24"/>
  <c r="I34" i="24"/>
  <c r="H34" i="24"/>
  <c r="G34" i="24"/>
  <c r="H56" i="25"/>
  <c r="I56" i="25" s="1"/>
  <c r="J56" i="25" s="1"/>
  <c r="K56" i="25" s="1"/>
  <c r="L56" i="25" s="1"/>
  <c r="M56" i="25" s="1"/>
  <c r="N56" i="25" s="1"/>
  <c r="AX36" i="25"/>
  <c r="AX33" i="25"/>
  <c r="AX19" i="25"/>
  <c r="AB12" i="24"/>
  <c r="P12" i="24"/>
  <c r="AK69" i="25"/>
  <c r="AT12" i="24"/>
  <c r="AR12" i="24"/>
  <c r="AF12" i="24"/>
  <c r="X12" i="24"/>
  <c r="T12" i="24"/>
  <c r="H48" i="25"/>
  <c r="AK68" i="25"/>
  <c r="AN12" i="24"/>
  <c r="L12" i="24"/>
  <c r="AK76" i="25"/>
  <c r="AK72" i="25"/>
  <c r="R12" i="24"/>
  <c r="AU12" i="24"/>
  <c r="S12" i="24"/>
  <c r="K12" i="24"/>
  <c r="BL197" i="24"/>
  <c r="BL196" i="24"/>
  <c r="AV21" i="24"/>
  <c r="AV30" i="24" s="1"/>
  <c r="Z12" i="24"/>
  <c r="AK78" i="25"/>
  <c r="AQ12" i="24"/>
  <c r="AM12" i="24"/>
  <c r="AA12" i="24"/>
  <c r="O12" i="24"/>
  <c r="AK71" i="25"/>
  <c r="AW27" i="25"/>
  <c r="AW26" i="25"/>
  <c r="AW25" i="25"/>
  <c r="BB319" i="12" s="1"/>
  <c r="AW24" i="25"/>
  <c r="AW23" i="25"/>
  <c r="AW22" i="25"/>
  <c r="AW21" i="25"/>
  <c r="AF321" i="12" l="1"/>
  <c r="AA68" i="3" s="1"/>
  <c r="X321" i="12"/>
  <c r="Z321" i="12"/>
  <c r="U68" i="3" s="1"/>
  <c r="AB321" i="12"/>
  <c r="W68" i="3" s="1"/>
  <c r="AE321" i="12"/>
  <c r="Z68" i="3" s="1"/>
  <c r="AH321" i="12"/>
  <c r="AC68" i="3" s="1"/>
  <c r="AJ321" i="12"/>
  <c r="AE68" i="3" s="1"/>
  <c r="AL321" i="12"/>
  <c r="AG68" i="3" s="1"/>
  <c r="AA321" i="12"/>
  <c r="V68" i="3" s="1"/>
  <c r="W321" i="12"/>
  <c r="R68" i="3" s="1"/>
  <c r="Y321" i="12"/>
  <c r="T68" i="3" s="1"/>
  <c r="AD321" i="12"/>
  <c r="Y68" i="3" s="1"/>
  <c r="AG321" i="12"/>
  <c r="AB68" i="3" s="1"/>
  <c r="AI321" i="12"/>
  <c r="AD68" i="3" s="1"/>
  <c r="AK321" i="12"/>
  <c r="AF68" i="3" s="1"/>
  <c r="AM321" i="12"/>
  <c r="AH68" i="3" s="1"/>
  <c r="AC321" i="12"/>
  <c r="X68" i="3" s="1"/>
  <c r="O167" i="24"/>
  <c r="P167" i="24" s="1"/>
  <c r="M11" i="29"/>
  <c r="K11" i="29"/>
  <c r="L11" i="29"/>
  <c r="H17" i="24"/>
  <c r="H26" i="24" s="1"/>
  <c r="G17" i="24"/>
  <c r="G26" i="29" s="1"/>
  <c r="AV141" i="24"/>
  <c r="AV29" i="25"/>
  <c r="O58" i="25"/>
  <c r="P58" i="25" s="1"/>
  <c r="N10" i="24"/>
  <c r="N19" i="24" s="1"/>
  <c r="N28" i="24" s="1"/>
  <c r="N155" i="24" s="1"/>
  <c r="AW28" i="25"/>
  <c r="AW30" i="25" s="1"/>
  <c r="G29" i="24"/>
  <c r="G31" i="29"/>
  <c r="J17" i="24"/>
  <c r="J26" i="29" s="1"/>
  <c r="J11" i="29"/>
  <c r="N47" i="25"/>
  <c r="H11" i="24"/>
  <c r="P46" i="25"/>
  <c r="P47" i="25" s="1"/>
  <c r="O10" i="24"/>
  <c r="O139" i="24" s="1"/>
  <c r="O57" i="25"/>
  <c r="N9" i="24"/>
  <c r="N18" i="24" s="1"/>
  <c r="N27" i="24" s="1"/>
  <c r="N114" i="24" s="1"/>
  <c r="N45" i="25"/>
  <c r="Q46" i="25"/>
  <c r="O44" i="25"/>
  <c r="AX27" i="25"/>
  <c r="AX26" i="25"/>
  <c r="AX25" i="25"/>
  <c r="BC319" i="12" s="1"/>
  <c r="AX24" i="25"/>
  <c r="AX23" i="25"/>
  <c r="AX22" i="25"/>
  <c r="AX21" i="25"/>
  <c r="L138" i="24"/>
  <c r="L139" i="24"/>
  <c r="L155" i="24"/>
  <c r="L154" i="24"/>
  <c r="L114" i="24"/>
  <c r="G115" i="24"/>
  <c r="H115" i="24" s="1"/>
  <c r="I115" i="24" s="1"/>
  <c r="G139" i="24"/>
  <c r="G138" i="24"/>
  <c r="G154" i="24"/>
  <c r="G114" i="24"/>
  <c r="G155" i="24"/>
  <c r="AC141" i="24"/>
  <c r="AC21" i="24"/>
  <c r="AC30" i="24" s="1"/>
  <c r="AX12" i="24"/>
  <c r="K137" i="24"/>
  <c r="K26" i="24"/>
  <c r="AM141" i="24"/>
  <c r="AM21" i="24"/>
  <c r="AM30" i="24" s="1"/>
  <c r="T141" i="24"/>
  <c r="T21" i="24"/>
  <c r="T30" i="24" s="1"/>
  <c r="AT141" i="24"/>
  <c r="AT21" i="24"/>
  <c r="AT30" i="24" s="1"/>
  <c r="M139" i="24"/>
  <c r="M138" i="24"/>
  <c r="M154" i="24"/>
  <c r="M114" i="24"/>
  <c r="M155" i="24"/>
  <c r="V141" i="24"/>
  <c r="V21" i="24"/>
  <c r="V30" i="24" s="1"/>
  <c r="N141" i="24"/>
  <c r="N21" i="24"/>
  <c r="N30" i="24" s="1"/>
  <c r="AW67" i="24"/>
  <c r="AW16" i="25"/>
  <c r="AW35" i="25" s="1"/>
  <c r="BB2" i="12" s="1"/>
  <c r="K141" i="24"/>
  <c r="K21" i="24"/>
  <c r="K30" i="24" s="1"/>
  <c r="R141" i="24"/>
  <c r="R21" i="24"/>
  <c r="R30" i="24" s="1"/>
  <c r="AN141" i="24"/>
  <c r="AN21" i="24"/>
  <c r="AN30" i="24" s="1"/>
  <c r="AG141" i="24"/>
  <c r="AG21" i="24"/>
  <c r="AG30" i="24" s="1"/>
  <c r="AZ17" i="25"/>
  <c r="AZ87" i="24"/>
  <c r="AZ6" i="24"/>
  <c r="BA5" i="24"/>
  <c r="AZ175" i="24"/>
  <c r="M137" i="24"/>
  <c r="M26" i="24"/>
  <c r="M41" i="29" s="1"/>
  <c r="W141" i="24"/>
  <c r="W21" i="24"/>
  <c r="W30" i="24" s="1"/>
  <c r="AQ141" i="24"/>
  <c r="AQ21" i="24"/>
  <c r="AQ30" i="24" s="1"/>
  <c r="BM197" i="24"/>
  <c r="BM196" i="24"/>
  <c r="X141" i="24"/>
  <c r="X21" i="24"/>
  <c r="X30" i="24" s="1"/>
  <c r="P141" i="24"/>
  <c r="P21" i="24"/>
  <c r="P30" i="24" s="1"/>
  <c r="J138" i="24"/>
  <c r="J139" i="24"/>
  <c r="J155" i="24"/>
  <c r="J154" i="24"/>
  <c r="J114" i="24"/>
  <c r="AW141" i="24"/>
  <c r="AW21" i="24"/>
  <c r="AW30" i="24" s="1"/>
  <c r="AY18" i="25"/>
  <c r="AY37" i="25" s="1"/>
  <c r="AY188" i="24"/>
  <c r="AD141" i="24"/>
  <c r="AD21" i="24"/>
  <c r="AD30" i="24" s="1"/>
  <c r="S141" i="24"/>
  <c r="S21" i="24"/>
  <c r="S30" i="24" s="1"/>
  <c r="AY50" i="25"/>
  <c r="AK141" i="24"/>
  <c r="AK21" i="24"/>
  <c r="AK30" i="24" s="1"/>
  <c r="AE141" i="24"/>
  <c r="AE21" i="24"/>
  <c r="AE30" i="24" s="1"/>
  <c r="AV157" i="24"/>
  <c r="AF141" i="24"/>
  <c r="AF21" i="24"/>
  <c r="AF30" i="24" s="1"/>
  <c r="AB141" i="24"/>
  <c r="AB21" i="24"/>
  <c r="AB30" i="24" s="1"/>
  <c r="H139" i="24"/>
  <c r="H138" i="24"/>
  <c r="H154" i="24"/>
  <c r="H114" i="24"/>
  <c r="H155" i="24"/>
  <c r="AY33" i="25"/>
  <c r="AY36" i="25"/>
  <c r="AY19" i="25"/>
  <c r="Z66" i="25"/>
  <c r="Y65" i="25"/>
  <c r="AL141" i="24"/>
  <c r="AL21" i="24"/>
  <c r="AL30" i="24" s="1"/>
  <c r="G141" i="24"/>
  <c r="G137" i="24"/>
  <c r="I48" i="25"/>
  <c r="M141" i="24"/>
  <c r="M21" i="24"/>
  <c r="M30" i="24" s="1"/>
  <c r="J137" i="24"/>
  <c r="AR141" i="24"/>
  <c r="AR21" i="24"/>
  <c r="AR30" i="24" s="1"/>
  <c r="F114" i="24"/>
  <c r="F118" i="24"/>
  <c r="F116" i="24"/>
  <c r="F117" i="24"/>
  <c r="U141" i="24"/>
  <c r="U21" i="24"/>
  <c r="U30" i="24" s="1"/>
  <c r="AP141" i="24"/>
  <c r="AP21" i="24"/>
  <c r="AP30" i="24" s="1"/>
  <c r="H141" i="24"/>
  <c r="K138" i="24"/>
  <c r="K139" i="24"/>
  <c r="K154" i="24"/>
  <c r="K155" i="24"/>
  <c r="K114" i="24"/>
  <c r="Q141" i="24"/>
  <c r="Q21" i="24"/>
  <c r="Q30" i="24" s="1"/>
  <c r="I137" i="24"/>
  <c r="I17" i="24"/>
  <c r="O65" i="25"/>
  <c r="P66" i="25"/>
  <c r="L137" i="24"/>
  <c r="L26" i="24"/>
  <c r="L41" i="29" s="1"/>
  <c r="AG110" i="25"/>
  <c r="AF109" i="25"/>
  <c r="AK109" i="25"/>
  <c r="AH141" i="24"/>
  <c r="AH21" i="24"/>
  <c r="AH30" i="24" s="1"/>
  <c r="O141" i="24"/>
  <c r="O21" i="24"/>
  <c r="O30" i="24" s="1"/>
  <c r="AU141" i="24"/>
  <c r="AU21" i="24"/>
  <c r="AU30" i="24" s="1"/>
  <c r="AO141" i="24"/>
  <c r="AO21" i="24"/>
  <c r="AO30" i="24" s="1"/>
  <c r="H137" i="24"/>
  <c r="I141" i="24"/>
  <c r="I21" i="24"/>
  <c r="I30" i="24" s="1"/>
  <c r="AH65" i="25"/>
  <c r="AL64" i="25"/>
  <c r="Z141" i="24"/>
  <c r="Z21" i="24"/>
  <c r="Z30" i="24" s="1"/>
  <c r="G140" i="24"/>
  <c r="L141" i="24"/>
  <c r="L21" i="24"/>
  <c r="L30" i="24" s="1"/>
  <c r="I139" i="24"/>
  <c r="I138" i="24"/>
  <c r="I155" i="24"/>
  <c r="I154" i="24"/>
  <c r="I114" i="24"/>
  <c r="Y141" i="24"/>
  <c r="Y21" i="24"/>
  <c r="Y30" i="24" s="1"/>
  <c r="AA141" i="24"/>
  <c r="AA21" i="24"/>
  <c r="AA30" i="24" s="1"/>
  <c r="AS141" i="24"/>
  <c r="AS21" i="24"/>
  <c r="AS30" i="24" s="1"/>
  <c r="J141" i="24"/>
  <c r="J21" i="24"/>
  <c r="J30" i="24" s="1"/>
  <c r="Q167" i="24" l="1"/>
  <c r="R167" i="24" s="1"/>
  <c r="S167" i="24" s="1"/>
  <c r="T167" i="24" s="1"/>
  <c r="U167" i="24" s="1"/>
  <c r="V167" i="24" s="1"/>
  <c r="W167" i="24" s="1"/>
  <c r="X167" i="24" s="1"/>
  <c r="Y167" i="24" s="1"/>
  <c r="Z167" i="24" s="1"/>
  <c r="AA167" i="24" s="1"/>
  <c r="AB167" i="24" s="1"/>
  <c r="AC167" i="24" s="1"/>
  <c r="AD167" i="24" s="1"/>
  <c r="AE167" i="24" s="1"/>
  <c r="AF167" i="24" s="1"/>
  <c r="AG167" i="24" s="1"/>
  <c r="AH167" i="24" s="1"/>
  <c r="H26" i="29"/>
  <c r="G26" i="24"/>
  <c r="L16" i="12" s="1"/>
  <c r="BA175" i="24"/>
  <c r="BB174" i="24" s="1"/>
  <c r="BG321" i="12" s="1"/>
  <c r="BB68" i="3" s="1"/>
  <c r="BA3" i="24"/>
  <c r="BA5" i="29" s="1"/>
  <c r="AI110" i="25"/>
  <c r="AJ110" i="25"/>
  <c r="N139" i="24"/>
  <c r="P10" i="24"/>
  <c r="P139" i="24" s="1"/>
  <c r="AW29" i="25"/>
  <c r="J26" i="24"/>
  <c r="J41" i="29" s="1"/>
  <c r="G46" i="29"/>
  <c r="L17" i="12"/>
  <c r="G44" i="24" s="1"/>
  <c r="G61" i="29" s="1"/>
  <c r="H41" i="29"/>
  <c r="K41" i="29"/>
  <c r="H20" i="24"/>
  <c r="H16" i="29"/>
  <c r="I26" i="24"/>
  <c r="I153" i="24" s="1"/>
  <c r="I26" i="29"/>
  <c r="AX28" i="25"/>
  <c r="AX30" i="25" s="1"/>
  <c r="Q58" i="25"/>
  <c r="R58" i="25" s="1"/>
  <c r="N154" i="24"/>
  <c r="N138" i="24"/>
  <c r="P57" i="25"/>
  <c r="O45" i="25"/>
  <c r="O9" i="24"/>
  <c r="P44" i="25"/>
  <c r="Q44" i="25" s="1"/>
  <c r="Q10" i="24"/>
  <c r="Q47" i="25"/>
  <c r="R46" i="25"/>
  <c r="AT157" i="24"/>
  <c r="H157" i="24"/>
  <c r="AE157" i="24"/>
  <c r="T157" i="24"/>
  <c r="G156" i="24"/>
  <c r="G116" i="24"/>
  <c r="O157" i="24"/>
  <c r="S157" i="24"/>
  <c r="AN157" i="24"/>
  <c r="Z157" i="24"/>
  <c r="AK157" i="24"/>
  <c r="AD157" i="24"/>
  <c r="AS157" i="24"/>
  <c r="AA157" i="24"/>
  <c r="AH157" i="24"/>
  <c r="V157" i="24"/>
  <c r="K153" i="24"/>
  <c r="AB157" i="24"/>
  <c r="K157" i="24"/>
  <c r="Y157" i="24"/>
  <c r="U157" i="24"/>
  <c r="AF157" i="24"/>
  <c r="L153" i="24"/>
  <c r="AQ157" i="24"/>
  <c r="R157" i="24"/>
  <c r="Q157" i="24"/>
  <c r="G157" i="24"/>
  <c r="AM157" i="24"/>
  <c r="BA174" i="24"/>
  <c r="BF321" i="12" s="1"/>
  <c r="BA68" i="3" s="1"/>
  <c r="J48" i="25"/>
  <c r="K48" i="25" s="1"/>
  <c r="P157" i="24"/>
  <c r="W157" i="24"/>
  <c r="L157" i="24"/>
  <c r="O66" i="25"/>
  <c r="P67" i="25"/>
  <c r="M157" i="24"/>
  <c r="AL157" i="24"/>
  <c r="BA17" i="25"/>
  <c r="BA87" i="24"/>
  <c r="BA6" i="24"/>
  <c r="BB5" i="24"/>
  <c r="X157" i="24"/>
  <c r="AZ18" i="25"/>
  <c r="AZ37" i="25" s="1"/>
  <c r="AZ188" i="24"/>
  <c r="I11" i="24"/>
  <c r="I16" i="29" s="1"/>
  <c r="AY12" i="24"/>
  <c r="J115" i="24"/>
  <c r="K115" i="24" s="1"/>
  <c r="AX67" i="24"/>
  <c r="AX16" i="25"/>
  <c r="AX35" i="25" s="1"/>
  <c r="BC2" i="12" s="1"/>
  <c r="I157" i="24"/>
  <c r="AU157" i="24"/>
  <c r="AR157" i="24"/>
  <c r="AW157" i="24"/>
  <c r="M153" i="24"/>
  <c r="AZ33" i="25"/>
  <c r="AZ36" i="25"/>
  <c r="AZ19" i="25"/>
  <c r="AX141" i="24"/>
  <c r="AX21" i="24"/>
  <c r="AX30" i="24" s="1"/>
  <c r="Z67" i="25"/>
  <c r="Y66" i="25"/>
  <c r="AG157" i="24"/>
  <c r="AL65" i="25"/>
  <c r="AH66" i="25"/>
  <c r="AY27" i="25"/>
  <c r="AY26" i="25"/>
  <c r="AY25" i="25"/>
  <c r="BD319" i="12" s="1"/>
  <c r="AY24" i="25"/>
  <c r="AY23" i="25"/>
  <c r="AY22" i="25"/>
  <c r="AY21" i="25"/>
  <c r="G117" i="24"/>
  <c r="H117" i="24" s="1"/>
  <c r="AO157" i="24"/>
  <c r="H153" i="24"/>
  <c r="AG111" i="25"/>
  <c r="AJ111" i="25" s="1"/>
  <c r="AF110" i="25"/>
  <c r="AK110" i="25"/>
  <c r="AP157" i="24"/>
  <c r="F113" i="24"/>
  <c r="AZ50" i="25"/>
  <c r="N157" i="24"/>
  <c r="H140" i="24"/>
  <c r="J157" i="24"/>
  <c r="AC157" i="24"/>
  <c r="G41" i="29" l="1"/>
  <c r="G153" i="24"/>
  <c r="BB175" i="24"/>
  <c r="BC174" i="24" s="1"/>
  <c r="BH321" i="12" s="1"/>
  <c r="BC68" i="3" s="1"/>
  <c r="BB3" i="24"/>
  <c r="BB5" i="29" s="1"/>
  <c r="J153" i="24"/>
  <c r="AX29" i="25"/>
  <c r="I41" i="29"/>
  <c r="H29" i="24"/>
  <c r="H156" i="24" s="1"/>
  <c r="H31" i="29"/>
  <c r="G35" i="24"/>
  <c r="S58" i="25"/>
  <c r="Q45" i="25"/>
  <c r="Q9" i="24"/>
  <c r="Q139" i="24"/>
  <c r="R10" i="24"/>
  <c r="R47" i="25"/>
  <c r="O138" i="24"/>
  <c r="R44" i="25"/>
  <c r="S46" i="25"/>
  <c r="Q57" i="25"/>
  <c r="R57" i="25" s="1"/>
  <c r="P45" i="25"/>
  <c r="P9" i="24"/>
  <c r="AZ27" i="25"/>
  <c r="AZ26" i="25"/>
  <c r="AZ25" i="25"/>
  <c r="BE319" i="12" s="1"/>
  <c r="AZ24" i="25"/>
  <c r="AZ23" i="25"/>
  <c r="AZ22" i="25"/>
  <c r="AZ21" i="25"/>
  <c r="I140" i="24"/>
  <c r="I20" i="24"/>
  <c r="AZ12" i="24"/>
  <c r="AG112" i="25"/>
  <c r="AJ112" i="25" s="1"/>
  <c r="AF111" i="25"/>
  <c r="AK111" i="25"/>
  <c r="K11" i="24"/>
  <c r="K16" i="29" s="1"/>
  <c r="BA50" i="25"/>
  <c r="AY141" i="24"/>
  <c r="AY21" i="24"/>
  <c r="AY30" i="24" s="1"/>
  <c r="P68" i="25"/>
  <c r="O67" i="25"/>
  <c r="Y67" i="25"/>
  <c r="Z68" i="25"/>
  <c r="J11" i="24"/>
  <c r="J16" i="29" s="1"/>
  <c r="L115" i="24"/>
  <c r="BB17" i="25"/>
  <c r="BB87" i="24"/>
  <c r="BB6" i="24"/>
  <c r="BC5" i="24"/>
  <c r="AX157" i="24"/>
  <c r="BA18" i="25"/>
  <c r="BA37" i="25" s="1"/>
  <c r="BA188" i="24"/>
  <c r="BA36" i="25"/>
  <c r="BA33" i="25"/>
  <c r="BA19" i="25"/>
  <c r="L48" i="25"/>
  <c r="AY28" i="25"/>
  <c r="AY67" i="24"/>
  <c r="AY16" i="25"/>
  <c r="AY35" i="25" s="1"/>
  <c r="BD2" i="12" s="1"/>
  <c r="I117" i="24"/>
  <c r="AL66" i="25"/>
  <c r="AH67" i="25"/>
  <c r="AI111" i="25"/>
  <c r="AI112" i="25" s="1"/>
  <c r="BC175" i="24" l="1"/>
  <c r="BC3" i="24"/>
  <c r="BC5" i="29" s="1"/>
  <c r="M16" i="12"/>
  <c r="H35" i="24" s="1"/>
  <c r="N16" i="12" s="1"/>
  <c r="H116" i="24"/>
  <c r="I29" i="24"/>
  <c r="I116" i="24" s="1"/>
  <c r="I31" i="29"/>
  <c r="H46" i="29"/>
  <c r="M17" i="12"/>
  <c r="H44" i="24" s="1"/>
  <c r="H61" i="29" s="1"/>
  <c r="R139" i="24"/>
  <c r="P138" i="24"/>
  <c r="S47" i="25"/>
  <c r="S10" i="24"/>
  <c r="T46" i="25"/>
  <c r="S57" i="25"/>
  <c r="R45" i="25"/>
  <c r="R9" i="24"/>
  <c r="Q138" i="24"/>
  <c r="T58" i="25"/>
  <c r="S44" i="25"/>
  <c r="BD174" i="24"/>
  <c r="BI321" i="12" s="1"/>
  <c r="BD68" i="3" s="1"/>
  <c r="BB36" i="25"/>
  <c r="BB33" i="25"/>
  <c r="BB19" i="25"/>
  <c r="AY157" i="24"/>
  <c r="K140" i="24"/>
  <c r="K20" i="24"/>
  <c r="AZ67" i="24"/>
  <c r="AZ16" i="25"/>
  <c r="AZ35" i="25" s="1"/>
  <c r="BE2" i="12" s="1"/>
  <c r="Z69" i="25"/>
  <c r="Y68" i="25"/>
  <c r="AL67" i="25"/>
  <c r="AH68" i="25"/>
  <c r="L11" i="24"/>
  <c r="L16" i="29" s="1"/>
  <c r="J117" i="24"/>
  <c r="K117" i="24" s="1"/>
  <c r="L117" i="24" s="1"/>
  <c r="BA27" i="25"/>
  <c r="BA26" i="25"/>
  <c r="BA25" i="25"/>
  <c r="BF319" i="12" s="1"/>
  <c r="BA24" i="25"/>
  <c r="BA23" i="25"/>
  <c r="BA22" i="25"/>
  <c r="BA21" i="25"/>
  <c r="AF112" i="25"/>
  <c r="AG113" i="25"/>
  <c r="AK112" i="25"/>
  <c r="BA12" i="24"/>
  <c r="AZ141" i="24"/>
  <c r="AZ21" i="24"/>
  <c r="AZ30" i="24" s="1"/>
  <c r="M115" i="24"/>
  <c r="N115" i="24" s="1"/>
  <c r="M48" i="25"/>
  <c r="BB50" i="25"/>
  <c r="AY29" i="25"/>
  <c r="AY30" i="25"/>
  <c r="BC17" i="25"/>
  <c r="BC87" i="24"/>
  <c r="BC6" i="24"/>
  <c r="BD5" i="24"/>
  <c r="J140" i="24"/>
  <c r="J20" i="24"/>
  <c r="BB18" i="25"/>
  <c r="BB37" i="25" s="1"/>
  <c r="BB188" i="24"/>
  <c r="O68" i="25"/>
  <c r="P69" i="25"/>
  <c r="AZ28" i="25"/>
  <c r="BD175" i="24" l="1"/>
  <c r="BD3" i="24"/>
  <c r="BD5" i="29" s="1"/>
  <c r="AI113" i="25"/>
  <c r="AJ113" i="25"/>
  <c r="I156" i="24"/>
  <c r="J29" i="24"/>
  <c r="J116" i="24" s="1"/>
  <c r="J31" i="29"/>
  <c r="I35" i="24"/>
  <c r="K29" i="24"/>
  <c r="K156" i="24" s="1"/>
  <c r="K31" i="29"/>
  <c r="N17" i="12"/>
  <c r="I44" i="24" s="1"/>
  <c r="I61" i="29" s="1"/>
  <c r="I46" i="29"/>
  <c r="BA28" i="25"/>
  <c r="BA30" i="25" s="1"/>
  <c r="T47" i="25"/>
  <c r="T10" i="24"/>
  <c r="T57" i="25"/>
  <c r="S45" i="25"/>
  <c r="S9" i="24"/>
  <c r="T44" i="25"/>
  <c r="U46" i="25"/>
  <c r="R18" i="24"/>
  <c r="R27" i="24" s="1"/>
  <c r="R138" i="24"/>
  <c r="U58" i="25"/>
  <c r="S139" i="24"/>
  <c r="AZ157" i="24"/>
  <c r="Z70" i="25"/>
  <c r="Y69" i="25"/>
  <c r="AZ29" i="25"/>
  <c r="BB12" i="24"/>
  <c r="AZ30" i="25"/>
  <c r="BA141" i="24"/>
  <c r="BA21" i="24"/>
  <c r="BA30" i="24" s="1"/>
  <c r="BE174" i="24"/>
  <c r="BJ321" i="12" s="1"/>
  <c r="BE68" i="3" s="1"/>
  <c r="BD17" i="25"/>
  <c r="BD87" i="24"/>
  <c r="BD6" i="24"/>
  <c r="BE5" i="24"/>
  <c r="BC18" i="25"/>
  <c r="BC37" i="25" s="1"/>
  <c r="BC188" i="24"/>
  <c r="M117" i="24"/>
  <c r="N117" i="24" s="1"/>
  <c r="P70" i="25"/>
  <c r="O69" i="25"/>
  <c r="M11" i="24"/>
  <c r="M16" i="29" s="1"/>
  <c r="N48" i="25"/>
  <c r="BC36" i="25"/>
  <c r="BC33" i="25"/>
  <c r="BC19" i="25"/>
  <c r="BB27" i="25"/>
  <c r="BB26" i="25"/>
  <c r="BB25" i="25"/>
  <c r="BG319" i="12" s="1"/>
  <c r="BB24" i="25"/>
  <c r="BB23" i="25"/>
  <c r="BB22" i="25"/>
  <c r="BB21" i="25"/>
  <c r="AG114" i="25"/>
  <c r="AJ114" i="25" s="1"/>
  <c r="AF113" i="25"/>
  <c r="AK113" i="25"/>
  <c r="BA67" i="24"/>
  <c r="BA16" i="25"/>
  <c r="BA35" i="25" s="1"/>
  <c r="BF2" i="12" s="1"/>
  <c r="AL68" i="25"/>
  <c r="AH69" i="25"/>
  <c r="BC50" i="25"/>
  <c r="L140" i="24"/>
  <c r="L20" i="24"/>
  <c r="BE175" i="24" l="1"/>
  <c r="BE3" i="24"/>
  <c r="BE5" i="29" s="1"/>
  <c r="J156" i="24"/>
  <c r="BA29" i="25"/>
  <c r="K116" i="24"/>
  <c r="J46" i="29"/>
  <c r="O17" i="12"/>
  <c r="J44" i="24" s="1"/>
  <c r="J61" i="29" s="1"/>
  <c r="K46" i="29"/>
  <c r="L29" i="24"/>
  <c r="L156" i="24" s="1"/>
  <c r="L31" i="29"/>
  <c r="O16" i="12"/>
  <c r="U47" i="25"/>
  <c r="U10" i="24"/>
  <c r="V46" i="25"/>
  <c r="U57" i="25"/>
  <c r="T45" i="25"/>
  <c r="T9" i="24"/>
  <c r="U44" i="25"/>
  <c r="S18" i="24"/>
  <c r="S27" i="24" s="1"/>
  <c r="S138" i="24"/>
  <c r="BB28" i="25"/>
  <c r="BB30" i="25" s="1"/>
  <c r="R154" i="24"/>
  <c r="R114" i="24"/>
  <c r="V58" i="25"/>
  <c r="T19" i="24"/>
  <c r="T28" i="24" s="1"/>
  <c r="T155" i="24" s="1"/>
  <c r="T139" i="24"/>
  <c r="O117" i="24"/>
  <c r="P117" i="24" s="1"/>
  <c r="Q117" i="24" s="1"/>
  <c r="R117" i="24" s="1"/>
  <c r="S117" i="24" s="1"/>
  <c r="T117" i="24" s="1"/>
  <c r="U117" i="24" s="1"/>
  <c r="V117" i="24" s="1"/>
  <c r="W117" i="24" s="1"/>
  <c r="X117" i="24" s="1"/>
  <c r="BA157" i="24"/>
  <c r="BF174" i="24"/>
  <c r="BK321" i="12" s="1"/>
  <c r="BF68" i="3" s="1"/>
  <c r="O70" i="25"/>
  <c r="P71" i="25"/>
  <c r="AG115" i="25"/>
  <c r="AJ115" i="25" s="1"/>
  <c r="AF114" i="25"/>
  <c r="AK114" i="25"/>
  <c r="BB67" i="24"/>
  <c r="BB16" i="25"/>
  <c r="BB35" i="25" s="1"/>
  <c r="BG2" i="12" s="1"/>
  <c r="BC12" i="24"/>
  <c r="BC27" i="25"/>
  <c r="BC26" i="25"/>
  <c r="BC25" i="25"/>
  <c r="BH319" i="12" s="1"/>
  <c r="BC24" i="25"/>
  <c r="BC23" i="25"/>
  <c r="BC22" i="25"/>
  <c r="BC21" i="25"/>
  <c r="BE17" i="25"/>
  <c r="BE87" i="24"/>
  <c r="BF5" i="24"/>
  <c r="BF3" i="24" s="1"/>
  <c r="BF5" i="29" s="1"/>
  <c r="BE6" i="24"/>
  <c r="N11" i="24"/>
  <c r="N16" i="29" s="1"/>
  <c r="O48" i="25"/>
  <c r="BD18" i="25"/>
  <c r="BD37" i="25" s="1"/>
  <c r="BD188" i="24"/>
  <c r="BB141" i="24"/>
  <c r="BB21" i="24"/>
  <c r="BB30" i="24" s="1"/>
  <c r="Y70" i="25"/>
  <c r="Z71" i="25"/>
  <c r="BD50" i="25"/>
  <c r="BD36" i="25"/>
  <c r="BD33" i="25"/>
  <c r="BD19" i="25"/>
  <c r="AH70" i="25"/>
  <c r="AL69" i="25"/>
  <c r="AI114" i="25"/>
  <c r="M140" i="24"/>
  <c r="M20" i="24"/>
  <c r="L116" i="24" l="1"/>
  <c r="BB29" i="25"/>
  <c r="J35" i="24"/>
  <c r="L46" i="29"/>
  <c r="M29" i="24"/>
  <c r="M156" i="24" s="1"/>
  <c r="M31" i="29"/>
  <c r="P17" i="12"/>
  <c r="K44" i="24" s="1"/>
  <c r="K61" i="29" s="1"/>
  <c r="V10" i="24"/>
  <c r="V13" i="29" s="1"/>
  <c r="V47" i="25"/>
  <c r="W46" i="25"/>
  <c r="W58" i="25"/>
  <c r="U19" i="24"/>
  <c r="U28" i="24" s="1"/>
  <c r="U155" i="24" s="1"/>
  <c r="U139" i="24"/>
  <c r="BC28" i="25"/>
  <c r="BC29" i="25" s="1"/>
  <c r="S154" i="24"/>
  <c r="S114" i="24"/>
  <c r="V57" i="25"/>
  <c r="U45" i="25"/>
  <c r="U9" i="24"/>
  <c r="V44" i="25"/>
  <c r="T18" i="24"/>
  <c r="T27" i="24" s="1"/>
  <c r="T138" i="24"/>
  <c r="Y117" i="24"/>
  <c r="Z117" i="24" s="1"/>
  <c r="AA117" i="24" s="1"/>
  <c r="AB117" i="24" s="1"/>
  <c r="AC117" i="24" s="1"/>
  <c r="AD117" i="24" s="1"/>
  <c r="AE117" i="24" s="1"/>
  <c r="AF117" i="24" s="1"/>
  <c r="AG117" i="24" s="1"/>
  <c r="AH117" i="24" s="1"/>
  <c r="BF17" i="25"/>
  <c r="BF87" i="24"/>
  <c r="BF6" i="24"/>
  <c r="BG5" i="24"/>
  <c r="AG116" i="25"/>
  <c r="AJ116" i="25" s="1"/>
  <c r="AF115" i="25"/>
  <c r="AK115" i="25"/>
  <c r="AH71" i="25"/>
  <c r="AL70" i="25"/>
  <c r="Y71" i="25"/>
  <c r="Z72" i="25"/>
  <c r="BE50" i="25"/>
  <c r="BE36" i="25"/>
  <c r="BE33" i="25"/>
  <c r="BE19" i="25"/>
  <c r="O71" i="25"/>
  <c r="P72" i="25"/>
  <c r="AI115" i="25"/>
  <c r="BB157" i="24"/>
  <c r="BC141" i="24"/>
  <c r="BC21" i="24"/>
  <c r="BC30" i="24" s="1"/>
  <c r="BD12" i="24"/>
  <c r="N140" i="24"/>
  <c r="N20" i="24"/>
  <c r="BD27" i="25"/>
  <c r="BD26" i="25"/>
  <c r="BD25" i="25"/>
  <c r="BI319" i="12" s="1"/>
  <c r="BD24" i="25"/>
  <c r="BD23" i="25"/>
  <c r="BD22" i="25"/>
  <c r="BD21" i="25"/>
  <c r="BF175" i="24"/>
  <c r="BC67" i="24"/>
  <c r="BC16" i="25"/>
  <c r="BC35" i="25" s="1"/>
  <c r="BH2" i="12" s="1"/>
  <c r="O11" i="24"/>
  <c r="O16" i="29" s="1"/>
  <c r="P48" i="25"/>
  <c r="BE18" i="25"/>
  <c r="BE37" i="25" s="1"/>
  <c r="BE188" i="24"/>
  <c r="E13" i="29" l="1"/>
  <c r="V43" i="29"/>
  <c r="BG175" i="24"/>
  <c r="BG3" i="24"/>
  <c r="BG5" i="29" s="1"/>
  <c r="BC30" i="25"/>
  <c r="M116" i="24"/>
  <c r="N29" i="24"/>
  <c r="N31" i="29"/>
  <c r="M46" i="29"/>
  <c r="Q17" i="12"/>
  <c r="L44" i="24" s="1"/>
  <c r="L61" i="29" s="1"/>
  <c r="P16" i="12"/>
  <c r="T154" i="24"/>
  <c r="T114" i="24"/>
  <c r="V45" i="25"/>
  <c r="V9" i="24"/>
  <c r="V12" i="29" s="1"/>
  <c r="W44" i="25"/>
  <c r="W57" i="25"/>
  <c r="U18" i="24"/>
  <c r="U27" i="24" s="1"/>
  <c r="U138" i="24"/>
  <c r="AI116" i="25"/>
  <c r="X58" i="25"/>
  <c r="W47" i="25"/>
  <c r="W10" i="24"/>
  <c r="X46" i="25"/>
  <c r="V19" i="24"/>
  <c r="V28" i="24" s="1"/>
  <c r="V155" i="24" s="1"/>
  <c r="V139" i="24"/>
  <c r="BH174" i="24"/>
  <c r="BM321" i="12" s="1"/>
  <c r="BH68" i="3" s="1"/>
  <c r="BE24" i="25"/>
  <c r="BE23" i="25"/>
  <c r="BE22" i="25"/>
  <c r="BE21" i="25"/>
  <c r="BE27" i="25"/>
  <c r="BE25" i="25"/>
  <c r="BJ319" i="12" s="1"/>
  <c r="BE26" i="25"/>
  <c r="AH72" i="25"/>
  <c r="AL71" i="25"/>
  <c r="BF36" i="25"/>
  <c r="BF33" i="25"/>
  <c r="BF19" i="25"/>
  <c r="BD67" i="24"/>
  <c r="BD16" i="25"/>
  <c r="BD35" i="25" s="1"/>
  <c r="BI2" i="12" s="1"/>
  <c r="BC157" i="24"/>
  <c r="O140" i="24"/>
  <c r="O20" i="24"/>
  <c r="BG174" i="24"/>
  <c r="BL321" i="12" s="1"/>
  <c r="BG68" i="3" s="1"/>
  <c r="BF50" i="25"/>
  <c r="Y72" i="25"/>
  <c r="Z73" i="25"/>
  <c r="AG117" i="25"/>
  <c r="AJ117" i="25" s="1"/>
  <c r="AF116" i="25"/>
  <c r="AK116" i="25"/>
  <c r="BD141" i="24"/>
  <c r="BD21" i="24"/>
  <c r="BD30" i="24" s="1"/>
  <c r="P11" i="24"/>
  <c r="P16" i="29" s="1"/>
  <c r="Q48" i="25"/>
  <c r="P73" i="25"/>
  <c r="O72" i="25"/>
  <c r="BD28" i="25"/>
  <c r="BD29" i="25" s="1"/>
  <c r="BG17" i="25"/>
  <c r="BG87" i="24"/>
  <c r="BH5" i="24"/>
  <c r="BG6" i="24"/>
  <c r="BE12" i="24"/>
  <c r="BF18" i="25"/>
  <c r="BF37" i="25" s="1"/>
  <c r="BF188" i="24"/>
  <c r="E12" i="29" l="1"/>
  <c r="V42" i="29"/>
  <c r="E43" i="29"/>
  <c r="E28" i="29" s="1"/>
  <c r="V58" i="29"/>
  <c r="W58" i="29" s="1"/>
  <c r="X58" i="29" s="1"/>
  <c r="Y58" i="29" s="1"/>
  <c r="Z58" i="29" s="1"/>
  <c r="AA58" i="29" s="1"/>
  <c r="AB58" i="29" s="1"/>
  <c r="AC58" i="29" s="1"/>
  <c r="AD58" i="29" s="1"/>
  <c r="AE58" i="29" s="1"/>
  <c r="AF58" i="29" s="1"/>
  <c r="AG58" i="29" s="1"/>
  <c r="AH58" i="29" s="1"/>
  <c r="AI58" i="29" s="1"/>
  <c r="AJ58" i="29" s="1"/>
  <c r="AK58" i="29" s="1"/>
  <c r="AL58" i="29" s="1"/>
  <c r="AM58" i="29" s="1"/>
  <c r="AN58" i="29" s="1"/>
  <c r="AO58" i="29" s="1"/>
  <c r="AP58" i="29" s="1"/>
  <c r="AQ58" i="29" s="1"/>
  <c r="AR58" i="29" s="1"/>
  <c r="AS58" i="29" s="1"/>
  <c r="AT58" i="29" s="1"/>
  <c r="AU58" i="29" s="1"/>
  <c r="AV58" i="29" s="1"/>
  <c r="AW58" i="29" s="1"/>
  <c r="AX58" i="29" s="1"/>
  <c r="AY58" i="29" s="1"/>
  <c r="AZ58" i="29" s="1"/>
  <c r="BA58" i="29" s="1"/>
  <c r="BB58" i="29" s="1"/>
  <c r="BC58" i="29" s="1"/>
  <c r="BD58" i="29" s="1"/>
  <c r="BE58" i="29" s="1"/>
  <c r="BF58" i="29" s="1"/>
  <c r="BG58" i="29" s="1"/>
  <c r="BH58" i="29" s="1"/>
  <c r="BI58" i="29" s="1"/>
  <c r="BJ58" i="29" s="1"/>
  <c r="BK58" i="29" s="1"/>
  <c r="BL58" i="29" s="1"/>
  <c r="BM58" i="29" s="1"/>
  <c r="E58" i="29" s="1"/>
  <c r="BH175" i="24"/>
  <c r="BI174" i="24" s="1"/>
  <c r="BN321" i="12" s="1"/>
  <c r="BI68" i="3" s="1"/>
  <c r="BH3" i="24"/>
  <c r="BH5" i="29" s="1"/>
  <c r="AI117" i="25"/>
  <c r="N116" i="24"/>
  <c r="N156" i="24"/>
  <c r="R17" i="12"/>
  <c r="M44" i="24" s="1"/>
  <c r="M61" i="29" s="1"/>
  <c r="O29" i="24"/>
  <c r="O156" i="24" s="1"/>
  <c r="O31" i="29"/>
  <c r="K35" i="24"/>
  <c r="N46" i="29"/>
  <c r="BE28" i="25"/>
  <c r="BE29" i="25" s="1"/>
  <c r="Y58" i="25"/>
  <c r="X47" i="25"/>
  <c r="X10" i="24"/>
  <c r="Y46" i="25"/>
  <c r="W19" i="24"/>
  <c r="W28" i="24" s="1"/>
  <c r="W155" i="24" s="1"/>
  <c r="W139" i="24"/>
  <c r="W45" i="25"/>
  <c r="W9" i="24"/>
  <c r="X44" i="25"/>
  <c r="X57" i="25"/>
  <c r="V18" i="24"/>
  <c r="V27" i="24" s="1"/>
  <c r="V138" i="24"/>
  <c r="U154" i="24"/>
  <c r="U114" i="24"/>
  <c r="BD157" i="24"/>
  <c r="Y73" i="25"/>
  <c r="Z74" i="25"/>
  <c r="BF12" i="24"/>
  <c r="BG50" i="25"/>
  <c r="BG18" i="25"/>
  <c r="BG37" i="25" s="1"/>
  <c r="BG188" i="24"/>
  <c r="BH17" i="25"/>
  <c r="BH87" i="24"/>
  <c r="BH6" i="24"/>
  <c r="BI5" i="24"/>
  <c r="BG36" i="25"/>
  <c r="BG33" i="25"/>
  <c r="BG19" i="25"/>
  <c r="AL72" i="25"/>
  <c r="AH73" i="25"/>
  <c r="BE67" i="24"/>
  <c r="BE16" i="25"/>
  <c r="BE35" i="25" s="1"/>
  <c r="BJ2" i="12" s="1"/>
  <c r="Q11" i="24"/>
  <c r="Q16" i="29" s="1"/>
  <c r="R48" i="25"/>
  <c r="P140" i="24"/>
  <c r="P20" i="24"/>
  <c r="BD30" i="25"/>
  <c r="BF23" i="25"/>
  <c r="BF22" i="25"/>
  <c r="BF21" i="25"/>
  <c r="BF24" i="25"/>
  <c r="BF25" i="25"/>
  <c r="BK319" i="12" s="1"/>
  <c r="BF26" i="25"/>
  <c r="BF27" i="25"/>
  <c r="BE141" i="24"/>
  <c r="BE21" i="24"/>
  <c r="BE30" i="24" s="1"/>
  <c r="O73" i="25"/>
  <c r="P74" i="25"/>
  <c r="AG118" i="25"/>
  <c r="AF117" i="25"/>
  <c r="AK117" i="25"/>
  <c r="E42" i="29" l="1"/>
  <c r="E27" i="29" s="1"/>
  <c r="V57" i="29"/>
  <c r="W57" i="29" s="1"/>
  <c r="X57" i="29" s="1"/>
  <c r="Y57" i="29" s="1"/>
  <c r="Z57" i="29" s="1"/>
  <c r="AA57" i="29" s="1"/>
  <c r="AB57" i="29" s="1"/>
  <c r="AC57" i="29" s="1"/>
  <c r="AD57" i="29" s="1"/>
  <c r="AE57" i="29" s="1"/>
  <c r="AF57" i="29" s="1"/>
  <c r="AG57" i="29" s="1"/>
  <c r="AH57" i="29" s="1"/>
  <c r="AI57" i="29" s="1"/>
  <c r="AJ57" i="29" s="1"/>
  <c r="AK57" i="29" s="1"/>
  <c r="AL57" i="29" s="1"/>
  <c r="AM57" i="29" s="1"/>
  <c r="AN57" i="29" s="1"/>
  <c r="AO57" i="29" s="1"/>
  <c r="AP57" i="29" s="1"/>
  <c r="AQ57" i="29" s="1"/>
  <c r="AR57" i="29" s="1"/>
  <c r="AS57" i="29" s="1"/>
  <c r="AT57" i="29" s="1"/>
  <c r="AU57" i="29" s="1"/>
  <c r="AV57" i="29" s="1"/>
  <c r="AW57" i="29" s="1"/>
  <c r="AX57" i="29" s="1"/>
  <c r="AY57" i="29" s="1"/>
  <c r="AZ57" i="29" s="1"/>
  <c r="BA57" i="29" s="1"/>
  <c r="BB57" i="29" s="1"/>
  <c r="BC57" i="29" s="1"/>
  <c r="BD57" i="29" s="1"/>
  <c r="BE57" i="29" s="1"/>
  <c r="BF57" i="29" s="1"/>
  <c r="BG57" i="29" s="1"/>
  <c r="BH57" i="29" s="1"/>
  <c r="BI57" i="29" s="1"/>
  <c r="BJ57" i="29" s="1"/>
  <c r="BK57" i="29" s="1"/>
  <c r="BL57" i="29" s="1"/>
  <c r="BM57" i="29" s="1"/>
  <c r="E57" i="29" s="1"/>
  <c r="BI175" i="24"/>
  <c r="BI3" i="24"/>
  <c r="BI5" i="29" s="1"/>
  <c r="S17" i="12"/>
  <c r="N44" i="24" s="1"/>
  <c r="Q16" i="12"/>
  <c r="L35" i="24" s="1"/>
  <c r="R16" i="12" s="1"/>
  <c r="M35" i="24" s="1"/>
  <c r="O116" i="24"/>
  <c r="AI118" i="25"/>
  <c r="AJ118" i="25"/>
  <c r="BE30" i="25"/>
  <c r="P29" i="24"/>
  <c r="P116" i="24" s="1"/>
  <c r="P31" i="29"/>
  <c r="O46" i="29"/>
  <c r="V154" i="24"/>
  <c r="V114" i="24"/>
  <c r="Y10" i="24"/>
  <c r="Y47" i="25"/>
  <c r="Z46" i="25"/>
  <c r="X45" i="25"/>
  <c r="X9" i="24"/>
  <c r="Y44" i="25"/>
  <c r="Z58" i="25"/>
  <c r="Y57" i="25"/>
  <c r="X19" i="24"/>
  <c r="X28" i="24" s="1"/>
  <c r="X155" i="24" s="1"/>
  <c r="X139" i="24"/>
  <c r="W18" i="24"/>
  <c r="W27" i="24" s="1"/>
  <c r="W138" i="24"/>
  <c r="BE157" i="24"/>
  <c r="BJ174" i="24"/>
  <c r="BO321" i="12" s="1"/>
  <c r="BJ68" i="3" s="1"/>
  <c r="BH50" i="25"/>
  <c r="BH36" i="25"/>
  <c r="BH33" i="25"/>
  <c r="BH19" i="25"/>
  <c r="BF141" i="24"/>
  <c r="BF21" i="24"/>
  <c r="BF30" i="24" s="1"/>
  <c r="O74" i="25"/>
  <c r="P75" i="25"/>
  <c r="Z75" i="25"/>
  <c r="Y74" i="25"/>
  <c r="AL73" i="25"/>
  <c r="AH74" i="25"/>
  <c r="BF67" i="24"/>
  <c r="BF16" i="25"/>
  <c r="BF35" i="25" s="1"/>
  <c r="BK2" i="12" s="1"/>
  <c r="R11" i="24"/>
  <c r="R16" i="29" s="1"/>
  <c r="S48" i="25"/>
  <c r="BF28" i="25"/>
  <c r="BF29" i="25" s="1"/>
  <c r="Q140" i="24"/>
  <c r="Q20" i="24"/>
  <c r="BG27" i="25"/>
  <c r="BG26" i="25"/>
  <c r="BG25" i="25"/>
  <c r="BL319" i="12" s="1"/>
  <c r="BG22" i="25"/>
  <c r="BG21" i="25"/>
  <c r="BG23" i="25"/>
  <c r="BG24" i="25"/>
  <c r="BI17" i="25"/>
  <c r="BI87" i="24"/>
  <c r="BJ5" i="24"/>
  <c r="BI6" i="24"/>
  <c r="BH18" i="25"/>
  <c r="BH37" i="25" s="1"/>
  <c r="BH188" i="24"/>
  <c r="BG12" i="24"/>
  <c r="AG119" i="25"/>
  <c r="AJ119" i="25" s="1"/>
  <c r="AF118" i="25"/>
  <c r="AK118" i="25"/>
  <c r="BJ175" i="24" l="1"/>
  <c r="BJ3" i="24"/>
  <c r="BJ5" i="29" s="1"/>
  <c r="N61" i="29"/>
  <c r="T17" i="12"/>
  <c r="O44" i="24" s="1"/>
  <c r="O61" i="29" s="1"/>
  <c r="P156" i="24"/>
  <c r="Q29" i="24"/>
  <c r="Q156" i="24" s="1"/>
  <c r="Q31" i="29"/>
  <c r="P46" i="29"/>
  <c r="W154" i="24"/>
  <c r="W114" i="24"/>
  <c r="Z57" i="25"/>
  <c r="Y45" i="25"/>
  <c r="Y9" i="24"/>
  <c r="Z44" i="25"/>
  <c r="X18" i="24"/>
  <c r="X27" i="24" s="1"/>
  <c r="X138" i="24"/>
  <c r="AA58" i="25"/>
  <c r="Z47" i="25"/>
  <c r="Z10" i="24"/>
  <c r="AA46" i="25"/>
  <c r="Y19" i="24"/>
  <c r="Y28" i="24" s="1"/>
  <c r="Y155" i="24" s="1"/>
  <c r="Y139" i="24"/>
  <c r="BG28" i="25"/>
  <c r="BG29" i="25" s="1"/>
  <c r="AG120" i="25"/>
  <c r="AJ120" i="25" s="1"/>
  <c r="AF119" i="25"/>
  <c r="AK119" i="25"/>
  <c r="BF30" i="25"/>
  <c r="O75" i="25"/>
  <c r="P76" i="25"/>
  <c r="BI36" i="25"/>
  <c r="BI33" i="25"/>
  <c r="BI19" i="25"/>
  <c r="BF157" i="24"/>
  <c r="BH12" i="24"/>
  <c r="AI119" i="25"/>
  <c r="BG141" i="24"/>
  <c r="BG21" i="24"/>
  <c r="BG30" i="24" s="1"/>
  <c r="BG67" i="24"/>
  <c r="BG16" i="25"/>
  <c r="BG35" i="25" s="1"/>
  <c r="BL2" i="12" s="1"/>
  <c r="BH27" i="25"/>
  <c r="BH26" i="25"/>
  <c r="BH25" i="25"/>
  <c r="BM319" i="12" s="1"/>
  <c r="BH24" i="25"/>
  <c r="BH22" i="25"/>
  <c r="BH21" i="25"/>
  <c r="BH23" i="25"/>
  <c r="S11" i="24"/>
  <c r="S16" i="29" s="1"/>
  <c r="T48" i="25"/>
  <c r="BK174" i="24"/>
  <c r="BP321" i="12" s="1"/>
  <c r="BK68" i="3" s="1"/>
  <c r="AL74" i="25"/>
  <c r="AH75" i="25"/>
  <c r="R140" i="24"/>
  <c r="R20" i="24"/>
  <c r="Y75" i="25"/>
  <c r="Z76" i="25"/>
  <c r="BI18" i="25"/>
  <c r="BI37" i="25" s="1"/>
  <c r="BI188" i="24"/>
  <c r="BI50" i="25"/>
  <c r="BJ17" i="25"/>
  <c r="BJ87" i="24"/>
  <c r="BJ6" i="24"/>
  <c r="BK5" i="24"/>
  <c r="BK175" i="24" l="1"/>
  <c r="BK3" i="24"/>
  <c r="BK5" i="29" s="1"/>
  <c r="U17" i="12"/>
  <c r="P44" i="24" s="1"/>
  <c r="P61" i="29" s="1"/>
  <c r="AI120" i="25"/>
  <c r="Q116" i="24"/>
  <c r="BG30" i="25"/>
  <c r="R29" i="24"/>
  <c r="R116" i="24" s="1"/>
  <c r="R31" i="29"/>
  <c r="Q46" i="29"/>
  <c r="X114" i="24"/>
  <c r="X154" i="24"/>
  <c r="AA57" i="25"/>
  <c r="Z9" i="24"/>
  <c r="Z45" i="25"/>
  <c r="AA44" i="25"/>
  <c r="AB58" i="25"/>
  <c r="AA47" i="25"/>
  <c r="AA10" i="24"/>
  <c r="AB46" i="25"/>
  <c r="Y18" i="24"/>
  <c r="Y27" i="24" s="1"/>
  <c r="Y138" i="24"/>
  <c r="Z19" i="24"/>
  <c r="Z28" i="24" s="1"/>
  <c r="Z155" i="24" s="1"/>
  <c r="Z139" i="24"/>
  <c r="BG157" i="24"/>
  <c r="S140" i="24"/>
  <c r="S20" i="24"/>
  <c r="BJ18" i="25"/>
  <c r="BJ37" i="25" s="1"/>
  <c r="BJ188" i="24"/>
  <c r="Z77" i="25"/>
  <c r="Y76" i="25"/>
  <c r="AF120" i="25"/>
  <c r="AG121" i="25"/>
  <c r="AJ121" i="25" s="1"/>
  <c r="AK120" i="25"/>
  <c r="BL174" i="24"/>
  <c r="BQ321" i="12" s="1"/>
  <c r="BL68" i="3" s="1"/>
  <c r="BI12" i="24"/>
  <c r="BI27" i="25"/>
  <c r="BI26" i="25"/>
  <c r="BI25" i="25"/>
  <c r="BN319" i="12" s="1"/>
  <c r="BI24" i="25"/>
  <c r="BI23" i="25"/>
  <c r="BI22" i="25"/>
  <c r="BI21" i="25"/>
  <c r="BK17" i="25"/>
  <c r="BK87" i="24"/>
  <c r="BK6" i="24"/>
  <c r="BL5" i="24"/>
  <c r="O76" i="25"/>
  <c r="P77" i="25"/>
  <c r="U76" i="25"/>
  <c r="AL75" i="25"/>
  <c r="AH76" i="25"/>
  <c r="BH28" i="25"/>
  <c r="BH30" i="25" s="1"/>
  <c r="BH67" i="24"/>
  <c r="BH16" i="25"/>
  <c r="BH35" i="25" s="1"/>
  <c r="BM2" i="12" s="1"/>
  <c r="BJ50" i="25"/>
  <c r="BH141" i="24"/>
  <c r="BH21" i="24"/>
  <c r="BH30" i="24" s="1"/>
  <c r="BJ36" i="25"/>
  <c r="BJ33" i="25"/>
  <c r="BJ19" i="25"/>
  <c r="T11" i="24"/>
  <c r="T16" i="29" s="1"/>
  <c r="U48" i="25"/>
  <c r="AI121" i="25" l="1"/>
  <c r="BL175" i="24"/>
  <c r="BL3" i="24"/>
  <c r="BL5" i="29" s="1"/>
  <c r="R156" i="24"/>
  <c r="V17" i="12"/>
  <c r="Q44" i="24" s="1"/>
  <c r="Q61" i="29" s="1"/>
  <c r="S29" i="24"/>
  <c r="S156" i="24" s="1"/>
  <c r="S31" i="29"/>
  <c r="R46" i="29"/>
  <c r="AA19" i="24"/>
  <c r="AA28" i="24" s="1"/>
  <c r="AA155" i="24" s="1"/>
  <c r="AA139" i="24"/>
  <c r="BI28" i="25"/>
  <c r="BI30" i="25" s="1"/>
  <c r="AB57" i="25"/>
  <c r="AA45" i="25"/>
  <c r="AA9" i="24"/>
  <c r="AB44" i="25"/>
  <c r="Y154" i="24"/>
  <c r="Y114" i="24"/>
  <c r="Z18" i="24"/>
  <c r="Z27" i="24" s="1"/>
  <c r="Z138" i="24"/>
  <c r="AC58" i="25"/>
  <c r="AB47" i="25"/>
  <c r="AB10" i="24"/>
  <c r="AC46" i="25"/>
  <c r="BH157" i="24"/>
  <c r="O77" i="25"/>
  <c r="P78" i="25"/>
  <c r="U77" i="25"/>
  <c r="BK18" i="25"/>
  <c r="BK37" i="25" s="1"/>
  <c r="BK188" i="24"/>
  <c r="BJ12" i="24"/>
  <c r="BK33" i="25"/>
  <c r="BK36" i="25"/>
  <c r="BK19" i="25"/>
  <c r="AF121" i="25"/>
  <c r="AG122" i="25"/>
  <c r="AK121" i="25"/>
  <c r="BJ27" i="25"/>
  <c r="BJ26" i="25"/>
  <c r="BJ25" i="25"/>
  <c r="BO319" i="12" s="1"/>
  <c r="BJ24" i="25"/>
  <c r="BJ23" i="25"/>
  <c r="BJ22" i="25"/>
  <c r="BJ21" i="25"/>
  <c r="AL76" i="25"/>
  <c r="AH77" i="25"/>
  <c r="U11" i="24"/>
  <c r="U16" i="29" s="1"/>
  <c r="V48" i="25"/>
  <c r="BH29" i="25"/>
  <c r="T140" i="24"/>
  <c r="T20" i="24"/>
  <c r="BK50" i="25"/>
  <c r="BM174" i="24"/>
  <c r="BR321" i="12" s="1"/>
  <c r="BM68" i="3" s="1"/>
  <c r="BI141" i="24"/>
  <c r="BI21" i="24"/>
  <c r="BI30" i="24" s="1"/>
  <c r="Z78" i="25"/>
  <c r="Y77" i="25"/>
  <c r="BI67" i="24"/>
  <c r="BI16" i="25"/>
  <c r="BI35" i="25" s="1"/>
  <c r="BN2" i="12" s="1"/>
  <c r="BL17" i="25"/>
  <c r="BL87" i="24"/>
  <c r="BL6" i="24"/>
  <c r="BM5" i="24"/>
  <c r="BM175" i="24" l="1"/>
  <c r="BM3" i="24"/>
  <c r="BM5" i="29" s="1"/>
  <c r="W17" i="12"/>
  <c r="R44" i="24" s="1"/>
  <c r="R61" i="29" s="1"/>
  <c r="AI122" i="25"/>
  <c r="AJ122" i="25"/>
  <c r="S116" i="24"/>
  <c r="BI29" i="25"/>
  <c r="T29" i="24"/>
  <c r="T156" i="24" s="1"/>
  <c r="T31" i="29"/>
  <c r="S46" i="29"/>
  <c r="BJ28" i="25"/>
  <c r="BJ29" i="25" s="1"/>
  <c r="AC57" i="25"/>
  <c r="AB45" i="25"/>
  <c r="AB9" i="24"/>
  <c r="AC44" i="25"/>
  <c r="AA18" i="24"/>
  <c r="AA27" i="24" s="1"/>
  <c r="AA138" i="24"/>
  <c r="AD58" i="25"/>
  <c r="AC47" i="25"/>
  <c r="AC10" i="24"/>
  <c r="AD46" i="25"/>
  <c r="AB19" i="24"/>
  <c r="AB28" i="24" s="1"/>
  <c r="AB155" i="24" s="1"/>
  <c r="AB139" i="24"/>
  <c r="Z114" i="24"/>
  <c r="Z154" i="24"/>
  <c r="BI157" i="24"/>
  <c r="BK12" i="24"/>
  <c r="O78" i="25"/>
  <c r="P79" i="25"/>
  <c r="U78" i="25"/>
  <c r="V11" i="24"/>
  <c r="V16" i="29" s="1"/>
  <c r="W48" i="25"/>
  <c r="BJ67" i="24"/>
  <c r="BJ16" i="25"/>
  <c r="BJ35" i="25" s="1"/>
  <c r="BO2" i="12" s="1"/>
  <c r="BM17" i="25"/>
  <c r="BM87" i="24"/>
  <c r="BM6" i="24"/>
  <c r="U140" i="24"/>
  <c r="U20" i="24"/>
  <c r="BL18" i="25"/>
  <c r="BL37" i="25" s="1"/>
  <c r="BL188" i="24"/>
  <c r="BK27" i="25"/>
  <c r="BK26" i="25"/>
  <c r="BK25" i="25"/>
  <c r="BP319" i="12" s="1"/>
  <c r="BK24" i="25"/>
  <c r="BK23" i="25"/>
  <c r="BK22" i="25"/>
  <c r="BK21" i="25"/>
  <c r="BL36" i="25"/>
  <c r="BL33" i="25"/>
  <c r="BL19" i="25"/>
  <c r="Z79" i="25"/>
  <c r="Y78" i="25"/>
  <c r="AF122" i="25"/>
  <c r="AK122" i="25"/>
  <c r="BL50" i="25"/>
  <c r="AH78" i="25"/>
  <c r="AL77" i="25"/>
  <c r="BJ141" i="24"/>
  <c r="BJ21" i="24"/>
  <c r="BJ30" i="24" s="1"/>
  <c r="BJ30" i="25" l="1"/>
  <c r="X17" i="12"/>
  <c r="S44" i="24" s="1"/>
  <c r="S61" i="29" s="1"/>
  <c r="T116" i="24"/>
  <c r="U29" i="24"/>
  <c r="U156" i="24" s="1"/>
  <c r="U31" i="29"/>
  <c r="T46" i="29"/>
  <c r="BK28" i="25"/>
  <c r="BK30" i="25" s="1"/>
  <c r="AA114" i="24"/>
  <c r="AA154" i="24"/>
  <c r="AE58" i="25"/>
  <c r="AD47" i="25"/>
  <c r="AD10" i="24"/>
  <c r="AE46" i="25"/>
  <c r="AC19" i="24"/>
  <c r="AC28" i="24" s="1"/>
  <c r="AC155" i="24" s="1"/>
  <c r="AC139" i="24"/>
  <c r="AD57" i="25"/>
  <c r="AC45" i="25"/>
  <c r="AC9" i="24"/>
  <c r="AD44" i="25"/>
  <c r="AB18" i="24"/>
  <c r="AB27" i="24" s="1"/>
  <c r="AB138" i="24"/>
  <c r="BJ157" i="24"/>
  <c r="BK67" i="24"/>
  <c r="BK16" i="25"/>
  <c r="BK35" i="25" s="1"/>
  <c r="BP2" i="12" s="1"/>
  <c r="BM18" i="25"/>
  <c r="BM37" i="25" s="1"/>
  <c r="BM188" i="24"/>
  <c r="BL12" i="24"/>
  <c r="BL27" i="25"/>
  <c r="BL26" i="25"/>
  <c r="BL25" i="25"/>
  <c r="BQ319" i="12" s="1"/>
  <c r="BL24" i="25"/>
  <c r="BL23" i="25"/>
  <c r="BL22" i="25"/>
  <c r="BL21" i="25"/>
  <c r="W11" i="24"/>
  <c r="W16" i="29" s="1"/>
  <c r="X48" i="25"/>
  <c r="BM36" i="25"/>
  <c r="BM33" i="25"/>
  <c r="BM19" i="25"/>
  <c r="V140" i="24"/>
  <c r="V20" i="24"/>
  <c r="Z80" i="25"/>
  <c r="AB79" i="25"/>
  <c r="AC79" i="25" s="1"/>
  <c r="Y79" i="25"/>
  <c r="BK141" i="24"/>
  <c r="BK21" i="24"/>
  <c r="BK30" i="24" s="1"/>
  <c r="AL78" i="25"/>
  <c r="AH79" i="25"/>
  <c r="BM50" i="25"/>
  <c r="P80" i="25"/>
  <c r="O79" i="25"/>
  <c r="U79" i="25"/>
  <c r="Y17" i="12" l="1"/>
  <c r="T44" i="24" s="1"/>
  <c r="T61" i="29" s="1"/>
  <c r="U116" i="24"/>
  <c r="BK29" i="25"/>
  <c r="D33" i="25"/>
  <c r="V29" i="24"/>
  <c r="V116" i="24" s="1"/>
  <c r="V31" i="29"/>
  <c r="U46" i="29"/>
  <c r="AB154" i="24"/>
  <c r="AB114" i="24"/>
  <c r="AE57" i="25"/>
  <c r="AD9" i="24"/>
  <c r="AD45" i="25"/>
  <c r="AE44" i="25"/>
  <c r="AF58" i="25"/>
  <c r="AE47" i="25"/>
  <c r="AE10" i="24"/>
  <c r="AF46" i="25"/>
  <c r="AC18" i="24"/>
  <c r="AC27" i="24" s="1"/>
  <c r="AC138" i="24"/>
  <c r="AD19" i="24"/>
  <c r="AD28" i="24" s="1"/>
  <c r="AD155" i="24" s="1"/>
  <c r="AD139" i="24"/>
  <c r="BL28" i="25"/>
  <c r="BL30" i="25" s="1"/>
  <c r="Z81" i="25"/>
  <c r="Y80" i="25"/>
  <c r="AB80" i="25"/>
  <c r="AC80" i="25" s="1"/>
  <c r="BL67" i="24"/>
  <c r="BL16" i="25"/>
  <c r="BL35" i="25" s="1"/>
  <c r="BQ2" i="12" s="1"/>
  <c r="X11" i="24"/>
  <c r="X16" i="29" s="1"/>
  <c r="Y48" i="25"/>
  <c r="BM27" i="25"/>
  <c r="BM26" i="25"/>
  <c r="BM25" i="25"/>
  <c r="BR319" i="12" s="1"/>
  <c r="A319" i="12" s="1"/>
  <c r="BM24" i="25"/>
  <c r="BM23" i="25"/>
  <c r="BM22" i="25"/>
  <c r="BM21" i="25"/>
  <c r="W140" i="24"/>
  <c r="W20" i="24"/>
  <c r="BL141" i="24"/>
  <c r="BL21" i="24"/>
  <c r="BL30" i="24" s="1"/>
  <c r="BK157" i="24"/>
  <c r="AH80" i="25"/>
  <c r="AL79" i="25"/>
  <c r="P81" i="25"/>
  <c r="U80" i="25"/>
  <c r="O80" i="25"/>
  <c r="BM12" i="24"/>
  <c r="Z17" i="12" l="1"/>
  <c r="U44" i="24" s="1"/>
  <c r="U61" i="29" s="1"/>
  <c r="V156" i="24"/>
  <c r="BL29" i="25"/>
  <c r="W29" i="24"/>
  <c r="W156" i="24" s="1"/>
  <c r="W31" i="29"/>
  <c r="V46" i="29"/>
  <c r="AC154" i="24"/>
  <c r="AC114" i="24"/>
  <c r="AF57" i="25"/>
  <c r="AE45" i="25"/>
  <c r="AE9" i="24"/>
  <c r="AF44" i="25"/>
  <c r="AG58" i="25"/>
  <c r="AF47" i="25"/>
  <c r="AF10" i="24"/>
  <c r="AG46" i="25"/>
  <c r="AD18" i="24"/>
  <c r="AD27" i="24" s="1"/>
  <c r="AD138" i="24"/>
  <c r="AE19" i="24"/>
  <c r="AE28" i="24" s="1"/>
  <c r="AE155" i="24" s="1"/>
  <c r="AE139" i="24"/>
  <c r="Y11" i="24"/>
  <c r="Y16" i="29" s="1"/>
  <c r="Z48" i="25"/>
  <c r="AA48" i="25" s="1"/>
  <c r="U81" i="25"/>
  <c r="P82" i="25"/>
  <c r="O81" i="25"/>
  <c r="X140" i="24"/>
  <c r="X20" i="24"/>
  <c r="AH81" i="25"/>
  <c r="AL80" i="25"/>
  <c r="BM141" i="24"/>
  <c r="BM21" i="24"/>
  <c r="BM30" i="24" s="1"/>
  <c r="AB81" i="25"/>
  <c r="AC81" i="25" s="1"/>
  <c r="Z82" i="25"/>
  <c r="Y81" i="25"/>
  <c r="BM28" i="25"/>
  <c r="BM30" i="25" s="1"/>
  <c r="BM67" i="24"/>
  <c r="E67" i="24" s="1"/>
  <c r="BM16" i="25"/>
  <c r="BM35" i="25" s="1"/>
  <c r="BR2" i="12" s="1"/>
  <c r="BL157" i="24"/>
  <c r="AA17" i="12" l="1"/>
  <c r="V44" i="24" s="1"/>
  <c r="V61" i="29" s="1"/>
  <c r="W116" i="24"/>
  <c r="X29" i="24"/>
  <c r="X156" i="24" s="1"/>
  <c r="X31" i="29"/>
  <c r="W46" i="29"/>
  <c r="AA11" i="24"/>
  <c r="AA16" i="29" s="1"/>
  <c r="AF45" i="25"/>
  <c r="AF9" i="24"/>
  <c r="AG44" i="25"/>
  <c r="AG57" i="25"/>
  <c r="AE18" i="24"/>
  <c r="AE27" i="24" s="1"/>
  <c r="AE138" i="24"/>
  <c r="AD154" i="24"/>
  <c r="AD114" i="24"/>
  <c r="AG47" i="25"/>
  <c r="AG10" i="24"/>
  <c r="AH46" i="25"/>
  <c r="AH58" i="25"/>
  <c r="AF19" i="24"/>
  <c r="AF28" i="24" s="1"/>
  <c r="AF155" i="24" s="1"/>
  <c r="AF139" i="24"/>
  <c r="BM157" i="24"/>
  <c r="Z11" i="24"/>
  <c r="Z16" i="29" s="1"/>
  <c r="AB48" i="25"/>
  <c r="BM29" i="25"/>
  <c r="Y140" i="24"/>
  <c r="Y20" i="24"/>
  <c r="O82" i="25"/>
  <c r="P83" i="25"/>
  <c r="U82" i="25"/>
  <c r="AT86" i="25"/>
  <c r="AT74" i="25"/>
  <c r="AB82" i="25"/>
  <c r="AC82" i="25" s="1"/>
  <c r="Y82" i="25"/>
  <c r="Z83" i="25"/>
  <c r="AL81" i="25"/>
  <c r="AH82" i="25"/>
  <c r="AB17" i="12" l="1"/>
  <c r="W44" i="24" s="1"/>
  <c r="W61" i="29" s="1"/>
  <c r="X116" i="24"/>
  <c r="Y29" i="24"/>
  <c r="Y156" i="24" s="1"/>
  <c r="Y31" i="29"/>
  <c r="X46" i="29"/>
  <c r="AA140" i="24"/>
  <c r="AA20" i="24"/>
  <c r="AH47" i="25"/>
  <c r="AH10" i="24"/>
  <c r="AI46" i="25"/>
  <c r="AI58" i="25"/>
  <c r="AE154" i="24"/>
  <c r="AE114" i="24"/>
  <c r="AG19" i="24"/>
  <c r="AG28" i="24" s="1"/>
  <c r="AG155" i="24" s="1"/>
  <c r="AG139" i="24"/>
  <c r="AG45" i="25"/>
  <c r="AG9" i="24"/>
  <c r="AH44" i="25"/>
  <c r="AH57" i="25"/>
  <c r="AF18" i="24"/>
  <c r="AF27" i="24" s="1"/>
  <c r="AF138" i="24"/>
  <c r="AB11" i="24"/>
  <c r="AB16" i="29" s="1"/>
  <c r="AC48" i="25"/>
  <c r="Z140" i="24"/>
  <c r="Z20" i="24"/>
  <c r="P84" i="25"/>
  <c r="O83" i="25"/>
  <c r="U83" i="25"/>
  <c r="AL82" i="25"/>
  <c r="AH83" i="25"/>
  <c r="AB83" i="25"/>
  <c r="AC83" i="25" s="1"/>
  <c r="Y83" i="25"/>
  <c r="Z84" i="25"/>
  <c r="AC17" i="12" l="1"/>
  <c r="X44" i="24" s="1"/>
  <c r="X61" i="29" s="1"/>
  <c r="Y116" i="24"/>
  <c r="AA29" i="24"/>
  <c r="AA156" i="24" s="1"/>
  <c r="AA31" i="29"/>
  <c r="Z29" i="24"/>
  <c r="Z116" i="24" s="1"/>
  <c r="Z31" i="29"/>
  <c r="Y46" i="29"/>
  <c r="AF154" i="24"/>
  <c r="AF114" i="24"/>
  <c r="AH45" i="25"/>
  <c r="AH9" i="24"/>
  <c r="AI44" i="25"/>
  <c r="AI57" i="25"/>
  <c r="AG18" i="24"/>
  <c r="AG27" i="24" s="1"/>
  <c r="AG138" i="24"/>
  <c r="AI47" i="25"/>
  <c r="AI10" i="24"/>
  <c r="AJ46" i="25"/>
  <c r="AJ58" i="25"/>
  <c r="AH19" i="24"/>
  <c r="AH28" i="24" s="1"/>
  <c r="AH155" i="24" s="1"/>
  <c r="AH139" i="24"/>
  <c r="S19" i="24"/>
  <c r="Z85" i="25"/>
  <c r="Y84" i="25"/>
  <c r="AB84" i="25"/>
  <c r="AC84" i="25" s="1"/>
  <c r="AH84" i="25"/>
  <c r="AL83" i="25"/>
  <c r="AC11" i="24"/>
  <c r="AC16" i="29" s="1"/>
  <c r="AD48" i="25"/>
  <c r="AB140" i="24"/>
  <c r="AB20" i="24"/>
  <c r="P85" i="25"/>
  <c r="O84" i="25"/>
  <c r="U84" i="25"/>
  <c r="AD17" i="12" l="1"/>
  <c r="Y44" i="24" s="1"/>
  <c r="Y61" i="29" s="1"/>
  <c r="Z156" i="24"/>
  <c r="AA116" i="24"/>
  <c r="AB29" i="24"/>
  <c r="AB156" i="24" s="1"/>
  <c r="AB31" i="29"/>
  <c r="Z46" i="29"/>
  <c r="AA46" i="29"/>
  <c r="AG154" i="24"/>
  <c r="AG114" i="24"/>
  <c r="AJ47" i="25"/>
  <c r="AJ10" i="24"/>
  <c r="AK46" i="25"/>
  <c r="AK58" i="25"/>
  <c r="AI19" i="24"/>
  <c r="AI28" i="24" s="1"/>
  <c r="AI155" i="24" s="1"/>
  <c r="AI139" i="24"/>
  <c r="AI9" i="24"/>
  <c r="AI45" i="25"/>
  <c r="AJ44" i="25"/>
  <c r="AJ57" i="25"/>
  <c r="AH18" i="24"/>
  <c r="AH27" i="24" s="1"/>
  <c r="AH138" i="24"/>
  <c r="S28" i="24"/>
  <c r="U85" i="25"/>
  <c r="P86" i="25"/>
  <c r="O85" i="25"/>
  <c r="AD11" i="24"/>
  <c r="AD16" i="29" s="1"/>
  <c r="AE48" i="25"/>
  <c r="AC140" i="24"/>
  <c r="AC20" i="24"/>
  <c r="AB85" i="25"/>
  <c r="AC85" i="25" s="1"/>
  <c r="Y85" i="25"/>
  <c r="Z86" i="25"/>
  <c r="AL84" i="25"/>
  <c r="AH85" i="25"/>
  <c r="AE17" i="12" l="1"/>
  <c r="Z44" i="24" s="1"/>
  <c r="Z61" i="29" s="1"/>
  <c r="AB116" i="24"/>
  <c r="AC29" i="24"/>
  <c r="AC156" i="24" s="1"/>
  <c r="AC31" i="29"/>
  <c r="AB46" i="29"/>
  <c r="AK57" i="25"/>
  <c r="AH154" i="24"/>
  <c r="AH114" i="24"/>
  <c r="AK10" i="24"/>
  <c r="AK47" i="25"/>
  <c r="AL46" i="25"/>
  <c r="AL58" i="25"/>
  <c r="AJ19" i="24"/>
  <c r="AJ28" i="24" s="1"/>
  <c r="AJ155" i="24" s="1"/>
  <c r="AJ139" i="24"/>
  <c r="AJ45" i="25"/>
  <c r="AJ9" i="24"/>
  <c r="AK44" i="25"/>
  <c r="AI18" i="24"/>
  <c r="AI27" i="24" s="1"/>
  <c r="AI138" i="24"/>
  <c r="S155" i="24"/>
  <c r="AE11" i="24"/>
  <c r="AE16" i="29" s="1"/>
  <c r="AF48" i="25"/>
  <c r="AD140" i="24"/>
  <c r="AD20" i="24"/>
  <c r="Z87" i="25"/>
  <c r="Y86" i="25"/>
  <c r="AB86" i="25"/>
  <c r="AC86" i="25" s="1"/>
  <c r="P87" i="25"/>
  <c r="O86" i="25"/>
  <c r="U86" i="25"/>
  <c r="AH86" i="25"/>
  <c r="AL85" i="25"/>
  <c r="AF17" i="12" l="1"/>
  <c r="AA44" i="24" s="1"/>
  <c r="AA61" i="29" s="1"/>
  <c r="AC116" i="24"/>
  <c r="AL57" i="25"/>
  <c r="AD29" i="24"/>
  <c r="AD156" i="24" s="1"/>
  <c r="AD31" i="29"/>
  <c r="AC46" i="29"/>
  <c r="AJ18" i="24"/>
  <c r="AJ27" i="24" s="1"/>
  <c r="AJ138" i="24"/>
  <c r="AL47" i="25"/>
  <c r="AL10" i="24"/>
  <c r="AM46" i="25"/>
  <c r="AM58" i="25"/>
  <c r="AI154" i="24"/>
  <c r="AI114" i="24"/>
  <c r="AK19" i="24"/>
  <c r="AK28" i="24" s="1"/>
  <c r="AK155" i="24" s="1"/>
  <c r="AK139" i="24"/>
  <c r="AK45" i="25"/>
  <c r="AK9" i="24"/>
  <c r="AL44" i="25"/>
  <c r="AL86" i="25"/>
  <c r="AH87" i="25"/>
  <c r="U87" i="25"/>
  <c r="P88" i="25"/>
  <c r="O87" i="25"/>
  <c r="AF11" i="24"/>
  <c r="AF16" i="29" s="1"/>
  <c r="AG48" i="25"/>
  <c r="AB87" i="25"/>
  <c r="AC87" i="25" s="1"/>
  <c r="Z88" i="25"/>
  <c r="Y87" i="25"/>
  <c r="AE140" i="24"/>
  <c r="AE20" i="24"/>
  <c r="AG17" i="12" l="1"/>
  <c r="AB44" i="24" s="1"/>
  <c r="AB61" i="29" s="1"/>
  <c r="AM57" i="25"/>
  <c r="AD116" i="24"/>
  <c r="AE29" i="24"/>
  <c r="AE116" i="24" s="1"/>
  <c r="AE31" i="29"/>
  <c r="AD46" i="29"/>
  <c r="AM47" i="25"/>
  <c r="AM10" i="24"/>
  <c r="AN46" i="25"/>
  <c r="AK18" i="24"/>
  <c r="AK27" i="24" s="1"/>
  <c r="AK138" i="24"/>
  <c r="AN58" i="25"/>
  <c r="AL19" i="24"/>
  <c r="AL28" i="24" s="1"/>
  <c r="AL155" i="24" s="1"/>
  <c r="AL139" i="24"/>
  <c r="AL9" i="24"/>
  <c r="AL45" i="25"/>
  <c r="AM44" i="25"/>
  <c r="AJ114" i="24"/>
  <c r="AJ154" i="24"/>
  <c r="P89" i="25"/>
  <c r="O88" i="25"/>
  <c r="U88" i="25"/>
  <c r="AH88" i="25"/>
  <c r="AL87" i="25"/>
  <c r="AG11" i="24"/>
  <c r="AG16" i="29" s="1"/>
  <c r="AH48" i="25"/>
  <c r="AF140" i="24"/>
  <c r="AF20" i="24"/>
  <c r="Y88" i="25"/>
  <c r="AB88" i="25"/>
  <c r="AC88" i="25" s="1"/>
  <c r="Z89" i="25"/>
  <c r="AH17" i="12" l="1"/>
  <c r="AC44" i="24" s="1"/>
  <c r="AC61" i="29" s="1"/>
  <c r="AE156" i="24"/>
  <c r="AE46" i="29"/>
  <c r="AF29" i="24"/>
  <c r="AF156" i="24" s="1"/>
  <c r="AF31" i="29"/>
  <c r="AK154" i="24"/>
  <c r="AK114" i="24"/>
  <c r="AM9" i="24"/>
  <c r="AM45" i="25"/>
  <c r="AN44" i="25"/>
  <c r="AN47" i="25"/>
  <c r="AN10" i="24"/>
  <c r="AO46" i="25"/>
  <c r="AN57" i="25"/>
  <c r="AO58" i="25"/>
  <c r="AM19" i="24"/>
  <c r="AM28" i="24" s="1"/>
  <c r="AM155" i="24" s="1"/>
  <c r="AM139" i="24"/>
  <c r="AL18" i="24"/>
  <c r="AL27" i="24" s="1"/>
  <c r="AL138" i="24"/>
  <c r="Z90" i="25"/>
  <c r="Y89" i="25"/>
  <c r="AB89" i="25"/>
  <c r="AC89" i="25" s="1"/>
  <c r="P90" i="25"/>
  <c r="O89" i="25"/>
  <c r="U89" i="25"/>
  <c r="AH11" i="24"/>
  <c r="AH16" i="29" s="1"/>
  <c r="AI48" i="25"/>
  <c r="AG140" i="24"/>
  <c r="AG20" i="24"/>
  <c r="AL88" i="25"/>
  <c r="AH89" i="25"/>
  <c r="AI17" i="12" l="1"/>
  <c r="AD44" i="24" s="1"/>
  <c r="AD61" i="29" s="1"/>
  <c r="AF116" i="24"/>
  <c r="AF46" i="29"/>
  <c r="AG29" i="24"/>
  <c r="AG116" i="24" s="1"/>
  <c r="AG31" i="29"/>
  <c r="AO10" i="24"/>
  <c r="AO47" i="25"/>
  <c r="AP46" i="25"/>
  <c r="AP58" i="25"/>
  <c r="AN19" i="24"/>
  <c r="AN28" i="24" s="1"/>
  <c r="AN155" i="24" s="1"/>
  <c r="AN139" i="24"/>
  <c r="AN45" i="25"/>
  <c r="AN9" i="24"/>
  <c r="AO44" i="25"/>
  <c r="AO57" i="25"/>
  <c r="AL154" i="24"/>
  <c r="AL114" i="24"/>
  <c r="AM18" i="24"/>
  <c r="AM27" i="24" s="1"/>
  <c r="AM138" i="24"/>
  <c r="AB90" i="25"/>
  <c r="AC90" i="25" s="1"/>
  <c r="Y90" i="25"/>
  <c r="Z91" i="25"/>
  <c r="AI11" i="24"/>
  <c r="AI16" i="29" s="1"/>
  <c r="AH140" i="24"/>
  <c r="AH20" i="24"/>
  <c r="AL89" i="25"/>
  <c r="AH90" i="25"/>
  <c r="U90" i="25"/>
  <c r="O90" i="25"/>
  <c r="P91" i="25"/>
  <c r="AJ17" i="12" l="1"/>
  <c r="AE44" i="24" s="1"/>
  <c r="AE61" i="29" s="1"/>
  <c r="AG156" i="24"/>
  <c r="AH29" i="24"/>
  <c r="AH156" i="24" s="1"/>
  <c r="AH31" i="29"/>
  <c r="AG46" i="29"/>
  <c r="AO45" i="25"/>
  <c r="AO9" i="24"/>
  <c r="AP44" i="25"/>
  <c r="AP57" i="25"/>
  <c r="AN18" i="24"/>
  <c r="AN27" i="24" s="1"/>
  <c r="AN138" i="24"/>
  <c r="AM154" i="24"/>
  <c r="AM114" i="24"/>
  <c r="AQ58" i="25"/>
  <c r="AP10" i="24"/>
  <c r="AP47" i="25"/>
  <c r="AQ46" i="25"/>
  <c r="AO19" i="24"/>
  <c r="AO28" i="24" s="1"/>
  <c r="AO155" i="24" s="1"/>
  <c r="AO139" i="24"/>
  <c r="AI140" i="24"/>
  <c r="AI20" i="24"/>
  <c r="AB91" i="25"/>
  <c r="AC91" i="25" s="1"/>
  <c r="Z92" i="25"/>
  <c r="Y91" i="25"/>
  <c r="U91" i="25"/>
  <c r="O91" i="25"/>
  <c r="P92" i="25"/>
  <c r="AH91" i="25"/>
  <c r="AL90" i="25"/>
  <c r="AK17" i="12" l="1"/>
  <c r="AF44" i="24" s="1"/>
  <c r="AF61" i="29" s="1"/>
  <c r="AH116" i="24"/>
  <c r="AI29" i="24"/>
  <c r="AI116" i="24" s="1"/>
  <c r="AI31" i="29"/>
  <c r="AH46" i="29"/>
  <c r="AP19" i="24"/>
  <c r="AP28" i="24" s="1"/>
  <c r="AP155" i="24" s="1"/>
  <c r="AP139" i="24"/>
  <c r="AN154" i="24"/>
  <c r="AN114" i="24"/>
  <c r="AP45" i="25"/>
  <c r="AP9" i="24"/>
  <c r="AQ44" i="25"/>
  <c r="AQ57" i="25"/>
  <c r="AO18" i="24"/>
  <c r="AO27" i="24" s="1"/>
  <c r="AO138" i="24"/>
  <c r="AR58" i="25"/>
  <c r="AQ47" i="25"/>
  <c r="AQ10" i="24"/>
  <c r="AR46" i="25"/>
  <c r="U92" i="25"/>
  <c r="P93" i="25"/>
  <c r="O92" i="25"/>
  <c r="AB92" i="25"/>
  <c r="AC92" i="25" s="1"/>
  <c r="Y92" i="25"/>
  <c r="Z93" i="25"/>
  <c r="AL91" i="25"/>
  <c r="AH92" i="25"/>
  <c r="AL17" i="12" l="1"/>
  <c r="AG44" i="24" s="1"/>
  <c r="AG61" i="29" s="1"/>
  <c r="AI156" i="24"/>
  <c r="AI46" i="29"/>
  <c r="AQ9" i="24"/>
  <c r="AQ45" i="25"/>
  <c r="AR44" i="25"/>
  <c r="AR57" i="25"/>
  <c r="AP18" i="24"/>
  <c r="AP27" i="24" s="1"/>
  <c r="AP138" i="24"/>
  <c r="AR47" i="25"/>
  <c r="AR10" i="24"/>
  <c r="AS46" i="25"/>
  <c r="AS58" i="25"/>
  <c r="AQ19" i="24"/>
  <c r="AQ28" i="24" s="1"/>
  <c r="AQ155" i="24" s="1"/>
  <c r="AQ139" i="24"/>
  <c r="AO154" i="24"/>
  <c r="AO114" i="24"/>
  <c r="U93" i="25"/>
  <c r="O93" i="25"/>
  <c r="P94" i="25"/>
  <c r="AL92" i="25"/>
  <c r="AH93" i="25"/>
  <c r="AB93" i="25"/>
  <c r="AC93" i="25" s="1"/>
  <c r="Z94" i="25"/>
  <c r="Y93" i="25"/>
  <c r="AM17" i="12" l="1"/>
  <c r="AH44" i="24" s="1"/>
  <c r="AH61" i="29" s="1"/>
  <c r="AT58" i="25"/>
  <c r="AR19" i="24"/>
  <c r="AR28" i="24" s="1"/>
  <c r="AR155" i="24" s="1"/>
  <c r="AR139" i="24"/>
  <c r="AS47" i="25"/>
  <c r="AS10" i="24"/>
  <c r="AT46" i="25"/>
  <c r="D46" i="25"/>
  <c r="AP114" i="24"/>
  <c r="AP154" i="24"/>
  <c r="AR9" i="24"/>
  <c r="AR45" i="25"/>
  <c r="AS44" i="25"/>
  <c r="AS57" i="25"/>
  <c r="AQ18" i="24"/>
  <c r="AQ27" i="24" s="1"/>
  <c r="AQ138" i="24"/>
  <c r="O94" i="25"/>
  <c r="U94" i="25"/>
  <c r="P95" i="25"/>
  <c r="AL93" i="25"/>
  <c r="AH94" i="25"/>
  <c r="Y94" i="25"/>
  <c r="AB94" i="25"/>
  <c r="AC94" i="25" s="1"/>
  <c r="Z95" i="25"/>
  <c r="AN17" i="12" l="1"/>
  <c r="AI44" i="24" s="1"/>
  <c r="AI61" i="29" s="1"/>
  <c r="AT57" i="25"/>
  <c r="AS45" i="25"/>
  <c r="AS9" i="24"/>
  <c r="D44" i="25"/>
  <c r="AT44" i="25"/>
  <c r="AT47" i="25"/>
  <c r="AT10" i="24"/>
  <c r="AU46" i="25"/>
  <c r="AU58" i="25"/>
  <c r="AS19" i="24"/>
  <c r="AS28" i="24" s="1"/>
  <c r="AS155" i="24" s="1"/>
  <c r="AS139" i="24"/>
  <c r="G131" i="24"/>
  <c r="H131" i="24" s="1"/>
  <c r="AR18" i="24"/>
  <c r="AR27" i="24" s="1"/>
  <c r="AR138" i="24"/>
  <c r="AQ154" i="24"/>
  <c r="AQ114" i="24"/>
  <c r="O95" i="25"/>
  <c r="P96" i="25"/>
  <c r="U95" i="25"/>
  <c r="AB95" i="25"/>
  <c r="AC95" i="25" s="1"/>
  <c r="Y95" i="25"/>
  <c r="Z96" i="25"/>
  <c r="AL94" i="25"/>
  <c r="AH95" i="25"/>
  <c r="AV58" i="25" l="1"/>
  <c r="AU47" i="25"/>
  <c r="AU10" i="24"/>
  <c r="AV46" i="25"/>
  <c r="AT19" i="24"/>
  <c r="AT28" i="24" s="1"/>
  <c r="AT155" i="24" s="1"/>
  <c r="AT139" i="24"/>
  <c r="AU57" i="25"/>
  <c r="AT45" i="25"/>
  <c r="AT9" i="24"/>
  <c r="AU44" i="25"/>
  <c r="I131" i="24"/>
  <c r="AS18" i="24"/>
  <c r="AS27" i="24" s="1"/>
  <c r="AS138" i="24"/>
  <c r="G130" i="24"/>
  <c r="H130" i="24" s="1"/>
  <c r="AR154" i="24"/>
  <c r="AR114" i="24"/>
  <c r="Y96" i="25"/>
  <c r="Z97" i="25"/>
  <c r="AB96" i="25"/>
  <c r="AC96" i="25" s="1"/>
  <c r="O96" i="25"/>
  <c r="P97" i="25"/>
  <c r="U96" i="25"/>
  <c r="AH96" i="25"/>
  <c r="AL95" i="25"/>
  <c r="I130" i="24" l="1"/>
  <c r="AS154" i="24"/>
  <c r="AS114" i="24"/>
  <c r="AW58" i="25"/>
  <c r="AV47" i="25"/>
  <c r="AV10" i="24"/>
  <c r="AW46" i="25"/>
  <c r="AU19" i="24"/>
  <c r="AU28" i="24" s="1"/>
  <c r="AU155" i="24" s="1"/>
  <c r="AU139" i="24"/>
  <c r="AU45" i="25"/>
  <c r="AU9" i="24"/>
  <c r="AV44" i="25"/>
  <c r="AV57" i="25"/>
  <c r="AT18" i="24"/>
  <c r="AT27" i="24" s="1"/>
  <c r="AT138" i="24"/>
  <c r="J131" i="24"/>
  <c r="AL96" i="25"/>
  <c r="AH97" i="25"/>
  <c r="P98" i="25"/>
  <c r="U97" i="25"/>
  <c r="O97" i="25"/>
  <c r="Z98" i="25"/>
  <c r="AB97" i="25"/>
  <c r="AC97" i="25" s="1"/>
  <c r="Y97" i="25"/>
  <c r="AU18" i="24" l="1"/>
  <c r="AU27" i="24" s="1"/>
  <c r="AU138" i="24"/>
  <c r="AT154" i="24"/>
  <c r="AT114" i="24"/>
  <c r="AW47" i="25"/>
  <c r="AW10" i="24"/>
  <c r="AX46" i="25"/>
  <c r="AX58" i="25"/>
  <c r="K131" i="24"/>
  <c r="L131" i="24" s="1"/>
  <c r="M131" i="24" s="1"/>
  <c r="N131" i="24" s="1"/>
  <c r="AV19" i="24"/>
  <c r="AV28" i="24" s="1"/>
  <c r="AV155" i="24" s="1"/>
  <c r="AV139" i="24"/>
  <c r="J130" i="24"/>
  <c r="AV45" i="25"/>
  <c r="AV9" i="24"/>
  <c r="AW44" i="25"/>
  <c r="AW57" i="25"/>
  <c r="AH98" i="25"/>
  <c r="AL97" i="25"/>
  <c r="AB98" i="25"/>
  <c r="AC98" i="25" s="1"/>
  <c r="Y98" i="25"/>
  <c r="Z99" i="25"/>
  <c r="U98" i="25"/>
  <c r="O98" i="25"/>
  <c r="P99" i="25"/>
  <c r="K130" i="24" l="1"/>
  <c r="O131" i="24"/>
  <c r="P131" i="24" s="1"/>
  <c r="Q131" i="24" s="1"/>
  <c r="R131" i="24" s="1"/>
  <c r="S131" i="24" s="1"/>
  <c r="T131" i="24" s="1"/>
  <c r="U131" i="24" s="1"/>
  <c r="V131" i="24" s="1"/>
  <c r="W131" i="24" s="1"/>
  <c r="X131" i="24" s="1"/>
  <c r="Y131" i="24" s="1"/>
  <c r="Z131" i="24" s="1"/>
  <c r="AA131" i="24" s="1"/>
  <c r="AB131" i="24" s="1"/>
  <c r="AC131" i="24" s="1"/>
  <c r="AD131" i="24" s="1"/>
  <c r="AE131" i="24" s="1"/>
  <c r="AF131" i="24" s="1"/>
  <c r="AG131" i="24" s="1"/>
  <c r="AH131" i="24" s="1"/>
  <c r="AI131" i="24" s="1"/>
  <c r="AJ131" i="24" s="1"/>
  <c r="AK131" i="24" s="1"/>
  <c r="AL131" i="24" s="1"/>
  <c r="AM131" i="24" s="1"/>
  <c r="AN131" i="24" s="1"/>
  <c r="AO131" i="24" s="1"/>
  <c r="AP131" i="24" s="1"/>
  <c r="AQ131" i="24" s="1"/>
  <c r="AR131" i="24" s="1"/>
  <c r="AS131" i="24" s="1"/>
  <c r="AT131" i="24" s="1"/>
  <c r="AU131" i="24" s="1"/>
  <c r="AV131" i="24" s="1"/>
  <c r="AW131" i="24" s="1"/>
  <c r="AX131" i="24" s="1"/>
  <c r="AY131" i="24" s="1"/>
  <c r="AZ131" i="24" s="1"/>
  <c r="BA131" i="24" s="1"/>
  <c r="BB131" i="24" s="1"/>
  <c r="BC131" i="24" s="1"/>
  <c r="BD131" i="24" s="1"/>
  <c r="BE131" i="24" s="1"/>
  <c r="BF131" i="24" s="1"/>
  <c r="BG131" i="24" s="1"/>
  <c r="BH131" i="24" s="1"/>
  <c r="AX47" i="25"/>
  <c r="AX10" i="24"/>
  <c r="AY46" i="25"/>
  <c r="AW45" i="25"/>
  <c r="AW9" i="24"/>
  <c r="AX44" i="25"/>
  <c r="AX57" i="25"/>
  <c r="AV18" i="24"/>
  <c r="AV27" i="24" s="1"/>
  <c r="AV138" i="24"/>
  <c r="AY58" i="25"/>
  <c r="AU154" i="24"/>
  <c r="AU114" i="24"/>
  <c r="AW139" i="24"/>
  <c r="AW19" i="24"/>
  <c r="AW28" i="24" s="1"/>
  <c r="AW155" i="24" s="1"/>
  <c r="O99" i="25"/>
  <c r="P100" i="25"/>
  <c r="U99" i="25"/>
  <c r="AH99" i="25"/>
  <c r="AL98" i="25"/>
  <c r="AB99" i="25"/>
  <c r="AC99" i="25" s="1"/>
  <c r="Y99" i="25"/>
  <c r="Z100" i="25"/>
  <c r="AY57" i="25" l="1"/>
  <c r="AY47" i="25"/>
  <c r="AY10" i="24"/>
  <c r="AZ46" i="25"/>
  <c r="AZ58" i="25"/>
  <c r="AX139" i="24"/>
  <c r="AX19" i="24"/>
  <c r="AX28" i="24" s="1"/>
  <c r="AX155" i="24" s="1"/>
  <c r="AV154" i="24"/>
  <c r="AV114" i="24"/>
  <c r="BI131" i="24"/>
  <c r="BJ131" i="24" s="1"/>
  <c r="BK131" i="24" s="1"/>
  <c r="BL131" i="24" s="1"/>
  <c r="BM131" i="24" s="1"/>
  <c r="E131" i="24" s="1"/>
  <c r="L130" i="24"/>
  <c r="AX45" i="25"/>
  <c r="AX9" i="24"/>
  <c r="AY44" i="25"/>
  <c r="AW138" i="24"/>
  <c r="AW18" i="24"/>
  <c r="AW27" i="24" s="1"/>
  <c r="AH100" i="25"/>
  <c r="AL99" i="25"/>
  <c r="Y100" i="25"/>
  <c r="Z101" i="25"/>
  <c r="AB100" i="25"/>
  <c r="AC100" i="25" s="1"/>
  <c r="O100" i="25"/>
  <c r="P101" i="25"/>
  <c r="U100" i="25"/>
  <c r="AW154" i="24" l="1"/>
  <c r="AW114" i="24"/>
  <c r="AY9" i="24"/>
  <c r="AY45" i="25"/>
  <c r="AZ44" i="25"/>
  <c r="AZ57" i="25"/>
  <c r="AX138" i="24"/>
  <c r="AX18" i="24"/>
  <c r="AX27" i="24" s="1"/>
  <c r="AZ47" i="25"/>
  <c r="AZ10" i="24"/>
  <c r="BA46" i="25"/>
  <c r="BA58" i="25"/>
  <c r="AY139" i="24"/>
  <c r="AY19" i="24"/>
  <c r="AY28" i="24" s="1"/>
  <c r="AY155" i="24" s="1"/>
  <c r="M130" i="24"/>
  <c r="AL100" i="25"/>
  <c r="AH101" i="25"/>
  <c r="Y101" i="25"/>
  <c r="Z102" i="25"/>
  <c r="AB101" i="25"/>
  <c r="AC101" i="25" s="1"/>
  <c r="P102" i="25"/>
  <c r="U101" i="25"/>
  <c r="O101" i="25"/>
  <c r="BB58" i="25" l="1"/>
  <c r="AZ19" i="24"/>
  <c r="AZ28" i="24" s="1"/>
  <c r="AZ155" i="24" s="1"/>
  <c r="AZ139" i="24"/>
  <c r="AX154" i="24"/>
  <c r="AX114" i="24"/>
  <c r="N130" i="24"/>
  <c r="O130" i="24" s="1"/>
  <c r="P130" i="24" s="1"/>
  <c r="Q130" i="24" s="1"/>
  <c r="AZ45" i="25"/>
  <c r="AZ9" i="24"/>
  <c r="BA44" i="25"/>
  <c r="BA57" i="25"/>
  <c r="AY138" i="24"/>
  <c r="AY18" i="24"/>
  <c r="AY27" i="24" s="1"/>
  <c r="BA47" i="25"/>
  <c r="BA10" i="24"/>
  <c r="BB46" i="25"/>
  <c r="AB102" i="25"/>
  <c r="AC102" i="25" s="1"/>
  <c r="Y102" i="25"/>
  <c r="Z103" i="25"/>
  <c r="P103" i="25"/>
  <c r="U102" i="25"/>
  <c r="O102" i="25"/>
  <c r="AH102" i="25"/>
  <c r="AL101" i="25"/>
  <c r="BB57" i="25" l="1"/>
  <c r="BB10" i="24"/>
  <c r="BB47" i="25"/>
  <c r="BC46" i="25"/>
  <c r="AZ138" i="24"/>
  <c r="AZ18" i="24"/>
  <c r="AZ27" i="24" s="1"/>
  <c r="BC58" i="25"/>
  <c r="BA139" i="24"/>
  <c r="BA19" i="24"/>
  <c r="BA28" i="24" s="1"/>
  <c r="BA155" i="24" s="1"/>
  <c r="R130" i="24"/>
  <c r="S130" i="24" s="1"/>
  <c r="T130" i="24" s="1"/>
  <c r="U130" i="24" s="1"/>
  <c r="V130" i="24" s="1"/>
  <c r="W130" i="24" s="1"/>
  <c r="X130" i="24" s="1"/>
  <c r="Y130" i="24" s="1"/>
  <c r="Z130" i="24" s="1"/>
  <c r="AA130" i="24" s="1"/>
  <c r="AB130" i="24" s="1"/>
  <c r="AC130" i="24" s="1"/>
  <c r="AD130" i="24" s="1"/>
  <c r="AE130" i="24" s="1"/>
  <c r="AF130" i="24" s="1"/>
  <c r="AG130" i="24" s="1"/>
  <c r="AH130" i="24" s="1"/>
  <c r="AI130" i="24" s="1"/>
  <c r="AJ130" i="24" s="1"/>
  <c r="AK130" i="24" s="1"/>
  <c r="AL130" i="24" s="1"/>
  <c r="AM130" i="24" s="1"/>
  <c r="AN130" i="24" s="1"/>
  <c r="AO130" i="24" s="1"/>
  <c r="AP130" i="24" s="1"/>
  <c r="AQ130" i="24" s="1"/>
  <c r="AR130" i="24" s="1"/>
  <c r="AS130" i="24" s="1"/>
  <c r="AT130" i="24" s="1"/>
  <c r="AU130" i="24" s="1"/>
  <c r="AV130" i="24" s="1"/>
  <c r="AW130" i="24" s="1"/>
  <c r="AX130" i="24" s="1"/>
  <c r="AY130" i="24" s="1"/>
  <c r="AZ130" i="24" s="1"/>
  <c r="BA130" i="24" s="1"/>
  <c r="BB130" i="24" s="1"/>
  <c r="BC130" i="24" s="1"/>
  <c r="BD130" i="24" s="1"/>
  <c r="BE130" i="24" s="1"/>
  <c r="BF130" i="24" s="1"/>
  <c r="BG130" i="24" s="1"/>
  <c r="BH130" i="24" s="1"/>
  <c r="BI130" i="24" s="1"/>
  <c r="BJ130" i="24" s="1"/>
  <c r="BK130" i="24" s="1"/>
  <c r="BL130" i="24" s="1"/>
  <c r="BM130" i="24" s="1"/>
  <c r="E130" i="24" s="1"/>
  <c r="AY154" i="24"/>
  <c r="AY114" i="24"/>
  <c r="BA9" i="24"/>
  <c r="BA45" i="25"/>
  <c r="BB44" i="25"/>
  <c r="P104" i="25"/>
  <c r="O103" i="25"/>
  <c r="U103" i="25"/>
  <c r="AH103" i="25"/>
  <c r="AL102" i="25"/>
  <c r="Z104" i="25"/>
  <c r="Y103" i="25"/>
  <c r="AB103" i="25"/>
  <c r="AC103" i="25" s="1"/>
  <c r="BB45" i="25" l="1"/>
  <c r="BB9" i="24"/>
  <c r="BC44" i="25"/>
  <c r="BC57" i="25"/>
  <c r="BA138" i="24"/>
  <c r="BA18" i="24"/>
  <c r="BA27" i="24" s="1"/>
  <c r="AZ154" i="24"/>
  <c r="AZ114" i="24"/>
  <c r="BD58" i="25"/>
  <c r="BC10" i="24"/>
  <c r="BC47" i="25"/>
  <c r="BD46" i="25"/>
  <c r="BB139" i="24"/>
  <c r="BB19" i="24"/>
  <c r="BB28" i="24" s="1"/>
  <c r="BB155" i="24" s="1"/>
  <c r="AB104" i="25"/>
  <c r="AC104" i="25" s="1"/>
  <c r="Y104" i="25"/>
  <c r="Z105" i="25"/>
  <c r="AL103" i="25"/>
  <c r="AH104" i="25"/>
  <c r="U104" i="25"/>
  <c r="P105" i="25"/>
  <c r="O104" i="25"/>
  <c r="BC139" i="24" l="1"/>
  <c r="BC19" i="24"/>
  <c r="BC28" i="24" s="1"/>
  <c r="BC155" i="24" s="1"/>
  <c r="BA154" i="24"/>
  <c r="BA114" i="24"/>
  <c r="BC9" i="24"/>
  <c r="BC45" i="25"/>
  <c r="BD44" i="25"/>
  <c r="BD57" i="25"/>
  <c r="BB138" i="24"/>
  <c r="BB18" i="24"/>
  <c r="BB27" i="24" s="1"/>
  <c r="BE58" i="25"/>
  <c r="BD47" i="25"/>
  <c r="BD10" i="24"/>
  <c r="BE46" i="25"/>
  <c r="AH105" i="25"/>
  <c r="AL104" i="25"/>
  <c r="Z106" i="25"/>
  <c r="Y105" i="25"/>
  <c r="AB105" i="25"/>
  <c r="AC105" i="25" s="1"/>
  <c r="P106" i="25"/>
  <c r="O105" i="25"/>
  <c r="U105" i="25"/>
  <c r="BB154" i="24" l="1"/>
  <c r="BB114" i="24"/>
  <c r="BD45" i="25"/>
  <c r="BD9" i="24"/>
  <c r="BE44" i="25"/>
  <c r="BE57" i="25"/>
  <c r="BC138" i="24"/>
  <c r="BC18" i="24"/>
  <c r="BC27" i="24" s="1"/>
  <c r="BE47" i="25"/>
  <c r="BE10" i="24"/>
  <c r="BF46" i="25"/>
  <c r="BF58" i="25"/>
  <c r="BD139" i="24"/>
  <c r="BD19" i="24"/>
  <c r="BD28" i="24" s="1"/>
  <c r="BD155" i="24" s="1"/>
  <c r="AL105" i="25"/>
  <c r="AH106" i="25"/>
  <c r="Z107" i="25"/>
  <c r="Y106" i="25"/>
  <c r="AB106" i="25"/>
  <c r="AC106" i="25" s="1"/>
  <c r="U106" i="25"/>
  <c r="O106" i="25"/>
  <c r="P107" i="25"/>
  <c r="BG58" i="25" l="1"/>
  <c r="BE139" i="24"/>
  <c r="BE19" i="24"/>
  <c r="BE28" i="24" s="1"/>
  <c r="BE155" i="24" s="1"/>
  <c r="BC154" i="24"/>
  <c r="BC114" i="24"/>
  <c r="BE45" i="25"/>
  <c r="BE9" i="24"/>
  <c r="BF44" i="25"/>
  <c r="BF57" i="25"/>
  <c r="BD138" i="24"/>
  <c r="BD18" i="24"/>
  <c r="BD27" i="24" s="1"/>
  <c r="BF47" i="25"/>
  <c r="BF10" i="24"/>
  <c r="BG46" i="25"/>
  <c r="AL106" i="25"/>
  <c r="AH107" i="25"/>
  <c r="AB107" i="25"/>
  <c r="AC107" i="25" s="1"/>
  <c r="Z108" i="25"/>
  <c r="Y107" i="25"/>
  <c r="U107" i="25"/>
  <c r="P108" i="25"/>
  <c r="O107" i="25"/>
  <c r="BD154" i="24" l="1"/>
  <c r="BD114" i="24"/>
  <c r="BF45" i="25"/>
  <c r="BF9" i="24"/>
  <c r="BG44" i="25"/>
  <c r="BG57" i="25"/>
  <c r="BE138" i="24"/>
  <c r="BE18" i="24"/>
  <c r="BE27" i="24" s="1"/>
  <c r="BG47" i="25"/>
  <c r="BG10" i="24"/>
  <c r="BH46" i="25"/>
  <c r="BH58" i="25"/>
  <c r="BF139" i="24"/>
  <c r="BF19" i="24"/>
  <c r="BF28" i="24" s="1"/>
  <c r="BF155" i="24" s="1"/>
  <c r="AL107" i="25"/>
  <c r="AH108" i="25"/>
  <c r="U108" i="25"/>
  <c r="P109" i="25"/>
  <c r="O108" i="25"/>
  <c r="AB108" i="25"/>
  <c r="AC108" i="25" s="1"/>
  <c r="Z109" i="25"/>
  <c r="Y108" i="25"/>
  <c r="BI58" i="25" l="1"/>
  <c r="BE114" i="24"/>
  <c r="BE154" i="24"/>
  <c r="BG45" i="25"/>
  <c r="BG9" i="24"/>
  <c r="BH44" i="25"/>
  <c r="BH57" i="25"/>
  <c r="BF138" i="24"/>
  <c r="BF18" i="24"/>
  <c r="BF27" i="24" s="1"/>
  <c r="BG139" i="24"/>
  <c r="BG19" i="24"/>
  <c r="BG28" i="24" s="1"/>
  <c r="BG155" i="24" s="1"/>
  <c r="BH10" i="24"/>
  <c r="BH47" i="25"/>
  <c r="BI46" i="25"/>
  <c r="AB109" i="25"/>
  <c r="AC109" i="25" s="1"/>
  <c r="Z110" i="25"/>
  <c r="Y109" i="25"/>
  <c r="AL108" i="25"/>
  <c r="AH109" i="25"/>
  <c r="U109" i="25"/>
  <c r="P110" i="25"/>
  <c r="O109" i="25"/>
  <c r="BI57" i="25" l="1"/>
  <c r="BF154" i="24"/>
  <c r="BF114" i="24"/>
  <c r="BG138" i="24"/>
  <c r="BG18" i="24"/>
  <c r="BG27" i="24" s="1"/>
  <c r="BH45" i="25"/>
  <c r="BH9" i="24"/>
  <c r="BI44" i="25"/>
  <c r="BJ58" i="25"/>
  <c r="BI47" i="25"/>
  <c r="BI10" i="24"/>
  <c r="BJ46" i="25"/>
  <c r="BH139" i="24"/>
  <c r="BH19" i="24"/>
  <c r="BH28" i="24" s="1"/>
  <c r="BH155" i="24" s="1"/>
  <c r="AB110" i="25"/>
  <c r="AC110" i="25" s="1"/>
  <c r="Z111" i="25"/>
  <c r="Y110" i="25"/>
  <c r="AL109" i="25"/>
  <c r="AH110" i="25"/>
  <c r="P111" i="25"/>
  <c r="O110" i="25"/>
  <c r="U110" i="25"/>
  <c r="BK58" i="25" l="1"/>
  <c r="BJ47" i="25"/>
  <c r="BJ10" i="24"/>
  <c r="BK46" i="25"/>
  <c r="BI139" i="24"/>
  <c r="BI19" i="24"/>
  <c r="BI28" i="24" s="1"/>
  <c r="BI155" i="24" s="1"/>
  <c r="BH138" i="24"/>
  <c r="BH18" i="24"/>
  <c r="BH27" i="24" s="1"/>
  <c r="BJ57" i="25"/>
  <c r="BI9" i="24"/>
  <c r="BI45" i="25"/>
  <c r="BJ44" i="25"/>
  <c r="BG154" i="24"/>
  <c r="BG114" i="24"/>
  <c r="AH111" i="25"/>
  <c r="AL110" i="25"/>
  <c r="AB111" i="25"/>
  <c r="AC111" i="25" s="1"/>
  <c r="Z112" i="25"/>
  <c r="Y111" i="25"/>
  <c r="P112" i="25"/>
  <c r="O111" i="25"/>
  <c r="U111" i="25"/>
  <c r="BH114" i="24" l="1"/>
  <c r="BH154" i="24"/>
  <c r="BI138" i="24"/>
  <c r="BI18" i="24"/>
  <c r="BI27" i="24" s="1"/>
  <c r="BL58" i="25"/>
  <c r="BK47" i="25"/>
  <c r="BK10" i="24"/>
  <c r="BL46" i="25"/>
  <c r="BJ139" i="24"/>
  <c r="BJ19" i="24"/>
  <c r="BJ28" i="24" s="1"/>
  <c r="BJ155" i="24" s="1"/>
  <c r="BK57" i="25"/>
  <c r="BJ45" i="25"/>
  <c r="BJ9" i="24"/>
  <c r="BK44" i="25"/>
  <c r="AB112" i="25"/>
  <c r="AC112" i="25" s="1"/>
  <c r="Y112" i="25"/>
  <c r="O112" i="25"/>
  <c r="U112" i="25"/>
  <c r="AH112" i="25"/>
  <c r="AL111" i="25"/>
  <c r="BM58" i="25" l="1"/>
  <c r="BL47" i="25"/>
  <c r="BL10" i="24"/>
  <c r="BM46" i="25"/>
  <c r="BK139" i="24"/>
  <c r="BK19" i="24"/>
  <c r="BK28" i="24" s="1"/>
  <c r="BK155" i="24" s="1"/>
  <c r="BI154" i="24"/>
  <c r="BI114" i="24"/>
  <c r="BL57" i="25"/>
  <c r="BK45" i="25"/>
  <c r="BK9" i="24"/>
  <c r="BL44" i="25"/>
  <c r="BJ138" i="24"/>
  <c r="BJ18" i="24"/>
  <c r="BJ27" i="24" s="1"/>
  <c r="AH113" i="25"/>
  <c r="AL112" i="25"/>
  <c r="BM10" i="24" l="1"/>
  <c r="BM47" i="25"/>
  <c r="O19" i="24" s="1"/>
  <c r="BM57" i="25"/>
  <c r="BL45" i="25"/>
  <c r="BL9" i="24"/>
  <c r="BM44" i="25"/>
  <c r="BL139" i="24"/>
  <c r="BL19" i="24"/>
  <c r="BL28" i="24" s="1"/>
  <c r="BK18" i="24"/>
  <c r="BK27" i="24" s="1"/>
  <c r="BK138" i="24"/>
  <c r="BJ154" i="24"/>
  <c r="BJ114" i="24"/>
  <c r="AL113" i="25"/>
  <c r="AH114" i="25"/>
  <c r="BL155" i="24" l="1"/>
  <c r="BK154" i="24"/>
  <c r="BK114" i="24"/>
  <c r="BL138" i="24"/>
  <c r="BL18" i="24"/>
  <c r="BL27" i="24" s="1"/>
  <c r="BM45" i="25"/>
  <c r="O18" i="24" s="1"/>
  <c r="BM9" i="24"/>
  <c r="O28" i="24"/>
  <c r="P19" i="24"/>
  <c r="BM139" i="24"/>
  <c r="E139" i="24" s="1"/>
  <c r="BM19" i="24"/>
  <c r="BM28" i="24" s="1"/>
  <c r="BM155" i="24" s="1"/>
  <c r="AS65" i="25"/>
  <c r="E10" i="24"/>
  <c r="AL114" i="25"/>
  <c r="AH115" i="25"/>
  <c r="P28" i="24" l="1"/>
  <c r="P155" i="24" s="1"/>
  <c r="Q19" i="24"/>
  <c r="P18" i="24"/>
  <c r="O27" i="24"/>
  <c r="BL154" i="24"/>
  <c r="BL114" i="24"/>
  <c r="O155" i="24"/>
  <c r="O115" i="24"/>
  <c r="BM138" i="24"/>
  <c r="E138" i="24" s="1"/>
  <c r="BM18" i="24"/>
  <c r="BM27" i="24" s="1"/>
  <c r="AS64" i="25"/>
  <c r="E9" i="24"/>
  <c r="AT65" i="25"/>
  <c r="AU65" i="25" s="1"/>
  <c r="AL115" i="25"/>
  <c r="AH116" i="25"/>
  <c r="P115" i="24" l="1"/>
  <c r="Q28" i="24"/>
  <c r="R19" i="24"/>
  <c r="P27" i="24"/>
  <c r="P114" i="24" s="1"/>
  <c r="Q18" i="24"/>
  <c r="Q27" i="24" s="1"/>
  <c r="P10" i="23"/>
  <c r="BM154" i="24"/>
  <c r="BM114" i="24"/>
  <c r="AT64" i="25"/>
  <c r="AU64" i="25" s="1"/>
  <c r="O154" i="24"/>
  <c r="O114" i="24"/>
  <c r="AL116" i="25"/>
  <c r="AH117" i="25"/>
  <c r="P154" i="24" l="1"/>
  <c r="E27" i="24"/>
  <c r="E18" i="24" s="1"/>
  <c r="Q114" i="24"/>
  <c r="E114" i="24" s="1"/>
  <c r="A114" i="24" s="1"/>
  <c r="Q154" i="24"/>
  <c r="R28" i="24"/>
  <c r="Q10" i="23"/>
  <c r="Q155" i="24"/>
  <c r="Q115" i="24"/>
  <c r="P9" i="23"/>
  <c r="G146" i="24"/>
  <c r="H146" i="24" s="1"/>
  <c r="I146" i="24" s="1"/>
  <c r="J146" i="24" s="1"/>
  <c r="Q9" i="23"/>
  <c r="AL117" i="25"/>
  <c r="AH118" i="25"/>
  <c r="E154" i="24" l="1"/>
  <c r="S9" i="23"/>
  <c r="E28" i="24"/>
  <c r="E19" i="24" s="1"/>
  <c r="G147" i="24"/>
  <c r="H147" i="24" s="1"/>
  <c r="I147" i="24" s="1"/>
  <c r="J147" i="24" s="1"/>
  <c r="K147" i="24" s="1"/>
  <c r="K146" i="24"/>
  <c r="L146" i="24" s="1"/>
  <c r="M146" i="24" s="1"/>
  <c r="N146" i="24" s="1"/>
  <c r="R155" i="24"/>
  <c r="E155" i="24" s="1"/>
  <c r="R115" i="24"/>
  <c r="AL118" i="25"/>
  <c r="AH119" i="25"/>
  <c r="S10" i="23" l="1"/>
  <c r="L147" i="24"/>
  <c r="M147" i="24" s="1"/>
  <c r="N147" i="24" s="1"/>
  <c r="O147" i="24" s="1"/>
  <c r="P147" i="24" s="1"/>
  <c r="Q147" i="24" s="1"/>
  <c r="R147" i="24" s="1"/>
  <c r="S147" i="24" s="1"/>
  <c r="T147" i="24" s="1"/>
  <c r="U147" i="24" s="1"/>
  <c r="V147" i="24" s="1"/>
  <c r="W147" i="24" s="1"/>
  <c r="X147" i="24" s="1"/>
  <c r="Y147" i="24" s="1"/>
  <c r="Z147" i="24" s="1"/>
  <c r="AA147" i="24" s="1"/>
  <c r="AB147" i="24" s="1"/>
  <c r="AC147" i="24" s="1"/>
  <c r="AD147" i="24" s="1"/>
  <c r="AE147" i="24" s="1"/>
  <c r="AF147" i="24" s="1"/>
  <c r="AG147" i="24" s="1"/>
  <c r="AH147" i="24" s="1"/>
  <c r="AI147" i="24" s="1"/>
  <c r="AJ147" i="24" s="1"/>
  <c r="AK147" i="24" s="1"/>
  <c r="AL147" i="24" s="1"/>
  <c r="AM147" i="24" s="1"/>
  <c r="AN147" i="24" s="1"/>
  <c r="AO147" i="24" s="1"/>
  <c r="AP147" i="24" s="1"/>
  <c r="AQ147" i="24" s="1"/>
  <c r="AR147" i="24" s="1"/>
  <c r="AS147" i="24" s="1"/>
  <c r="AT147" i="24" s="1"/>
  <c r="AU147" i="24" s="1"/>
  <c r="AV147" i="24" s="1"/>
  <c r="AW147" i="24" s="1"/>
  <c r="AX147" i="24" s="1"/>
  <c r="AY147" i="24" s="1"/>
  <c r="AZ147" i="24" s="1"/>
  <c r="BA147" i="24" s="1"/>
  <c r="BB147" i="24" s="1"/>
  <c r="BC147" i="24" s="1"/>
  <c r="BD147" i="24" s="1"/>
  <c r="BE147" i="24" s="1"/>
  <c r="BF147" i="24" s="1"/>
  <c r="BG147" i="24" s="1"/>
  <c r="BH147" i="24" s="1"/>
  <c r="BI147" i="24" s="1"/>
  <c r="BJ147" i="24" s="1"/>
  <c r="BK147" i="24" s="1"/>
  <c r="BL147" i="24" s="1"/>
  <c r="BM147" i="24" s="1"/>
  <c r="E147" i="24" s="1"/>
  <c r="S115" i="24"/>
  <c r="O146" i="24"/>
  <c r="P146" i="24" s="1"/>
  <c r="Q146" i="24" s="1"/>
  <c r="R146" i="24" s="1"/>
  <c r="S146" i="24" s="1"/>
  <c r="T146" i="24" s="1"/>
  <c r="U146" i="24" s="1"/>
  <c r="V146" i="24" s="1"/>
  <c r="W146" i="24" s="1"/>
  <c r="X146" i="24" s="1"/>
  <c r="Y146" i="24" s="1"/>
  <c r="Z146" i="24" s="1"/>
  <c r="AA146" i="24" s="1"/>
  <c r="AB146" i="24" s="1"/>
  <c r="AC146" i="24" s="1"/>
  <c r="AD146" i="24" s="1"/>
  <c r="AE146" i="24" s="1"/>
  <c r="AF146" i="24" s="1"/>
  <c r="AG146" i="24" s="1"/>
  <c r="AH146" i="24" s="1"/>
  <c r="AI146" i="24" s="1"/>
  <c r="AJ146" i="24" s="1"/>
  <c r="AK146" i="24" s="1"/>
  <c r="AL146" i="24" s="1"/>
  <c r="AM146" i="24" s="1"/>
  <c r="AN146" i="24" s="1"/>
  <c r="AO146" i="24" s="1"/>
  <c r="AP146" i="24" s="1"/>
  <c r="AQ146" i="24" s="1"/>
  <c r="AR146" i="24" s="1"/>
  <c r="AS146" i="24" s="1"/>
  <c r="AT146" i="24" s="1"/>
  <c r="AU146" i="24" s="1"/>
  <c r="AV146" i="24" s="1"/>
  <c r="AW146" i="24" s="1"/>
  <c r="AX146" i="24" s="1"/>
  <c r="AY146" i="24" s="1"/>
  <c r="AZ146" i="24" s="1"/>
  <c r="BA146" i="24" s="1"/>
  <c r="BB146" i="24" s="1"/>
  <c r="BC146" i="24" s="1"/>
  <c r="BD146" i="24" s="1"/>
  <c r="BE146" i="24" s="1"/>
  <c r="BF146" i="24" s="1"/>
  <c r="BG146" i="24" s="1"/>
  <c r="BH146" i="24" s="1"/>
  <c r="BI146" i="24" s="1"/>
  <c r="BJ146" i="24" s="1"/>
  <c r="BK146" i="24" s="1"/>
  <c r="BL146" i="24" s="1"/>
  <c r="BM146" i="24" s="1"/>
  <c r="E146" i="24" s="1"/>
  <c r="AH120" i="25"/>
  <c r="AL119" i="25"/>
  <c r="T115" i="24" l="1"/>
  <c r="U115" i="24" s="1"/>
  <c r="AH121" i="25"/>
  <c r="AL120" i="25"/>
  <c r="V115" i="24" l="1"/>
  <c r="AH122" i="25"/>
  <c r="AL122" i="25" s="1"/>
  <c r="AL121" i="25"/>
  <c r="W115" i="24" l="1"/>
  <c r="X115" i="24" l="1"/>
  <c r="Y115" i="24" l="1"/>
  <c r="Z115" i="24" s="1"/>
  <c r="AA115" i="24" s="1"/>
  <c r="AB115" i="24" s="1"/>
  <c r="AC115" i="24" s="1"/>
  <c r="AD115" i="24" l="1"/>
  <c r="AE115" i="24" l="1"/>
  <c r="AF115" i="24" l="1"/>
  <c r="AG115" i="24" l="1"/>
  <c r="AH115" i="24" l="1"/>
  <c r="AI115" i="24" l="1"/>
  <c r="AJ115" i="24" s="1"/>
  <c r="AK115" i="24" l="1"/>
  <c r="AL115" i="24" s="1"/>
  <c r="AM115" i="24" s="1"/>
  <c r="AN115" i="24" s="1"/>
  <c r="AO115" i="24" s="1"/>
  <c r="AP115" i="24" s="1"/>
  <c r="AQ115" i="24" s="1"/>
  <c r="AR115" i="24" s="1"/>
  <c r="AS115" i="24" s="1"/>
  <c r="AT115" i="24" s="1"/>
  <c r="AU115" i="24" s="1"/>
  <c r="AV115" i="24" s="1"/>
  <c r="AW115" i="24" s="1"/>
  <c r="AX115" i="24" s="1"/>
  <c r="AY115" i="24" s="1"/>
  <c r="AZ115" i="24" s="1"/>
  <c r="BA115" i="24" s="1"/>
  <c r="BB115" i="24" s="1"/>
  <c r="BC115" i="24" s="1"/>
  <c r="BD115" i="24" s="1"/>
  <c r="BE115" i="24" s="1"/>
  <c r="BF115" i="24" s="1"/>
  <c r="BG115" i="24" s="1"/>
  <c r="BH115" i="24" s="1"/>
  <c r="BI115" i="24" s="1"/>
  <c r="BJ115" i="24" s="1"/>
  <c r="BK115" i="24" s="1"/>
  <c r="BL115" i="24" l="1"/>
  <c r="BM115" i="24" s="1"/>
  <c r="E115" i="24" s="1"/>
  <c r="A115" i="24" s="1"/>
  <c r="S111" i="10" l="1"/>
  <c r="T111" i="10"/>
  <c r="R111" i="10"/>
  <c r="F7" i="2" l="1"/>
  <c r="G7" i="2"/>
  <c r="H7" i="2"/>
  <c r="I7" i="2"/>
  <c r="J7" i="2"/>
  <c r="I124" i="12"/>
  <c r="U7" i="2" l="1"/>
  <c r="V7" i="2" s="1"/>
  <c r="J128" i="12" l="1"/>
  <c r="K128" i="12"/>
  <c r="L128" i="12"/>
  <c r="M128" i="12"/>
  <c r="BP128" i="12"/>
  <c r="BQ128" i="12"/>
  <c r="BR128" i="12"/>
  <c r="H128" i="12"/>
  <c r="I123" i="12"/>
  <c r="J123" i="12"/>
  <c r="K123" i="12"/>
  <c r="L123" i="12"/>
  <c r="M123" i="12"/>
  <c r="S123" i="12"/>
  <c r="T123" i="12"/>
  <c r="U123" i="12"/>
  <c r="V123" i="12"/>
  <c r="W123" i="12"/>
  <c r="X123" i="12"/>
  <c r="Y123" i="12"/>
  <c r="Z123" i="12"/>
  <c r="AA123" i="12"/>
  <c r="AB123" i="12"/>
  <c r="AC123" i="12"/>
  <c r="AD123" i="12"/>
  <c r="AE123" i="12"/>
  <c r="AF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U123" i="12"/>
  <c r="AV123" i="12"/>
  <c r="AW123" i="12"/>
  <c r="AX123" i="12"/>
  <c r="AY123" i="12"/>
  <c r="AZ123" i="12"/>
  <c r="BA123" i="12"/>
  <c r="BB123" i="12"/>
  <c r="BC123" i="12"/>
  <c r="BD123" i="12"/>
  <c r="BE123" i="12"/>
  <c r="BF123" i="12"/>
  <c r="BG123" i="12"/>
  <c r="BH123" i="12"/>
  <c r="BI123" i="12"/>
  <c r="BJ123" i="12"/>
  <c r="BK123" i="12"/>
  <c r="BL123" i="12"/>
  <c r="BM123" i="12"/>
  <c r="BN123" i="12"/>
  <c r="BO123" i="12"/>
  <c r="BP123" i="12"/>
  <c r="BQ123" i="12"/>
  <c r="BR123" i="12"/>
  <c r="H123" i="12"/>
  <c r="I41" i="12" l="1"/>
  <c r="J41" i="12"/>
  <c r="K41" i="12"/>
  <c r="L41" i="12"/>
  <c r="M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W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L41" i="12"/>
  <c r="BM41" i="12"/>
  <c r="BN41" i="12"/>
  <c r="BO41" i="12"/>
  <c r="BP41" i="12"/>
  <c r="BQ41" i="12"/>
  <c r="BR41" i="12"/>
  <c r="H41" i="12"/>
  <c r="I37" i="12"/>
  <c r="J37" i="12"/>
  <c r="K37" i="12"/>
  <c r="L37" i="12"/>
  <c r="M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W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L37" i="12"/>
  <c r="BM37" i="12"/>
  <c r="BN37" i="12"/>
  <c r="BO37" i="12"/>
  <c r="BP37" i="12"/>
  <c r="BQ37" i="12"/>
  <c r="BR37" i="12"/>
  <c r="H37" i="12"/>
  <c r="J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V30" i="12"/>
  <c r="AW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L30" i="12"/>
  <c r="BM30" i="12"/>
  <c r="BN30" i="12"/>
  <c r="BO30" i="12"/>
  <c r="BP30" i="12"/>
  <c r="BQ30" i="12"/>
  <c r="BR30" i="12"/>
  <c r="H30" i="12"/>
  <c r="J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W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L26" i="12"/>
  <c r="BM26" i="12"/>
  <c r="BN26" i="12"/>
  <c r="BO26" i="12"/>
  <c r="BP26" i="12"/>
  <c r="BQ26" i="12"/>
  <c r="BR26" i="12"/>
  <c r="H26" i="12"/>
  <c r="J372" i="12"/>
  <c r="H372" i="12"/>
  <c r="J361" i="12"/>
  <c r="H361" i="12"/>
  <c r="J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U89" i="12"/>
  <c r="AV89" i="12"/>
  <c r="AW89" i="12"/>
  <c r="AX89" i="12"/>
  <c r="AY89" i="12"/>
  <c r="AZ89" i="12"/>
  <c r="BA89" i="12"/>
  <c r="BB89" i="12"/>
  <c r="BC89" i="12"/>
  <c r="BD89" i="12"/>
  <c r="BE89" i="12"/>
  <c r="BF89" i="12"/>
  <c r="BG89" i="12"/>
  <c r="BH89" i="12"/>
  <c r="BI89" i="12"/>
  <c r="BJ89" i="12"/>
  <c r="BK89" i="12"/>
  <c r="BL89" i="12"/>
  <c r="BM89" i="12"/>
  <c r="BN89" i="12"/>
  <c r="BO89" i="12"/>
  <c r="BP89" i="12"/>
  <c r="BQ89" i="12"/>
  <c r="BR89" i="12"/>
  <c r="H89" i="12"/>
  <c r="J81" i="12"/>
  <c r="L81" i="12"/>
  <c r="M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W81" i="12"/>
  <c r="AX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L81" i="12"/>
  <c r="BM81" i="12"/>
  <c r="BN81" i="12"/>
  <c r="BO81" i="12"/>
  <c r="BP81" i="12"/>
  <c r="BQ81" i="12"/>
  <c r="BR81" i="12"/>
  <c r="H81" i="12"/>
  <c r="AH74" i="12"/>
  <c r="AI74" i="12"/>
  <c r="AJ74" i="12"/>
  <c r="AK74" i="12"/>
  <c r="AL74" i="12"/>
  <c r="AO74" i="12"/>
  <c r="AP74" i="12"/>
  <c r="AQ74" i="12"/>
  <c r="AR74" i="12"/>
  <c r="AS74" i="12"/>
  <c r="H74" i="12"/>
  <c r="H69" i="12"/>
  <c r="J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W50" i="12"/>
  <c r="AX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L50" i="12"/>
  <c r="BM50" i="12"/>
  <c r="BN50" i="12"/>
  <c r="BO50" i="12"/>
  <c r="BP50" i="12"/>
  <c r="BQ50" i="12"/>
  <c r="BR50" i="12"/>
  <c r="H50" i="12"/>
  <c r="J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U69" i="12"/>
  <c r="AV69" i="12"/>
  <c r="AW69" i="12"/>
  <c r="AX69" i="12"/>
  <c r="AY69" i="12"/>
  <c r="AZ69" i="12"/>
  <c r="BA69" i="12"/>
  <c r="BB69" i="12"/>
  <c r="BC69" i="12"/>
  <c r="BD69" i="12"/>
  <c r="BE69" i="12"/>
  <c r="BF69" i="12"/>
  <c r="BG69" i="12"/>
  <c r="BH69" i="12"/>
  <c r="BI69" i="12"/>
  <c r="BJ69" i="12"/>
  <c r="BK69" i="12"/>
  <c r="BL69" i="12"/>
  <c r="BM69" i="12"/>
  <c r="BN69" i="12"/>
  <c r="BO69" i="12"/>
  <c r="BP69" i="12"/>
  <c r="BQ69" i="12"/>
  <c r="BR69" i="12"/>
  <c r="J74" i="12"/>
  <c r="AM74" i="12"/>
  <c r="AN74" i="12"/>
  <c r="AT74" i="12"/>
  <c r="AU74" i="12"/>
  <c r="AV74" i="12"/>
  <c r="AW74" i="12"/>
  <c r="AX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L74" i="12"/>
  <c r="BM74" i="12"/>
  <c r="BN74" i="12"/>
  <c r="BO74" i="12"/>
  <c r="BP74" i="12"/>
  <c r="BQ74" i="12"/>
  <c r="BR74" i="12"/>
  <c r="I88" i="12"/>
  <c r="A88" i="12" s="1"/>
  <c r="I87" i="12"/>
  <c r="A83" i="12"/>
  <c r="A82" i="12"/>
  <c r="I80" i="12"/>
  <c r="A80" i="12" s="1"/>
  <c r="I79" i="12"/>
  <c r="A79" i="12" s="1"/>
  <c r="I78" i="12"/>
  <c r="I394" i="12"/>
  <c r="J394" i="12"/>
  <c r="N394" i="12"/>
  <c r="O394" i="12"/>
  <c r="P394" i="12"/>
  <c r="Q394" i="12"/>
  <c r="R394" i="12"/>
  <c r="S394" i="12"/>
  <c r="T394" i="12"/>
  <c r="U394" i="12"/>
  <c r="V394" i="12"/>
  <c r="W394" i="12"/>
  <c r="X394" i="12"/>
  <c r="Y394" i="12"/>
  <c r="Z394" i="12"/>
  <c r="AA394" i="12"/>
  <c r="AB394" i="12"/>
  <c r="AC394" i="12"/>
  <c r="AD394" i="12"/>
  <c r="AE394" i="12"/>
  <c r="AF394" i="12"/>
  <c r="AG394" i="12"/>
  <c r="AH394" i="12"/>
  <c r="AI394" i="12"/>
  <c r="AJ394" i="12"/>
  <c r="AK394" i="12"/>
  <c r="AL394" i="12"/>
  <c r="AM394" i="12"/>
  <c r="AN394" i="12"/>
  <c r="AO394" i="12"/>
  <c r="AP394" i="12"/>
  <c r="AQ394" i="12"/>
  <c r="AR394" i="12"/>
  <c r="AS394" i="12"/>
  <c r="AT394" i="12"/>
  <c r="AU394" i="12"/>
  <c r="AV394" i="12"/>
  <c r="AW394" i="12"/>
  <c r="AX394" i="12"/>
  <c r="AY394" i="12"/>
  <c r="AZ394" i="12"/>
  <c r="BA394" i="12"/>
  <c r="BB394" i="12"/>
  <c r="BC394" i="12"/>
  <c r="BD394" i="12"/>
  <c r="BE394" i="12"/>
  <c r="BF394" i="12"/>
  <c r="BG394" i="12"/>
  <c r="BH394" i="12"/>
  <c r="BI394" i="12"/>
  <c r="BJ394" i="12"/>
  <c r="BK394" i="12"/>
  <c r="BL394" i="12"/>
  <c r="BM394" i="12"/>
  <c r="BN394" i="12"/>
  <c r="BO394" i="12"/>
  <c r="BP394" i="12"/>
  <c r="BQ394" i="12"/>
  <c r="BR394" i="12"/>
  <c r="H394" i="12"/>
  <c r="J343" i="12"/>
  <c r="N343" i="12"/>
  <c r="O343" i="12"/>
  <c r="P343" i="12"/>
  <c r="Q343" i="12"/>
  <c r="R343" i="12"/>
  <c r="H343" i="12"/>
  <c r="H325" i="12"/>
  <c r="J325" i="12"/>
  <c r="H264" i="12"/>
  <c r="J264" i="12"/>
  <c r="H287" i="12"/>
  <c r="J287" i="12"/>
  <c r="H223" i="12"/>
  <c r="J223" i="12"/>
  <c r="H147" i="12"/>
  <c r="J147" i="12"/>
  <c r="J137" i="12"/>
  <c r="H106" i="12"/>
  <c r="J106" i="12"/>
  <c r="I105" i="12"/>
  <c r="A105" i="12" s="1"/>
  <c r="I103" i="12"/>
  <c r="A103" i="12" s="1"/>
  <c r="A100" i="12"/>
  <c r="A99" i="12"/>
  <c r="A97" i="12"/>
  <c r="J94" i="12"/>
  <c r="H94" i="12"/>
  <c r="H10" i="12"/>
  <c r="J10" i="12"/>
  <c r="K10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AX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L6" i="12"/>
  <c r="BM6" i="12"/>
  <c r="BN6" i="12"/>
  <c r="BO6" i="12"/>
  <c r="BP6" i="12"/>
  <c r="BQ6" i="12"/>
  <c r="BR6" i="12"/>
  <c r="H6" i="12"/>
  <c r="A7" i="12"/>
  <c r="A8" i="12"/>
  <c r="A9" i="12"/>
  <c r="A38" i="12"/>
  <c r="A39" i="12"/>
  <c r="A40" i="12"/>
  <c r="A42" i="12"/>
  <c r="A43" i="12"/>
  <c r="A44" i="12"/>
  <c r="A123" i="12"/>
  <c r="A124" i="12"/>
  <c r="A125" i="12"/>
  <c r="A126" i="12"/>
  <c r="A127" i="12"/>
  <c r="A131" i="12"/>
  <c r="A134" i="12"/>
  <c r="A135" i="12"/>
  <c r="A142" i="12"/>
  <c r="A144" i="12"/>
  <c r="A414" i="12"/>
  <c r="A415" i="12"/>
  <c r="A416" i="12"/>
  <c r="A417" i="12"/>
  <c r="I24" i="12"/>
  <c r="A24" i="12" s="1"/>
  <c r="I23" i="12"/>
  <c r="A23" i="12" s="1"/>
  <c r="I22" i="12"/>
  <c r="A22" i="12" s="1"/>
  <c r="I15" i="12"/>
  <c r="A15" i="12" s="1"/>
  <c r="I13" i="12"/>
  <c r="A13" i="12" s="1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2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2" i="16"/>
  <c r="I122" i="12"/>
  <c r="A122" i="12" s="1"/>
  <c r="A108" i="12"/>
  <c r="F38" i="2"/>
  <c r="F5" i="3"/>
  <c r="F6" i="3" s="1"/>
  <c r="D25" i="1"/>
  <c r="C25" i="1" s="1"/>
  <c r="J46" i="12" l="1"/>
  <c r="J45" i="12" s="1"/>
  <c r="BE25" i="12"/>
  <c r="BF25" i="12"/>
  <c r="AP25" i="12"/>
  <c r="BM25" i="12"/>
  <c r="AW25" i="12"/>
  <c r="AO25" i="12"/>
  <c r="AG25" i="12"/>
  <c r="Y25" i="12"/>
  <c r="AX25" i="12"/>
  <c r="H25" i="12"/>
  <c r="A41" i="12"/>
  <c r="Y50" i="12"/>
  <c r="A37" i="12"/>
  <c r="BN25" i="12"/>
  <c r="BD25" i="12"/>
  <c r="AN25" i="12"/>
  <c r="X25" i="12"/>
  <c r="BK25" i="12"/>
  <c r="BR25" i="12"/>
  <c r="BB25" i="12"/>
  <c r="AL25" i="12"/>
  <c r="V25" i="12"/>
  <c r="BQ25" i="12"/>
  <c r="AS25" i="12"/>
  <c r="BP25" i="12"/>
  <c r="BO25" i="12"/>
  <c r="BG25" i="12"/>
  <c r="AQ25" i="12"/>
  <c r="AI25" i="12"/>
  <c r="AA25" i="12"/>
  <c r="S25" i="12"/>
  <c r="BL25" i="12"/>
  <c r="AV25" i="12"/>
  <c r="AF25" i="12"/>
  <c r="BC25" i="12"/>
  <c r="AU25" i="12"/>
  <c r="AE25" i="12"/>
  <c r="W25" i="12"/>
  <c r="BJ25" i="12"/>
  <c r="AT25" i="12"/>
  <c r="AD25" i="12"/>
  <c r="BI25" i="12"/>
  <c r="BA25" i="12"/>
  <c r="AK25" i="12"/>
  <c r="AC25" i="12"/>
  <c r="U25" i="12"/>
  <c r="BH25" i="12"/>
  <c r="AZ25" i="12"/>
  <c r="AR25" i="12"/>
  <c r="AJ25" i="12"/>
  <c r="AB25" i="12"/>
  <c r="T25" i="12"/>
  <c r="AY25" i="12"/>
  <c r="AH25" i="12"/>
  <c r="Z25" i="12"/>
  <c r="J25" i="12"/>
  <c r="AM25" i="12"/>
  <c r="Z50" i="12"/>
  <c r="H46" i="12"/>
  <c r="H45" i="12" s="1"/>
  <c r="AG50" i="12"/>
  <c r="H360" i="12"/>
  <c r="H136" i="12" s="1"/>
  <c r="I81" i="12"/>
  <c r="A81" i="12" s="1"/>
  <c r="AF50" i="12"/>
  <c r="X50" i="12"/>
  <c r="AB50" i="12"/>
  <c r="T50" i="12"/>
  <c r="AE50" i="12"/>
  <c r="W50" i="12"/>
  <c r="AA50" i="12"/>
  <c r="S50" i="12"/>
  <c r="AE74" i="12"/>
  <c r="J360" i="12"/>
  <c r="J136" i="12" s="1"/>
  <c r="AD50" i="12"/>
  <c r="V50" i="12"/>
  <c r="AC50" i="12"/>
  <c r="U50" i="12"/>
  <c r="X74" i="12"/>
  <c r="W74" i="12"/>
  <c r="V74" i="12"/>
  <c r="U74" i="12"/>
  <c r="AB74" i="12"/>
  <c r="T74" i="12"/>
  <c r="AD74" i="12"/>
  <c r="AF74" i="12"/>
  <c r="AC74" i="12"/>
  <c r="AA74" i="12"/>
  <c r="S74" i="12"/>
  <c r="Z74" i="12"/>
  <c r="AG74" i="12"/>
  <c r="Y74" i="12"/>
  <c r="A6" i="12"/>
  <c r="E83" i="2" l="1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AF197" i="3"/>
  <c r="AG197" i="3"/>
  <c r="AH197" i="3"/>
  <c r="AI197" i="3"/>
  <c r="AJ197" i="3"/>
  <c r="AK197" i="3"/>
  <c r="AL197" i="3"/>
  <c r="AM197" i="3"/>
  <c r="AN197" i="3"/>
  <c r="AO197" i="3"/>
  <c r="AP197" i="3"/>
  <c r="AQ197" i="3"/>
  <c r="AR197" i="3"/>
  <c r="AS197" i="3"/>
  <c r="AT197" i="3"/>
  <c r="AU197" i="3"/>
  <c r="AV197" i="3"/>
  <c r="AW197" i="3"/>
  <c r="AX197" i="3"/>
  <c r="AY197" i="3"/>
  <c r="AZ197" i="3"/>
  <c r="BA197" i="3"/>
  <c r="BB197" i="3"/>
  <c r="BC197" i="3"/>
  <c r="BD197" i="3"/>
  <c r="BE197" i="3"/>
  <c r="BF197" i="3"/>
  <c r="BG197" i="3"/>
  <c r="BH197" i="3"/>
  <c r="BI197" i="3"/>
  <c r="BJ197" i="3"/>
  <c r="BK197" i="3"/>
  <c r="BL197" i="3"/>
  <c r="BM197" i="3"/>
  <c r="P22" i="1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AG196" i="3"/>
  <c r="AH196" i="3"/>
  <c r="AI196" i="3"/>
  <c r="AJ196" i="3"/>
  <c r="AK196" i="3"/>
  <c r="AL196" i="3"/>
  <c r="AM196" i="3"/>
  <c r="AN196" i="3"/>
  <c r="AO196" i="3"/>
  <c r="AP196" i="3"/>
  <c r="AQ196" i="3"/>
  <c r="AR196" i="3"/>
  <c r="AS196" i="3"/>
  <c r="AT196" i="3"/>
  <c r="AU196" i="3"/>
  <c r="AV196" i="3"/>
  <c r="AW196" i="3"/>
  <c r="AX196" i="3"/>
  <c r="AY196" i="3"/>
  <c r="AZ196" i="3"/>
  <c r="BA196" i="3"/>
  <c r="BB196" i="3"/>
  <c r="BC196" i="3"/>
  <c r="BD196" i="3"/>
  <c r="BE196" i="3"/>
  <c r="BF196" i="3"/>
  <c r="BG196" i="3"/>
  <c r="BH196" i="3"/>
  <c r="BI196" i="3"/>
  <c r="BJ196" i="3"/>
  <c r="BK196" i="3"/>
  <c r="BL196" i="3"/>
  <c r="BM196" i="3"/>
  <c r="F196" i="3"/>
  <c r="T61" i="10"/>
  <c r="F45" i="10"/>
  <c r="R35" i="10"/>
  <c r="I5" i="10"/>
  <c r="H5" i="10"/>
  <c r="I4" i="10"/>
  <c r="R104" i="10"/>
  <c r="R125" i="10"/>
  <c r="R138" i="10"/>
  <c r="BK12" i="2"/>
  <c r="BL12" i="2"/>
  <c r="BM12" i="2"/>
  <c r="BM9" i="2"/>
  <c r="H2" i="1"/>
  <c r="F18" i="2"/>
  <c r="B68" i="3"/>
  <c r="A13" i="1"/>
  <c r="A14" i="1" s="1"/>
  <c r="C70" i="2"/>
  <c r="F60" i="2"/>
  <c r="I80" i="2"/>
  <c r="M2" i="1"/>
  <c r="F29" i="1"/>
  <c r="AP62" i="2"/>
  <c r="AP100" i="2" s="1"/>
  <c r="AO62" i="2"/>
  <c r="AO68" i="2" s="1"/>
  <c r="E84" i="2"/>
  <c r="E107" i="3"/>
  <c r="E106" i="3"/>
  <c r="E105" i="3"/>
  <c r="E102" i="3"/>
  <c r="E97" i="3"/>
  <c r="E94" i="3"/>
  <c r="E89" i="3"/>
  <c r="E86" i="3"/>
  <c r="E83" i="3"/>
  <c r="E80" i="3"/>
  <c r="E152" i="3"/>
  <c r="E144" i="3"/>
  <c r="E136" i="3"/>
  <c r="E128" i="3"/>
  <c r="D119" i="3"/>
  <c r="D126" i="3" s="1"/>
  <c r="D118" i="3"/>
  <c r="D125" i="3" s="1"/>
  <c r="D117" i="3"/>
  <c r="D124" i="3" s="1"/>
  <c r="D116" i="3"/>
  <c r="D123" i="3" s="1"/>
  <c r="D115" i="3"/>
  <c r="D122" i="3" s="1"/>
  <c r="D114" i="3"/>
  <c r="D121" i="3" s="1"/>
  <c r="AS83" i="2"/>
  <c r="B64" i="3"/>
  <c r="B65" i="3"/>
  <c r="AS72" i="2" s="1"/>
  <c r="AS84" i="2" s="1"/>
  <c r="B66" i="3"/>
  <c r="AS73" i="2" s="1"/>
  <c r="AS85" i="2" s="1"/>
  <c r="B67" i="3"/>
  <c r="AS74" i="2" s="1"/>
  <c r="AS86" i="2" s="1"/>
  <c r="B63" i="3"/>
  <c r="F8" i="2"/>
  <c r="G8" i="2"/>
  <c r="H8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F13" i="2"/>
  <c r="G13" i="2" s="1"/>
  <c r="H13" i="2" s="1"/>
  <c r="I13" i="2" s="1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BM13" i="2" s="1"/>
  <c r="G11" i="2"/>
  <c r="F11" i="2"/>
  <c r="F4" i="2" s="1"/>
  <c r="F10" i="2"/>
  <c r="G10" i="2" s="1"/>
  <c r="B10" i="2"/>
  <c r="B24" i="2" s="1"/>
  <c r="B11" i="2"/>
  <c r="B25" i="2" s="1"/>
  <c r="B8" i="2"/>
  <c r="B7" i="2"/>
  <c r="B21" i="2" s="1"/>
  <c r="B20" i="2"/>
  <c r="F53" i="29"/>
  <c r="B14" i="3"/>
  <c r="B9" i="3"/>
  <c r="B10" i="3"/>
  <c r="B11" i="3"/>
  <c r="B20" i="3" s="1"/>
  <c r="B29" i="3" s="1"/>
  <c r="B44" i="3" s="1"/>
  <c r="D132" i="3" s="1"/>
  <c r="D140" i="3" s="1"/>
  <c r="D148" i="3" s="1"/>
  <c r="D156" i="3" s="1"/>
  <c r="B12" i="3"/>
  <c r="B21" i="3" s="1"/>
  <c r="B30" i="3" s="1"/>
  <c r="B45" i="3" s="1"/>
  <c r="D133" i="3" s="1"/>
  <c r="D141" i="3" s="1"/>
  <c r="D149" i="3" s="1"/>
  <c r="D157" i="3" s="1"/>
  <c r="I8" i="2"/>
  <c r="L13" i="1"/>
  <c r="L14" i="1"/>
  <c r="G10" i="1"/>
  <c r="G10" i="21" s="1"/>
  <c r="L11" i="1"/>
  <c r="B48" i="2" s="1"/>
  <c r="L12" i="1"/>
  <c r="B50" i="2" s="1"/>
  <c r="L10" i="1"/>
  <c r="B46" i="2" s="1"/>
  <c r="L17" i="1"/>
  <c r="K67" i="2"/>
  <c r="H72" i="2" s="1"/>
  <c r="G9" i="1"/>
  <c r="G9" i="21" s="1"/>
  <c r="G13" i="1"/>
  <c r="G13" i="21" s="1"/>
  <c r="G14" i="1"/>
  <c r="B13" i="3"/>
  <c r="AR68" i="2" s="1"/>
  <c r="AR80" i="2" s="1"/>
  <c r="AR92" i="2" s="1"/>
  <c r="AR100" i="2" s="1"/>
  <c r="AR108" i="2" s="1"/>
  <c r="AR116" i="2" s="1"/>
  <c r="B8" i="3"/>
  <c r="AR63" i="2" s="1"/>
  <c r="AR75" i="2" s="1"/>
  <c r="AR87" i="2" s="1"/>
  <c r="AR95" i="2" s="1"/>
  <c r="AR103" i="2" s="1"/>
  <c r="AR111" i="2" s="1"/>
  <c r="R49" i="1"/>
  <c r="R48" i="1"/>
  <c r="B52" i="2"/>
  <c r="L16" i="1"/>
  <c r="L15" i="1"/>
  <c r="L9" i="1"/>
  <c r="B44" i="2" s="1"/>
  <c r="L8" i="1"/>
  <c r="B40" i="2" s="1"/>
  <c r="L7" i="1"/>
  <c r="C4" i="2"/>
  <c r="H4" i="10" l="1"/>
  <c r="M4" i="10"/>
  <c r="E86" i="2"/>
  <c r="E85" i="2"/>
  <c r="M35" i="10"/>
  <c r="M138" i="10"/>
  <c r="M115" i="10"/>
  <c r="G14" i="21"/>
  <c r="I14" i="21" s="1"/>
  <c r="F37" i="2"/>
  <c r="AP81" i="2"/>
  <c r="AP87" i="2"/>
  <c r="I13" i="21"/>
  <c r="H9" i="1"/>
  <c r="H9" i="21" s="1"/>
  <c r="H10" i="1"/>
  <c r="H10" i="21" s="1"/>
  <c r="J35" i="1"/>
  <c r="J35" i="21" s="1"/>
  <c r="H35" i="21" s="1"/>
  <c r="F35" i="21" s="1"/>
  <c r="M104" i="10"/>
  <c r="M55" i="10"/>
  <c r="P39" i="1"/>
  <c r="G5" i="3"/>
  <c r="AP117" i="2"/>
  <c r="AP121" i="2"/>
  <c r="AP66" i="2"/>
  <c r="AP114" i="2"/>
  <c r="F17" i="2"/>
  <c r="AP70" i="2"/>
  <c r="AP112" i="2"/>
  <c r="AP73" i="2"/>
  <c r="AP105" i="2"/>
  <c r="AP83" i="2"/>
  <c r="AP120" i="2"/>
  <c r="AP76" i="2"/>
  <c r="AP119" i="2"/>
  <c r="AP90" i="2"/>
  <c r="AP77" i="2"/>
  <c r="AP104" i="2"/>
  <c r="AO70" i="2"/>
  <c r="AO71" i="2" s="1"/>
  <c r="AP68" i="2"/>
  <c r="AP101" i="2"/>
  <c r="AP63" i="2"/>
  <c r="AP72" i="2"/>
  <c r="AP103" i="2"/>
  <c r="AP108" i="2"/>
  <c r="AO67" i="2"/>
  <c r="AP82" i="2"/>
  <c r="AP88" i="2"/>
  <c r="AP71" i="2"/>
  <c r="AP95" i="2"/>
  <c r="AP111" i="2"/>
  <c r="AP110" i="2"/>
  <c r="AP106" i="2"/>
  <c r="AP122" i="2"/>
  <c r="B22" i="3"/>
  <c r="B31" i="3" s="1"/>
  <c r="B46" i="3" s="1"/>
  <c r="D134" i="3" s="1"/>
  <c r="D142" i="3" s="1"/>
  <c r="D150" i="3" s="1"/>
  <c r="D158" i="3" s="1"/>
  <c r="AP86" i="2"/>
  <c r="AP65" i="2"/>
  <c r="AP75" i="2"/>
  <c r="AP97" i="2"/>
  <c r="AP113" i="2"/>
  <c r="AP118" i="2"/>
  <c r="AP116" i="2"/>
  <c r="AP64" i="2"/>
  <c r="AP69" i="2"/>
  <c r="AP79" i="2"/>
  <c r="AP99" i="2"/>
  <c r="AP115" i="2"/>
  <c r="AP92" i="2"/>
  <c r="AP98" i="2"/>
  <c r="AO69" i="2"/>
  <c r="AP74" i="2"/>
  <c r="AP80" i="2"/>
  <c r="AP85" i="2"/>
  <c r="AP91" i="2"/>
  <c r="AP107" i="2"/>
  <c r="AP94" i="2"/>
  <c r="AP89" i="2"/>
  <c r="AP78" i="2"/>
  <c r="AP84" i="2"/>
  <c r="AP67" i="2"/>
  <c r="AP93" i="2"/>
  <c r="AP109" i="2"/>
  <c r="AP102" i="2"/>
  <c r="AP96" i="2"/>
  <c r="F25" i="3"/>
  <c r="E63" i="2"/>
  <c r="F63" i="2" s="1"/>
  <c r="AR67" i="2"/>
  <c r="AR79" i="2" s="1"/>
  <c r="AR91" i="2" s="1"/>
  <c r="AR99" i="2" s="1"/>
  <c r="AR107" i="2" s="1"/>
  <c r="AR115" i="2" s="1"/>
  <c r="E68" i="2"/>
  <c r="F68" i="2" s="1"/>
  <c r="P23" i="1"/>
  <c r="AR66" i="2"/>
  <c r="AR78" i="2" s="1"/>
  <c r="AR90" i="2" s="1"/>
  <c r="AR98" i="2" s="1"/>
  <c r="AR106" i="2" s="1"/>
  <c r="AR114" i="2" s="1"/>
  <c r="E66" i="2"/>
  <c r="E67" i="2"/>
  <c r="F67" i="2" s="1"/>
  <c r="P24" i="1"/>
  <c r="B17" i="3"/>
  <c r="B26" i="3" s="1"/>
  <c r="B35" i="3" s="1"/>
  <c r="D129" i="3" s="1"/>
  <c r="D137" i="3" s="1"/>
  <c r="D145" i="3" s="1"/>
  <c r="D153" i="3" s="1"/>
  <c r="E65" i="2"/>
  <c r="F65" i="2" s="1"/>
  <c r="H79" i="2"/>
  <c r="G76" i="2"/>
  <c r="H77" i="2"/>
  <c r="H74" i="2"/>
  <c r="H78" i="2"/>
  <c r="H70" i="2"/>
  <c r="L8" i="2"/>
  <c r="AF4" i="2"/>
  <c r="AE9" i="2" s="1"/>
  <c r="AN8" i="2"/>
  <c r="K8" i="2"/>
  <c r="AJ8" i="2"/>
  <c r="J8" i="2"/>
  <c r="AM8" i="2"/>
  <c r="U4" i="2"/>
  <c r="R12" i="2" s="1"/>
  <c r="AC8" i="2"/>
  <c r="W4" i="2"/>
  <c r="BI8" i="2"/>
  <c r="K4" i="2"/>
  <c r="J9" i="2" s="1"/>
  <c r="M8" i="2"/>
  <c r="AG63" i="2"/>
  <c r="AR69" i="2"/>
  <c r="AR81" i="2" s="1"/>
  <c r="AR93" i="2" s="1"/>
  <c r="AR101" i="2" s="1"/>
  <c r="AR109" i="2" s="1"/>
  <c r="AR117" i="2" s="1"/>
  <c r="B23" i="3"/>
  <c r="B32" i="3" s="1"/>
  <c r="B47" i="3" s="1"/>
  <c r="D135" i="3" s="1"/>
  <c r="D143" i="3" s="1"/>
  <c r="D151" i="3" s="1"/>
  <c r="D159" i="3" s="1"/>
  <c r="AL8" i="2"/>
  <c r="AK8" i="2"/>
  <c r="AE4" i="2"/>
  <c r="AP4" i="2"/>
  <c r="T8" i="2"/>
  <c r="AD4" i="2"/>
  <c r="N4" i="2"/>
  <c r="BA4" i="2"/>
  <c r="AV4" i="2"/>
  <c r="BH8" i="2"/>
  <c r="BG8" i="2"/>
  <c r="P8" i="2"/>
  <c r="Z4" i="2"/>
  <c r="AL4" i="2"/>
  <c r="AJ4" i="2"/>
  <c r="K4" i="12"/>
  <c r="F188" i="3"/>
  <c r="BF8" i="2"/>
  <c r="BE8" i="2"/>
  <c r="R4" i="2"/>
  <c r="AI4" i="2"/>
  <c r="AR65" i="2"/>
  <c r="AR77" i="2" s="1"/>
  <c r="AR89" i="2" s="1"/>
  <c r="AR97" i="2" s="1"/>
  <c r="AR105" i="2" s="1"/>
  <c r="AR113" i="2" s="1"/>
  <c r="B19" i="3"/>
  <c r="B28" i="3" s="1"/>
  <c r="B43" i="3" s="1"/>
  <c r="D131" i="3" s="1"/>
  <c r="D139" i="3" s="1"/>
  <c r="D147" i="3" s="1"/>
  <c r="D155" i="3" s="1"/>
  <c r="AP8" i="2"/>
  <c r="AO8" i="2"/>
  <c r="Q4" i="2"/>
  <c r="AR64" i="2"/>
  <c r="AR76" i="2" s="1"/>
  <c r="AR88" i="2" s="1"/>
  <c r="AR96" i="2" s="1"/>
  <c r="AR104" i="2" s="1"/>
  <c r="AR112" i="2" s="1"/>
  <c r="B18" i="3"/>
  <c r="B27" i="3" s="1"/>
  <c r="B42" i="3" s="1"/>
  <c r="D130" i="3" s="1"/>
  <c r="D138" i="3" s="1"/>
  <c r="D146" i="3" s="1"/>
  <c r="D154" i="3" s="1"/>
  <c r="O8" i="2"/>
  <c r="AN4" i="2"/>
  <c r="AH4" i="2"/>
  <c r="P4" i="2"/>
  <c r="Q8" i="2"/>
  <c r="AG8" i="2"/>
  <c r="AW8" i="2"/>
  <c r="BM8" i="2"/>
  <c r="AF8" i="2"/>
  <c r="AV8" i="2"/>
  <c r="BL8" i="2"/>
  <c r="BF4" i="2"/>
  <c r="N8" i="2"/>
  <c r="S8" i="2"/>
  <c r="AI8" i="2"/>
  <c r="AY8" i="2"/>
  <c r="R8" i="2"/>
  <c r="AH8" i="2"/>
  <c r="AX8" i="2"/>
  <c r="AA4" i="2"/>
  <c r="AB4" i="2"/>
  <c r="AC4" i="2"/>
  <c r="J4" i="2"/>
  <c r="AU4" i="2"/>
  <c r="L4" i="2"/>
  <c r="BG4" i="2"/>
  <c r="AY4" i="2"/>
  <c r="BE4" i="2"/>
  <c r="AE8" i="2"/>
  <c r="AU8" i="2"/>
  <c r="BK8" i="2"/>
  <c r="AD8" i="2"/>
  <c r="AT8" i="2"/>
  <c r="BJ8" i="2"/>
  <c r="BD8" i="2"/>
  <c r="AB8" i="2"/>
  <c r="BC8" i="2"/>
  <c r="AA8" i="2"/>
  <c r="O4" i="2"/>
  <c r="BI4" i="2"/>
  <c r="X4" i="2"/>
  <c r="BK4" i="2"/>
  <c r="S4" i="2"/>
  <c r="BB8" i="2"/>
  <c r="Z8" i="2"/>
  <c r="BA8" i="2"/>
  <c r="Y8" i="2"/>
  <c r="AW4" i="2"/>
  <c r="AO4" i="2"/>
  <c r="BL4" i="2"/>
  <c r="BB4" i="2"/>
  <c r="BH4" i="2"/>
  <c r="AZ8" i="2"/>
  <c r="X8" i="2"/>
  <c r="AS8" i="2"/>
  <c r="W8" i="2"/>
  <c r="I4" i="2"/>
  <c r="BC4" i="2"/>
  <c r="V4" i="2"/>
  <c r="AZ4" i="2"/>
  <c r="AR8" i="2"/>
  <c r="V8" i="2"/>
  <c r="AQ8" i="2"/>
  <c r="U8" i="2"/>
  <c r="AM4" i="2"/>
  <c r="AX4" i="2"/>
  <c r="AT4" i="2"/>
  <c r="BJ4" i="2"/>
  <c r="H10" i="2"/>
  <c r="I10" i="2" s="1"/>
  <c r="J10" i="2" s="1"/>
  <c r="K10" i="2" s="1"/>
  <c r="L10" i="2" s="1"/>
  <c r="M10" i="2" s="1"/>
  <c r="H69" i="2"/>
  <c r="H75" i="2"/>
  <c r="G4" i="2"/>
  <c r="F9" i="2" s="1"/>
  <c r="H4" i="2"/>
  <c r="G9" i="2" s="1"/>
  <c r="Y4" i="2"/>
  <c r="M4" i="2"/>
  <c r="AQ4" i="2"/>
  <c r="AS4" i="2"/>
  <c r="AR4" i="2"/>
  <c r="T4" i="2"/>
  <c r="BD4" i="2"/>
  <c r="BM4" i="2"/>
  <c r="AG4" i="2"/>
  <c r="AK4" i="2"/>
  <c r="H71" i="2"/>
  <c r="G77" i="2"/>
  <c r="H73" i="2"/>
  <c r="H76" i="2"/>
  <c r="H80" i="2"/>
  <c r="M44" i="10"/>
  <c r="M58" i="10"/>
  <c r="M36" i="10"/>
  <c r="M30" i="10"/>
  <c r="M74" i="10"/>
  <c r="M69" i="10"/>
  <c r="M85" i="10"/>
  <c r="M39" i="10"/>
  <c r="M62" i="10"/>
  <c r="M11" i="10"/>
  <c r="M34" i="10"/>
  <c r="M107" i="10"/>
  <c r="M31" i="10"/>
  <c r="M56" i="10"/>
  <c r="M105" i="10"/>
  <c r="M84" i="10"/>
  <c r="M13" i="10"/>
  <c r="M40" i="10"/>
  <c r="M81" i="10"/>
  <c r="M135" i="10"/>
  <c r="M6" i="10"/>
  <c r="M73" i="10"/>
  <c r="M136" i="10"/>
  <c r="M20" i="10"/>
  <c r="M7" i="10"/>
  <c r="M60" i="10"/>
  <c r="M106" i="10"/>
  <c r="M116" i="10"/>
  <c r="M140" i="10"/>
  <c r="M38" i="10"/>
  <c r="M15" i="10"/>
  <c r="M32" i="10"/>
  <c r="M118" i="10"/>
  <c r="M25" i="10"/>
  <c r="M82" i="10"/>
  <c r="M126" i="10"/>
  <c r="M54" i="10"/>
  <c r="M51" i="10"/>
  <c r="M139" i="10"/>
  <c r="M22" i="10"/>
  <c r="M48" i="10"/>
  <c r="M127" i="10"/>
  <c r="M125" i="10"/>
  <c r="M117" i="10"/>
  <c r="H5" i="3" l="1"/>
  <c r="K55" i="12"/>
  <c r="K33" i="12"/>
  <c r="K34" i="12"/>
  <c r="E46" i="2"/>
  <c r="F47" i="2" s="1"/>
  <c r="J10" i="1"/>
  <c r="J10" i="21" s="1"/>
  <c r="E10" i="21" s="1"/>
  <c r="E44" i="2"/>
  <c r="F45" i="2" s="1"/>
  <c r="K91" i="12"/>
  <c r="K92" i="12"/>
  <c r="K93" i="12"/>
  <c r="K73" i="12"/>
  <c r="K71" i="12"/>
  <c r="K90" i="12"/>
  <c r="K72" i="12"/>
  <c r="K65" i="12"/>
  <c r="K58" i="12"/>
  <c r="K67" i="12"/>
  <c r="K57" i="12"/>
  <c r="K54" i="12"/>
  <c r="K66" i="12"/>
  <c r="K70" i="12"/>
  <c r="K60" i="12"/>
  <c r="K68" i="12"/>
  <c r="K62" i="12"/>
  <c r="K56" i="12"/>
  <c r="K52" i="12"/>
  <c r="K64" i="12"/>
  <c r="K61" i="12"/>
  <c r="K59" i="12"/>
  <c r="K53" i="12"/>
  <c r="K51" i="12"/>
  <c r="K63" i="12"/>
  <c r="K36" i="12"/>
  <c r="K35" i="12"/>
  <c r="K31" i="12"/>
  <c r="K29" i="12"/>
  <c r="K27" i="12"/>
  <c r="K28" i="12"/>
  <c r="K32" i="12"/>
  <c r="AO74" i="2"/>
  <c r="AO75" i="2" s="1"/>
  <c r="J9" i="1"/>
  <c r="H35" i="1"/>
  <c r="G6" i="3"/>
  <c r="G18" i="2" s="1"/>
  <c r="F36" i="2"/>
  <c r="G17" i="2"/>
  <c r="G36" i="2" s="1"/>
  <c r="K76" i="12"/>
  <c r="K77" i="12"/>
  <c r="K75" i="12"/>
  <c r="AO73" i="2"/>
  <c r="I5" i="3"/>
  <c r="F19" i="2"/>
  <c r="AO72" i="2"/>
  <c r="H17" i="2"/>
  <c r="F66" i="2"/>
  <c r="AO78" i="2"/>
  <c r="AC12" i="2"/>
  <c r="H12" i="2"/>
  <c r="T12" i="2"/>
  <c r="V9" i="2"/>
  <c r="T9" i="2"/>
  <c r="AU12" i="2"/>
  <c r="AW9" i="2"/>
  <c r="X12" i="2"/>
  <c r="Z9" i="2"/>
  <c r="N9" i="2"/>
  <c r="L12" i="2"/>
  <c r="I12" i="2"/>
  <c r="K9" i="2"/>
  <c r="AK12" i="2"/>
  <c r="AM9" i="2"/>
  <c r="AH9" i="2"/>
  <c r="AF12" i="2"/>
  <c r="AI9" i="2"/>
  <c r="AG12" i="2"/>
  <c r="AS12" i="2"/>
  <c r="AU9" i="2"/>
  <c r="AP9" i="2"/>
  <c r="AN12" i="2"/>
  <c r="AA12" i="2"/>
  <c r="AC9" i="2"/>
  <c r="AJ9" i="2"/>
  <c r="AH12" i="2"/>
  <c r="AS9" i="2"/>
  <c r="AQ12" i="2"/>
  <c r="R9" i="2"/>
  <c r="P12" i="2"/>
  <c r="BB9" i="2"/>
  <c r="AZ12" i="2"/>
  <c r="BJ9" i="2"/>
  <c r="BH12" i="2"/>
  <c r="BC12" i="2"/>
  <c r="BE9" i="2"/>
  <c r="Q12" i="2"/>
  <c r="S9" i="2"/>
  <c r="AO12" i="2"/>
  <c r="AQ9" i="2"/>
  <c r="AT9" i="2"/>
  <c r="AR12" i="2"/>
  <c r="Q9" i="2"/>
  <c r="O12" i="2"/>
  <c r="AI12" i="2"/>
  <c r="AK9" i="2"/>
  <c r="AZ9" i="2"/>
  <c r="AX12" i="2"/>
  <c r="AR9" i="2"/>
  <c r="AP12" i="2"/>
  <c r="I9" i="2"/>
  <c r="G12" i="2"/>
  <c r="Y9" i="2"/>
  <c r="W12" i="2"/>
  <c r="K12" i="2"/>
  <c r="M9" i="2"/>
  <c r="AF63" i="2"/>
  <c r="AG64" i="2"/>
  <c r="AW12" i="2"/>
  <c r="AY9" i="2"/>
  <c r="Z12" i="2"/>
  <c r="AB9" i="2"/>
  <c r="AM12" i="2"/>
  <c r="AO9" i="2"/>
  <c r="J12" i="2"/>
  <c r="L9" i="2"/>
  <c r="S12" i="2"/>
  <c r="U9" i="2"/>
  <c r="BA9" i="2"/>
  <c r="AY12" i="2"/>
  <c r="AA9" i="2"/>
  <c r="Y12" i="2"/>
  <c r="BG12" i="2"/>
  <c r="BI9" i="2"/>
  <c r="BE12" i="2"/>
  <c r="BG9" i="2"/>
  <c r="AD9" i="2"/>
  <c r="AB12" i="2"/>
  <c r="AF9" i="2"/>
  <c r="AD12" i="2"/>
  <c r="V12" i="2"/>
  <c r="X9" i="2"/>
  <c r="BI12" i="2"/>
  <c r="BK9" i="2"/>
  <c r="BD9" i="2"/>
  <c r="BB12" i="2"/>
  <c r="M12" i="2"/>
  <c r="O9" i="2"/>
  <c r="BJ12" i="2"/>
  <c r="BL9" i="2"/>
  <c r="AJ12" i="2"/>
  <c r="AL9" i="2"/>
  <c r="H9" i="2"/>
  <c r="F12" i="2"/>
  <c r="AL12" i="2"/>
  <c r="AN9" i="2"/>
  <c r="U12" i="2"/>
  <c r="W9" i="2"/>
  <c r="AV12" i="2"/>
  <c r="AX9" i="2"/>
  <c r="N10" i="2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BB10" i="2" s="1"/>
  <c r="BC10" i="2" s="1"/>
  <c r="BD10" i="2" s="1"/>
  <c r="BE10" i="2" s="1"/>
  <c r="BF10" i="2" s="1"/>
  <c r="BG10" i="2" s="1"/>
  <c r="BH10" i="2" s="1"/>
  <c r="BI10" i="2" s="1"/>
  <c r="BJ10" i="2" s="1"/>
  <c r="BK10" i="2" s="1"/>
  <c r="BL10" i="2" s="1"/>
  <c r="BM10" i="2" s="1"/>
  <c r="BC9" i="2"/>
  <c r="BA12" i="2"/>
  <c r="AV9" i="2"/>
  <c r="AT12" i="2"/>
  <c r="BF12" i="2"/>
  <c r="BH9" i="2"/>
  <c r="BF9" i="2"/>
  <c r="BD12" i="2"/>
  <c r="AG9" i="2"/>
  <c r="AE12" i="2"/>
  <c r="N12" i="2"/>
  <c r="P9" i="2"/>
  <c r="I17" i="2" l="1"/>
  <c r="H6" i="3"/>
  <c r="F81" i="3"/>
  <c r="F171" i="3" s="1"/>
  <c r="J9" i="21"/>
  <c r="E9" i="21" s="1"/>
  <c r="K89" i="12"/>
  <c r="K74" i="12"/>
  <c r="L4" i="12"/>
  <c r="F22" i="2"/>
  <c r="F20" i="2"/>
  <c r="F20" i="25" s="1"/>
  <c r="K50" i="12"/>
  <c r="K69" i="12"/>
  <c r="AO77" i="2"/>
  <c r="AO76" i="2"/>
  <c r="K26" i="12"/>
  <c r="G37" i="2"/>
  <c r="G188" i="3"/>
  <c r="J5" i="3"/>
  <c r="I6" i="3"/>
  <c r="I188" i="3" s="1"/>
  <c r="H36" i="2"/>
  <c r="K30" i="12"/>
  <c r="F23" i="2"/>
  <c r="F27" i="2"/>
  <c r="F21" i="2"/>
  <c r="F25" i="2"/>
  <c r="F26" i="2"/>
  <c r="F24" i="2"/>
  <c r="G19" i="2"/>
  <c r="AO79" i="2"/>
  <c r="AO80" i="2"/>
  <c r="AO82" i="2"/>
  <c r="AO81" i="2"/>
  <c r="I36" i="2"/>
  <c r="AG65" i="2"/>
  <c r="AF64" i="2"/>
  <c r="J6" i="3" l="1"/>
  <c r="M4" i="12"/>
  <c r="H188" i="3"/>
  <c r="H18" i="2"/>
  <c r="H37" i="2" s="1"/>
  <c r="L55" i="12"/>
  <c r="L33" i="12"/>
  <c r="L34" i="12"/>
  <c r="J17" i="2"/>
  <c r="J36" i="2" s="1"/>
  <c r="F67" i="3"/>
  <c r="F86" i="29" s="1"/>
  <c r="K5" i="3"/>
  <c r="L52" i="12"/>
  <c r="L67" i="12"/>
  <c r="L36" i="12"/>
  <c r="L66" i="12"/>
  <c r="L57" i="12"/>
  <c r="L58" i="12"/>
  <c r="L62" i="12"/>
  <c r="L32" i="12"/>
  <c r="L70" i="12"/>
  <c r="L27" i="12"/>
  <c r="L59" i="12"/>
  <c r="L76" i="12"/>
  <c r="L61" i="12"/>
  <c r="L31" i="12"/>
  <c r="L64" i="12"/>
  <c r="L68" i="12"/>
  <c r="L75" i="12"/>
  <c r="L29" i="12"/>
  <c r="L54" i="12"/>
  <c r="L56" i="12"/>
  <c r="L92" i="12"/>
  <c r="L91" i="12"/>
  <c r="L35" i="12"/>
  <c r="L60" i="12"/>
  <c r="L65" i="12"/>
  <c r="L51" i="12"/>
  <c r="L77" i="12"/>
  <c r="L28" i="12"/>
  <c r="L63" i="12"/>
  <c r="L53" i="12"/>
  <c r="L90" i="12"/>
  <c r="L93" i="12"/>
  <c r="L71" i="12"/>
  <c r="L72" i="12"/>
  <c r="L73" i="12"/>
  <c r="I18" i="2"/>
  <c r="I37" i="2" s="1"/>
  <c r="G23" i="2"/>
  <c r="G20" i="2"/>
  <c r="G20" i="25" s="1"/>
  <c r="N4" i="12"/>
  <c r="F28" i="2"/>
  <c r="K25" i="12"/>
  <c r="F16" i="2"/>
  <c r="G27" i="2"/>
  <c r="G25" i="2"/>
  <c r="G67" i="3" s="1"/>
  <c r="G86" i="29" s="1"/>
  <c r="G21" i="2"/>
  <c r="G22" i="2"/>
  <c r="G26" i="2"/>
  <c r="H19" i="2"/>
  <c r="H20" i="2" s="1"/>
  <c r="H20" i="25" s="1"/>
  <c r="G24" i="2"/>
  <c r="AO86" i="2"/>
  <c r="AO83" i="2"/>
  <c r="AO84" i="2"/>
  <c r="AO85" i="2"/>
  <c r="O4" i="12"/>
  <c r="J188" i="3"/>
  <c r="J18" i="2"/>
  <c r="AG66" i="2"/>
  <c r="AF65" i="2"/>
  <c r="K17" i="2"/>
  <c r="L5" i="3"/>
  <c r="K6" i="3"/>
  <c r="M71" i="12" l="1"/>
  <c r="M60" i="12"/>
  <c r="M70" i="12"/>
  <c r="M27" i="12"/>
  <c r="M56" i="12"/>
  <c r="M72" i="12"/>
  <c r="M65" i="12"/>
  <c r="M53" i="12"/>
  <c r="M35" i="12"/>
  <c r="M90" i="12"/>
  <c r="M67" i="12"/>
  <c r="M64" i="12"/>
  <c r="M62" i="12"/>
  <c r="M77" i="12"/>
  <c r="M68" i="12"/>
  <c r="M57" i="12"/>
  <c r="M36" i="12"/>
  <c r="M76" i="12"/>
  <c r="M51" i="12"/>
  <c r="M58" i="12"/>
  <c r="M29" i="12"/>
  <c r="M91" i="12"/>
  <c r="M55" i="12"/>
  <c r="M73" i="12"/>
  <c r="M63" i="12"/>
  <c r="M59" i="12"/>
  <c r="M31" i="12"/>
  <c r="M34" i="12"/>
  <c r="M92" i="12"/>
  <c r="M66" i="12"/>
  <c r="M61" i="12"/>
  <c r="M28" i="12"/>
  <c r="M75" i="12"/>
  <c r="M33" i="12"/>
  <c r="M93" i="12"/>
  <c r="M52" i="12"/>
  <c r="M54" i="12"/>
  <c r="M32" i="12"/>
  <c r="N34" i="12"/>
  <c r="N33" i="12"/>
  <c r="O33" i="12"/>
  <c r="O34" i="12"/>
  <c r="G81" i="3"/>
  <c r="F30" i="2"/>
  <c r="L74" i="12"/>
  <c r="L26" i="12"/>
  <c r="L30" i="12"/>
  <c r="L50" i="12"/>
  <c r="L89" i="12"/>
  <c r="L69" i="12"/>
  <c r="O55" i="12"/>
  <c r="N55" i="12"/>
  <c r="N90" i="12"/>
  <c r="N91" i="12"/>
  <c r="N92" i="12"/>
  <c r="N93" i="12"/>
  <c r="N73" i="12"/>
  <c r="N72" i="12"/>
  <c r="N71" i="12"/>
  <c r="O90" i="12"/>
  <c r="O73" i="12"/>
  <c r="O72" i="12"/>
  <c r="O71" i="12"/>
  <c r="O91" i="12"/>
  <c r="O92" i="12"/>
  <c r="O93" i="12"/>
  <c r="O68" i="12"/>
  <c r="O67" i="12"/>
  <c r="O66" i="12"/>
  <c r="O65" i="12"/>
  <c r="O64" i="12"/>
  <c r="O63" i="12"/>
  <c r="O62" i="12"/>
  <c r="O60" i="12"/>
  <c r="O59" i="12"/>
  <c r="O57" i="12"/>
  <c r="O70" i="12"/>
  <c r="O54" i="12"/>
  <c r="O52" i="12"/>
  <c r="O61" i="12"/>
  <c r="O58" i="12"/>
  <c r="O56" i="12"/>
  <c r="O53" i="12"/>
  <c r="O51" i="12"/>
  <c r="O36" i="12"/>
  <c r="O28" i="12"/>
  <c r="O35" i="12"/>
  <c r="O29" i="12"/>
  <c r="O32" i="12"/>
  <c r="O31" i="12"/>
  <c r="O27" i="12"/>
  <c r="N51" i="12"/>
  <c r="N67" i="12"/>
  <c r="N66" i="12"/>
  <c r="N64" i="12"/>
  <c r="N62" i="12"/>
  <c r="N61" i="12"/>
  <c r="N58" i="12"/>
  <c r="N70" i="12"/>
  <c r="N54" i="12"/>
  <c r="N52" i="12"/>
  <c r="N68" i="12"/>
  <c r="N65" i="12"/>
  <c r="N63" i="12"/>
  <c r="N60" i="12"/>
  <c r="N59" i="12"/>
  <c r="N57" i="12"/>
  <c r="N56" i="12"/>
  <c r="N53" i="12"/>
  <c r="N35" i="12"/>
  <c r="N29" i="12"/>
  <c r="N31" i="12"/>
  <c r="N36" i="12"/>
  <c r="N27" i="12"/>
  <c r="N28" i="12"/>
  <c r="N32" i="12"/>
  <c r="N77" i="12"/>
  <c r="N76" i="12"/>
  <c r="N75" i="12"/>
  <c r="O77" i="12"/>
  <c r="O75" i="12"/>
  <c r="O76" i="12"/>
  <c r="J37" i="2"/>
  <c r="F29" i="2"/>
  <c r="F32" i="2" s="1"/>
  <c r="K47" i="12" s="1"/>
  <c r="F100" i="29"/>
  <c r="F61" i="3"/>
  <c r="F35" i="2"/>
  <c r="K1" i="12" s="1"/>
  <c r="H23" i="2"/>
  <c r="H21" i="2"/>
  <c r="K325" i="12"/>
  <c r="K137" i="12"/>
  <c r="K343" i="12"/>
  <c r="K394" i="12"/>
  <c r="K147" i="12"/>
  <c r="K372" i="12"/>
  <c r="K223" i="12"/>
  <c r="K287" i="12"/>
  <c r="G16" i="2"/>
  <c r="G35" i="2" s="1"/>
  <c r="L1" i="12" s="1"/>
  <c r="G28" i="2"/>
  <c r="G30" i="2" s="1"/>
  <c r="H27" i="2"/>
  <c r="H22" i="2"/>
  <c r="H25" i="2"/>
  <c r="H67" i="3" s="1"/>
  <c r="H86" i="29" s="1"/>
  <c r="I19" i="2"/>
  <c r="H26" i="2"/>
  <c r="H24" i="2"/>
  <c r="AO105" i="2"/>
  <c r="AO121" i="2"/>
  <c r="AO110" i="2"/>
  <c r="AO120" i="2"/>
  <c r="AO91" i="2"/>
  <c r="AO107" i="2"/>
  <c r="AO94" i="2"/>
  <c r="AO112" i="2"/>
  <c r="AO87" i="2"/>
  <c r="AO93" i="2"/>
  <c r="AO109" i="2"/>
  <c r="AO96" i="2"/>
  <c r="AO116" i="2"/>
  <c r="AO88" i="2"/>
  <c r="AO97" i="2"/>
  <c r="AO113" i="2"/>
  <c r="AO100" i="2"/>
  <c r="AO122" i="2"/>
  <c r="AO90" i="2"/>
  <c r="AO115" i="2"/>
  <c r="AO102" i="2"/>
  <c r="AO101" i="2"/>
  <c r="AO104" i="2"/>
  <c r="AO108" i="2"/>
  <c r="AO95" i="2"/>
  <c r="AO111" i="2"/>
  <c r="AO98" i="2"/>
  <c r="AO118" i="2"/>
  <c r="AO89" i="2"/>
  <c r="AO99" i="2"/>
  <c r="AO92" i="2"/>
  <c r="AO117" i="2"/>
  <c r="AO103" i="2"/>
  <c r="AO119" i="2"/>
  <c r="AO106" i="2"/>
  <c r="AO114" i="2"/>
  <c r="P4" i="12"/>
  <c r="K188" i="3"/>
  <c r="K18" i="2"/>
  <c r="L17" i="2"/>
  <c r="L6" i="3"/>
  <c r="M5" i="3"/>
  <c r="K36" i="2"/>
  <c r="AF66" i="2"/>
  <c r="AG67" i="2"/>
  <c r="M69" i="12" l="1"/>
  <c r="H81" i="3"/>
  <c r="M26" i="12"/>
  <c r="M30" i="12"/>
  <c r="M50" i="12"/>
  <c r="M89" i="12"/>
  <c r="M74" i="12"/>
  <c r="P33" i="12"/>
  <c r="P34" i="12"/>
  <c r="I81" i="3"/>
  <c r="J81" i="3"/>
  <c r="L25" i="12"/>
  <c r="K46" i="12"/>
  <c r="K45" i="12" s="1"/>
  <c r="F56" i="3"/>
  <c r="I21" i="2"/>
  <c r="I20" i="2"/>
  <c r="I20" i="25" s="1"/>
  <c r="P55" i="12"/>
  <c r="P73" i="12"/>
  <c r="P72" i="12"/>
  <c r="P71" i="12"/>
  <c r="P90" i="12"/>
  <c r="P91" i="12"/>
  <c r="P92" i="12"/>
  <c r="P93" i="12"/>
  <c r="O30" i="12"/>
  <c r="O26" i="12"/>
  <c r="P68" i="12"/>
  <c r="P67" i="12"/>
  <c r="P66" i="12"/>
  <c r="P65" i="12"/>
  <c r="P64" i="12"/>
  <c r="P63" i="12"/>
  <c r="P62" i="12"/>
  <c r="P61" i="12"/>
  <c r="P60" i="12"/>
  <c r="P59" i="12"/>
  <c r="P58" i="12"/>
  <c r="P57" i="12"/>
  <c r="P70" i="12"/>
  <c r="P54" i="12"/>
  <c r="P53" i="12"/>
  <c r="P52" i="12"/>
  <c r="P56" i="12"/>
  <c r="P51" i="12"/>
  <c r="P29" i="12"/>
  <c r="P31" i="12"/>
  <c r="P28" i="12"/>
  <c r="P36" i="12"/>
  <c r="P35" i="12"/>
  <c r="P32" i="12"/>
  <c r="P27" i="12"/>
  <c r="P76" i="12"/>
  <c r="P77" i="12"/>
  <c r="P75" i="12"/>
  <c r="O69" i="12"/>
  <c r="N26" i="12"/>
  <c r="N50" i="12"/>
  <c r="O50" i="12"/>
  <c r="N89" i="12"/>
  <c r="O89" i="12"/>
  <c r="N69" i="12"/>
  <c r="O74" i="12"/>
  <c r="N74" i="12"/>
  <c r="N30" i="12"/>
  <c r="K37" i="2"/>
  <c r="F80" i="29"/>
  <c r="F90" i="29"/>
  <c r="F79" i="29"/>
  <c r="F87" i="29"/>
  <c r="G61" i="3"/>
  <c r="L137" i="12"/>
  <c r="P31" i="23"/>
  <c r="P31" i="1"/>
  <c r="L325" i="12"/>
  <c r="L223" i="12"/>
  <c r="L147" i="12"/>
  <c r="L343" i="12"/>
  <c r="L372" i="12"/>
  <c r="L394" i="12"/>
  <c r="L287" i="12"/>
  <c r="G29" i="2"/>
  <c r="H28" i="2"/>
  <c r="H29" i="2" s="1"/>
  <c r="H16" i="2"/>
  <c r="H35" i="2" s="1"/>
  <c r="M1" i="12" s="1"/>
  <c r="I23" i="2"/>
  <c r="I25" i="2"/>
  <c r="J19" i="2"/>
  <c r="I24" i="2"/>
  <c r="I26" i="2"/>
  <c r="I22" i="2"/>
  <c r="I27" i="2"/>
  <c r="N5" i="3"/>
  <c r="M17" i="2"/>
  <c r="M6" i="3"/>
  <c r="Q4" i="12"/>
  <c r="L188" i="3"/>
  <c r="L18" i="2"/>
  <c r="L36" i="2"/>
  <c r="AG68" i="2"/>
  <c r="AF67" i="2"/>
  <c r="M25" i="12" l="1"/>
  <c r="Q33" i="12"/>
  <c r="Q34" i="12"/>
  <c r="K81" i="3"/>
  <c r="P31" i="21"/>
  <c r="Q55" i="12"/>
  <c r="J21" i="2"/>
  <c r="J20" i="2"/>
  <c r="J20" i="25" s="1"/>
  <c r="F84" i="29"/>
  <c r="O25" i="12"/>
  <c r="Q73" i="12"/>
  <c r="Q72" i="12"/>
  <c r="Q71" i="12"/>
  <c r="Q90" i="12"/>
  <c r="Q91" i="12"/>
  <c r="Q92" i="12"/>
  <c r="Q93" i="12"/>
  <c r="P26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70" i="12"/>
  <c r="Q56" i="12"/>
  <c r="Q54" i="12"/>
  <c r="Q53" i="12"/>
  <c r="Q52" i="12"/>
  <c r="Q51" i="12"/>
  <c r="Q35" i="12"/>
  <c r="Q32" i="12"/>
  <c r="Q31" i="12"/>
  <c r="Q27" i="12"/>
  <c r="Q28" i="12"/>
  <c r="Q29" i="12"/>
  <c r="Q36" i="12"/>
  <c r="P50" i="12"/>
  <c r="Q77" i="12"/>
  <c r="Q75" i="12"/>
  <c r="Q76" i="12"/>
  <c r="P69" i="12"/>
  <c r="P30" i="12"/>
  <c r="N25" i="12"/>
  <c r="P89" i="12"/>
  <c r="P74" i="12"/>
  <c r="L37" i="2"/>
  <c r="F83" i="29"/>
  <c r="G90" i="29"/>
  <c r="G100" i="29"/>
  <c r="G79" i="29"/>
  <c r="G87" i="29"/>
  <c r="F82" i="29"/>
  <c r="G80" i="29"/>
  <c r="F91" i="29"/>
  <c r="H61" i="3"/>
  <c r="M137" i="12"/>
  <c r="N137" i="12"/>
  <c r="M223" i="12"/>
  <c r="M287" i="12"/>
  <c r="M372" i="12"/>
  <c r="M343" i="12"/>
  <c r="M394" i="12"/>
  <c r="A394" i="12" s="1"/>
  <c r="M147" i="12"/>
  <c r="M325" i="12"/>
  <c r="H30" i="2"/>
  <c r="I28" i="2"/>
  <c r="I29" i="2" s="1"/>
  <c r="J23" i="2"/>
  <c r="J26" i="2"/>
  <c r="J27" i="2"/>
  <c r="J22" i="2"/>
  <c r="J24" i="2"/>
  <c r="K19" i="2"/>
  <c r="J25" i="2"/>
  <c r="I67" i="3"/>
  <c r="I86" i="29" s="1"/>
  <c r="I16" i="2"/>
  <c r="I35" i="2" s="1"/>
  <c r="N1" i="12" s="1"/>
  <c r="W7" i="2"/>
  <c r="R4" i="12"/>
  <c r="M188" i="3"/>
  <c r="M18" i="2"/>
  <c r="M36" i="2"/>
  <c r="AG69" i="2"/>
  <c r="AF68" i="2"/>
  <c r="O5" i="3"/>
  <c r="N17" i="2"/>
  <c r="N6" i="3"/>
  <c r="R33" i="12" l="1"/>
  <c r="I33" i="12" s="1"/>
  <c r="R34" i="12"/>
  <c r="I34" i="12" s="1"/>
  <c r="L81" i="3"/>
  <c r="P25" i="12"/>
  <c r="K21" i="2"/>
  <c r="K20" i="2"/>
  <c r="K20" i="25" s="1"/>
  <c r="R55" i="12"/>
  <c r="I55" i="12" s="1"/>
  <c r="A55" i="12" s="1"/>
  <c r="R73" i="12"/>
  <c r="I73" i="12" s="1"/>
  <c r="A73" i="12" s="1"/>
  <c r="R72" i="12"/>
  <c r="I72" i="12" s="1"/>
  <c r="A72" i="12" s="1"/>
  <c r="R71" i="12"/>
  <c r="I71" i="12" s="1"/>
  <c r="R90" i="12"/>
  <c r="R91" i="12"/>
  <c r="I91" i="12" s="1"/>
  <c r="A91" i="12" s="1"/>
  <c r="R92" i="12"/>
  <c r="R93" i="12"/>
  <c r="G84" i="29"/>
  <c r="R68" i="12"/>
  <c r="I68" i="12" s="1"/>
  <c r="A68" i="12" s="1"/>
  <c r="R67" i="12"/>
  <c r="I67" i="12" s="1"/>
  <c r="R66" i="12"/>
  <c r="I66" i="12" s="1"/>
  <c r="R65" i="12"/>
  <c r="I65" i="12" s="1"/>
  <c r="R64" i="12"/>
  <c r="I64" i="12" s="1"/>
  <c r="R63" i="12"/>
  <c r="I63" i="12" s="1"/>
  <c r="A63" i="12" s="1"/>
  <c r="R62" i="12"/>
  <c r="I62" i="12" s="1"/>
  <c r="A62" i="12" s="1"/>
  <c r="R61" i="12"/>
  <c r="I61" i="12" s="1"/>
  <c r="A61" i="12" s="1"/>
  <c r="R60" i="12"/>
  <c r="I60" i="12" s="1"/>
  <c r="A60" i="12" s="1"/>
  <c r="R59" i="12"/>
  <c r="I59" i="12" s="1"/>
  <c r="A59" i="12" s="1"/>
  <c r="R58" i="12"/>
  <c r="I58" i="12" s="1"/>
  <c r="A58" i="12" s="1"/>
  <c r="R57" i="12"/>
  <c r="I57" i="12" s="1"/>
  <c r="A57" i="12" s="1"/>
  <c r="R70" i="12"/>
  <c r="I70" i="12" s="1"/>
  <c r="A70" i="12" s="1"/>
  <c r="R56" i="12"/>
  <c r="I56" i="12" s="1"/>
  <c r="A56" i="12" s="1"/>
  <c r="R54" i="12"/>
  <c r="I54" i="12" s="1"/>
  <c r="A54" i="12" s="1"/>
  <c r="R53" i="12"/>
  <c r="I53" i="12" s="1"/>
  <c r="A53" i="12" s="1"/>
  <c r="R52" i="12"/>
  <c r="I52" i="12" s="1"/>
  <c r="A52" i="12" s="1"/>
  <c r="R51" i="12"/>
  <c r="R29" i="12"/>
  <c r="A29" i="12" s="1"/>
  <c r="R36" i="12"/>
  <c r="A36" i="12" s="1"/>
  <c r="R32" i="12"/>
  <c r="I32" i="12" s="1"/>
  <c r="R27" i="12"/>
  <c r="R28" i="12"/>
  <c r="A28" i="12" s="1"/>
  <c r="R35" i="12"/>
  <c r="A35" i="12" s="1"/>
  <c r="R31" i="12"/>
  <c r="Q89" i="12"/>
  <c r="Q30" i="12"/>
  <c r="Q74" i="12"/>
  <c r="Q69" i="12"/>
  <c r="Q26" i="12"/>
  <c r="R76" i="12"/>
  <c r="I76" i="12" s="1"/>
  <c r="R77" i="12"/>
  <c r="I77" i="12" s="1"/>
  <c r="R75" i="12"/>
  <c r="I75" i="12" s="1"/>
  <c r="Q50" i="12"/>
  <c r="M37" i="2"/>
  <c r="I79" i="29"/>
  <c r="H80" i="29"/>
  <c r="H87" i="29"/>
  <c r="G83" i="29"/>
  <c r="H90" i="29"/>
  <c r="G82" i="29"/>
  <c r="G91" i="29"/>
  <c r="H100" i="29"/>
  <c r="H79" i="29"/>
  <c r="O137" i="12"/>
  <c r="I30" i="2"/>
  <c r="J67" i="3"/>
  <c r="J86" i="29" s="1"/>
  <c r="J16" i="2"/>
  <c r="J35" i="2" s="1"/>
  <c r="O1" i="12" s="1"/>
  <c r="K24" i="2"/>
  <c r="K22" i="2"/>
  <c r="K25" i="2"/>
  <c r="L19" i="2"/>
  <c r="K23" i="2"/>
  <c r="K27" i="2"/>
  <c r="K26" i="2"/>
  <c r="J28" i="2"/>
  <c r="N36" i="2"/>
  <c r="AG70" i="2"/>
  <c r="AF69" i="2"/>
  <c r="S4" i="12"/>
  <c r="N188" i="3"/>
  <c r="N18" i="2"/>
  <c r="O6" i="3"/>
  <c r="P5" i="3"/>
  <c r="O17" i="2"/>
  <c r="X7" i="2"/>
  <c r="M81" i="3" l="1"/>
  <c r="S281" i="12"/>
  <c r="S278" i="12"/>
  <c r="S277" i="12"/>
  <c r="S279" i="12"/>
  <c r="L21" i="2"/>
  <c r="L20" i="2"/>
  <c r="L20" i="25" s="1"/>
  <c r="I51" i="12"/>
  <c r="I50" i="12" s="1"/>
  <c r="R26" i="12"/>
  <c r="I74" i="12"/>
  <c r="R89" i="12"/>
  <c r="Q25" i="12"/>
  <c r="I90" i="12"/>
  <c r="R30" i="12"/>
  <c r="I31" i="12"/>
  <c r="R74" i="12"/>
  <c r="R69" i="12"/>
  <c r="I27" i="12"/>
  <c r="H84" i="29"/>
  <c r="R50" i="12"/>
  <c r="N37" i="2"/>
  <c r="H82" i="29"/>
  <c r="J79" i="29"/>
  <c r="H83" i="29"/>
  <c r="H91" i="29"/>
  <c r="F75" i="29"/>
  <c r="J29" i="2"/>
  <c r="P137" i="12"/>
  <c r="K67" i="3"/>
  <c r="K86" i="29" s="1"/>
  <c r="K16" i="2"/>
  <c r="K35" i="2" s="1"/>
  <c r="P1" i="12" s="1"/>
  <c r="K28" i="2"/>
  <c r="L23" i="2"/>
  <c r="M19" i="2"/>
  <c r="L22" i="2"/>
  <c r="L27" i="2"/>
  <c r="L26" i="2"/>
  <c r="L25" i="2"/>
  <c r="L24" i="2"/>
  <c r="J30" i="2"/>
  <c r="T4" i="12"/>
  <c r="O188" i="3"/>
  <c r="O18" i="2"/>
  <c r="AF70" i="2"/>
  <c r="AG71" i="2"/>
  <c r="O36" i="2"/>
  <c r="Y7" i="2"/>
  <c r="P6" i="3"/>
  <c r="Q5" i="3"/>
  <c r="P17" i="2"/>
  <c r="N61" i="24" l="1"/>
  <c r="N62" i="24"/>
  <c r="N54" i="24" s="1"/>
  <c r="T281" i="12"/>
  <c r="T278" i="12"/>
  <c r="T279" i="12"/>
  <c r="T277" i="12"/>
  <c r="M21" i="2"/>
  <c r="M20" i="2"/>
  <c r="M20" i="25" s="1"/>
  <c r="R25" i="12"/>
  <c r="A51" i="12"/>
  <c r="A74" i="12"/>
  <c r="I69" i="12"/>
  <c r="A69" i="12" s="1"/>
  <c r="I30" i="12"/>
  <c r="A30" i="12" s="1"/>
  <c r="A31" i="12"/>
  <c r="I26" i="12"/>
  <c r="A27" i="12"/>
  <c r="A50" i="12"/>
  <c r="A90" i="12"/>
  <c r="I89" i="12"/>
  <c r="A89" i="12" s="1"/>
  <c r="O37" i="2"/>
  <c r="K79" i="29"/>
  <c r="Q137" i="12"/>
  <c r="K29" i="2"/>
  <c r="L67" i="3"/>
  <c r="L86" i="29" s="1"/>
  <c r="L16" i="2"/>
  <c r="L35" i="2" s="1"/>
  <c r="Q1" i="12" s="1"/>
  <c r="M22" i="2"/>
  <c r="M24" i="2"/>
  <c r="M27" i="2"/>
  <c r="N19" i="2"/>
  <c r="M25" i="2"/>
  <c r="M23" i="2"/>
  <c r="M26" i="2"/>
  <c r="K30" i="2"/>
  <c r="L28" i="2"/>
  <c r="U4" i="12"/>
  <c r="P188" i="3"/>
  <c r="P18" i="2"/>
  <c r="AG72" i="2"/>
  <c r="AF71" i="2"/>
  <c r="Z7" i="2"/>
  <c r="P36" i="2"/>
  <c r="R5" i="3"/>
  <c r="Q6" i="3"/>
  <c r="Q17" i="2"/>
  <c r="O61" i="24" l="1"/>
  <c r="O62" i="24"/>
  <c r="O54" i="24" s="1"/>
  <c r="U281" i="12"/>
  <c r="U277" i="12"/>
  <c r="U279" i="12"/>
  <c r="U278" i="12"/>
  <c r="N21" i="2"/>
  <c r="N20" i="2"/>
  <c r="A26" i="12"/>
  <c r="I25" i="12"/>
  <c r="A25" i="12" s="1"/>
  <c r="P37" i="2"/>
  <c r="K100" i="29"/>
  <c r="L79" i="29"/>
  <c r="R137" i="12"/>
  <c r="AA7" i="2"/>
  <c r="AB7" i="2" s="1"/>
  <c r="AC7" i="2" s="1"/>
  <c r="AD7" i="2" s="1"/>
  <c r="AE7" i="2" s="1"/>
  <c r="AF7" i="2" s="1"/>
  <c r="AG7" i="2" s="1"/>
  <c r="AH7" i="2" s="1"/>
  <c r="AI7" i="2" s="1"/>
  <c r="AJ7" i="2" s="1"/>
  <c r="AK7" i="2" s="1"/>
  <c r="L30" i="2"/>
  <c r="M16" i="2"/>
  <c r="M35" i="2" s="1"/>
  <c r="R1" i="12" s="1"/>
  <c r="L29" i="2"/>
  <c r="M28" i="2"/>
  <c r="M67" i="3"/>
  <c r="M86" i="29" s="1"/>
  <c r="N23" i="2"/>
  <c r="O19" i="2"/>
  <c r="N24" i="2"/>
  <c r="N26" i="2"/>
  <c r="N25" i="2"/>
  <c r="N27" i="2"/>
  <c r="N22" i="2"/>
  <c r="R6" i="3"/>
  <c r="R17" i="2"/>
  <c r="S5" i="3"/>
  <c r="AF72" i="2"/>
  <c r="AG73" i="2"/>
  <c r="Q36" i="2"/>
  <c r="V4" i="12"/>
  <c r="Q188" i="3"/>
  <c r="Q18" i="2"/>
  <c r="P61" i="24" l="1"/>
  <c r="N28" i="2"/>
  <c r="N29" i="2" s="1"/>
  <c r="P62" i="24"/>
  <c r="P54" i="24" s="1"/>
  <c r="N20" i="25"/>
  <c r="N16" i="2"/>
  <c r="N35" i="2" s="1"/>
  <c r="S1" i="12" s="1"/>
  <c r="V281" i="12"/>
  <c r="V278" i="12"/>
  <c r="V279" i="12"/>
  <c r="V277" i="12"/>
  <c r="O21" i="2"/>
  <c r="O20" i="2"/>
  <c r="Q37" i="2"/>
  <c r="L100" i="29"/>
  <c r="M79" i="29"/>
  <c r="AL7" i="2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BB7" i="2" s="1"/>
  <c r="BC7" i="2" s="1"/>
  <c r="BD7" i="2" s="1"/>
  <c r="BE7" i="2" s="1"/>
  <c r="BF7" i="2" s="1"/>
  <c r="BG7" i="2" s="1"/>
  <c r="BH7" i="2" s="1"/>
  <c r="BI7" i="2" s="1"/>
  <c r="BJ7" i="2" s="1"/>
  <c r="BK7" i="2" s="1"/>
  <c r="BL7" i="2" s="1"/>
  <c r="BM7" i="2" s="1"/>
  <c r="M30" i="2"/>
  <c r="M29" i="2"/>
  <c r="N67" i="3"/>
  <c r="N86" i="29" s="1"/>
  <c r="O23" i="2"/>
  <c r="O22" i="2"/>
  <c r="O26" i="2"/>
  <c r="P19" i="2"/>
  <c r="O25" i="2"/>
  <c r="O24" i="2"/>
  <c r="O27" i="2"/>
  <c r="R36" i="2"/>
  <c r="W4" i="12"/>
  <c r="R188" i="3"/>
  <c r="R18" i="2"/>
  <c r="AG74" i="2"/>
  <c r="AF73" i="2"/>
  <c r="T5" i="3"/>
  <c r="S17" i="2"/>
  <c r="S6" i="3"/>
  <c r="Q61" i="24" l="1"/>
  <c r="Q62" i="24"/>
  <c r="Q54" i="24" s="1"/>
  <c r="O20" i="25"/>
  <c r="W281" i="12"/>
  <c r="R62" i="24" s="1"/>
  <c r="R54" i="24" s="1"/>
  <c r="W279" i="12"/>
  <c r="W278" i="12"/>
  <c r="W277" i="12"/>
  <c r="P21" i="2"/>
  <c r="P20" i="2"/>
  <c r="R37" i="2"/>
  <c r="M100" i="29"/>
  <c r="O16" i="2"/>
  <c r="O35" i="2" s="1"/>
  <c r="T1" i="12" s="1"/>
  <c r="O28" i="2"/>
  <c r="O67" i="3"/>
  <c r="O86" i="29" s="1"/>
  <c r="P27" i="2"/>
  <c r="P25" i="2"/>
  <c r="P23" i="2"/>
  <c r="P26" i="2"/>
  <c r="P24" i="2"/>
  <c r="Q19" i="2"/>
  <c r="P22" i="2"/>
  <c r="N30" i="2"/>
  <c r="X4" i="12"/>
  <c r="S188" i="3"/>
  <c r="S18" i="2"/>
  <c r="S36" i="2"/>
  <c r="T17" i="2"/>
  <c r="T6" i="3"/>
  <c r="U5" i="3"/>
  <c r="AF74" i="2"/>
  <c r="AG75" i="2"/>
  <c r="R61" i="24" l="1"/>
  <c r="P20" i="25"/>
  <c r="X281" i="12"/>
  <c r="S62" i="24" s="1"/>
  <c r="S54" i="24" s="1"/>
  <c r="X278" i="12"/>
  <c r="X279" i="12"/>
  <c r="X277" i="12"/>
  <c r="Q21" i="2"/>
  <c r="Q20" i="2"/>
  <c r="S37" i="2"/>
  <c r="O29" i="2"/>
  <c r="P16" i="2"/>
  <c r="P35" i="2" s="1"/>
  <c r="U1" i="12" s="1"/>
  <c r="O30" i="2"/>
  <c r="Q23" i="2"/>
  <c r="Q25" i="2"/>
  <c r="Q24" i="2"/>
  <c r="Q22" i="2"/>
  <c r="Q27" i="2"/>
  <c r="Q26" i="2"/>
  <c r="R19" i="2"/>
  <c r="P67" i="3"/>
  <c r="P86" i="29" s="1"/>
  <c r="P28" i="2"/>
  <c r="P29" i="2" s="1"/>
  <c r="Y4" i="12"/>
  <c r="T188" i="3"/>
  <c r="T18" i="2"/>
  <c r="T36" i="2"/>
  <c r="V5" i="3"/>
  <c r="U17" i="2"/>
  <c r="U6" i="3"/>
  <c r="AG76" i="2"/>
  <c r="AF75" i="2"/>
  <c r="S61" i="24" l="1"/>
  <c r="Q20" i="25"/>
  <c r="Y281" i="12"/>
  <c r="T62" i="24" s="1"/>
  <c r="T54" i="24" s="1"/>
  <c r="Y278" i="12"/>
  <c r="Y279" i="12"/>
  <c r="Y277" i="12"/>
  <c r="R21" i="2"/>
  <c r="R20" i="2"/>
  <c r="T37" i="2"/>
  <c r="Q16" i="2"/>
  <c r="Q35" i="2" s="1"/>
  <c r="V1" i="12" s="1"/>
  <c r="Q67" i="3"/>
  <c r="Q86" i="29" s="1"/>
  <c r="Q28" i="2"/>
  <c r="Q29" i="2" s="1"/>
  <c r="R24" i="2"/>
  <c r="S19" i="2"/>
  <c r="R25" i="2"/>
  <c r="R27" i="2"/>
  <c r="R26" i="2"/>
  <c r="R23" i="2"/>
  <c r="R22" i="2"/>
  <c r="P30" i="2"/>
  <c r="Z4" i="12"/>
  <c r="U188" i="3"/>
  <c r="U18" i="2"/>
  <c r="U36" i="2"/>
  <c r="V6" i="3"/>
  <c r="W5" i="3"/>
  <c r="V17" i="2"/>
  <c r="AG77" i="2"/>
  <c r="AF76" i="2"/>
  <c r="T61" i="24" l="1"/>
  <c r="R20" i="25"/>
  <c r="Z281" i="12"/>
  <c r="U62" i="24" s="1"/>
  <c r="U54" i="24" s="1"/>
  <c r="Z278" i="12"/>
  <c r="Z277" i="12"/>
  <c r="Z279" i="12"/>
  <c r="S21" i="2"/>
  <c r="S20" i="2"/>
  <c r="U37" i="2"/>
  <c r="R16" i="2"/>
  <c r="R35" i="2" s="1"/>
  <c r="W1" i="12" s="1"/>
  <c r="Q30" i="2"/>
  <c r="R67" i="3"/>
  <c r="R86" i="29" s="1"/>
  <c r="S25" i="2"/>
  <c r="S26" i="2"/>
  <c r="S27" i="2"/>
  <c r="T19" i="2"/>
  <c r="S23" i="2"/>
  <c r="S24" i="2"/>
  <c r="S22" i="2"/>
  <c r="R28" i="2"/>
  <c r="R29" i="2" s="1"/>
  <c r="AA4" i="12"/>
  <c r="V188" i="3"/>
  <c r="V18" i="2"/>
  <c r="W17" i="2"/>
  <c r="W6" i="3"/>
  <c r="X5" i="3"/>
  <c r="AF77" i="2"/>
  <c r="AG78" i="2"/>
  <c r="V36" i="2"/>
  <c r="U61" i="24" l="1"/>
  <c r="S20" i="25"/>
  <c r="AA281" i="12"/>
  <c r="T21" i="2"/>
  <c r="T20" i="2"/>
  <c r="V37" i="2"/>
  <c r="S67" i="3"/>
  <c r="S86" i="29" s="1"/>
  <c r="S16" i="2"/>
  <c r="S35" i="2" s="1"/>
  <c r="X1" i="12" s="1"/>
  <c r="S28" i="2"/>
  <c r="S29" i="2" s="1"/>
  <c r="T23" i="2"/>
  <c r="T25" i="2"/>
  <c r="T24" i="2"/>
  <c r="T27" i="2"/>
  <c r="T22" i="2"/>
  <c r="U19" i="2"/>
  <c r="T26" i="2"/>
  <c r="R30" i="2"/>
  <c r="AG79" i="2"/>
  <c r="AF78" i="2"/>
  <c r="W36" i="2"/>
  <c r="X17" i="2"/>
  <c r="Y5" i="3"/>
  <c r="X6" i="3"/>
  <c r="AB4" i="12"/>
  <c r="W188" i="3"/>
  <c r="W18" i="2"/>
  <c r="V62" i="24" l="1"/>
  <c r="V54" i="24" s="1"/>
  <c r="T20" i="25"/>
  <c r="AB281" i="12"/>
  <c r="U21" i="2"/>
  <c r="U20" i="2"/>
  <c r="W37" i="2"/>
  <c r="U26" i="2"/>
  <c r="U24" i="2"/>
  <c r="U27" i="2"/>
  <c r="U23" i="2"/>
  <c r="V19" i="2"/>
  <c r="U22" i="2"/>
  <c r="U25" i="2"/>
  <c r="T28" i="2"/>
  <c r="T29" i="2" s="1"/>
  <c r="T67" i="3"/>
  <c r="T86" i="29" s="1"/>
  <c r="S30" i="2"/>
  <c r="T16" i="2"/>
  <c r="T35" i="2" s="1"/>
  <c r="Y1" i="12" s="1"/>
  <c r="Z5" i="3"/>
  <c r="Y17" i="2"/>
  <c r="Y6" i="3"/>
  <c r="X36" i="2"/>
  <c r="AG80" i="2"/>
  <c r="AF79" i="2"/>
  <c r="AC4" i="12"/>
  <c r="X188" i="3"/>
  <c r="X18" i="2"/>
  <c r="W62" i="24" l="1"/>
  <c r="W54" i="24" s="1"/>
  <c r="U20" i="25"/>
  <c r="AC281" i="12"/>
  <c r="V21" i="2"/>
  <c r="V20" i="2"/>
  <c r="X37" i="2"/>
  <c r="T30" i="2"/>
  <c r="V22" i="2"/>
  <c r="W19" i="2"/>
  <c r="V27" i="2"/>
  <c r="V24" i="2"/>
  <c r="V23" i="2"/>
  <c r="V25" i="2"/>
  <c r="V26" i="2"/>
  <c r="U28" i="2"/>
  <c r="U29" i="2" s="1"/>
  <c r="U67" i="3"/>
  <c r="U86" i="29" s="1"/>
  <c r="U16" i="2"/>
  <c r="U35" i="2" s="1"/>
  <c r="Z1" i="12" s="1"/>
  <c r="AF80" i="2"/>
  <c r="AG81" i="2"/>
  <c r="Z6" i="3"/>
  <c r="AA5" i="3"/>
  <c r="Z17" i="2"/>
  <c r="AD4" i="12"/>
  <c r="Y188" i="3"/>
  <c r="Y18" i="2"/>
  <c r="Y36" i="2"/>
  <c r="X62" i="24" l="1"/>
  <c r="X54" i="24" s="1"/>
  <c r="V20" i="25"/>
  <c r="AD281" i="12"/>
  <c r="W21" i="2"/>
  <c r="W20" i="2"/>
  <c r="Y37" i="2"/>
  <c r="U30" i="2"/>
  <c r="W22" i="2"/>
  <c r="W23" i="2"/>
  <c r="W26" i="2"/>
  <c r="W25" i="2"/>
  <c r="X19" i="2"/>
  <c r="W24" i="2"/>
  <c r="W27" i="2"/>
  <c r="V28" i="2"/>
  <c r="V29" i="2" s="1"/>
  <c r="V67" i="3"/>
  <c r="V86" i="29" s="1"/>
  <c r="V16" i="2"/>
  <c r="V35" i="2" s="1"/>
  <c r="AA1" i="12" s="1"/>
  <c r="Z36" i="2"/>
  <c r="AA17" i="2"/>
  <c r="AA6" i="3"/>
  <c r="AB5" i="3"/>
  <c r="AE4" i="12"/>
  <c r="Z188" i="3"/>
  <c r="Z18" i="2"/>
  <c r="AF81" i="2"/>
  <c r="AG82" i="2"/>
  <c r="Y62" i="24" l="1"/>
  <c r="Y54" i="24" s="1"/>
  <c r="W20" i="25"/>
  <c r="AE281" i="12"/>
  <c r="Z62" i="24" s="1"/>
  <c r="Z54" i="24" s="1"/>
  <c r="X21" i="2"/>
  <c r="X20" i="2"/>
  <c r="Z37" i="2"/>
  <c r="V30" i="2"/>
  <c r="W67" i="3"/>
  <c r="W86" i="29" s="1"/>
  <c r="W16" i="2"/>
  <c r="W35" i="2" s="1"/>
  <c r="AB1" i="12" s="1"/>
  <c r="W28" i="2"/>
  <c r="W29" i="2" s="1"/>
  <c r="Y19" i="2"/>
  <c r="X25" i="2"/>
  <c r="X22" i="2"/>
  <c r="X26" i="2"/>
  <c r="X24" i="2"/>
  <c r="X27" i="2"/>
  <c r="X23" i="2"/>
  <c r="AF4" i="12"/>
  <c r="AA188" i="3"/>
  <c r="AA18" i="2"/>
  <c r="AA36" i="2"/>
  <c r="AB17" i="2"/>
  <c r="AC5" i="3"/>
  <c r="AB6" i="3"/>
  <c r="AF82" i="2"/>
  <c r="AG83" i="2"/>
  <c r="X20" i="25" l="1"/>
  <c r="AF281" i="12"/>
  <c r="AA62" i="24" s="1"/>
  <c r="AA54" i="24" s="1"/>
  <c r="AF278" i="12"/>
  <c r="Y21" i="2"/>
  <c r="Y20" i="2"/>
  <c r="AA37" i="2"/>
  <c r="X16" i="2"/>
  <c r="X35" i="2" s="1"/>
  <c r="AC1" i="12" s="1"/>
  <c r="W30" i="2"/>
  <c r="X67" i="3"/>
  <c r="X86" i="29" s="1"/>
  <c r="Y25" i="2"/>
  <c r="Y27" i="2"/>
  <c r="Y26" i="2"/>
  <c r="Z19" i="2"/>
  <c r="Y22" i="2"/>
  <c r="Y23" i="2"/>
  <c r="Y24" i="2"/>
  <c r="X28" i="2"/>
  <c r="X29" i="2" s="1"/>
  <c r="AG4" i="12"/>
  <c r="AB188" i="3"/>
  <c r="AB18" i="2"/>
  <c r="AD5" i="3"/>
  <c r="AC6" i="3"/>
  <c r="AC17" i="2"/>
  <c r="AB36" i="2"/>
  <c r="AF83" i="2"/>
  <c r="AG84" i="2"/>
  <c r="Y20" i="25" l="1"/>
  <c r="AG281" i="12"/>
  <c r="AB62" i="24" s="1"/>
  <c r="AB54" i="24" s="1"/>
  <c r="AG278" i="12"/>
  <c r="Z21" i="2"/>
  <c r="Z20" i="2"/>
  <c r="AB37" i="2"/>
  <c r="Y28" i="2"/>
  <c r="Y29" i="2" s="1"/>
  <c r="Y16" i="2"/>
  <c r="Y35" i="2" s="1"/>
  <c r="AD1" i="12" s="1"/>
  <c r="Y67" i="3"/>
  <c r="Y86" i="29" s="1"/>
  <c r="Z24" i="2"/>
  <c r="Z27" i="2"/>
  <c r="AA19" i="2"/>
  <c r="Z26" i="2"/>
  <c r="Z23" i="2"/>
  <c r="Z25" i="2"/>
  <c r="Z22" i="2"/>
  <c r="X30" i="2"/>
  <c r="AG85" i="2"/>
  <c r="AF84" i="2"/>
  <c r="AC36" i="2"/>
  <c r="AH4" i="12"/>
  <c r="AC188" i="3"/>
  <c r="AC18" i="2"/>
  <c r="AD6" i="3"/>
  <c r="AE5" i="3"/>
  <c r="AD17" i="2"/>
  <c r="Z20" i="25" l="1"/>
  <c r="AH281" i="12"/>
  <c r="AC62" i="24" s="1"/>
  <c r="AC54" i="24" s="1"/>
  <c r="AH278" i="12"/>
  <c r="AA21" i="2"/>
  <c r="AA20" i="2"/>
  <c r="AC37" i="2"/>
  <c r="Z67" i="3"/>
  <c r="Z86" i="29" s="1"/>
  <c r="AA27" i="2"/>
  <c r="AA26" i="2"/>
  <c r="AB19" i="2"/>
  <c r="AA24" i="2"/>
  <c r="AA22" i="2"/>
  <c r="AA23" i="2"/>
  <c r="AA25" i="2"/>
  <c r="Z28" i="2"/>
  <c r="Z29" i="2" s="1"/>
  <c r="Y30" i="2"/>
  <c r="Z16" i="2"/>
  <c r="Z35" i="2" s="1"/>
  <c r="AE1" i="12" s="1"/>
  <c r="AG86" i="2"/>
  <c r="AF85" i="2"/>
  <c r="AD36" i="2"/>
  <c r="AF5" i="3"/>
  <c r="AE17" i="2"/>
  <c r="AE6" i="3"/>
  <c r="AI4" i="12"/>
  <c r="AD188" i="3"/>
  <c r="AD18" i="2"/>
  <c r="AA20" i="25" l="1"/>
  <c r="AI281" i="12"/>
  <c r="AI278" i="12"/>
  <c r="AB21" i="2"/>
  <c r="AB20" i="2"/>
  <c r="AD37" i="2"/>
  <c r="Z30" i="2"/>
  <c r="AA16" i="2"/>
  <c r="AA35" i="2" s="1"/>
  <c r="AF1" i="12" s="1"/>
  <c r="AA67" i="3"/>
  <c r="AA86" i="29" s="1"/>
  <c r="AB24" i="2"/>
  <c r="AB26" i="2"/>
  <c r="AB25" i="2"/>
  <c r="AB27" i="2"/>
  <c r="AB23" i="2"/>
  <c r="AC19" i="2"/>
  <c r="AB22" i="2"/>
  <c r="AA28" i="2"/>
  <c r="AA30" i="2" s="1"/>
  <c r="AJ4" i="12"/>
  <c r="AE188" i="3"/>
  <c r="AE18" i="2"/>
  <c r="AF86" i="2"/>
  <c r="AG87" i="2"/>
  <c r="AE36" i="2"/>
  <c r="AF6" i="3"/>
  <c r="AG5" i="3"/>
  <c r="AF17" i="2"/>
  <c r="AD62" i="24" l="1"/>
  <c r="AD54" i="24" s="1"/>
  <c r="AB20" i="25"/>
  <c r="AJ281" i="12"/>
  <c r="AJ278" i="12"/>
  <c r="AC21" i="2"/>
  <c r="AC20" i="2"/>
  <c r="AE37" i="2"/>
  <c r="AA29" i="2"/>
  <c r="AB67" i="3"/>
  <c r="AB86" i="29" s="1"/>
  <c r="AB28" i="2"/>
  <c r="AB29" i="2" s="1"/>
  <c r="AC22" i="2"/>
  <c r="AC23" i="2"/>
  <c r="AC26" i="2"/>
  <c r="AC25" i="2"/>
  <c r="AC24" i="2"/>
  <c r="AC27" i="2"/>
  <c r="AD19" i="2"/>
  <c r="AD20" i="2" s="1"/>
  <c r="AB16" i="2"/>
  <c r="AB35" i="2" s="1"/>
  <c r="AG1" i="12" s="1"/>
  <c r="AH5" i="3"/>
  <c r="AG17" i="2"/>
  <c r="AG6" i="3"/>
  <c r="AK4" i="12"/>
  <c r="AF188" i="3"/>
  <c r="AF18" i="2"/>
  <c r="AF36" i="2"/>
  <c r="AG88" i="2"/>
  <c r="AF87" i="2"/>
  <c r="AE62" i="24" l="1"/>
  <c r="AE54" i="24" s="1"/>
  <c r="AD20" i="25"/>
  <c r="AC20" i="25"/>
  <c r="AK281" i="12"/>
  <c r="AK278" i="12"/>
  <c r="AF37" i="2"/>
  <c r="AC16" i="2"/>
  <c r="AC35" i="2" s="1"/>
  <c r="AH1" i="12" s="1"/>
  <c r="AB30" i="2"/>
  <c r="AD25" i="2"/>
  <c r="AD27" i="2"/>
  <c r="AD23" i="2"/>
  <c r="AD22" i="2"/>
  <c r="AE19" i="2"/>
  <c r="AE20" i="2" s="1"/>
  <c r="AD21" i="2"/>
  <c r="AD26" i="2"/>
  <c r="AD24" i="2"/>
  <c r="AC28" i="2"/>
  <c r="AC30" i="2" s="1"/>
  <c r="AC67" i="3"/>
  <c r="AC86" i="29" s="1"/>
  <c r="AG36" i="2"/>
  <c r="AI5" i="3"/>
  <c r="AH6" i="3"/>
  <c r="AH17" i="2"/>
  <c r="AL4" i="12"/>
  <c r="AG188" i="3"/>
  <c r="AG18" i="2"/>
  <c r="AF88" i="2"/>
  <c r="AG89" i="2"/>
  <c r="AF62" i="24" l="1"/>
  <c r="AF54" i="24" s="1"/>
  <c r="AE20" i="25"/>
  <c r="AL281" i="12"/>
  <c r="AL278" i="12"/>
  <c r="AG37" i="2"/>
  <c r="AC29" i="2"/>
  <c r="AE21" i="2"/>
  <c r="AE25" i="2"/>
  <c r="AE24" i="2"/>
  <c r="AE23" i="2"/>
  <c r="AE27" i="2"/>
  <c r="AE22" i="2"/>
  <c r="AF19" i="2"/>
  <c r="AF20" i="2" s="1"/>
  <c r="AE26" i="2"/>
  <c r="AD28" i="2"/>
  <c r="AD30" i="2" s="1"/>
  <c r="AD67" i="3"/>
  <c r="AD86" i="29" s="1"/>
  <c r="AD16" i="2"/>
  <c r="AD35" i="2" s="1"/>
  <c r="AI1" i="12" s="1"/>
  <c r="AH36" i="2"/>
  <c r="AM4" i="12"/>
  <c r="AH188" i="3"/>
  <c r="AH18" i="2"/>
  <c r="AI17" i="2"/>
  <c r="AI6" i="3"/>
  <c r="AJ5" i="3"/>
  <c r="AG90" i="2"/>
  <c r="AF89" i="2"/>
  <c r="AG62" i="24" l="1"/>
  <c r="AG54" i="24" s="1"/>
  <c r="AF20" i="25"/>
  <c r="AM281" i="12"/>
  <c r="AH62" i="24" s="1"/>
  <c r="AH54" i="24" s="1"/>
  <c r="AM278" i="12"/>
  <c r="AH37" i="2"/>
  <c r="AE28" i="2"/>
  <c r="AE30" i="2" s="1"/>
  <c r="AF22" i="2"/>
  <c r="AF27" i="2"/>
  <c r="AF21" i="2"/>
  <c r="AG19" i="2"/>
  <c r="AG20" i="2" s="1"/>
  <c r="AF23" i="2"/>
  <c r="AF24" i="2"/>
  <c r="AF26" i="2"/>
  <c r="AF25" i="2"/>
  <c r="AD29" i="2"/>
  <c r="AE67" i="3"/>
  <c r="AE86" i="29" s="1"/>
  <c r="AE16" i="2"/>
  <c r="AE35" i="2" s="1"/>
  <c r="AJ1" i="12" s="1"/>
  <c r="AI36" i="2"/>
  <c r="AK5" i="3"/>
  <c r="AJ6" i="3"/>
  <c r="AJ17" i="2"/>
  <c r="AF90" i="2"/>
  <c r="AG91" i="2"/>
  <c r="AN4" i="12"/>
  <c r="AI188" i="3"/>
  <c r="AI18" i="2"/>
  <c r="AG20" i="25" l="1"/>
  <c r="AN281" i="12"/>
  <c r="AI62" i="24" s="1"/>
  <c r="AI54" i="24" s="1"/>
  <c r="AN278" i="12"/>
  <c r="AI37" i="2"/>
  <c r="AE29" i="2"/>
  <c r="AG26" i="2"/>
  <c r="AG21" i="2"/>
  <c r="AG23" i="2"/>
  <c r="AH19" i="2"/>
  <c r="AH20" i="2" s="1"/>
  <c r="AG22" i="2"/>
  <c r="AG24" i="2"/>
  <c r="AG27" i="2"/>
  <c r="AG25" i="2"/>
  <c r="AF16" i="2"/>
  <c r="AF35" i="2" s="1"/>
  <c r="AK1" i="12" s="1"/>
  <c r="AF67" i="3"/>
  <c r="AF86" i="29" s="1"/>
  <c r="AF28" i="2"/>
  <c r="AF30" i="2" s="1"/>
  <c r="AJ36" i="2"/>
  <c r="AO4" i="12"/>
  <c r="AJ188" i="3"/>
  <c r="AJ18" i="2"/>
  <c r="AK17" i="2"/>
  <c r="AL5" i="3"/>
  <c r="AK6" i="3"/>
  <c r="AG92" i="2"/>
  <c r="AF91" i="2"/>
  <c r="AH20" i="25" l="1"/>
  <c r="AO281" i="12"/>
  <c r="AJ62" i="24" s="1"/>
  <c r="AJ54" i="24" s="1"/>
  <c r="AO277" i="12"/>
  <c r="AO278" i="12"/>
  <c r="AJ37" i="2"/>
  <c r="AG16" i="2"/>
  <c r="AG35" i="2" s="1"/>
  <c r="AL1" i="12" s="1"/>
  <c r="AF29" i="2"/>
  <c r="AG28" i="2"/>
  <c r="AG29" i="2" s="1"/>
  <c r="AH24" i="2"/>
  <c r="AH22" i="2"/>
  <c r="AH27" i="2"/>
  <c r="AH25" i="2"/>
  <c r="AH21" i="2"/>
  <c r="AI19" i="2"/>
  <c r="AI20" i="2" s="1"/>
  <c r="AH26" i="2"/>
  <c r="AH23" i="2"/>
  <c r="AG67" i="3"/>
  <c r="AG86" i="29" s="1"/>
  <c r="AK36" i="2"/>
  <c r="AP4" i="12"/>
  <c r="AK188" i="3"/>
  <c r="AK18" i="2"/>
  <c r="AF92" i="2"/>
  <c r="AG93" i="2"/>
  <c r="AM5" i="3"/>
  <c r="AL6" i="3"/>
  <c r="AL17" i="2"/>
  <c r="AI20" i="25" l="1"/>
  <c r="AP281" i="12"/>
  <c r="AK62" i="24" s="1"/>
  <c r="AK54" i="24" s="1"/>
  <c r="AP278" i="12"/>
  <c r="AP277" i="12"/>
  <c r="AK37" i="2"/>
  <c r="AG30" i="2"/>
  <c r="AH67" i="3"/>
  <c r="AH86" i="29" s="1"/>
  <c r="AH16" i="2"/>
  <c r="AH35" i="2" s="1"/>
  <c r="AM1" i="12" s="1"/>
  <c r="AH28" i="2"/>
  <c r="AH30" i="2" s="1"/>
  <c r="AI26" i="2"/>
  <c r="AI25" i="2"/>
  <c r="AI24" i="2"/>
  <c r="AJ19" i="2"/>
  <c r="AJ20" i="2" s="1"/>
  <c r="AI22" i="2"/>
  <c r="AI21" i="2"/>
  <c r="AI27" i="2"/>
  <c r="AI23" i="2"/>
  <c r="AL36" i="2"/>
  <c r="AQ4" i="12"/>
  <c r="AL188" i="3"/>
  <c r="AL18" i="2"/>
  <c r="AN5" i="3"/>
  <c r="AM17" i="2"/>
  <c r="AM6" i="3"/>
  <c r="AG94" i="2"/>
  <c r="AF93" i="2"/>
  <c r="AJ20" i="25" l="1"/>
  <c r="AQ281" i="12"/>
  <c r="AQ277" i="12"/>
  <c r="AQ278" i="12"/>
  <c r="AL37" i="2"/>
  <c r="AI16" i="2"/>
  <c r="AI35" i="2" s="1"/>
  <c r="AN1" i="12" s="1"/>
  <c r="AI67" i="3"/>
  <c r="AI86" i="29" s="1"/>
  <c r="AJ27" i="2"/>
  <c r="AJ25" i="2"/>
  <c r="AJ24" i="2"/>
  <c r="AJ22" i="2"/>
  <c r="AJ23" i="2"/>
  <c r="AK19" i="2"/>
  <c r="AK20" i="2" s="1"/>
  <c r="AJ26" i="2"/>
  <c r="AJ21" i="2"/>
  <c r="AH29" i="2"/>
  <c r="AI28" i="2"/>
  <c r="AI30" i="2" s="1"/>
  <c r="AM36" i="2"/>
  <c r="AR4" i="12"/>
  <c r="AM188" i="3"/>
  <c r="AM18" i="2"/>
  <c r="AF94" i="2"/>
  <c r="AG95" i="2"/>
  <c r="AO5" i="3"/>
  <c r="AN17" i="2"/>
  <c r="AN6" i="3"/>
  <c r="AL62" i="24" l="1"/>
  <c r="AL54" i="24" s="1"/>
  <c r="AK20" i="25"/>
  <c r="AR281" i="12"/>
  <c r="AR278" i="12"/>
  <c r="AR277" i="12"/>
  <c r="AR279" i="12"/>
  <c r="AM37" i="2"/>
  <c r="AJ16" i="2"/>
  <c r="AJ35" i="2" s="1"/>
  <c r="AO1" i="12" s="1"/>
  <c r="AJ28" i="2"/>
  <c r="AJ30" i="2" s="1"/>
  <c r="AJ67" i="3"/>
  <c r="AJ86" i="29" s="1"/>
  <c r="AI29" i="2"/>
  <c r="AK22" i="2"/>
  <c r="AL19" i="2"/>
  <c r="AL20" i="2" s="1"/>
  <c r="AK26" i="2"/>
  <c r="AK24" i="2"/>
  <c r="AK21" i="2"/>
  <c r="AK25" i="2"/>
  <c r="AK23" i="2"/>
  <c r="AK27" i="2"/>
  <c r="AS4" i="12"/>
  <c r="AN188" i="3"/>
  <c r="AN18" i="2"/>
  <c r="AO17" i="2"/>
  <c r="AO6" i="3"/>
  <c r="AP5" i="3"/>
  <c r="AG96" i="2"/>
  <c r="AF95" i="2"/>
  <c r="AN36" i="2"/>
  <c r="AM61" i="24" l="1"/>
  <c r="AM62" i="24"/>
  <c r="AM54" i="24" s="1"/>
  <c r="AL20" i="25"/>
  <c r="AS281" i="12"/>
  <c r="AS277" i="12"/>
  <c r="AS279" i="12"/>
  <c r="AS278" i="12"/>
  <c r="AN37" i="2"/>
  <c r="AJ29" i="2"/>
  <c r="AK67" i="3"/>
  <c r="AK86" i="29" s="1"/>
  <c r="AK16" i="2"/>
  <c r="AK35" i="2" s="1"/>
  <c r="AP1" i="12" s="1"/>
  <c r="AK28" i="2"/>
  <c r="AK30" i="2" s="1"/>
  <c r="AL24" i="2"/>
  <c r="AL22" i="2"/>
  <c r="AL25" i="2"/>
  <c r="AL27" i="2"/>
  <c r="AL21" i="2"/>
  <c r="AL23" i="2"/>
  <c r="AL26" i="2"/>
  <c r="AM19" i="2"/>
  <c r="AM20" i="2" s="1"/>
  <c r="AT4" i="12"/>
  <c r="AO188" i="3"/>
  <c r="AO18" i="2"/>
  <c r="AO36" i="2"/>
  <c r="AF96" i="2"/>
  <c r="AG97" i="2"/>
  <c r="AP6" i="3"/>
  <c r="AP17" i="2"/>
  <c r="AQ5" i="3"/>
  <c r="AN61" i="24" l="1"/>
  <c r="AN62" i="24"/>
  <c r="AN54" i="24" s="1"/>
  <c r="AM20" i="25"/>
  <c r="AT281" i="12"/>
  <c r="AT279" i="12"/>
  <c r="AT277" i="12"/>
  <c r="AT278" i="12"/>
  <c r="AO37" i="2"/>
  <c r="AL16" i="2"/>
  <c r="AL35" i="2" s="1"/>
  <c r="AQ1" i="12" s="1"/>
  <c r="AK29" i="2"/>
  <c r="AL67" i="3"/>
  <c r="AL86" i="29" s="1"/>
  <c r="AM26" i="2"/>
  <c r="AM23" i="2"/>
  <c r="AM22" i="2"/>
  <c r="AM21" i="2"/>
  <c r="AM25" i="2"/>
  <c r="AM24" i="2"/>
  <c r="AN19" i="2"/>
  <c r="AN20" i="2" s="1"/>
  <c r="AM27" i="2"/>
  <c r="AL28" i="2"/>
  <c r="AL30" i="2" s="1"/>
  <c r="AQ6" i="3"/>
  <c r="AR5" i="3"/>
  <c r="AQ17" i="2"/>
  <c r="AU4" i="12"/>
  <c r="AP188" i="3"/>
  <c r="AP18" i="2"/>
  <c r="AG98" i="2"/>
  <c r="AF97" i="2"/>
  <c r="AP36" i="2"/>
  <c r="AO61" i="24" l="1"/>
  <c r="AO62" i="24"/>
  <c r="AO54" i="24" s="1"/>
  <c r="AN20" i="25"/>
  <c r="AU281" i="12"/>
  <c r="AP62" i="24" s="1"/>
  <c r="AP54" i="24" s="1"/>
  <c r="AU278" i="12"/>
  <c r="AU279" i="12"/>
  <c r="AU277" i="12"/>
  <c r="AP37" i="2"/>
  <c r="AM16" i="2"/>
  <c r="AM35" i="2" s="1"/>
  <c r="AR1" i="12" s="1"/>
  <c r="AN23" i="2"/>
  <c r="AN22" i="2"/>
  <c r="AO19" i="2"/>
  <c r="AO20" i="2" s="1"/>
  <c r="AN24" i="2"/>
  <c r="AN25" i="2"/>
  <c r="AN26" i="2"/>
  <c r="AN27" i="2"/>
  <c r="AN21" i="2"/>
  <c r="AM67" i="3"/>
  <c r="AM86" i="29" s="1"/>
  <c r="AM28" i="2"/>
  <c r="AM30" i="2" s="1"/>
  <c r="AL29" i="2"/>
  <c r="AQ36" i="2"/>
  <c r="AS5" i="3"/>
  <c r="AR6" i="3"/>
  <c r="AR17" i="2"/>
  <c r="AV4" i="12"/>
  <c r="AQ188" i="3"/>
  <c r="AQ18" i="2"/>
  <c r="AF98" i="2"/>
  <c r="AG99" i="2"/>
  <c r="AP61" i="24" l="1"/>
  <c r="AO20" i="25"/>
  <c r="AV281" i="12"/>
  <c r="AQ62" i="24" s="1"/>
  <c r="AQ54" i="24" s="1"/>
  <c r="AV277" i="12"/>
  <c r="AV278" i="12"/>
  <c r="AV279" i="12"/>
  <c r="AQ37" i="2"/>
  <c r="AM29" i="2"/>
  <c r="AN28" i="2"/>
  <c r="AN29" i="2" s="1"/>
  <c r="AO25" i="2"/>
  <c r="AO26" i="2"/>
  <c r="AO24" i="2"/>
  <c r="AP19" i="2"/>
  <c r="AP20" i="2" s="1"/>
  <c r="AO23" i="2"/>
  <c r="AO21" i="2"/>
  <c r="AO22" i="2"/>
  <c r="AO27" i="2"/>
  <c r="AN16" i="2"/>
  <c r="AN35" i="2" s="1"/>
  <c r="AS1" i="12" s="1"/>
  <c r="AN67" i="3"/>
  <c r="AN86" i="29" s="1"/>
  <c r="AS17" i="2"/>
  <c r="AT5" i="3"/>
  <c r="AS6" i="3"/>
  <c r="AG100" i="2"/>
  <c r="AF99" i="2"/>
  <c r="AR36" i="2"/>
  <c r="AW4" i="12"/>
  <c r="AR188" i="3"/>
  <c r="AR18" i="2"/>
  <c r="AQ61" i="24" l="1"/>
  <c r="AP20" i="25"/>
  <c r="AW281" i="12"/>
  <c r="AR62" i="24" s="1"/>
  <c r="AR54" i="24" s="1"/>
  <c r="AW277" i="12"/>
  <c r="AW278" i="12"/>
  <c r="AW279" i="12"/>
  <c r="AR37" i="2"/>
  <c r="AN30" i="2"/>
  <c r="AP22" i="2"/>
  <c r="AQ19" i="2"/>
  <c r="AQ20" i="2" s="1"/>
  <c r="AP23" i="2"/>
  <c r="AP26" i="2"/>
  <c r="AP21" i="2"/>
  <c r="AP27" i="2"/>
  <c r="AP24" i="2"/>
  <c r="AP25" i="2"/>
  <c r="AO28" i="2"/>
  <c r="AO30" i="2" s="1"/>
  <c r="AO67" i="3"/>
  <c r="AO86" i="29" s="1"/>
  <c r="AO16" i="2"/>
  <c r="AO35" i="2" s="1"/>
  <c r="AT1" i="12" s="1"/>
  <c r="AX4" i="12"/>
  <c r="AS188" i="3"/>
  <c r="AS18" i="2"/>
  <c r="AF100" i="2"/>
  <c r="AG101" i="2"/>
  <c r="AS36" i="2"/>
  <c r="AT6" i="3"/>
  <c r="AU5" i="3"/>
  <c r="AT17" i="2"/>
  <c r="AR61" i="24" l="1"/>
  <c r="AQ20" i="25"/>
  <c r="AX281" i="12"/>
  <c r="AS62" i="24" s="1"/>
  <c r="AS54" i="24" s="1"/>
  <c r="AX279" i="12"/>
  <c r="AX277" i="12"/>
  <c r="AX278" i="12"/>
  <c r="AS37" i="2"/>
  <c r="AP28" i="2"/>
  <c r="AP29" i="2" s="1"/>
  <c r="AQ24" i="2"/>
  <c r="AQ26" i="2"/>
  <c r="AQ27" i="2"/>
  <c r="AR19" i="2"/>
  <c r="AR20" i="2" s="1"/>
  <c r="AQ21" i="2"/>
  <c r="AQ23" i="2"/>
  <c r="AQ22" i="2"/>
  <c r="AQ25" i="2"/>
  <c r="AP16" i="2"/>
  <c r="AP35" i="2" s="1"/>
  <c r="AU1" i="12" s="1"/>
  <c r="AP67" i="3"/>
  <c r="AP86" i="29" s="1"/>
  <c r="AO29" i="2"/>
  <c r="AG102" i="2"/>
  <c r="AF101" i="2"/>
  <c r="AU6" i="3"/>
  <c r="AV5" i="3"/>
  <c r="AU17" i="2"/>
  <c r="AY4" i="12"/>
  <c r="AT188" i="3"/>
  <c r="AT18" i="2"/>
  <c r="AT36" i="2"/>
  <c r="AS61" i="24" l="1"/>
  <c r="AR20" i="25"/>
  <c r="AY281" i="12"/>
  <c r="AY277" i="12"/>
  <c r="AY278" i="12"/>
  <c r="AY279" i="12"/>
  <c r="AT37" i="2"/>
  <c r="AP30" i="2"/>
  <c r="AR27" i="2"/>
  <c r="AS19" i="2"/>
  <c r="AS20" i="2" s="1"/>
  <c r="AR26" i="2"/>
  <c r="AR22" i="2"/>
  <c r="AR23" i="2"/>
  <c r="AR21" i="2"/>
  <c r="AR24" i="2"/>
  <c r="AR25" i="2"/>
  <c r="AQ28" i="2"/>
  <c r="AQ29" i="2" s="1"/>
  <c r="AQ67" i="3"/>
  <c r="AQ86" i="29" s="1"/>
  <c r="AQ16" i="2"/>
  <c r="AQ35" i="2" s="1"/>
  <c r="AV1" i="12" s="1"/>
  <c r="AZ4" i="12"/>
  <c r="AU188" i="3"/>
  <c r="AU18" i="2"/>
  <c r="AG103" i="2"/>
  <c r="AF102" i="2"/>
  <c r="AU36" i="2"/>
  <c r="AV6" i="3"/>
  <c r="AV17" i="2"/>
  <c r="AW5" i="3"/>
  <c r="AT61" i="24" l="1"/>
  <c r="AT62" i="24"/>
  <c r="AT54" i="24" s="1"/>
  <c r="AS20" i="25"/>
  <c r="AZ281" i="12"/>
  <c r="AZ278" i="12"/>
  <c r="AZ277" i="12"/>
  <c r="AZ279" i="12"/>
  <c r="AU37" i="2"/>
  <c r="AQ30" i="2"/>
  <c r="AR28" i="2"/>
  <c r="AR29" i="2" s="1"/>
  <c r="AS23" i="2"/>
  <c r="AS24" i="2"/>
  <c r="AS21" i="2"/>
  <c r="AS22" i="2"/>
  <c r="AS26" i="2"/>
  <c r="AS25" i="2"/>
  <c r="U25" i="1" s="1"/>
  <c r="U25" i="21" s="1"/>
  <c r="U26" i="21" s="1"/>
  <c r="AT19" i="2"/>
  <c r="AT20" i="2" s="1"/>
  <c r="AS27" i="2"/>
  <c r="AR67" i="3"/>
  <c r="AR86" i="29" s="1"/>
  <c r="AR16" i="2"/>
  <c r="AR35" i="2" s="1"/>
  <c r="AW1" i="12" s="1"/>
  <c r="BA4" i="12"/>
  <c r="AV188" i="3"/>
  <c r="AV18" i="2"/>
  <c r="AX5" i="3"/>
  <c r="AW17" i="2"/>
  <c r="AW6" i="3"/>
  <c r="AV36" i="2"/>
  <c r="AG104" i="2"/>
  <c r="AF103" i="2"/>
  <c r="AU61" i="24" l="1"/>
  <c r="AU62" i="24"/>
  <c r="AU54" i="24" s="1"/>
  <c r="AT20" i="25"/>
  <c r="M8" i="21"/>
  <c r="R65" i="10" s="1"/>
  <c r="BA281" i="12"/>
  <c r="BA278" i="12"/>
  <c r="BA277" i="12"/>
  <c r="BA279" i="12"/>
  <c r="AV37" i="2"/>
  <c r="AR30" i="2"/>
  <c r="AS16" i="2"/>
  <c r="AS67" i="3"/>
  <c r="AS86" i="29" s="1"/>
  <c r="AS28" i="2"/>
  <c r="AT27" i="2"/>
  <c r="AU19" i="2"/>
  <c r="AU20" i="2" s="1"/>
  <c r="AT21" i="2"/>
  <c r="AT25" i="2"/>
  <c r="AT23" i="2"/>
  <c r="AT24" i="2"/>
  <c r="AT22" i="2"/>
  <c r="AT26" i="2"/>
  <c r="AX6" i="3"/>
  <c r="AX17" i="2"/>
  <c r="AY5" i="3"/>
  <c r="BB4" i="12"/>
  <c r="AW188" i="3"/>
  <c r="AW18" i="2"/>
  <c r="AW36" i="2"/>
  <c r="AG105" i="2"/>
  <c r="AF104" i="2"/>
  <c r="J65" i="10" l="1"/>
  <c r="L65" i="10"/>
  <c r="AV61" i="24"/>
  <c r="AV62" i="24"/>
  <c r="AV54" i="24" s="1"/>
  <c r="AU20" i="25"/>
  <c r="BB281" i="12"/>
  <c r="BB278" i="12"/>
  <c r="BB279" i="12"/>
  <c r="BB277" i="12"/>
  <c r="AW37" i="2"/>
  <c r="F103" i="3"/>
  <c r="G103" i="3"/>
  <c r="H103" i="3"/>
  <c r="M10" i="1"/>
  <c r="C46" i="2" s="1"/>
  <c r="M9" i="1"/>
  <c r="C44" i="2" s="1"/>
  <c r="M8" i="1"/>
  <c r="S65" i="10" s="1"/>
  <c r="K65" i="10" s="1"/>
  <c r="Z63" i="2"/>
  <c r="Y63" i="2" s="1"/>
  <c r="AS30" i="2"/>
  <c r="AX87" i="3"/>
  <c r="AX106" i="29" s="1"/>
  <c r="AT28" i="2"/>
  <c r="AT29" i="2" s="1"/>
  <c r="AS29" i="2"/>
  <c r="U87" i="3"/>
  <c r="Y87" i="3"/>
  <c r="Y106" i="29" s="1"/>
  <c r="AG87" i="3"/>
  <c r="AG106" i="29" s="1"/>
  <c r="AK87" i="3"/>
  <c r="AK106" i="29" s="1"/>
  <c r="AS87" i="3"/>
  <c r="AS106" i="29" s="1"/>
  <c r="AW87" i="3"/>
  <c r="AW106" i="29" s="1"/>
  <c r="AO87" i="3"/>
  <c r="AO106" i="29" s="1"/>
  <c r="V87" i="3"/>
  <c r="Z87" i="3"/>
  <c r="Z106" i="29" s="1"/>
  <c r="AH87" i="3"/>
  <c r="AH106" i="29" s="1"/>
  <c r="AT87" i="3"/>
  <c r="AT106" i="29" s="1"/>
  <c r="P63" i="2"/>
  <c r="AJ68" i="2" s="1"/>
  <c r="AC87" i="3"/>
  <c r="AC106" i="29" s="1"/>
  <c r="AD87" i="3"/>
  <c r="AD106" i="29" s="1"/>
  <c r="AL87" i="3"/>
  <c r="AL106" i="29" s="1"/>
  <c r="AP87" i="3"/>
  <c r="AP106" i="29" s="1"/>
  <c r="AE87" i="3"/>
  <c r="AE106" i="29" s="1"/>
  <c r="AI87" i="3"/>
  <c r="AI106" i="29" s="1"/>
  <c r="AM87" i="3"/>
  <c r="AM106" i="29" s="1"/>
  <c r="W87" i="3"/>
  <c r="AA87" i="3"/>
  <c r="AA106" i="29" s="1"/>
  <c r="AQ87" i="3"/>
  <c r="AQ106" i="29" s="1"/>
  <c r="AU87" i="3"/>
  <c r="AU106" i="29" s="1"/>
  <c r="T87" i="3"/>
  <c r="X87" i="3"/>
  <c r="X106" i="29" s="1"/>
  <c r="AB87" i="3"/>
  <c r="AB106" i="29" s="1"/>
  <c r="AF87" i="3"/>
  <c r="AF106" i="29" s="1"/>
  <c r="AN87" i="3"/>
  <c r="AN106" i="29" s="1"/>
  <c r="AR87" i="3"/>
  <c r="AR106" i="29" s="1"/>
  <c r="AJ87" i="3"/>
  <c r="AJ106" i="29" s="1"/>
  <c r="AV87" i="3"/>
  <c r="AV106" i="29" s="1"/>
  <c r="AT67" i="3"/>
  <c r="AT86" i="29" s="1"/>
  <c r="AT16" i="2"/>
  <c r="AT35" i="2" s="1"/>
  <c r="AY1" i="12" s="1"/>
  <c r="AU26" i="2"/>
  <c r="AU22" i="2"/>
  <c r="AV19" i="2"/>
  <c r="AV20" i="2" s="1"/>
  <c r="AU25" i="2"/>
  <c r="AU23" i="2"/>
  <c r="AU27" i="2"/>
  <c r="AU24" i="2"/>
  <c r="AU21" i="2"/>
  <c r="AS35" i="2"/>
  <c r="AX1" i="12" s="1"/>
  <c r="U27" i="1"/>
  <c r="AF105" i="2"/>
  <c r="AG106" i="2"/>
  <c r="AX36" i="2"/>
  <c r="BC4" i="12"/>
  <c r="AX188" i="3"/>
  <c r="AX18" i="2"/>
  <c r="AY17" i="2"/>
  <c r="AZ5" i="3"/>
  <c r="AY6" i="3"/>
  <c r="AY87" i="3"/>
  <c r="AY106" i="29" s="1"/>
  <c r="S63" i="10" l="1"/>
  <c r="K63" i="10" s="1"/>
  <c r="G167" i="3"/>
  <c r="G171" i="3" s="1"/>
  <c r="AW61" i="24"/>
  <c r="AW62" i="24"/>
  <c r="AW54" i="24" s="1"/>
  <c r="AV20" i="25"/>
  <c r="BC281" i="12"/>
  <c r="AX62" i="24" s="1"/>
  <c r="AX54" i="24" s="1"/>
  <c r="BC278" i="12"/>
  <c r="BC279" i="12"/>
  <c r="BC277" i="12"/>
  <c r="AJ71" i="2"/>
  <c r="AJ79" i="2"/>
  <c r="AJ87" i="2"/>
  <c r="AJ95" i="2"/>
  <c r="AJ103" i="2"/>
  <c r="AJ64" i="2"/>
  <c r="AJ72" i="2"/>
  <c r="AJ80" i="2"/>
  <c r="AJ88" i="2"/>
  <c r="AJ96" i="2"/>
  <c r="AJ104" i="2"/>
  <c r="AJ65" i="2"/>
  <c r="AJ73" i="2"/>
  <c r="AJ81" i="2"/>
  <c r="AJ89" i="2"/>
  <c r="AJ97" i="2"/>
  <c r="AJ105" i="2"/>
  <c r="AJ66" i="2"/>
  <c r="AJ74" i="2"/>
  <c r="AJ82" i="2"/>
  <c r="AJ90" i="2"/>
  <c r="AJ98" i="2"/>
  <c r="AJ106" i="2"/>
  <c r="AJ67" i="2"/>
  <c r="AJ75" i="2"/>
  <c r="AJ83" i="2"/>
  <c r="AJ91" i="2"/>
  <c r="AJ99" i="2"/>
  <c r="AJ63" i="2"/>
  <c r="AJ76" i="2"/>
  <c r="AJ84" i="2"/>
  <c r="AJ92" i="2"/>
  <c r="AJ100" i="2"/>
  <c r="AJ69" i="2"/>
  <c r="AJ77" i="2"/>
  <c r="AJ85" i="2"/>
  <c r="AJ93" i="2"/>
  <c r="AJ101" i="2"/>
  <c r="AJ70" i="2"/>
  <c r="AJ78" i="2"/>
  <c r="AJ86" i="2"/>
  <c r="AJ94" i="2"/>
  <c r="AJ102" i="2"/>
  <c r="AX37" i="2"/>
  <c r="F194" i="29"/>
  <c r="G194" i="29"/>
  <c r="H194" i="29"/>
  <c r="I194" i="29"/>
  <c r="J194" i="29"/>
  <c r="K194" i="29"/>
  <c r="L194" i="29"/>
  <c r="M194" i="29"/>
  <c r="N194" i="29"/>
  <c r="O194" i="29"/>
  <c r="P194" i="29"/>
  <c r="Q194" i="29"/>
  <c r="R194" i="29"/>
  <c r="S194" i="29"/>
  <c r="T194" i="29"/>
  <c r="U194" i="29"/>
  <c r="V194" i="29"/>
  <c r="W194" i="29"/>
  <c r="X194" i="29"/>
  <c r="Y194" i="29"/>
  <c r="Z194" i="29"/>
  <c r="AA194" i="29"/>
  <c r="AB194" i="29"/>
  <c r="AC194" i="29"/>
  <c r="AD194" i="29"/>
  <c r="AE194" i="29"/>
  <c r="AF194" i="29"/>
  <c r="AG194" i="29"/>
  <c r="AH194" i="29"/>
  <c r="AI194" i="29"/>
  <c r="AJ194" i="29"/>
  <c r="AK194" i="29"/>
  <c r="AL194" i="29"/>
  <c r="AM194" i="29"/>
  <c r="AN194" i="29"/>
  <c r="AO194" i="29"/>
  <c r="AP194" i="29"/>
  <c r="AQ194" i="29"/>
  <c r="AR194" i="29"/>
  <c r="AS194" i="29"/>
  <c r="AT194" i="29"/>
  <c r="AU194" i="29"/>
  <c r="AV194" i="29"/>
  <c r="AW194" i="29"/>
  <c r="AX194" i="29"/>
  <c r="AY194" i="29"/>
  <c r="AZ194" i="29"/>
  <c r="BA194" i="29"/>
  <c r="BB194" i="29"/>
  <c r="BC194" i="29"/>
  <c r="BD194" i="29"/>
  <c r="BE194" i="29"/>
  <c r="BF194" i="29"/>
  <c r="BG194" i="29"/>
  <c r="BH194" i="29"/>
  <c r="BI194" i="29"/>
  <c r="BJ194" i="29"/>
  <c r="BK194" i="29"/>
  <c r="BL194" i="29"/>
  <c r="BM194" i="29"/>
  <c r="H123" i="29"/>
  <c r="H122" i="29"/>
  <c r="G123" i="29"/>
  <c r="G122" i="29"/>
  <c r="F123" i="29"/>
  <c r="F122" i="29"/>
  <c r="G44" i="2"/>
  <c r="G9" i="3" s="1"/>
  <c r="G18" i="3" s="1"/>
  <c r="G27" i="3" s="1"/>
  <c r="G42" i="3" s="1"/>
  <c r="H44" i="2"/>
  <c r="H9" i="3" s="1"/>
  <c r="I44" i="2"/>
  <c r="I9" i="3" s="1"/>
  <c r="I18" i="3" s="1"/>
  <c r="I27" i="3" s="1"/>
  <c r="K44" i="2"/>
  <c r="K9" i="3" s="1"/>
  <c r="L44" i="2"/>
  <c r="L9" i="3" s="1"/>
  <c r="M44" i="2"/>
  <c r="M9" i="3" s="1"/>
  <c r="M18" i="3" s="1"/>
  <c r="M27" i="3" s="1"/>
  <c r="G46" i="2"/>
  <c r="G10" i="3" s="1"/>
  <c r="G19" i="3" s="1"/>
  <c r="G28" i="3" s="1"/>
  <c r="G43" i="3" s="1"/>
  <c r="H46" i="2"/>
  <c r="H10" i="3" s="1"/>
  <c r="I46" i="2"/>
  <c r="I10" i="3" s="1"/>
  <c r="I19" i="3" s="1"/>
  <c r="I28" i="3" s="1"/>
  <c r="J46" i="2"/>
  <c r="J10" i="3" s="1"/>
  <c r="K46" i="2"/>
  <c r="K10" i="3" s="1"/>
  <c r="L46" i="2"/>
  <c r="L10" i="3" s="1"/>
  <c r="M46" i="2"/>
  <c r="M10" i="3" s="1"/>
  <c r="M19" i="3" s="1"/>
  <c r="M28" i="3" s="1"/>
  <c r="AO4" i="3"/>
  <c r="AO4" i="29" s="1"/>
  <c r="F33" i="2"/>
  <c r="G33" i="2"/>
  <c r="I33" i="2"/>
  <c r="H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F4" i="3"/>
  <c r="AT30" i="2"/>
  <c r="AD4" i="3"/>
  <c r="AD4" i="29" s="1"/>
  <c r="AK99" i="2"/>
  <c r="AE4" i="3"/>
  <c r="AE4" i="29" s="1"/>
  <c r="M4" i="3"/>
  <c r="M4" i="29" s="1"/>
  <c r="N4" i="3"/>
  <c r="N4" i="29" s="1"/>
  <c r="AL4" i="3"/>
  <c r="AL4" i="29" s="1"/>
  <c r="I4" i="3"/>
  <c r="I4" i="29" s="1"/>
  <c r="AK87" i="2"/>
  <c r="AB4" i="3"/>
  <c r="AB4" i="29" s="1"/>
  <c r="L4" i="3"/>
  <c r="L4" i="29" s="1"/>
  <c r="AB175" i="3"/>
  <c r="V175" i="3"/>
  <c r="N66" i="2"/>
  <c r="Y175" i="3"/>
  <c r="Q50" i="2"/>
  <c r="Q12" i="3" s="1"/>
  <c r="Q21" i="3" s="1"/>
  <c r="Q30" i="3" s="1"/>
  <c r="Y50" i="2"/>
  <c r="Y12" i="3" s="1"/>
  <c r="Y21" i="3" s="1"/>
  <c r="Y30" i="3" s="1"/>
  <c r="AO50" i="2"/>
  <c r="AO12" i="3" s="1"/>
  <c r="AO21" i="3" s="1"/>
  <c r="AO30" i="3" s="1"/>
  <c r="AK64" i="2"/>
  <c r="R4" i="3"/>
  <c r="R4" i="29" s="1"/>
  <c r="AK98" i="2"/>
  <c r="Y4" i="3"/>
  <c r="Y4" i="29" s="1"/>
  <c r="AR4" i="3"/>
  <c r="AR4" i="29" s="1"/>
  <c r="AK93" i="2"/>
  <c r="W4" i="3"/>
  <c r="W4" i="29" s="1"/>
  <c r="AV50" i="2"/>
  <c r="AV12" i="3" s="1"/>
  <c r="AV21" i="3" s="1"/>
  <c r="AV30" i="3" s="1"/>
  <c r="P175" i="3"/>
  <c r="AV175" i="3"/>
  <c r="AQ175" i="3"/>
  <c r="Z175" i="3"/>
  <c r="R175" i="3"/>
  <c r="AD175" i="3"/>
  <c r="J50" i="2"/>
  <c r="J12" i="3" s="1"/>
  <c r="R50" i="2"/>
  <c r="R12" i="3" s="1"/>
  <c r="Z50" i="2"/>
  <c r="Z12" i="3" s="1"/>
  <c r="AH50" i="2"/>
  <c r="AH12" i="3" s="1"/>
  <c r="AP50" i="2"/>
  <c r="AP12" i="3" s="1"/>
  <c r="AK91" i="2"/>
  <c r="S4" i="3"/>
  <c r="S4" i="29" s="1"/>
  <c r="Z4" i="3"/>
  <c r="Z4" i="29" s="1"/>
  <c r="AK86" i="2"/>
  <c r="AL175" i="3"/>
  <c r="G50" i="2"/>
  <c r="G12" i="3" s="1"/>
  <c r="G21" i="3" s="1"/>
  <c r="G30" i="3" s="1"/>
  <c r="G45" i="3" s="1"/>
  <c r="V50" i="2"/>
  <c r="V12" i="3" s="1"/>
  <c r="AL50" i="2"/>
  <c r="AL12" i="3" s="1"/>
  <c r="H175" i="3"/>
  <c r="N175" i="3"/>
  <c r="F175" i="3"/>
  <c r="AC175" i="3"/>
  <c r="AF175" i="3"/>
  <c r="AG175" i="3"/>
  <c r="K50" i="2"/>
  <c r="K12" i="3" s="1"/>
  <c r="K21" i="3" s="1"/>
  <c r="K30" i="3" s="1"/>
  <c r="S50" i="2"/>
  <c r="S12" i="3" s="1"/>
  <c r="S21" i="3" s="1"/>
  <c r="S30" i="3" s="1"/>
  <c r="AA50" i="2"/>
  <c r="AA12" i="3" s="1"/>
  <c r="AI50" i="2"/>
  <c r="AI12" i="3" s="1"/>
  <c r="AI21" i="3" s="1"/>
  <c r="AI30" i="3" s="1"/>
  <c r="AQ50" i="2"/>
  <c r="AQ12" i="3" s="1"/>
  <c r="AQ21" i="3" s="1"/>
  <c r="AQ30" i="3" s="1"/>
  <c r="AS4" i="3"/>
  <c r="AS4" i="29" s="1"/>
  <c r="AK88" i="2"/>
  <c r="AU175" i="3"/>
  <c r="G175" i="3"/>
  <c r="AI175" i="3"/>
  <c r="AX175" i="3"/>
  <c r="AM175" i="3"/>
  <c r="AS175" i="3"/>
  <c r="L50" i="2"/>
  <c r="L12" i="3" s="1"/>
  <c r="L21" i="3" s="1"/>
  <c r="L30" i="3" s="1"/>
  <c r="T50" i="2"/>
  <c r="T12" i="3" s="1"/>
  <c r="AB50" i="2"/>
  <c r="AB12" i="3" s="1"/>
  <c r="AJ50" i="2"/>
  <c r="AJ12" i="3" s="1"/>
  <c r="AR50" i="2"/>
  <c r="AR12" i="3" s="1"/>
  <c r="I50" i="2"/>
  <c r="I12" i="3" s="1"/>
  <c r="T175" i="3"/>
  <c r="AO175" i="3"/>
  <c r="AK175" i="3"/>
  <c r="H50" i="2"/>
  <c r="H12" i="3" s="1"/>
  <c r="W175" i="3"/>
  <c r="U175" i="3"/>
  <c r="M50" i="2"/>
  <c r="M12" i="3" s="1"/>
  <c r="M21" i="3" s="1"/>
  <c r="M30" i="3" s="1"/>
  <c r="U50" i="2"/>
  <c r="U12" i="3" s="1"/>
  <c r="AC50" i="2"/>
  <c r="AC12" i="3" s="1"/>
  <c r="AC21" i="3" s="1"/>
  <c r="AC30" i="3" s="1"/>
  <c r="AK50" i="2"/>
  <c r="AK12" i="3" s="1"/>
  <c r="AK21" i="3" s="1"/>
  <c r="AK30" i="3" s="1"/>
  <c r="AS50" i="2"/>
  <c r="AS12" i="3" s="1"/>
  <c r="AK84" i="2"/>
  <c r="G48" i="2"/>
  <c r="G11" i="3" s="1"/>
  <c r="G15" i="29" s="1"/>
  <c r="AH175" i="3"/>
  <c r="O175" i="3"/>
  <c r="AA175" i="3"/>
  <c r="Q175" i="3"/>
  <c r="N50" i="2"/>
  <c r="N12" i="3" s="1"/>
  <c r="AD50" i="2"/>
  <c r="AD12" i="3" s="1"/>
  <c r="AD21" i="3" s="1"/>
  <c r="AD30" i="3" s="1"/>
  <c r="AT50" i="2"/>
  <c r="AT12" i="3" s="1"/>
  <c r="Q4" i="3"/>
  <c r="Q4" i="29" s="1"/>
  <c r="AJ175" i="3"/>
  <c r="L175" i="3"/>
  <c r="AE175" i="3"/>
  <c r="S175" i="3"/>
  <c r="M175" i="3"/>
  <c r="AN175" i="3"/>
  <c r="O50" i="2"/>
  <c r="O12" i="3" s="1"/>
  <c r="W50" i="2"/>
  <c r="W12" i="3" s="1"/>
  <c r="W21" i="3" s="1"/>
  <c r="W30" i="3" s="1"/>
  <c r="AM50" i="2"/>
  <c r="AM12" i="3" s="1"/>
  <c r="I175" i="3"/>
  <c r="J175" i="3"/>
  <c r="AW175" i="3"/>
  <c r="AT175" i="3"/>
  <c r="K175" i="3"/>
  <c r="AR175" i="3"/>
  <c r="AI63" i="2"/>
  <c r="AI64" i="2" s="1"/>
  <c r="AI65" i="2" s="1"/>
  <c r="AI66" i="2" s="1"/>
  <c r="AI67" i="2" s="1"/>
  <c r="AI68" i="2" s="1"/>
  <c r="AI69" i="2" s="1"/>
  <c r="AI70" i="2" s="1"/>
  <c r="AI71" i="2" s="1"/>
  <c r="P50" i="2"/>
  <c r="P12" i="3" s="1"/>
  <c r="X50" i="2"/>
  <c r="X12" i="3" s="1"/>
  <c r="AN50" i="2"/>
  <c r="AN12" i="3" s="1"/>
  <c r="AU50" i="2"/>
  <c r="AU12" i="3" s="1"/>
  <c r="AU21" i="3" s="1"/>
  <c r="AU30" i="3" s="1"/>
  <c r="O4" i="3"/>
  <c r="O4" i="29" s="1"/>
  <c r="AK90" i="2"/>
  <c r="AK104" i="2"/>
  <c r="AW50" i="2"/>
  <c r="AW12" i="3" s="1"/>
  <c r="AW21" i="3" s="1"/>
  <c r="AW30" i="3" s="1"/>
  <c r="H4" i="3"/>
  <c r="H4" i="29" s="1"/>
  <c r="K4" i="3"/>
  <c r="K4" i="29" s="1"/>
  <c r="V4" i="3"/>
  <c r="V4" i="29" s="1"/>
  <c r="AP175" i="3"/>
  <c r="X175" i="3"/>
  <c r="AH63" i="2"/>
  <c r="AG50" i="2"/>
  <c r="AG12" i="3" s="1"/>
  <c r="AK96" i="2"/>
  <c r="AJ4" i="3"/>
  <c r="AJ4" i="29" s="1"/>
  <c r="AK94" i="2"/>
  <c r="AF4" i="3"/>
  <c r="AF4" i="29" s="1"/>
  <c r="AV22" i="2"/>
  <c r="AV26" i="2"/>
  <c r="AV27" i="2"/>
  <c r="AV24" i="2"/>
  <c r="AW19" i="2"/>
  <c r="AW20" i="2" s="1"/>
  <c r="AV23" i="2"/>
  <c r="AV25" i="2"/>
  <c r="AV21" i="2"/>
  <c r="AK95" i="2"/>
  <c r="X4" i="3"/>
  <c r="X4" i="29" s="1"/>
  <c r="AK97" i="2"/>
  <c r="AH4" i="3"/>
  <c r="AH4" i="29" s="1"/>
  <c r="AX50" i="2"/>
  <c r="AX12" i="3" s="1"/>
  <c r="AK101" i="2"/>
  <c r="G4" i="3"/>
  <c r="G4" i="29" s="1"/>
  <c r="AK82" i="2"/>
  <c r="AK103" i="2"/>
  <c r="AK105" i="2"/>
  <c r="AK92" i="2"/>
  <c r="AA4" i="3"/>
  <c r="AA4" i="29" s="1"/>
  <c r="AC4" i="3"/>
  <c r="AC4" i="29" s="1"/>
  <c r="AY175" i="3"/>
  <c r="T4" i="3"/>
  <c r="T4" i="29" s="1"/>
  <c r="C40" i="2"/>
  <c r="M65" i="10"/>
  <c r="AK89" i="2"/>
  <c r="AU28" i="2"/>
  <c r="U4" i="3"/>
  <c r="U4" i="29" s="1"/>
  <c r="AK83" i="2"/>
  <c r="AP4" i="3"/>
  <c r="AP4" i="29" s="1"/>
  <c r="J4" i="3"/>
  <c r="J4" i="29" s="1"/>
  <c r="AK4" i="3"/>
  <c r="AK4" i="29" s="1"/>
  <c r="AK66" i="2"/>
  <c r="AI4" i="3"/>
  <c r="AI4" i="29" s="1"/>
  <c r="AG4" i="3"/>
  <c r="AG4" i="29" s="1"/>
  <c r="AM4" i="3"/>
  <c r="AM4" i="29" s="1"/>
  <c r="AU16" i="2"/>
  <c r="AU35" i="2" s="1"/>
  <c r="AZ1" i="12" s="1"/>
  <c r="AU67" i="3"/>
  <c r="AU86" i="29" s="1"/>
  <c r="P4" i="3"/>
  <c r="P4" i="29" s="1"/>
  <c r="O63" i="2"/>
  <c r="P64" i="2"/>
  <c r="X65" i="2"/>
  <c r="Z64" i="2"/>
  <c r="AK85" i="2"/>
  <c r="AK65" i="2"/>
  <c r="AK67" i="2"/>
  <c r="AQ4" i="3"/>
  <c r="AQ4" i="29" s="1"/>
  <c r="AN4" i="3"/>
  <c r="AN4" i="29" s="1"/>
  <c r="AK100" i="2"/>
  <c r="AK102" i="2"/>
  <c r="AK63" i="2"/>
  <c r="AZ17" i="2"/>
  <c r="AZ33" i="2" s="1"/>
  <c r="BA5" i="3"/>
  <c r="BA175" i="3" s="1"/>
  <c r="AZ6" i="3"/>
  <c r="AZ87" i="3"/>
  <c r="AZ106" i="29" s="1"/>
  <c r="AZ175" i="3"/>
  <c r="AK106" i="2"/>
  <c r="AG107" i="2"/>
  <c r="AJ107" i="2" s="1"/>
  <c r="AF106" i="2"/>
  <c r="BD4" i="12"/>
  <c r="AY188" i="3"/>
  <c r="AY18" i="2"/>
  <c r="AY36" i="2"/>
  <c r="AY50" i="2"/>
  <c r="AY12" i="3" s="1"/>
  <c r="H167" i="3" l="1"/>
  <c r="H171" i="3" s="1"/>
  <c r="S40" i="2"/>
  <c r="F189" i="3"/>
  <c r="K34" i="3"/>
  <c r="K53" i="29" s="1"/>
  <c r="T34" i="3"/>
  <c r="AB34" i="3"/>
  <c r="L34" i="3"/>
  <c r="L53" i="29" s="1"/>
  <c r="U34" i="3"/>
  <c r="AC34" i="3"/>
  <c r="M34" i="3"/>
  <c r="M53" i="29" s="1"/>
  <c r="V34" i="3"/>
  <c r="AD34" i="3"/>
  <c r="O34" i="3"/>
  <c r="O53" i="29" s="1"/>
  <c r="W34" i="3"/>
  <c r="G34" i="3"/>
  <c r="G53" i="29" s="1"/>
  <c r="N34" i="3"/>
  <c r="N53" i="29" s="1"/>
  <c r="P34" i="3"/>
  <c r="P53" i="29" s="1"/>
  <c r="X34" i="3"/>
  <c r="H34" i="3"/>
  <c r="H53" i="29" s="1"/>
  <c r="Q34" i="3"/>
  <c r="Q53" i="29" s="1"/>
  <c r="Y34" i="3"/>
  <c r="I34" i="3"/>
  <c r="I53" i="29" s="1"/>
  <c r="R34" i="3"/>
  <c r="R53" i="29" s="1"/>
  <c r="Z34" i="3"/>
  <c r="J34" i="3"/>
  <c r="J53" i="29" s="1"/>
  <c r="S34" i="3"/>
  <c r="AA34" i="3"/>
  <c r="AX61" i="24"/>
  <c r="AW20" i="25"/>
  <c r="BD281" i="12"/>
  <c r="AY62" i="24" s="1"/>
  <c r="AY54" i="24" s="1"/>
  <c r="BD279" i="12"/>
  <c r="BD277" i="12"/>
  <c r="BD278" i="12"/>
  <c r="P60" i="2"/>
  <c r="AY37" i="2"/>
  <c r="AY21" i="3"/>
  <c r="AY30" i="3" s="1"/>
  <c r="X21" i="3"/>
  <c r="X30" i="3" s="1"/>
  <c r="O21" i="3"/>
  <c r="O30" i="3" s="1"/>
  <c r="AS21" i="3"/>
  <c r="AS30" i="3" s="1"/>
  <c r="AR21" i="3"/>
  <c r="AR30" i="3" s="1"/>
  <c r="AL21" i="3"/>
  <c r="AL30" i="3" s="1"/>
  <c r="J21" i="3"/>
  <c r="J30" i="3" s="1"/>
  <c r="F95" i="3"/>
  <c r="F114" i="29" s="1"/>
  <c r="F4" i="29"/>
  <c r="P21" i="3"/>
  <c r="P30" i="3" s="1"/>
  <c r="H21" i="3"/>
  <c r="H30" i="3" s="1"/>
  <c r="AJ21" i="3"/>
  <c r="AJ30" i="3" s="1"/>
  <c r="V21" i="3"/>
  <c r="V30" i="3" s="1"/>
  <c r="L19" i="3"/>
  <c r="L28" i="3" s="1"/>
  <c r="AB21" i="3"/>
  <c r="AB30" i="3" s="1"/>
  <c r="AP21" i="3"/>
  <c r="AP30" i="3" s="1"/>
  <c r="K19" i="3"/>
  <c r="K28" i="3" s="1"/>
  <c r="L18" i="3"/>
  <c r="L27" i="3" s="1"/>
  <c r="AM21" i="3"/>
  <c r="AM30" i="3" s="1"/>
  <c r="AT21" i="3"/>
  <c r="AT30" i="3" s="1"/>
  <c r="U21" i="3"/>
  <c r="U30" i="3" s="1"/>
  <c r="T21" i="3"/>
  <c r="T30" i="3" s="1"/>
  <c r="AA21" i="3"/>
  <c r="AA30" i="3" s="1"/>
  <c r="AH21" i="3"/>
  <c r="AH30" i="3" s="1"/>
  <c r="J19" i="3"/>
  <c r="J28" i="3" s="1"/>
  <c r="K18" i="3"/>
  <c r="K27" i="3" s="1"/>
  <c r="AX21" i="3"/>
  <c r="AX30" i="3" s="1"/>
  <c r="AG21" i="3"/>
  <c r="AG30" i="3" s="1"/>
  <c r="AN21" i="3"/>
  <c r="AN30" i="3" s="1"/>
  <c r="G14" i="29"/>
  <c r="Z21" i="3"/>
  <c r="Z30" i="3" s="1"/>
  <c r="N21" i="3"/>
  <c r="N30" i="3" s="1"/>
  <c r="I21" i="3"/>
  <c r="I30" i="3" s="1"/>
  <c r="R21" i="3"/>
  <c r="R30" i="3" s="1"/>
  <c r="H19" i="3"/>
  <c r="H28" i="3" s="1"/>
  <c r="H18" i="3"/>
  <c r="H27" i="3" s="1"/>
  <c r="F193" i="29"/>
  <c r="G193" i="29"/>
  <c r="H193" i="29"/>
  <c r="I193" i="29"/>
  <c r="J193" i="29"/>
  <c r="K193" i="29"/>
  <c r="L193" i="29"/>
  <c r="N193" i="29"/>
  <c r="M193" i="29"/>
  <c r="O193" i="29"/>
  <c r="P193" i="29"/>
  <c r="Q193" i="29"/>
  <c r="R193" i="29"/>
  <c r="S193" i="29"/>
  <c r="T193" i="29"/>
  <c r="U193" i="29"/>
  <c r="V193" i="29"/>
  <c r="W193" i="29"/>
  <c r="Y193" i="29"/>
  <c r="X193" i="29"/>
  <c r="Z193" i="29"/>
  <c r="AA193" i="29"/>
  <c r="AB193" i="29"/>
  <c r="AD193" i="29"/>
  <c r="AC193" i="29"/>
  <c r="AE193" i="29"/>
  <c r="AF193" i="29"/>
  <c r="AG193" i="29"/>
  <c r="AH193" i="29"/>
  <c r="AI193" i="29"/>
  <c r="AJ193" i="29"/>
  <c r="AK193" i="29"/>
  <c r="AL193" i="29"/>
  <c r="AM193" i="29"/>
  <c r="AO193" i="29"/>
  <c r="AN193" i="29"/>
  <c r="AP193" i="29"/>
  <c r="AQ193" i="29"/>
  <c r="AR193" i="29"/>
  <c r="AS193" i="29"/>
  <c r="AT193" i="29"/>
  <c r="AU193" i="29"/>
  <c r="AW193" i="29"/>
  <c r="AV193" i="29"/>
  <c r="AX193" i="29"/>
  <c r="AY193" i="29"/>
  <c r="BA193" i="29"/>
  <c r="AZ193" i="29"/>
  <c r="BB193" i="29"/>
  <c r="BC193" i="29"/>
  <c r="BD193" i="29"/>
  <c r="BE193" i="29"/>
  <c r="BF193" i="29"/>
  <c r="BG193" i="29"/>
  <c r="BI193" i="29"/>
  <c r="BH193" i="29"/>
  <c r="BJ193" i="29"/>
  <c r="BK193" i="29"/>
  <c r="BM193" i="29"/>
  <c r="BL193" i="29"/>
  <c r="G20" i="3"/>
  <c r="G30" i="29" s="1"/>
  <c r="L45" i="2"/>
  <c r="K45" i="2"/>
  <c r="J44" i="2"/>
  <c r="I45" i="2"/>
  <c r="H45" i="2"/>
  <c r="N46" i="2"/>
  <c r="N10" i="3" s="1"/>
  <c r="M47" i="2"/>
  <c r="G45" i="2"/>
  <c r="H57" i="2"/>
  <c r="I57" i="2" s="1"/>
  <c r="J57" i="2" s="1"/>
  <c r="L47" i="2"/>
  <c r="K47" i="2"/>
  <c r="J47" i="2"/>
  <c r="I47" i="2"/>
  <c r="H47" i="2"/>
  <c r="H58" i="2"/>
  <c r="I58" i="2" s="1"/>
  <c r="J58" i="2" s="1"/>
  <c r="K58" i="2" s="1"/>
  <c r="L58" i="2" s="1"/>
  <c r="M58" i="2" s="1"/>
  <c r="N58" i="2" s="1"/>
  <c r="G47" i="2"/>
  <c r="M45" i="2"/>
  <c r="K40" i="2"/>
  <c r="M40" i="2"/>
  <c r="M41" i="2" s="1"/>
  <c r="M42" i="2" s="1"/>
  <c r="AK68" i="2"/>
  <c r="AK69" i="2"/>
  <c r="AK70" i="2"/>
  <c r="AU30" i="2"/>
  <c r="O64" i="2"/>
  <c r="P65" i="2"/>
  <c r="I40" i="2"/>
  <c r="I41" i="2" s="1"/>
  <c r="I42" i="2" s="1"/>
  <c r="G40" i="2"/>
  <c r="G41" i="2" s="1"/>
  <c r="G42" i="2" s="1"/>
  <c r="H40" i="2"/>
  <c r="J40" i="2"/>
  <c r="AV16" i="2"/>
  <c r="AV35" i="2" s="1"/>
  <c r="BA1" i="12" s="1"/>
  <c r="AV67" i="3"/>
  <c r="AV86" i="29" s="1"/>
  <c r="Z174" i="3"/>
  <c r="AJ174" i="3"/>
  <c r="X174" i="3"/>
  <c r="AU174" i="3"/>
  <c r="J174" i="3"/>
  <c r="J62" i="3" s="1"/>
  <c r="J54" i="3" s="1"/>
  <c r="AP174" i="3"/>
  <c r="V174" i="3"/>
  <c r="S174" i="3"/>
  <c r="AD174" i="3"/>
  <c r="AR174" i="3"/>
  <c r="O174" i="3"/>
  <c r="AC174" i="3"/>
  <c r="AN174" i="3"/>
  <c r="I174" i="3"/>
  <c r="I62" i="3" s="1"/>
  <c r="I54" i="3" s="1"/>
  <c r="R174" i="3"/>
  <c r="AO174" i="3"/>
  <c r="AT174" i="3"/>
  <c r="AQ174" i="3"/>
  <c r="AX174" i="3"/>
  <c r="H174" i="3"/>
  <c r="H62" i="3" s="1"/>
  <c r="H54" i="3" s="1"/>
  <c r="F174" i="3"/>
  <c r="F62" i="3" s="1"/>
  <c r="F54" i="3" s="1"/>
  <c r="G174" i="3"/>
  <c r="G62" i="3" s="1"/>
  <c r="G54" i="3" s="1"/>
  <c r="L174" i="3"/>
  <c r="L62" i="3" s="1"/>
  <c r="L54" i="3" s="1"/>
  <c r="AS174" i="3"/>
  <c r="AA174" i="3"/>
  <c r="AM174" i="3"/>
  <c r="AI174" i="3"/>
  <c r="T174" i="3"/>
  <c r="U174" i="3"/>
  <c r="P174" i="3"/>
  <c r="AH174" i="3"/>
  <c r="AK174" i="3"/>
  <c r="AZ174" i="3"/>
  <c r="Y174" i="3"/>
  <c r="W174" i="3"/>
  <c r="N174" i="3"/>
  <c r="AG174" i="3"/>
  <c r="AE174" i="3"/>
  <c r="M174" i="3"/>
  <c r="M62" i="3" s="1"/>
  <c r="M54" i="3" s="1"/>
  <c r="Q174" i="3"/>
  <c r="AW174" i="3"/>
  <c r="AY174" i="3"/>
  <c r="AL174" i="3"/>
  <c r="AB174" i="3"/>
  <c r="AV174" i="3"/>
  <c r="AF174" i="3"/>
  <c r="K174" i="3"/>
  <c r="K62" i="3" s="1"/>
  <c r="K54" i="3" s="1"/>
  <c r="AW24" i="2"/>
  <c r="AW22" i="2"/>
  <c r="AW26" i="2"/>
  <c r="AW25" i="2"/>
  <c r="AX19" i="2"/>
  <c r="AX20" i="2" s="1"/>
  <c r="AW23" i="2"/>
  <c r="AW27" i="2"/>
  <c r="AW21" i="2"/>
  <c r="R61" i="10"/>
  <c r="K61" i="10" s="1"/>
  <c r="M63" i="10"/>
  <c r="Y64" i="2"/>
  <c r="Z65" i="2"/>
  <c r="AV28" i="2"/>
  <c r="AI72" i="2"/>
  <c r="AK71" i="2"/>
  <c r="AH64" i="2"/>
  <c r="AL63" i="2"/>
  <c r="H48" i="2"/>
  <c r="H11" i="3" s="1"/>
  <c r="H15" i="29" s="1"/>
  <c r="H14" i="29" s="1"/>
  <c r="AU29" i="2"/>
  <c r="AZ36" i="2"/>
  <c r="BA174" i="3"/>
  <c r="BB174" i="3"/>
  <c r="AF107" i="2"/>
  <c r="AK107" i="2"/>
  <c r="AG108" i="2"/>
  <c r="AJ108" i="2" s="1"/>
  <c r="AZ50" i="2"/>
  <c r="AZ12" i="3" s="1"/>
  <c r="BE4" i="12"/>
  <c r="AZ188" i="3"/>
  <c r="AZ18" i="2"/>
  <c r="BB5" i="3"/>
  <c r="BB175" i="3" s="1"/>
  <c r="BC174" i="3" s="1"/>
  <c r="BA17" i="2"/>
  <c r="BA33" i="2" s="1"/>
  <c r="BA6" i="3"/>
  <c r="BA87" i="3"/>
  <c r="BA106" i="29" s="1"/>
  <c r="I167" i="3" l="1"/>
  <c r="I171" i="3" s="1"/>
  <c r="J61" i="10"/>
  <c r="L61" i="10"/>
  <c r="M61" i="10" s="1"/>
  <c r="H8" i="3"/>
  <c r="H10" i="29" s="1"/>
  <c r="H9" i="29" s="1"/>
  <c r="H156" i="29" s="1"/>
  <c r="H41" i="2"/>
  <c r="H42" i="2" s="1"/>
  <c r="J8" i="3"/>
  <c r="J10" i="29" s="1"/>
  <c r="J9" i="29" s="1"/>
  <c r="J156" i="29" s="1"/>
  <c r="J41" i="2"/>
  <c r="J42" i="2" s="1"/>
  <c r="K8" i="3"/>
  <c r="K17" i="3" s="1"/>
  <c r="K25" i="29" s="1"/>
  <c r="K41" i="2"/>
  <c r="K42" i="2" s="1"/>
  <c r="S8" i="3"/>
  <c r="S17" i="3" s="1"/>
  <c r="S41" i="2"/>
  <c r="U53" i="29"/>
  <c r="T53" i="29"/>
  <c r="S53" i="29"/>
  <c r="AY61" i="24"/>
  <c r="G8" i="3"/>
  <c r="G10" i="29" s="1"/>
  <c r="G9" i="29" s="1"/>
  <c r="AX20" i="25"/>
  <c r="BE281" i="12"/>
  <c r="AZ62" i="24" s="1"/>
  <c r="AZ54" i="24" s="1"/>
  <c r="BE278" i="12"/>
  <c r="BE279" i="12"/>
  <c r="BE277" i="12"/>
  <c r="AZ37" i="2"/>
  <c r="G159" i="29"/>
  <c r="G29" i="3"/>
  <c r="L12" i="12" s="1"/>
  <c r="H45" i="3"/>
  <c r="I45" i="3" s="1"/>
  <c r="H42" i="3"/>
  <c r="H43" i="3"/>
  <c r="I43" i="3" s="1"/>
  <c r="H159" i="29"/>
  <c r="BI173" i="29"/>
  <c r="BI160" i="29"/>
  <c r="BI174" i="29"/>
  <c r="BI158" i="29"/>
  <c r="BI178" i="29"/>
  <c r="BI162" i="29"/>
  <c r="BI133" i="29"/>
  <c r="BI157" i="29"/>
  <c r="BI176" i="29"/>
  <c r="BB160" i="29"/>
  <c r="BB174" i="29"/>
  <c r="BB157" i="29"/>
  <c r="BB173" i="29"/>
  <c r="BB176" i="29"/>
  <c r="BB162" i="29"/>
  <c r="BB178" i="29"/>
  <c r="BB133" i="29"/>
  <c r="BB158" i="29"/>
  <c r="AW158" i="29"/>
  <c r="AW176" i="29"/>
  <c r="AW162" i="29"/>
  <c r="AW157" i="29"/>
  <c r="AW160" i="29"/>
  <c r="AW174" i="29"/>
  <c r="AW133" i="29"/>
  <c r="AW173" i="29"/>
  <c r="AW178" i="29"/>
  <c r="AP160" i="29"/>
  <c r="AP174" i="29"/>
  <c r="AP176" i="29"/>
  <c r="AP173" i="29"/>
  <c r="AP178" i="29"/>
  <c r="AP133" i="29"/>
  <c r="AP162" i="29"/>
  <c r="AP157" i="29"/>
  <c r="AP158" i="29"/>
  <c r="AJ176" i="29"/>
  <c r="AJ174" i="29"/>
  <c r="AJ162" i="29"/>
  <c r="AJ178" i="29"/>
  <c r="AJ133" i="29"/>
  <c r="AJ160" i="29"/>
  <c r="AJ157" i="29"/>
  <c r="AJ173" i="29"/>
  <c r="AJ158" i="29"/>
  <c r="AC174" i="29"/>
  <c r="AC162" i="29"/>
  <c r="AC158" i="29"/>
  <c r="AC176" i="29"/>
  <c r="AC178" i="29"/>
  <c r="AC133" i="29"/>
  <c r="AC160" i="29"/>
  <c r="AC173" i="29"/>
  <c r="AC157" i="29"/>
  <c r="Y160" i="29"/>
  <c r="Y176" i="29"/>
  <c r="Y133" i="29"/>
  <c r="Y178" i="29"/>
  <c r="Y173" i="29"/>
  <c r="Y174" i="29"/>
  <c r="Y162" i="29"/>
  <c r="Y158" i="29"/>
  <c r="Y157" i="29"/>
  <c r="R158" i="29"/>
  <c r="R157" i="29"/>
  <c r="R160" i="29"/>
  <c r="R176" i="29"/>
  <c r="R162" i="29"/>
  <c r="R173" i="29"/>
  <c r="R174" i="29"/>
  <c r="R133" i="29"/>
  <c r="R178" i="29"/>
  <c r="L162" i="29"/>
  <c r="L178" i="29"/>
  <c r="L174" i="29"/>
  <c r="L160" i="29"/>
  <c r="L173" i="29"/>
  <c r="L158" i="29"/>
  <c r="L176" i="29"/>
  <c r="L157" i="29"/>
  <c r="L133" i="29"/>
  <c r="F137" i="29"/>
  <c r="F133" i="29"/>
  <c r="G149" i="29"/>
  <c r="H149" i="29" s="1"/>
  <c r="I149" i="29" s="1"/>
  <c r="G170" i="29"/>
  <c r="H170" i="29" s="1"/>
  <c r="I170" i="29" s="1"/>
  <c r="G165" i="29"/>
  <c r="H165" i="29" s="1"/>
  <c r="G154" i="29"/>
  <c r="H154" i="29" s="1"/>
  <c r="G150" i="29"/>
  <c r="H150" i="29" s="1"/>
  <c r="I150" i="29" s="1"/>
  <c r="J150" i="29" s="1"/>
  <c r="K150" i="29" s="1"/>
  <c r="G168" i="29"/>
  <c r="G166" i="29"/>
  <c r="H166" i="29" s="1"/>
  <c r="I166" i="29" s="1"/>
  <c r="G152" i="29"/>
  <c r="H152" i="29" s="1"/>
  <c r="F135" i="29"/>
  <c r="F136" i="29"/>
  <c r="G136" i="29" s="1"/>
  <c r="H136" i="29" s="1"/>
  <c r="BL133" i="29"/>
  <c r="BL158" i="29"/>
  <c r="BL157" i="29"/>
  <c r="BL162" i="29"/>
  <c r="BL174" i="29"/>
  <c r="BL178" i="29"/>
  <c r="BL160" i="29"/>
  <c r="BL176" i="29"/>
  <c r="BL173" i="29"/>
  <c r="BG162" i="29"/>
  <c r="BG173" i="29"/>
  <c r="BG174" i="29"/>
  <c r="BG157" i="29"/>
  <c r="BG133" i="29"/>
  <c r="BG176" i="29"/>
  <c r="BG158" i="29"/>
  <c r="BG178" i="29"/>
  <c r="BG160" i="29"/>
  <c r="AZ157" i="29"/>
  <c r="AZ174" i="29"/>
  <c r="AZ176" i="29"/>
  <c r="AZ160" i="29"/>
  <c r="AZ158" i="29"/>
  <c r="AZ162" i="29"/>
  <c r="AZ173" i="29"/>
  <c r="AZ133" i="29"/>
  <c r="AZ178" i="29"/>
  <c r="AU178" i="29"/>
  <c r="AU176" i="29"/>
  <c r="AU133" i="29"/>
  <c r="AU162" i="29"/>
  <c r="AU160" i="29"/>
  <c r="AU174" i="29"/>
  <c r="AU158" i="29"/>
  <c r="AU173" i="29"/>
  <c r="AU157" i="29"/>
  <c r="AN158" i="29"/>
  <c r="AN174" i="29"/>
  <c r="AN173" i="29"/>
  <c r="AN157" i="29"/>
  <c r="AN133" i="29"/>
  <c r="AN162" i="29"/>
  <c r="AN160" i="29"/>
  <c r="AN176" i="29"/>
  <c r="AN178" i="29"/>
  <c r="AI157" i="29"/>
  <c r="AI174" i="29"/>
  <c r="AI160" i="29"/>
  <c r="AI178" i="29"/>
  <c r="AI173" i="29"/>
  <c r="AI176" i="29"/>
  <c r="AI162" i="29"/>
  <c r="AI158" i="29"/>
  <c r="AI133" i="29"/>
  <c r="AD158" i="29"/>
  <c r="AD173" i="29"/>
  <c r="AD157" i="29"/>
  <c r="AD133" i="29"/>
  <c r="AD174" i="29"/>
  <c r="AD178" i="29"/>
  <c r="AD162" i="29"/>
  <c r="AD160" i="29"/>
  <c r="AD176" i="29"/>
  <c r="W157" i="29"/>
  <c r="W176" i="29"/>
  <c r="W133" i="29"/>
  <c r="W162" i="29"/>
  <c r="W173" i="29"/>
  <c r="W158" i="29"/>
  <c r="W178" i="29"/>
  <c r="W160" i="29"/>
  <c r="W174" i="29"/>
  <c r="Q157" i="29"/>
  <c r="Q173" i="29"/>
  <c r="Q178" i="29"/>
  <c r="Q133" i="29"/>
  <c r="Q160" i="29"/>
  <c r="Q174" i="29"/>
  <c r="Q158" i="29"/>
  <c r="Q162" i="29"/>
  <c r="Q176" i="29"/>
  <c r="K162" i="29"/>
  <c r="K176" i="29"/>
  <c r="K133" i="29"/>
  <c r="K173" i="29"/>
  <c r="K157" i="29"/>
  <c r="K158" i="29"/>
  <c r="K160" i="29"/>
  <c r="K174" i="29"/>
  <c r="K178" i="29"/>
  <c r="N19" i="3"/>
  <c r="N28" i="3" s="1"/>
  <c r="N155" i="3" s="1"/>
  <c r="BM162" i="29"/>
  <c r="BM173" i="29"/>
  <c r="BM158" i="29"/>
  <c r="BM176" i="29"/>
  <c r="BM157" i="29"/>
  <c r="BM160" i="29"/>
  <c r="BM174" i="29"/>
  <c r="BM178" i="29"/>
  <c r="BM133" i="29"/>
  <c r="BF157" i="29"/>
  <c r="BF174" i="29"/>
  <c r="BF178" i="29"/>
  <c r="BF160" i="29"/>
  <c r="BF173" i="29"/>
  <c r="BF133" i="29"/>
  <c r="BF158" i="29"/>
  <c r="BF162" i="29"/>
  <c r="BF176" i="29"/>
  <c r="BA178" i="29"/>
  <c r="BA160" i="29"/>
  <c r="BA173" i="29"/>
  <c r="BA158" i="29"/>
  <c r="BA133" i="29"/>
  <c r="BA157" i="29"/>
  <c r="BA176" i="29"/>
  <c r="BA174" i="29"/>
  <c r="BA162" i="29"/>
  <c r="AT176" i="29"/>
  <c r="AT157" i="29"/>
  <c r="AT162" i="29"/>
  <c r="AT173" i="29"/>
  <c r="AT160" i="29"/>
  <c r="AT158" i="29"/>
  <c r="AT174" i="29"/>
  <c r="AT133" i="29"/>
  <c r="AT178" i="29"/>
  <c r="AO157" i="29"/>
  <c r="AO174" i="29"/>
  <c r="AO160" i="29"/>
  <c r="AO158" i="29"/>
  <c r="AO178" i="29"/>
  <c r="AO133" i="29"/>
  <c r="AO173" i="29"/>
  <c r="AO176" i="29"/>
  <c r="AO162" i="29"/>
  <c r="AH160" i="29"/>
  <c r="AH178" i="29"/>
  <c r="AH157" i="29"/>
  <c r="AH173" i="29"/>
  <c r="AH162" i="29"/>
  <c r="AH176" i="29"/>
  <c r="AH158" i="29"/>
  <c r="AH174" i="29"/>
  <c r="AH133" i="29"/>
  <c r="AB158" i="29"/>
  <c r="AB173" i="29"/>
  <c r="AB157" i="29"/>
  <c r="AB174" i="29"/>
  <c r="AB133" i="29"/>
  <c r="AB162" i="29"/>
  <c r="AB176" i="29"/>
  <c r="AB178" i="29"/>
  <c r="AB160" i="29"/>
  <c r="V157" i="29"/>
  <c r="V162" i="29"/>
  <c r="V133" i="29"/>
  <c r="V174" i="29"/>
  <c r="V160" i="29"/>
  <c r="V173" i="29"/>
  <c r="V178" i="29"/>
  <c r="V176" i="29"/>
  <c r="V158" i="29"/>
  <c r="P160" i="29"/>
  <c r="P173" i="29"/>
  <c r="P158" i="29"/>
  <c r="P157" i="29"/>
  <c r="P133" i="29"/>
  <c r="P162" i="29"/>
  <c r="P176" i="29"/>
  <c r="P174" i="29"/>
  <c r="P178" i="29"/>
  <c r="J174" i="29"/>
  <c r="J160" i="29"/>
  <c r="J178" i="29"/>
  <c r="J157" i="29"/>
  <c r="J176" i="29"/>
  <c r="J173" i="29"/>
  <c r="J133" i="29"/>
  <c r="J158" i="29"/>
  <c r="J162" i="29"/>
  <c r="G73" i="29"/>
  <c r="G81" i="29"/>
  <c r="BK157" i="29"/>
  <c r="BK176" i="29"/>
  <c r="BK158" i="29"/>
  <c r="BK178" i="29"/>
  <c r="BK160" i="29"/>
  <c r="BK162" i="29"/>
  <c r="BK133" i="29"/>
  <c r="BK173" i="29"/>
  <c r="BK174" i="29"/>
  <c r="BE176" i="29"/>
  <c r="BE178" i="29"/>
  <c r="BE162" i="29"/>
  <c r="BE157" i="29"/>
  <c r="BE173" i="29"/>
  <c r="BE158" i="29"/>
  <c r="BE174" i="29"/>
  <c r="BE160" i="29"/>
  <c r="BE133" i="29"/>
  <c r="AY176" i="29"/>
  <c r="AY133" i="29"/>
  <c r="AY158" i="29"/>
  <c r="AY178" i="29"/>
  <c r="AY157" i="29"/>
  <c r="AY174" i="29"/>
  <c r="AY173" i="29"/>
  <c r="AY160" i="29"/>
  <c r="AY162" i="29"/>
  <c r="AS158" i="29"/>
  <c r="AS133" i="29"/>
  <c r="AS162" i="29"/>
  <c r="AS157" i="29"/>
  <c r="AS173" i="29"/>
  <c r="AS174" i="29"/>
  <c r="AS160" i="29"/>
  <c r="AS178" i="29"/>
  <c r="AS176" i="29"/>
  <c r="AM162" i="29"/>
  <c r="AM178" i="29"/>
  <c r="AM158" i="29"/>
  <c r="AM174" i="29"/>
  <c r="AM157" i="29"/>
  <c r="AM176" i="29"/>
  <c r="AM160" i="29"/>
  <c r="AM173" i="29"/>
  <c r="AM133" i="29"/>
  <c r="AG133" i="29"/>
  <c r="AG160" i="29"/>
  <c r="AG176" i="29"/>
  <c r="AG158" i="29"/>
  <c r="AG174" i="29"/>
  <c r="AG173" i="29"/>
  <c r="AG157" i="29"/>
  <c r="AG162" i="29"/>
  <c r="AG178" i="29"/>
  <c r="AA157" i="29"/>
  <c r="AA174" i="29"/>
  <c r="AA173" i="29"/>
  <c r="AA162" i="29"/>
  <c r="AA176" i="29"/>
  <c r="AA133" i="29"/>
  <c r="AA158" i="29"/>
  <c r="AA178" i="29"/>
  <c r="AA160" i="29"/>
  <c r="U157" i="29"/>
  <c r="U133" i="29"/>
  <c r="U160" i="29"/>
  <c r="U176" i="29"/>
  <c r="U178" i="29"/>
  <c r="U158" i="29"/>
  <c r="U173" i="29"/>
  <c r="U162" i="29"/>
  <c r="U174" i="29"/>
  <c r="O157" i="29"/>
  <c r="O176" i="29"/>
  <c r="O158" i="29"/>
  <c r="O133" i="29"/>
  <c r="O160" i="29"/>
  <c r="O174" i="29"/>
  <c r="O162" i="29"/>
  <c r="O173" i="29"/>
  <c r="O178" i="29"/>
  <c r="I174" i="29"/>
  <c r="I173" i="29"/>
  <c r="I178" i="29"/>
  <c r="I160" i="29"/>
  <c r="I176" i="29"/>
  <c r="I157" i="29"/>
  <c r="I158" i="29"/>
  <c r="I162" i="29"/>
  <c r="I133" i="29"/>
  <c r="AZ21" i="3"/>
  <c r="AZ30" i="3" s="1"/>
  <c r="F73" i="29"/>
  <c r="F81" i="29"/>
  <c r="BJ158" i="29"/>
  <c r="BJ178" i="29"/>
  <c r="BJ176" i="29"/>
  <c r="BJ162" i="29"/>
  <c r="BJ160" i="29"/>
  <c r="BJ174" i="29"/>
  <c r="BJ133" i="29"/>
  <c r="BJ157" i="29"/>
  <c r="BJ173" i="29"/>
  <c r="BD133" i="29"/>
  <c r="BD173" i="29"/>
  <c r="BD162" i="29"/>
  <c r="BD176" i="29"/>
  <c r="BD157" i="29"/>
  <c r="BD174" i="29"/>
  <c r="BD178" i="29"/>
  <c r="BD158" i="29"/>
  <c r="BD160" i="29"/>
  <c r="AX157" i="29"/>
  <c r="AX133" i="29"/>
  <c r="AX178" i="29"/>
  <c r="AX162" i="29"/>
  <c r="AX158" i="29"/>
  <c r="AX174" i="29"/>
  <c r="AX160" i="29"/>
  <c r="AX176" i="29"/>
  <c r="AX173" i="29"/>
  <c r="AR162" i="29"/>
  <c r="AR176" i="29"/>
  <c r="AR178" i="29"/>
  <c r="AR173" i="29"/>
  <c r="AR158" i="29"/>
  <c r="AR160" i="29"/>
  <c r="AR133" i="29"/>
  <c r="AR157" i="29"/>
  <c r="AR174" i="29"/>
  <c r="AL162" i="29"/>
  <c r="AL157" i="29"/>
  <c r="AL174" i="29"/>
  <c r="AL160" i="29"/>
  <c r="AL173" i="29"/>
  <c r="AL133" i="29"/>
  <c r="AL176" i="29"/>
  <c r="AL178" i="29"/>
  <c r="AL158" i="29"/>
  <c r="AF162" i="29"/>
  <c r="AF178" i="29"/>
  <c r="AF173" i="29"/>
  <c r="AF158" i="29"/>
  <c r="AF133" i="29"/>
  <c r="AF174" i="29"/>
  <c r="AF160" i="29"/>
  <c r="AF176" i="29"/>
  <c r="AF157" i="29"/>
  <c r="Z173" i="29"/>
  <c r="Z178" i="29"/>
  <c r="Z158" i="29"/>
  <c r="Z133" i="29"/>
  <c r="Z162" i="29"/>
  <c r="Z174" i="29"/>
  <c r="Z160" i="29"/>
  <c r="Z176" i="29"/>
  <c r="Z157" i="29"/>
  <c r="T160" i="29"/>
  <c r="T176" i="29"/>
  <c r="T158" i="29"/>
  <c r="T174" i="29"/>
  <c r="T173" i="29"/>
  <c r="T178" i="29"/>
  <c r="T162" i="29"/>
  <c r="T133" i="29"/>
  <c r="T157" i="29"/>
  <c r="M162" i="29"/>
  <c r="M157" i="29"/>
  <c r="M133" i="29"/>
  <c r="M160" i="29"/>
  <c r="M176" i="29"/>
  <c r="M158" i="29"/>
  <c r="M174" i="29"/>
  <c r="M178" i="29"/>
  <c r="M173" i="29"/>
  <c r="H133" i="29"/>
  <c r="H158" i="29"/>
  <c r="H157" i="29"/>
  <c r="H176" i="29"/>
  <c r="H162" i="29"/>
  <c r="H173" i="29"/>
  <c r="H160" i="29"/>
  <c r="H174" i="29"/>
  <c r="H178" i="29"/>
  <c r="H73" i="29"/>
  <c r="H81" i="29"/>
  <c r="N44" i="2"/>
  <c r="N9" i="3" s="1"/>
  <c r="J9" i="3"/>
  <c r="J138" i="3" s="1"/>
  <c r="BH157" i="29"/>
  <c r="BH133" i="29"/>
  <c r="BH174" i="29"/>
  <c r="BH162" i="29"/>
  <c r="BH160" i="29"/>
  <c r="BH178" i="29"/>
  <c r="BH158" i="29"/>
  <c r="BH176" i="29"/>
  <c r="BH173" i="29"/>
  <c r="BC158" i="29"/>
  <c r="BC176" i="29"/>
  <c r="BC157" i="29"/>
  <c r="BC133" i="29"/>
  <c r="BC174" i="29"/>
  <c r="BC162" i="29"/>
  <c r="BC160" i="29"/>
  <c r="BC173" i="29"/>
  <c r="BC178" i="29"/>
  <c r="AV162" i="29"/>
  <c r="AV173" i="29"/>
  <c r="AV176" i="29"/>
  <c r="AV174" i="29"/>
  <c r="AV160" i="29"/>
  <c r="AV133" i="29"/>
  <c r="AV157" i="29"/>
  <c r="AV158" i="29"/>
  <c r="AV178" i="29"/>
  <c r="AQ162" i="29"/>
  <c r="AQ133" i="29"/>
  <c r="AQ176" i="29"/>
  <c r="AQ174" i="29"/>
  <c r="AQ173" i="29"/>
  <c r="AQ160" i="29"/>
  <c r="AQ178" i="29"/>
  <c r="AQ157" i="29"/>
  <c r="AQ158" i="29"/>
  <c r="AK158" i="29"/>
  <c r="AK173" i="29"/>
  <c r="AK162" i="29"/>
  <c r="AK133" i="29"/>
  <c r="AK176" i="29"/>
  <c r="AK174" i="29"/>
  <c r="AK157" i="29"/>
  <c r="AK178" i="29"/>
  <c r="AK160" i="29"/>
  <c r="AE162" i="29"/>
  <c r="AE133" i="29"/>
  <c r="AE157" i="29"/>
  <c r="AE173" i="29"/>
  <c r="AE160" i="29"/>
  <c r="AE178" i="29"/>
  <c r="AE174" i="29"/>
  <c r="AE158" i="29"/>
  <c r="AE176" i="29"/>
  <c r="X173" i="29"/>
  <c r="X158" i="29"/>
  <c r="X162" i="29"/>
  <c r="X174" i="29"/>
  <c r="X157" i="29"/>
  <c r="X133" i="29"/>
  <c r="X178" i="29"/>
  <c r="X160" i="29"/>
  <c r="X176" i="29"/>
  <c r="S158" i="29"/>
  <c r="S174" i="29"/>
  <c r="S162" i="29"/>
  <c r="S173" i="29"/>
  <c r="S160" i="29"/>
  <c r="S178" i="29"/>
  <c r="S133" i="29"/>
  <c r="S157" i="29"/>
  <c r="S176" i="29"/>
  <c r="N178" i="29"/>
  <c r="N174" i="29"/>
  <c r="N157" i="29"/>
  <c r="N158" i="29"/>
  <c r="N176" i="29"/>
  <c r="N133" i="29"/>
  <c r="N162" i="29"/>
  <c r="N160" i="29"/>
  <c r="N173" i="29"/>
  <c r="G176" i="29"/>
  <c r="G158" i="29"/>
  <c r="G174" i="29"/>
  <c r="G157" i="29"/>
  <c r="G133" i="29"/>
  <c r="G173" i="29"/>
  <c r="G160" i="29"/>
  <c r="G178" i="29"/>
  <c r="G138" i="29"/>
  <c r="H138" i="29" s="1"/>
  <c r="G162" i="29"/>
  <c r="G134" i="29"/>
  <c r="H134" i="29" s="1"/>
  <c r="K57" i="2"/>
  <c r="L57" i="2" s="1"/>
  <c r="M57" i="2" s="1"/>
  <c r="N57" i="2" s="1"/>
  <c r="H20" i="3"/>
  <c r="O58" i="2"/>
  <c r="O44" i="2"/>
  <c r="O9" i="3" s="1"/>
  <c r="O18" i="3" s="1"/>
  <c r="O27" i="3" s="1"/>
  <c r="J45" i="2"/>
  <c r="N47" i="2"/>
  <c r="O46" i="2"/>
  <c r="O10" i="3" s="1"/>
  <c r="O19" i="3" s="1"/>
  <c r="O28" i="3" s="1"/>
  <c r="L40" i="2"/>
  <c r="L41" i="2" s="1"/>
  <c r="L42" i="2" s="1"/>
  <c r="R141" i="3"/>
  <c r="R157" i="3"/>
  <c r="AU141" i="3"/>
  <c r="AU157" i="3"/>
  <c r="AB141" i="3"/>
  <c r="AB157" i="3"/>
  <c r="AH141" i="3"/>
  <c r="AH157" i="3"/>
  <c r="W157" i="3"/>
  <c r="W141" i="3"/>
  <c r="S157" i="3"/>
  <c r="S141" i="3"/>
  <c r="AI73" i="2"/>
  <c r="AK72" i="2"/>
  <c r="AI157" i="3"/>
  <c r="AI141" i="3"/>
  <c r="AS141" i="3"/>
  <c r="AS157" i="3"/>
  <c r="T157" i="3"/>
  <c r="T141" i="3"/>
  <c r="G140" i="3"/>
  <c r="AR157" i="3"/>
  <c r="AR141" i="3"/>
  <c r="I141" i="3"/>
  <c r="I157" i="3"/>
  <c r="AW157" i="3"/>
  <c r="AW141" i="3"/>
  <c r="Q157" i="3"/>
  <c r="Q141" i="3"/>
  <c r="N139" i="3"/>
  <c r="L154" i="3"/>
  <c r="L114" i="3"/>
  <c r="L155" i="3"/>
  <c r="L139" i="3"/>
  <c r="L138" i="3"/>
  <c r="J139" i="3"/>
  <c r="J155" i="3"/>
  <c r="Y157" i="3"/>
  <c r="Y141" i="3"/>
  <c r="AD157" i="3"/>
  <c r="AD141" i="3"/>
  <c r="AH65" i="2"/>
  <c r="AL64" i="2"/>
  <c r="K138" i="3"/>
  <c r="K154" i="3"/>
  <c r="K139" i="3"/>
  <c r="K155" i="3"/>
  <c r="K114" i="3"/>
  <c r="AQ157" i="3"/>
  <c r="AQ141" i="3"/>
  <c r="Z141" i="3"/>
  <c r="Z157" i="3"/>
  <c r="V141" i="3"/>
  <c r="V157" i="3"/>
  <c r="AG157" i="3"/>
  <c r="AG141" i="3"/>
  <c r="AC157" i="3"/>
  <c r="AC141" i="3"/>
  <c r="I48" i="2"/>
  <c r="AV30" i="2"/>
  <c r="U157" i="3"/>
  <c r="U141" i="3"/>
  <c r="AY19" i="2"/>
  <c r="AY20" i="2" s="1"/>
  <c r="AX27" i="2"/>
  <c r="AX26" i="2"/>
  <c r="AX24" i="2"/>
  <c r="AX25" i="2"/>
  <c r="AX21" i="2"/>
  <c r="AX23" i="2"/>
  <c r="AX22" i="2"/>
  <c r="H56" i="2"/>
  <c r="I56" i="2" s="1"/>
  <c r="J56" i="2" s="1"/>
  <c r="K56" i="2" s="1"/>
  <c r="L56" i="2" s="1"/>
  <c r="AM141" i="3"/>
  <c r="AM157" i="3"/>
  <c r="AW16" i="2"/>
  <c r="AW35" i="2" s="1"/>
  <c r="BB1" i="12" s="1"/>
  <c r="AW67" i="3"/>
  <c r="AW86" i="29" s="1"/>
  <c r="G114" i="3"/>
  <c r="G154" i="3"/>
  <c r="G115" i="3"/>
  <c r="H115" i="3" s="1"/>
  <c r="I115" i="3" s="1"/>
  <c r="G155" i="3"/>
  <c r="G138" i="3"/>
  <c r="G139" i="3"/>
  <c r="AK157" i="3"/>
  <c r="AK141" i="3"/>
  <c r="J141" i="3"/>
  <c r="J157" i="3"/>
  <c r="AN141" i="3"/>
  <c r="AN157" i="3"/>
  <c r="I8" i="3"/>
  <c r="I10" i="29" s="1"/>
  <c r="I9" i="29" s="1"/>
  <c r="AO141" i="3"/>
  <c r="AO157" i="3"/>
  <c r="H141" i="3"/>
  <c r="H157" i="3"/>
  <c r="K157" i="3"/>
  <c r="K141" i="3"/>
  <c r="AP157" i="3"/>
  <c r="AP141" i="3"/>
  <c r="M141" i="3"/>
  <c r="M157" i="3"/>
  <c r="G141" i="3"/>
  <c r="O141" i="3"/>
  <c r="O157" i="3"/>
  <c r="AJ141" i="3"/>
  <c r="AJ157" i="3"/>
  <c r="Y65" i="2"/>
  <c r="Z66" i="2"/>
  <c r="X157" i="3"/>
  <c r="X141" i="3"/>
  <c r="M138" i="3"/>
  <c r="M139" i="3"/>
  <c r="M114" i="3"/>
  <c r="M154" i="3"/>
  <c r="M155" i="3"/>
  <c r="F118" i="3"/>
  <c r="F114" i="3"/>
  <c r="F117" i="3"/>
  <c r="F116" i="3"/>
  <c r="N141" i="3"/>
  <c r="N157" i="3"/>
  <c r="L157" i="3"/>
  <c r="L141" i="3"/>
  <c r="AV29" i="2"/>
  <c r="AV157" i="3"/>
  <c r="AV141" i="3"/>
  <c r="AT157" i="3"/>
  <c r="AT141" i="3"/>
  <c r="H155" i="3"/>
  <c r="H138" i="3"/>
  <c r="H154" i="3"/>
  <c r="H139" i="3"/>
  <c r="H114" i="3"/>
  <c r="I114" i="3"/>
  <c r="I138" i="3"/>
  <c r="I139" i="3"/>
  <c r="I154" i="3"/>
  <c r="I155" i="3"/>
  <c r="O65" i="2"/>
  <c r="P66" i="2"/>
  <c r="AL157" i="3"/>
  <c r="AL141" i="3"/>
  <c r="AX141" i="3"/>
  <c r="AA157" i="3"/>
  <c r="AA141" i="3"/>
  <c r="P157" i="3"/>
  <c r="P141" i="3"/>
  <c r="AW28" i="2"/>
  <c r="AY141" i="3"/>
  <c r="AF108" i="2"/>
  <c r="AK108" i="2"/>
  <c r="AG109" i="2"/>
  <c r="AJ109" i="2" s="1"/>
  <c r="AX157" i="3"/>
  <c r="BA36" i="2"/>
  <c r="BF4" i="12"/>
  <c r="BA188" i="3"/>
  <c r="BA18" i="2"/>
  <c r="BB17" i="2"/>
  <c r="BB33" i="2" s="1"/>
  <c r="BB6" i="3"/>
  <c r="BC5" i="3"/>
  <c r="BC175" i="3" s="1"/>
  <c r="BB87" i="3"/>
  <c r="BB106" i="29" s="1"/>
  <c r="BA50" i="2"/>
  <c r="BA12" i="3" s="1"/>
  <c r="BA21" i="3" s="1"/>
  <c r="BA30" i="3" s="1"/>
  <c r="J167" i="3" l="1"/>
  <c r="K167" i="3" s="1"/>
  <c r="K171" i="3" s="1"/>
  <c r="H17" i="3"/>
  <c r="H25" i="29" s="1"/>
  <c r="K137" i="3"/>
  <c r="K10" i="29"/>
  <c r="K9" i="29" s="1"/>
  <c r="K156" i="29" s="1"/>
  <c r="S42" i="2"/>
  <c r="G17" i="3"/>
  <c r="G25" i="29" s="1"/>
  <c r="AZ61" i="24"/>
  <c r="AY20" i="25"/>
  <c r="BF281" i="12"/>
  <c r="BA62" i="24" s="1"/>
  <c r="BA54" i="24" s="1"/>
  <c r="BF279" i="12"/>
  <c r="BF278" i="12"/>
  <c r="BF277" i="12"/>
  <c r="N45" i="2"/>
  <c r="G45" i="29"/>
  <c r="G44" i="29" s="1"/>
  <c r="G29" i="29" s="1"/>
  <c r="I165" i="29"/>
  <c r="J165" i="29" s="1"/>
  <c r="K165" i="29" s="1"/>
  <c r="L165" i="29" s="1"/>
  <c r="O57" i="2"/>
  <c r="P57" i="2" s="1"/>
  <c r="I136" i="29"/>
  <c r="J136" i="29" s="1"/>
  <c r="BA37" i="2"/>
  <c r="H168" i="29"/>
  <c r="I168" i="29" s="1"/>
  <c r="J45" i="3"/>
  <c r="K45" i="3" s="1"/>
  <c r="E173" i="29"/>
  <c r="J149" i="29"/>
  <c r="K149" i="29" s="1"/>
  <c r="I42" i="3"/>
  <c r="J170" i="29"/>
  <c r="K170" i="29" s="1"/>
  <c r="L170" i="29" s="1"/>
  <c r="J43" i="3"/>
  <c r="K43" i="3" s="1"/>
  <c r="E178" i="29"/>
  <c r="E158" i="29"/>
  <c r="N18" i="3"/>
  <c r="N27" i="3" s="1"/>
  <c r="E174" i="29"/>
  <c r="F132" i="29"/>
  <c r="E133" i="29"/>
  <c r="A133" i="29" s="1"/>
  <c r="E160" i="29"/>
  <c r="E176" i="29"/>
  <c r="I138" i="29"/>
  <c r="J138" i="29" s="1"/>
  <c r="E157" i="29"/>
  <c r="H29" i="3"/>
  <c r="H45" i="29" s="1"/>
  <c r="H30" i="29"/>
  <c r="E162" i="29"/>
  <c r="J166" i="29"/>
  <c r="I152" i="29"/>
  <c r="J152" i="29" s="1"/>
  <c r="J18" i="3"/>
  <c r="J27" i="3" s="1"/>
  <c r="I134" i="29"/>
  <c r="J134" i="29" s="1"/>
  <c r="L150" i="29"/>
  <c r="I154" i="29"/>
  <c r="J154" i="29" s="1"/>
  <c r="K154" i="29" s="1"/>
  <c r="L154" i="29" s="1"/>
  <c r="I156" i="29"/>
  <c r="G156" i="29"/>
  <c r="N138" i="3"/>
  <c r="P58" i="2"/>
  <c r="G44" i="3"/>
  <c r="G60" i="29" s="1"/>
  <c r="P44" i="2"/>
  <c r="P45" i="2" s="1"/>
  <c r="O45" i="2"/>
  <c r="P46" i="2"/>
  <c r="P10" i="3" s="1"/>
  <c r="O47" i="2"/>
  <c r="L8" i="3"/>
  <c r="M56" i="2"/>
  <c r="M8" i="3"/>
  <c r="G117" i="3"/>
  <c r="H117" i="3" s="1"/>
  <c r="I117" i="3" s="1"/>
  <c r="J117" i="3" s="1"/>
  <c r="G157" i="3"/>
  <c r="AZ19" i="2"/>
  <c r="AZ20" i="2" s="1"/>
  <c r="AY27" i="2"/>
  <c r="AY26" i="2"/>
  <c r="AY21" i="2"/>
  <c r="AY22" i="2"/>
  <c r="AY23" i="2"/>
  <c r="AY24" i="2"/>
  <c r="AY25" i="2"/>
  <c r="H140" i="3"/>
  <c r="AH66" i="2"/>
  <c r="AL65" i="2"/>
  <c r="AI74" i="2"/>
  <c r="AK73" i="2"/>
  <c r="G137" i="3"/>
  <c r="J137" i="3"/>
  <c r="J17" i="3"/>
  <c r="AW30" i="2"/>
  <c r="H137" i="3"/>
  <c r="G116" i="3"/>
  <c r="G156" i="3"/>
  <c r="P67" i="2"/>
  <c r="O66" i="2"/>
  <c r="F113" i="3"/>
  <c r="I137" i="3"/>
  <c r="I17" i="3"/>
  <c r="AX67" i="3"/>
  <c r="AX86" i="29" s="1"/>
  <c r="AX16" i="2"/>
  <c r="AX35" i="2" s="1"/>
  <c r="BC1" i="12" s="1"/>
  <c r="Z67" i="2"/>
  <c r="Y66" i="2"/>
  <c r="AX28" i="2"/>
  <c r="J115" i="3"/>
  <c r="K115" i="3" s="1"/>
  <c r="I11" i="3"/>
  <c r="I15" i="29" s="1"/>
  <c r="J48" i="2"/>
  <c r="AW29" i="2"/>
  <c r="BD174" i="3"/>
  <c r="BB50" i="2"/>
  <c r="BB12" i="3" s="1"/>
  <c r="AZ141" i="3"/>
  <c r="AY157" i="3"/>
  <c r="BB36" i="2"/>
  <c r="AG110" i="2"/>
  <c r="AJ110" i="2" s="1"/>
  <c r="AK109" i="2"/>
  <c r="AF109" i="2"/>
  <c r="BC17" i="2"/>
  <c r="BC33" i="2" s="1"/>
  <c r="BD5" i="3"/>
  <c r="BD175" i="3" s="1"/>
  <c r="BC6" i="3"/>
  <c r="BC87" i="3"/>
  <c r="BC106" i="29" s="1"/>
  <c r="BG4" i="12"/>
  <c r="BB188" i="3"/>
  <c r="BB18" i="2"/>
  <c r="J171" i="3" l="1"/>
  <c r="L167" i="3"/>
  <c r="L171" i="3" s="1"/>
  <c r="H26" i="3"/>
  <c r="H40" i="29" s="1"/>
  <c r="G26" i="3"/>
  <c r="G40" i="29" s="1"/>
  <c r="BA61" i="24"/>
  <c r="AZ20" i="25"/>
  <c r="BG281" i="12"/>
  <c r="BG277" i="12"/>
  <c r="BG278" i="12"/>
  <c r="BG279" i="12"/>
  <c r="G135" i="29"/>
  <c r="G175" i="29"/>
  <c r="J168" i="29"/>
  <c r="K168" i="29" s="1"/>
  <c r="BB37" i="2"/>
  <c r="J154" i="3"/>
  <c r="J42" i="3"/>
  <c r="K42" i="3" s="1"/>
  <c r="K136" i="29"/>
  <c r="L45" i="3"/>
  <c r="M45" i="3" s="1"/>
  <c r="N45" i="3" s="1"/>
  <c r="L149" i="29"/>
  <c r="N114" i="3"/>
  <c r="N154" i="3"/>
  <c r="L43" i="3"/>
  <c r="M43" i="3" s="1"/>
  <c r="P19" i="3"/>
  <c r="P28" i="3" s="1"/>
  <c r="K166" i="29"/>
  <c r="L166" i="29" s="1"/>
  <c r="M166" i="29" s="1"/>
  <c r="K134" i="29"/>
  <c r="L134" i="29" s="1"/>
  <c r="M134" i="29" s="1"/>
  <c r="N134" i="29" s="1"/>
  <c r="G59" i="29"/>
  <c r="J114" i="3"/>
  <c r="H44" i="29"/>
  <c r="M154" i="29"/>
  <c r="M165" i="29"/>
  <c r="K138" i="29"/>
  <c r="M170" i="29"/>
  <c r="I14" i="29"/>
  <c r="BB21" i="3"/>
  <c r="BB30" i="3" s="1"/>
  <c r="M150" i="29"/>
  <c r="K152" i="29"/>
  <c r="L152" i="29" s="1"/>
  <c r="Q44" i="2"/>
  <c r="Q9" i="3" s="1"/>
  <c r="Q138" i="3" s="1"/>
  <c r="P9" i="3"/>
  <c r="P138" i="3" s="1"/>
  <c r="J26" i="3"/>
  <c r="J40" i="29" s="1"/>
  <c r="J25" i="29"/>
  <c r="I26" i="3"/>
  <c r="I40" i="29" s="1"/>
  <c r="I25" i="29"/>
  <c r="G56" i="29"/>
  <c r="M17" i="3"/>
  <c r="M25" i="29" s="1"/>
  <c r="M10" i="29"/>
  <c r="M9" i="29" s="1"/>
  <c r="L17" i="3"/>
  <c r="L25" i="29" s="1"/>
  <c r="L10" i="29"/>
  <c r="L137" i="3"/>
  <c r="Q57" i="2"/>
  <c r="R44" i="2"/>
  <c r="O138" i="3"/>
  <c r="P47" i="2"/>
  <c r="Q46" i="2"/>
  <c r="Q10" i="3" s="1"/>
  <c r="Q58" i="2"/>
  <c r="O139" i="3"/>
  <c r="M12" i="12"/>
  <c r="M137" i="3"/>
  <c r="N56" i="2"/>
  <c r="AY28" i="2"/>
  <c r="L115" i="3"/>
  <c r="M115" i="3" s="1"/>
  <c r="N115" i="3" s="1"/>
  <c r="K48" i="2"/>
  <c r="J11" i="3"/>
  <c r="J15" i="29" s="1"/>
  <c r="J14" i="29" s="1"/>
  <c r="J159" i="29" s="1"/>
  <c r="Z68" i="2"/>
  <c r="Y67" i="2"/>
  <c r="P68" i="2"/>
  <c r="O67" i="2"/>
  <c r="AI75" i="2"/>
  <c r="AK74" i="2"/>
  <c r="AX29" i="2"/>
  <c r="AH67" i="2"/>
  <c r="AL66" i="2"/>
  <c r="I140" i="3"/>
  <c r="I20" i="3"/>
  <c r="H116" i="3"/>
  <c r="H156" i="3"/>
  <c r="AX30" i="2"/>
  <c r="AY67" i="3"/>
  <c r="AY86" i="29" s="1"/>
  <c r="AY16" i="2"/>
  <c r="AY35" i="2" s="1"/>
  <c r="BD1" i="12" s="1"/>
  <c r="AZ25" i="2"/>
  <c r="BA19" i="2"/>
  <c r="BA20" i="2" s="1"/>
  <c r="AZ22" i="2"/>
  <c r="AZ26" i="2"/>
  <c r="AZ24" i="2"/>
  <c r="AZ23" i="2"/>
  <c r="AZ21" i="2"/>
  <c r="AZ27" i="2"/>
  <c r="BE174" i="3"/>
  <c r="BC50" i="2"/>
  <c r="BC12" i="3" s="1"/>
  <c r="BC21" i="3" s="1"/>
  <c r="BC30" i="3" s="1"/>
  <c r="BA141" i="3"/>
  <c r="AZ157" i="3"/>
  <c r="K117" i="3"/>
  <c r="AK110" i="2"/>
  <c r="AG111" i="2"/>
  <c r="AJ111" i="2" s="1"/>
  <c r="AF110" i="2"/>
  <c r="BH4" i="12"/>
  <c r="BC188" i="3"/>
  <c r="BC18" i="2"/>
  <c r="BD17" i="2"/>
  <c r="BD33" i="2" s="1"/>
  <c r="BE5" i="3"/>
  <c r="BD6" i="3"/>
  <c r="BD87" i="3"/>
  <c r="BD106" i="29" s="1"/>
  <c r="BC36" i="2"/>
  <c r="H153" i="3" l="1"/>
  <c r="M167" i="3"/>
  <c r="N167" i="3" s="1"/>
  <c r="O167" i="3" s="1"/>
  <c r="L11" i="12"/>
  <c r="G35" i="3"/>
  <c r="G153" i="3"/>
  <c r="BB61" i="24"/>
  <c r="BB62" i="24"/>
  <c r="BB54" i="24" s="1"/>
  <c r="BA20" i="25"/>
  <c r="BH281" i="12"/>
  <c r="BH278" i="12"/>
  <c r="BH277" i="12"/>
  <c r="BH279" i="12"/>
  <c r="L168" i="29"/>
  <c r="M168" i="29" s="1"/>
  <c r="N168" i="29" s="1"/>
  <c r="BC37" i="2"/>
  <c r="N43" i="3"/>
  <c r="O43" i="3" s="1"/>
  <c r="P43" i="3" s="1"/>
  <c r="L42" i="3"/>
  <c r="M42" i="3" s="1"/>
  <c r="N42" i="3" s="1"/>
  <c r="M149" i="29"/>
  <c r="L136" i="29"/>
  <c r="M136" i="29" s="1"/>
  <c r="N136" i="29" s="1"/>
  <c r="I153" i="3"/>
  <c r="J153" i="3"/>
  <c r="O45" i="3"/>
  <c r="P45" i="3" s="1"/>
  <c r="Q45" i="3" s="1"/>
  <c r="R45" i="3" s="1"/>
  <c r="S45" i="3" s="1"/>
  <c r="T45" i="3" s="1"/>
  <c r="U45" i="3" s="1"/>
  <c r="V45" i="3" s="1"/>
  <c r="W45" i="3" s="1"/>
  <c r="X45" i="3" s="1"/>
  <c r="Y45" i="3" s="1"/>
  <c r="M152" i="29"/>
  <c r="N150" i="29"/>
  <c r="N154" i="29"/>
  <c r="R57" i="2"/>
  <c r="S57" i="2" s="1"/>
  <c r="N165" i="29"/>
  <c r="S44" i="2"/>
  <c r="S9" i="3" s="1"/>
  <c r="S18" i="3" s="1"/>
  <c r="S27" i="3" s="1"/>
  <c r="R45" i="2"/>
  <c r="R9" i="3"/>
  <c r="R138" i="3" s="1"/>
  <c r="G39" i="29"/>
  <c r="Q19" i="3"/>
  <c r="Q28" i="3" s="1"/>
  <c r="H135" i="29"/>
  <c r="H175" i="29"/>
  <c r="H29" i="29"/>
  <c r="Q18" i="3"/>
  <c r="Q27" i="3" s="1"/>
  <c r="I29" i="3"/>
  <c r="I156" i="3" s="1"/>
  <c r="I30" i="29"/>
  <c r="N170" i="29"/>
  <c r="L138" i="29"/>
  <c r="M138" i="29" s="1"/>
  <c r="N138" i="29" s="1"/>
  <c r="N166" i="29"/>
  <c r="Q45" i="2"/>
  <c r="P18" i="3"/>
  <c r="P27" i="3" s="1"/>
  <c r="I159" i="29"/>
  <c r="O134" i="29"/>
  <c r="L9" i="29"/>
  <c r="M156" i="29"/>
  <c r="H56" i="29"/>
  <c r="H44" i="3"/>
  <c r="Q47" i="2"/>
  <c r="R46" i="2"/>
  <c r="R10" i="3" s="1"/>
  <c r="R58" i="2"/>
  <c r="P139" i="3"/>
  <c r="AY29" i="2"/>
  <c r="J20" i="3"/>
  <c r="J140" i="3"/>
  <c r="AI76" i="2"/>
  <c r="AK75" i="2"/>
  <c r="L48" i="2"/>
  <c r="K11" i="3"/>
  <c r="K15" i="29" s="1"/>
  <c r="K14" i="29" s="1"/>
  <c r="AZ28" i="2"/>
  <c r="O68" i="2"/>
  <c r="P69" i="2"/>
  <c r="BA24" i="2"/>
  <c r="BA26" i="2"/>
  <c r="BA22" i="2"/>
  <c r="BB19" i="2"/>
  <c r="BB20" i="2" s="1"/>
  <c r="BA21" i="2"/>
  <c r="BA23" i="2"/>
  <c r="BA27" i="2"/>
  <c r="BA25" i="2"/>
  <c r="Y68" i="2"/>
  <c r="Z69" i="2"/>
  <c r="AZ67" i="3"/>
  <c r="AZ86" i="29" s="1"/>
  <c r="AZ16" i="2"/>
  <c r="AZ35" i="2" s="1"/>
  <c r="BE1" i="12" s="1"/>
  <c r="AH68" i="2"/>
  <c r="AL67" i="2"/>
  <c r="AY30" i="2"/>
  <c r="BE6" i="3"/>
  <c r="BE17" i="2"/>
  <c r="BE33" i="2" s="1"/>
  <c r="BF5" i="3"/>
  <c r="BF175" i="3" s="1"/>
  <c r="BE87" i="3"/>
  <c r="BE106" i="29" s="1"/>
  <c r="BB141" i="3"/>
  <c r="BI4" i="12"/>
  <c r="BD188" i="3"/>
  <c r="BD18" i="2"/>
  <c r="L117" i="3"/>
  <c r="M117" i="3" s="1"/>
  <c r="BD50" i="2"/>
  <c r="BD12" i="3" s="1"/>
  <c r="BA157" i="3"/>
  <c r="BD36" i="2"/>
  <c r="BE175" i="3"/>
  <c r="AF111" i="2"/>
  <c r="AK111" i="2"/>
  <c r="AG112" i="2"/>
  <c r="AJ112" i="2" s="1"/>
  <c r="M171" i="3" l="1"/>
  <c r="P167" i="3"/>
  <c r="Q167" i="3" s="1"/>
  <c r="G55" i="29"/>
  <c r="G54" i="29" s="1"/>
  <c r="M11" i="12"/>
  <c r="H35" i="3"/>
  <c r="N11" i="12" s="1"/>
  <c r="G172" i="29"/>
  <c r="BC61" i="24"/>
  <c r="BC62" i="24"/>
  <c r="BC54" i="24" s="1"/>
  <c r="BB20" i="25"/>
  <c r="BI281" i="12"/>
  <c r="BI279" i="12"/>
  <c r="BI277" i="12"/>
  <c r="BI278" i="12"/>
  <c r="T57" i="2"/>
  <c r="BD37" i="2"/>
  <c r="G24" i="29"/>
  <c r="T44" i="2"/>
  <c r="T9" i="3" s="1"/>
  <c r="T18" i="3" s="1"/>
  <c r="T27" i="3" s="1"/>
  <c r="H60" i="29"/>
  <c r="H59" i="29" s="1"/>
  <c r="S45" i="2"/>
  <c r="I45" i="29"/>
  <c r="I44" i="29" s="1"/>
  <c r="N12" i="12"/>
  <c r="I44" i="3" s="1"/>
  <c r="I116" i="3"/>
  <c r="Z45" i="3"/>
  <c r="AA45" i="3" s="1"/>
  <c r="AB45" i="3" s="1"/>
  <c r="AC45" i="3" s="1"/>
  <c r="AD45" i="3" s="1"/>
  <c r="N149" i="29"/>
  <c r="BD21" i="3"/>
  <c r="BD30" i="3" s="1"/>
  <c r="J29" i="3"/>
  <c r="J45" i="29" s="1"/>
  <c r="J44" i="29" s="1"/>
  <c r="J30" i="29"/>
  <c r="O138" i="29"/>
  <c r="O150" i="29"/>
  <c r="O165" i="29"/>
  <c r="O154" i="29"/>
  <c r="P154" i="29" s="1"/>
  <c r="Q154" i="29" s="1"/>
  <c r="R154" i="29" s="1"/>
  <c r="S154" i="29" s="1"/>
  <c r="N152" i="29"/>
  <c r="R19" i="3"/>
  <c r="R28" i="3" s="1"/>
  <c r="O170" i="29"/>
  <c r="O168" i="29"/>
  <c r="K159" i="29"/>
  <c r="O136" i="29"/>
  <c r="H39" i="29"/>
  <c r="O166" i="29"/>
  <c r="P166" i="29" s="1"/>
  <c r="Q43" i="3"/>
  <c r="P134" i="29"/>
  <c r="R18" i="3"/>
  <c r="R27" i="3" s="1"/>
  <c r="O42" i="3"/>
  <c r="P42" i="3" s="1"/>
  <c r="L156" i="29"/>
  <c r="S138" i="3"/>
  <c r="S58" i="2"/>
  <c r="Q139" i="3"/>
  <c r="R47" i="2"/>
  <c r="S46" i="2"/>
  <c r="S10" i="3" s="1"/>
  <c r="S19" i="3" s="1"/>
  <c r="S28" i="3" s="1"/>
  <c r="AZ30" i="2"/>
  <c r="K20" i="3"/>
  <c r="K140" i="3"/>
  <c r="BB24" i="2"/>
  <c r="BB25" i="2"/>
  <c r="BB22" i="2"/>
  <c r="BB26" i="2"/>
  <c r="BB21" i="2"/>
  <c r="BB27" i="2"/>
  <c r="BB23" i="2"/>
  <c r="BC19" i="2"/>
  <c r="BC20" i="2" s="1"/>
  <c r="AZ29" i="2"/>
  <c r="L11" i="3"/>
  <c r="L15" i="29" s="1"/>
  <c r="L14" i="29" s="1"/>
  <c r="L159" i="29" s="1"/>
  <c r="M48" i="2"/>
  <c r="Z70" i="2"/>
  <c r="Y69" i="2"/>
  <c r="AH69" i="2"/>
  <c r="AL68" i="2"/>
  <c r="P70" i="2"/>
  <c r="O69" i="2"/>
  <c r="AI77" i="2"/>
  <c r="AK76" i="2"/>
  <c r="BA16" i="2"/>
  <c r="BA35" i="2" s="1"/>
  <c r="BF1" i="12" s="1"/>
  <c r="BA67" i="3"/>
  <c r="BA86" i="29" s="1"/>
  <c r="BA28" i="2"/>
  <c r="N117" i="3"/>
  <c r="O117" i="3" s="1"/>
  <c r="P117" i="3" s="1"/>
  <c r="BB157" i="3"/>
  <c r="BC141" i="3"/>
  <c r="BG174" i="3"/>
  <c r="BF174" i="3"/>
  <c r="AG113" i="2"/>
  <c r="AJ113" i="2" s="1"/>
  <c r="AF112" i="2"/>
  <c r="AK112" i="2"/>
  <c r="BE50" i="2"/>
  <c r="BE12" i="3" s="1"/>
  <c r="BF17" i="2"/>
  <c r="BF33" i="2" s="1"/>
  <c r="BF6" i="3"/>
  <c r="BG5" i="3"/>
  <c r="BG175" i="3" s="1"/>
  <c r="BH174" i="3" s="1"/>
  <c r="BF87" i="3"/>
  <c r="BF106" i="29" s="1"/>
  <c r="BE36" i="2"/>
  <c r="BJ4" i="12"/>
  <c r="BE188" i="3"/>
  <c r="BE18" i="2"/>
  <c r="R167" i="3" l="1"/>
  <c r="S167" i="3" s="1"/>
  <c r="T167" i="3" s="1"/>
  <c r="U167" i="3" s="1"/>
  <c r="V167" i="3" s="1"/>
  <c r="W167" i="3" s="1"/>
  <c r="X167" i="3" s="1"/>
  <c r="Y167" i="3" s="1"/>
  <c r="Z167" i="3" s="1"/>
  <c r="AA167" i="3" s="1"/>
  <c r="AB167" i="3" s="1"/>
  <c r="AC167" i="3" s="1"/>
  <c r="AD167" i="3" s="1"/>
  <c r="AE167" i="3" s="1"/>
  <c r="I35" i="3"/>
  <c r="I55" i="29" s="1"/>
  <c r="H55" i="29"/>
  <c r="H54" i="29" s="1"/>
  <c r="BD61" i="24"/>
  <c r="BD62" i="24"/>
  <c r="BD54" i="24" s="1"/>
  <c r="U44" i="2"/>
  <c r="U45" i="2" s="1"/>
  <c r="BC20" i="25"/>
  <c r="T45" i="2"/>
  <c r="BJ281" i="12"/>
  <c r="BJ278" i="12"/>
  <c r="BJ279" i="12"/>
  <c r="BJ277" i="12"/>
  <c r="U57" i="2"/>
  <c r="R43" i="3"/>
  <c r="S43" i="3" s="1"/>
  <c r="BE37" i="2"/>
  <c r="J116" i="3"/>
  <c r="J156" i="3"/>
  <c r="I39" i="29"/>
  <c r="O149" i="29"/>
  <c r="P149" i="29" s="1"/>
  <c r="Q149" i="29" s="1"/>
  <c r="O12" i="12"/>
  <c r="J44" i="3" s="1"/>
  <c r="R154" i="3"/>
  <c r="R114" i="3"/>
  <c r="H24" i="29"/>
  <c r="H172" i="29"/>
  <c r="Q166" i="29"/>
  <c r="R166" i="29" s="1"/>
  <c r="S166" i="29" s="1"/>
  <c r="T166" i="29" s="1"/>
  <c r="U166" i="29" s="1"/>
  <c r="V166" i="29" s="1"/>
  <c r="W166" i="29" s="1"/>
  <c r="X166" i="29" s="1"/>
  <c r="Y166" i="29" s="1"/>
  <c r="Z166" i="29" s="1"/>
  <c r="AA166" i="29" s="1"/>
  <c r="AB166" i="29" s="1"/>
  <c r="AC166" i="29" s="1"/>
  <c r="AD166" i="29" s="1"/>
  <c r="AE166" i="29" s="1"/>
  <c r="AF166" i="29" s="1"/>
  <c r="AG166" i="29" s="1"/>
  <c r="AH166" i="29" s="1"/>
  <c r="AI166" i="29" s="1"/>
  <c r="AJ166" i="29" s="1"/>
  <c r="AK166" i="29" s="1"/>
  <c r="AL166" i="29" s="1"/>
  <c r="AM166" i="29" s="1"/>
  <c r="AN166" i="29" s="1"/>
  <c r="AO166" i="29" s="1"/>
  <c r="AP166" i="29" s="1"/>
  <c r="AQ166" i="29" s="1"/>
  <c r="AR166" i="29" s="1"/>
  <c r="AS166" i="29" s="1"/>
  <c r="AT166" i="29" s="1"/>
  <c r="AU166" i="29" s="1"/>
  <c r="AV166" i="29" s="1"/>
  <c r="AW166" i="29" s="1"/>
  <c r="AX166" i="29" s="1"/>
  <c r="T154" i="29"/>
  <c r="U154" i="29" s="1"/>
  <c r="V154" i="29" s="1"/>
  <c r="W154" i="29" s="1"/>
  <c r="X154" i="29" s="1"/>
  <c r="I60" i="29"/>
  <c r="P136" i="29"/>
  <c r="Q136" i="29" s="1"/>
  <c r="O152" i="29"/>
  <c r="P152" i="29" s="1"/>
  <c r="Q152" i="29" s="1"/>
  <c r="R152" i="29" s="1"/>
  <c r="S152" i="29" s="1"/>
  <c r="T152" i="29" s="1"/>
  <c r="U152" i="29" s="1"/>
  <c r="V152" i="29" s="1"/>
  <c r="W152" i="29" s="1"/>
  <c r="X152" i="29" s="1"/>
  <c r="Y152" i="29" s="1"/>
  <c r="Z152" i="29" s="1"/>
  <c r="AA152" i="29" s="1"/>
  <c r="AB152" i="29" s="1"/>
  <c r="AC152" i="29" s="1"/>
  <c r="AD152" i="29" s="1"/>
  <c r="AE152" i="29" s="1"/>
  <c r="AF152" i="29" s="1"/>
  <c r="AG152" i="29" s="1"/>
  <c r="AH152" i="29" s="1"/>
  <c r="AI152" i="29" s="1"/>
  <c r="AJ152" i="29" s="1"/>
  <c r="AK152" i="29" s="1"/>
  <c r="AL152" i="29" s="1"/>
  <c r="AM152" i="29" s="1"/>
  <c r="AN152" i="29" s="1"/>
  <c r="AO152" i="29" s="1"/>
  <c r="AP152" i="29" s="1"/>
  <c r="AQ152" i="29" s="1"/>
  <c r="AR152" i="29" s="1"/>
  <c r="AS152" i="29" s="1"/>
  <c r="AT152" i="29" s="1"/>
  <c r="AU152" i="29" s="1"/>
  <c r="AV152" i="29" s="1"/>
  <c r="AW152" i="29" s="1"/>
  <c r="AX152" i="29" s="1"/>
  <c r="AY152" i="29" s="1"/>
  <c r="AZ152" i="29" s="1"/>
  <c r="BA152" i="29" s="1"/>
  <c r="BB152" i="29" s="1"/>
  <c r="BC152" i="29" s="1"/>
  <c r="BD152" i="29" s="1"/>
  <c r="BE152" i="29" s="1"/>
  <c r="BF152" i="29" s="1"/>
  <c r="BG152" i="29" s="1"/>
  <c r="BH152" i="29" s="1"/>
  <c r="BI152" i="29" s="1"/>
  <c r="BJ152" i="29" s="1"/>
  <c r="BK152" i="29" s="1"/>
  <c r="BL152" i="29" s="1"/>
  <c r="BM152" i="29" s="1"/>
  <c r="E152" i="29" s="1"/>
  <c r="P165" i="29"/>
  <c r="Q165" i="29" s="1"/>
  <c r="R165" i="29" s="1"/>
  <c r="S165" i="29" s="1"/>
  <c r="T165" i="29" s="1"/>
  <c r="U165" i="29" s="1"/>
  <c r="V165" i="29" s="1"/>
  <c r="W165" i="29" s="1"/>
  <c r="X165" i="29" s="1"/>
  <c r="Y165" i="29" s="1"/>
  <c r="Z165" i="29" s="1"/>
  <c r="AA165" i="29" s="1"/>
  <c r="AB165" i="29" s="1"/>
  <c r="AC165" i="29" s="1"/>
  <c r="AD165" i="29" s="1"/>
  <c r="AE165" i="29" s="1"/>
  <c r="AF165" i="29" s="1"/>
  <c r="AG165" i="29" s="1"/>
  <c r="AH165" i="29" s="1"/>
  <c r="AI165" i="29" s="1"/>
  <c r="AJ165" i="29" s="1"/>
  <c r="AK165" i="29" s="1"/>
  <c r="AL165" i="29" s="1"/>
  <c r="AM165" i="29" s="1"/>
  <c r="AN165" i="29" s="1"/>
  <c r="AO165" i="29" s="1"/>
  <c r="AP165" i="29" s="1"/>
  <c r="AQ165" i="29" s="1"/>
  <c r="AR165" i="29" s="1"/>
  <c r="AS165" i="29" s="1"/>
  <c r="AT165" i="29" s="1"/>
  <c r="AU165" i="29" s="1"/>
  <c r="AV165" i="29" s="1"/>
  <c r="AW165" i="29" s="1"/>
  <c r="AX165" i="29" s="1"/>
  <c r="AY165" i="29" s="1"/>
  <c r="AZ165" i="29" s="1"/>
  <c r="BE21" i="3"/>
  <c r="BE30" i="3" s="1"/>
  <c r="K29" i="3"/>
  <c r="K45" i="29" s="1"/>
  <c r="K30" i="29"/>
  <c r="P150" i="29"/>
  <c r="Q150" i="29" s="1"/>
  <c r="R150" i="29" s="1"/>
  <c r="S150" i="29" s="1"/>
  <c r="T150" i="29" s="1"/>
  <c r="U150" i="29" s="1"/>
  <c r="V150" i="29" s="1"/>
  <c r="W150" i="29" s="1"/>
  <c r="X150" i="29" s="1"/>
  <c r="Y150" i="29" s="1"/>
  <c r="Z150" i="29" s="1"/>
  <c r="AA150" i="29" s="1"/>
  <c r="AB150" i="29" s="1"/>
  <c r="AC150" i="29" s="1"/>
  <c r="AD150" i="29" s="1"/>
  <c r="AE150" i="29" s="1"/>
  <c r="AF150" i="29" s="1"/>
  <c r="AG150" i="29" s="1"/>
  <c r="AH150" i="29" s="1"/>
  <c r="AI150" i="29" s="1"/>
  <c r="AJ150" i="29" s="1"/>
  <c r="AK150" i="29" s="1"/>
  <c r="AL150" i="29" s="1"/>
  <c r="AM150" i="29" s="1"/>
  <c r="AN150" i="29" s="1"/>
  <c r="AO150" i="29" s="1"/>
  <c r="AP150" i="29" s="1"/>
  <c r="AQ150" i="29" s="1"/>
  <c r="AR150" i="29" s="1"/>
  <c r="AS150" i="29" s="1"/>
  <c r="AT150" i="29" s="1"/>
  <c r="AU150" i="29" s="1"/>
  <c r="AV150" i="29" s="1"/>
  <c r="AW150" i="29" s="1"/>
  <c r="AX150" i="29" s="1"/>
  <c r="AY150" i="29" s="1"/>
  <c r="P138" i="29"/>
  <c r="Q42" i="3"/>
  <c r="R42" i="3" s="1"/>
  <c r="S42" i="3" s="1"/>
  <c r="P168" i="29"/>
  <c r="I29" i="29"/>
  <c r="I135" i="29"/>
  <c r="I175" i="29"/>
  <c r="J29" i="29"/>
  <c r="J135" i="29"/>
  <c r="J175" i="29"/>
  <c r="Q134" i="29"/>
  <c r="P170" i="29"/>
  <c r="T138" i="3"/>
  <c r="S47" i="2"/>
  <c r="S114" i="3"/>
  <c r="S154" i="3"/>
  <c r="T46" i="2"/>
  <c r="T10" i="3" s="1"/>
  <c r="T58" i="2"/>
  <c r="R139" i="3"/>
  <c r="I56" i="29"/>
  <c r="BA30" i="2"/>
  <c r="BA29" i="2"/>
  <c r="BB16" i="2"/>
  <c r="BB35" i="2" s="1"/>
  <c r="BG1" i="12" s="1"/>
  <c r="BB67" i="3"/>
  <c r="BB86" i="29" s="1"/>
  <c r="AH70" i="2"/>
  <c r="AL69" i="2"/>
  <c r="N48" i="2"/>
  <c r="BC22" i="2"/>
  <c r="BC23" i="2"/>
  <c r="BC27" i="2"/>
  <c r="BC26" i="2"/>
  <c r="BC25" i="2"/>
  <c r="BC24" i="2"/>
  <c r="BC21" i="2"/>
  <c r="BD19" i="2"/>
  <c r="BD20" i="2" s="1"/>
  <c r="BB28" i="2"/>
  <c r="L20" i="3"/>
  <c r="L140" i="3"/>
  <c r="AI78" i="2"/>
  <c r="AK78" i="2" s="1"/>
  <c r="AK77" i="2"/>
  <c r="Y70" i="2"/>
  <c r="Z71" i="2"/>
  <c r="O70" i="2"/>
  <c r="P71" i="2"/>
  <c r="M11" i="3"/>
  <c r="M15" i="29" s="1"/>
  <c r="M14" i="29" s="1"/>
  <c r="M159" i="29" s="1"/>
  <c r="Q117" i="3"/>
  <c r="R117" i="3" s="1"/>
  <c r="S117" i="3" s="1"/>
  <c r="T117" i="3" s="1"/>
  <c r="U117" i="3" s="1"/>
  <c r="V117" i="3" s="1"/>
  <c r="W117" i="3" s="1"/>
  <c r="X117" i="3" s="1"/>
  <c r="Y117" i="3" s="1"/>
  <c r="Z117" i="3" s="1"/>
  <c r="AA117" i="3" s="1"/>
  <c r="AB117" i="3" s="1"/>
  <c r="AC117" i="3" s="1"/>
  <c r="AD117" i="3" s="1"/>
  <c r="BC157" i="3"/>
  <c r="BD141" i="3"/>
  <c r="BF36" i="2"/>
  <c r="BF50" i="2"/>
  <c r="BF12" i="3" s="1"/>
  <c r="AF113" i="2"/>
  <c r="AK113" i="2"/>
  <c r="AG114" i="2"/>
  <c r="AJ114" i="2" s="1"/>
  <c r="BG17" i="2"/>
  <c r="BG33" i="2" s="1"/>
  <c r="BH5" i="3"/>
  <c r="BG6" i="3"/>
  <c r="BG87" i="3"/>
  <c r="BG106" i="29" s="1"/>
  <c r="BK4" i="12"/>
  <c r="BF188" i="3"/>
  <c r="BF18" i="2"/>
  <c r="O11" i="12" l="1"/>
  <c r="J35" i="3"/>
  <c r="J55" i="29" s="1"/>
  <c r="BE61" i="24"/>
  <c r="U9" i="3"/>
  <c r="U18" i="3" s="1"/>
  <c r="U27" i="3" s="1"/>
  <c r="V44" i="2"/>
  <c r="V45" i="2" s="1"/>
  <c r="V57" i="2"/>
  <c r="I24" i="29"/>
  <c r="BE62" i="24"/>
  <c r="BE54" i="24" s="1"/>
  <c r="BD20" i="25"/>
  <c r="BK281" i="12"/>
  <c r="BF62" i="24" s="1"/>
  <c r="BF54" i="24" s="1"/>
  <c r="BK277" i="12"/>
  <c r="BK278" i="12"/>
  <c r="BK279" i="12"/>
  <c r="I172" i="29"/>
  <c r="K156" i="3"/>
  <c r="BF37" i="2"/>
  <c r="R149" i="29"/>
  <c r="S149" i="29" s="1"/>
  <c r="T149" i="29" s="1"/>
  <c r="U149" i="29" s="1"/>
  <c r="V149" i="29" s="1"/>
  <c r="W149" i="29" s="1"/>
  <c r="X149" i="29" s="1"/>
  <c r="Y149" i="29" s="1"/>
  <c r="Z149" i="29" s="1"/>
  <c r="AA149" i="29" s="1"/>
  <c r="AB149" i="29" s="1"/>
  <c r="AC149" i="29" s="1"/>
  <c r="AD149" i="29" s="1"/>
  <c r="AE149" i="29" s="1"/>
  <c r="AF149" i="29" s="1"/>
  <c r="AG149" i="29" s="1"/>
  <c r="AH149" i="29" s="1"/>
  <c r="AI149" i="29" s="1"/>
  <c r="AJ149" i="29" s="1"/>
  <c r="AK149" i="29" s="1"/>
  <c r="AL149" i="29" s="1"/>
  <c r="AM149" i="29" s="1"/>
  <c r="AN149" i="29" s="1"/>
  <c r="AO149" i="29" s="1"/>
  <c r="AP149" i="29" s="1"/>
  <c r="AQ149" i="29" s="1"/>
  <c r="AR149" i="29" s="1"/>
  <c r="AS149" i="29" s="1"/>
  <c r="AT149" i="29" s="1"/>
  <c r="AU149" i="29" s="1"/>
  <c r="P12" i="12"/>
  <c r="K44" i="3" s="1"/>
  <c r="Y154" i="29"/>
  <c r="T42" i="3"/>
  <c r="J39" i="29"/>
  <c r="I54" i="29"/>
  <c r="R136" i="29"/>
  <c r="S136" i="29" s="1"/>
  <c r="R134" i="29"/>
  <c r="S134" i="29" s="1"/>
  <c r="T134" i="29" s="1"/>
  <c r="U134" i="29" s="1"/>
  <c r="V134" i="29" s="1"/>
  <c r="W134" i="29" s="1"/>
  <c r="X134" i="29" s="1"/>
  <c r="Y134" i="29" s="1"/>
  <c r="Z134" i="29" s="1"/>
  <c r="AA134" i="29" s="1"/>
  <c r="AB134" i="29" s="1"/>
  <c r="AC134" i="29" s="1"/>
  <c r="AD134" i="29" s="1"/>
  <c r="AE134" i="29" s="1"/>
  <c r="AF134" i="29" s="1"/>
  <c r="AG134" i="29" s="1"/>
  <c r="AH134" i="29" s="1"/>
  <c r="AI134" i="29" s="1"/>
  <c r="AJ134" i="29" s="1"/>
  <c r="AK134" i="29" s="1"/>
  <c r="AL134" i="29" s="1"/>
  <c r="AM134" i="29" s="1"/>
  <c r="AN134" i="29" s="1"/>
  <c r="AO134" i="29" s="1"/>
  <c r="AP134" i="29" s="1"/>
  <c r="AQ134" i="29" s="1"/>
  <c r="AR134" i="29" s="1"/>
  <c r="AS134" i="29" s="1"/>
  <c r="AT134" i="29" s="1"/>
  <c r="AU134" i="29" s="1"/>
  <c r="AV134" i="29" s="1"/>
  <c r="AW134" i="29" s="1"/>
  <c r="AX134" i="29" s="1"/>
  <c r="AY134" i="29" s="1"/>
  <c r="AZ134" i="29" s="1"/>
  <c r="BA134" i="29" s="1"/>
  <c r="BB134" i="29" s="1"/>
  <c r="BC134" i="29" s="1"/>
  <c r="BD134" i="29" s="1"/>
  <c r="BE134" i="29" s="1"/>
  <c r="BF134" i="29" s="1"/>
  <c r="BG134" i="29" s="1"/>
  <c r="BH134" i="29" s="1"/>
  <c r="BI134" i="29" s="1"/>
  <c r="BJ134" i="29" s="1"/>
  <c r="BK134" i="29" s="1"/>
  <c r="BL134" i="29" s="1"/>
  <c r="BM134" i="29" s="1"/>
  <c r="E134" i="29" s="1"/>
  <c r="A134" i="29" s="1"/>
  <c r="AY166" i="29"/>
  <c r="AZ166" i="29" s="1"/>
  <c r="BA166" i="29" s="1"/>
  <c r="BB166" i="29" s="1"/>
  <c r="BC166" i="29" s="1"/>
  <c r="BD166" i="29" s="1"/>
  <c r="BE166" i="29" s="1"/>
  <c r="BF166" i="29" s="1"/>
  <c r="BF21" i="3"/>
  <c r="BF30" i="3" s="1"/>
  <c r="I59" i="29"/>
  <c r="T19" i="3"/>
  <c r="T28" i="3" s="1"/>
  <c r="T43" i="3" s="1"/>
  <c r="L29" i="3"/>
  <c r="L45" i="29" s="1"/>
  <c r="L44" i="29" s="1"/>
  <c r="L30" i="29"/>
  <c r="Q138" i="29"/>
  <c r="R138" i="29" s="1"/>
  <c r="S138" i="29" s="1"/>
  <c r="BA165" i="29"/>
  <c r="BB165" i="29" s="1"/>
  <c r="BC165" i="29" s="1"/>
  <c r="BD165" i="29" s="1"/>
  <c r="BE165" i="29" s="1"/>
  <c r="BF165" i="29" s="1"/>
  <c r="BG165" i="29" s="1"/>
  <c r="BH165" i="29" s="1"/>
  <c r="BI165" i="29" s="1"/>
  <c r="BJ165" i="29" s="1"/>
  <c r="BK165" i="29" s="1"/>
  <c r="BL165" i="29" s="1"/>
  <c r="BM165" i="29" s="1"/>
  <c r="E165" i="29" s="1"/>
  <c r="J60" i="29"/>
  <c r="J59" i="29" s="1"/>
  <c r="K44" i="29"/>
  <c r="K116" i="3"/>
  <c r="Q170" i="29"/>
  <c r="R170" i="29" s="1"/>
  <c r="S170" i="29" s="1"/>
  <c r="T170" i="29" s="1"/>
  <c r="U170" i="29" s="1"/>
  <c r="V170" i="29" s="1"/>
  <c r="W170" i="29" s="1"/>
  <c r="X170" i="29" s="1"/>
  <c r="Y170" i="29" s="1"/>
  <c r="Z170" i="29" s="1"/>
  <c r="AA170" i="29" s="1"/>
  <c r="AB170" i="29" s="1"/>
  <c r="AC170" i="29" s="1"/>
  <c r="AD170" i="29" s="1"/>
  <c r="AE170" i="29" s="1"/>
  <c r="AF170" i="29" s="1"/>
  <c r="AG170" i="29" s="1"/>
  <c r="AH170" i="29" s="1"/>
  <c r="AI170" i="29" s="1"/>
  <c r="AJ170" i="29" s="1"/>
  <c r="AK170" i="29" s="1"/>
  <c r="AL170" i="29" s="1"/>
  <c r="AM170" i="29" s="1"/>
  <c r="AN170" i="29" s="1"/>
  <c r="AO170" i="29" s="1"/>
  <c r="AP170" i="29" s="1"/>
  <c r="AQ170" i="29" s="1"/>
  <c r="AR170" i="29" s="1"/>
  <c r="AS170" i="29" s="1"/>
  <c r="AT170" i="29" s="1"/>
  <c r="AU170" i="29" s="1"/>
  <c r="AV170" i="29" s="1"/>
  <c r="AW170" i="29" s="1"/>
  <c r="AX170" i="29" s="1"/>
  <c r="AY170" i="29" s="1"/>
  <c r="AZ170" i="29" s="1"/>
  <c r="BA170" i="29" s="1"/>
  <c r="BB170" i="29" s="1"/>
  <c r="BC170" i="29" s="1"/>
  <c r="BD170" i="29" s="1"/>
  <c r="BE170" i="29" s="1"/>
  <c r="BF170" i="29" s="1"/>
  <c r="BG170" i="29" s="1"/>
  <c r="BH170" i="29" s="1"/>
  <c r="BI170" i="29" s="1"/>
  <c r="BJ170" i="29" s="1"/>
  <c r="BK170" i="29" s="1"/>
  <c r="BL170" i="29" s="1"/>
  <c r="BM170" i="29" s="1"/>
  <c r="E170" i="29" s="1"/>
  <c r="Q168" i="29"/>
  <c r="R168" i="29" s="1"/>
  <c r="AZ150" i="29"/>
  <c r="BA150" i="29" s="1"/>
  <c r="BB150" i="29" s="1"/>
  <c r="BC150" i="29" s="1"/>
  <c r="BD150" i="29" s="1"/>
  <c r="BE150" i="29" s="1"/>
  <c r="BF150" i="29" s="1"/>
  <c r="BG150" i="29" s="1"/>
  <c r="BH150" i="29" s="1"/>
  <c r="BI150" i="29" s="1"/>
  <c r="BJ150" i="29" s="1"/>
  <c r="BK150" i="29" s="1"/>
  <c r="BL150" i="29" s="1"/>
  <c r="BM150" i="29" s="1"/>
  <c r="E150" i="29" s="1"/>
  <c r="T47" i="2"/>
  <c r="U46" i="2"/>
  <c r="U10" i="3" s="1"/>
  <c r="U19" i="3" s="1"/>
  <c r="U28" i="3" s="1"/>
  <c r="T154" i="3"/>
  <c r="T114" i="3"/>
  <c r="U58" i="2"/>
  <c r="S139" i="3"/>
  <c r="J56" i="29"/>
  <c r="O48" i="2"/>
  <c r="O11" i="3" s="1"/>
  <c r="O15" i="29" s="1"/>
  <c r="O14" i="29" s="1"/>
  <c r="O159" i="29" s="1"/>
  <c r="O71" i="2"/>
  <c r="P72" i="2"/>
  <c r="BC67" i="3"/>
  <c r="BC86" i="29" s="1"/>
  <c r="BC16" i="2"/>
  <c r="BC35" i="2" s="1"/>
  <c r="BH1" i="12" s="1"/>
  <c r="M140" i="3"/>
  <c r="M20" i="3"/>
  <c r="Z72" i="2"/>
  <c r="Y71" i="2"/>
  <c r="BB29" i="2"/>
  <c r="BD23" i="2"/>
  <c r="BD24" i="2"/>
  <c r="BD26" i="2"/>
  <c r="BD22" i="2"/>
  <c r="BD27" i="2"/>
  <c r="BD21" i="2"/>
  <c r="BE19" i="2"/>
  <c r="BE20" i="2" s="1"/>
  <c r="BD25" i="2"/>
  <c r="N11" i="3"/>
  <c r="N15" i="29" s="1"/>
  <c r="N14" i="29" s="1"/>
  <c r="N159" i="29" s="1"/>
  <c r="AI79" i="2"/>
  <c r="BB30" i="2"/>
  <c r="BC28" i="2"/>
  <c r="AH71" i="2"/>
  <c r="AL70" i="2"/>
  <c r="BG36" i="2"/>
  <c r="BI5" i="3"/>
  <c r="BH17" i="2"/>
  <c r="BH33" i="2" s="1"/>
  <c r="BH6" i="3"/>
  <c r="BH87" i="3"/>
  <c r="BH106" i="29" s="1"/>
  <c r="BG50" i="2"/>
  <c r="BG12" i="3" s="1"/>
  <c r="BG21" i="3" s="1"/>
  <c r="BG30" i="3" s="1"/>
  <c r="BH175" i="3"/>
  <c r="BI174" i="3" s="1"/>
  <c r="BE141" i="3"/>
  <c r="BD157" i="3"/>
  <c r="AK114" i="2"/>
  <c r="AG115" i="2"/>
  <c r="AJ115" i="2" s="1"/>
  <c r="AF114" i="2"/>
  <c r="BL4" i="12"/>
  <c r="BG188" i="3"/>
  <c r="BG18" i="2"/>
  <c r="U42" i="3" l="1"/>
  <c r="U138" i="3"/>
  <c r="V9" i="3"/>
  <c r="V138" i="3" s="1"/>
  <c r="W44" i="2"/>
  <c r="X44" i="2" s="1"/>
  <c r="W57" i="2"/>
  <c r="BF61" i="24"/>
  <c r="BE20" i="25"/>
  <c r="BL281" i="12"/>
  <c r="BG62" i="24" s="1"/>
  <c r="BG54" i="24" s="1"/>
  <c r="BL279" i="12"/>
  <c r="BL277" i="12"/>
  <c r="BL278" i="12"/>
  <c r="L116" i="3"/>
  <c r="BG37" i="2"/>
  <c r="T136" i="29"/>
  <c r="U136" i="29" s="1"/>
  <c r="J24" i="29"/>
  <c r="J172" i="29"/>
  <c r="J54" i="29"/>
  <c r="BG166" i="29"/>
  <c r="BH166" i="29" s="1"/>
  <c r="BI166" i="29" s="1"/>
  <c r="BJ166" i="29" s="1"/>
  <c r="BK166" i="29" s="1"/>
  <c r="BL166" i="29" s="1"/>
  <c r="BM166" i="29" s="1"/>
  <c r="E166" i="29" s="1"/>
  <c r="Z154" i="29"/>
  <c r="AV149" i="29"/>
  <c r="AW149" i="29" s="1"/>
  <c r="S168" i="29"/>
  <c r="T168" i="29" s="1"/>
  <c r="U168" i="29" s="1"/>
  <c r="V168" i="29" s="1"/>
  <c r="W168" i="29" s="1"/>
  <c r="X168" i="29" s="1"/>
  <c r="Y168" i="29" s="1"/>
  <c r="Z168" i="29" s="1"/>
  <c r="AA168" i="29" s="1"/>
  <c r="AB168" i="29" s="1"/>
  <c r="AC168" i="29" s="1"/>
  <c r="AD168" i="29" s="1"/>
  <c r="AE168" i="29" s="1"/>
  <c r="AF168" i="29" s="1"/>
  <c r="AG168" i="29" s="1"/>
  <c r="AH168" i="29" s="1"/>
  <c r="AI168" i="29" s="1"/>
  <c r="AJ168" i="29" s="1"/>
  <c r="AK168" i="29" s="1"/>
  <c r="AL168" i="29" s="1"/>
  <c r="AM168" i="29" s="1"/>
  <c r="AN168" i="29" s="1"/>
  <c r="AO168" i="29" s="1"/>
  <c r="AP168" i="29" s="1"/>
  <c r="AQ168" i="29" s="1"/>
  <c r="AR168" i="29" s="1"/>
  <c r="AS168" i="29" s="1"/>
  <c r="AT168" i="29" s="1"/>
  <c r="AU168" i="29" s="1"/>
  <c r="AV168" i="29" s="1"/>
  <c r="AW168" i="29" s="1"/>
  <c r="AX168" i="29" s="1"/>
  <c r="AY168" i="29" s="1"/>
  <c r="AZ168" i="29" s="1"/>
  <c r="BA168" i="29" s="1"/>
  <c r="BB168" i="29" s="1"/>
  <c r="BC168" i="29" s="1"/>
  <c r="BD168" i="29" s="1"/>
  <c r="BE168" i="29" s="1"/>
  <c r="BF168" i="29" s="1"/>
  <c r="BG168" i="29" s="1"/>
  <c r="BH168" i="29" s="1"/>
  <c r="BI168" i="29" s="1"/>
  <c r="BJ168" i="29" s="1"/>
  <c r="BK168" i="29" s="1"/>
  <c r="BL168" i="29" s="1"/>
  <c r="BM168" i="29" s="1"/>
  <c r="E168" i="29" s="1"/>
  <c r="Q12" i="12"/>
  <c r="L44" i="3" s="1"/>
  <c r="U43" i="3"/>
  <c r="T138" i="29"/>
  <c r="U138" i="29" s="1"/>
  <c r="V138" i="29" s="1"/>
  <c r="W138" i="29" s="1"/>
  <c r="X138" i="29" s="1"/>
  <c r="Y138" i="29" s="1"/>
  <c r="Z138" i="29" s="1"/>
  <c r="AA138" i="29" s="1"/>
  <c r="AB138" i="29" s="1"/>
  <c r="AC138" i="29" s="1"/>
  <c r="AD138" i="29" s="1"/>
  <c r="AE138" i="29" s="1"/>
  <c r="AF138" i="29" s="1"/>
  <c r="AG138" i="29" s="1"/>
  <c r="AH138" i="29" s="1"/>
  <c r="AI138" i="29" s="1"/>
  <c r="AJ138" i="29" s="1"/>
  <c r="AK138" i="29" s="1"/>
  <c r="AL138" i="29" s="1"/>
  <c r="AM138" i="29" s="1"/>
  <c r="AN138" i="29" s="1"/>
  <c r="AO138" i="29" s="1"/>
  <c r="AP138" i="29" s="1"/>
  <c r="AQ138" i="29" s="1"/>
  <c r="AR138" i="29" s="1"/>
  <c r="AS138" i="29" s="1"/>
  <c r="AT138" i="29" s="1"/>
  <c r="AU138" i="29" s="1"/>
  <c r="AV138" i="29" s="1"/>
  <c r="AW138" i="29" s="1"/>
  <c r="AX138" i="29" s="1"/>
  <c r="AY138" i="29" s="1"/>
  <c r="AZ138" i="29" s="1"/>
  <c r="BA138" i="29" s="1"/>
  <c r="BB138" i="29" s="1"/>
  <c r="BC138" i="29" s="1"/>
  <c r="BD138" i="29" s="1"/>
  <c r="BE138" i="29" s="1"/>
  <c r="BF138" i="29" s="1"/>
  <c r="BG138" i="29" s="1"/>
  <c r="BH138" i="29" s="1"/>
  <c r="BI138" i="29" s="1"/>
  <c r="BJ138" i="29" s="1"/>
  <c r="BK138" i="29" s="1"/>
  <c r="BL138" i="29" s="1"/>
  <c r="BM138" i="29" s="1"/>
  <c r="E138" i="29" s="1"/>
  <c r="A138" i="29" s="1"/>
  <c r="M29" i="3"/>
  <c r="M45" i="29" s="1"/>
  <c r="M44" i="29" s="1"/>
  <c r="M30" i="29"/>
  <c r="L156" i="3"/>
  <c r="K29" i="29"/>
  <c r="K135" i="29"/>
  <c r="K175" i="29"/>
  <c r="L29" i="29"/>
  <c r="L175" i="29"/>
  <c r="L135" i="29"/>
  <c r="K60" i="29"/>
  <c r="K59" i="29" s="1"/>
  <c r="U47" i="2"/>
  <c r="V46" i="2"/>
  <c r="V10" i="3" s="1"/>
  <c r="V58" i="2"/>
  <c r="T139" i="3"/>
  <c r="U154" i="3"/>
  <c r="U114" i="3"/>
  <c r="P48" i="2"/>
  <c r="P11" i="3" s="1"/>
  <c r="P15" i="29" s="1"/>
  <c r="P14" i="29" s="1"/>
  <c r="P159" i="29" s="1"/>
  <c r="BC30" i="2"/>
  <c r="Z73" i="2"/>
  <c r="Y72" i="2"/>
  <c r="BE26" i="2"/>
  <c r="BE24" i="2"/>
  <c r="BE22" i="2"/>
  <c r="BE25" i="2"/>
  <c r="BF19" i="2"/>
  <c r="BF20" i="2" s="1"/>
  <c r="BE27" i="2"/>
  <c r="BE21" i="2"/>
  <c r="BE23" i="2"/>
  <c r="P73" i="2"/>
  <c r="O72" i="2"/>
  <c r="N140" i="3"/>
  <c r="N20" i="3"/>
  <c r="O20" i="3"/>
  <c r="O140" i="3"/>
  <c r="AL71" i="2"/>
  <c r="AH72" i="2"/>
  <c r="AI80" i="2"/>
  <c r="AK79" i="2"/>
  <c r="BD28" i="2"/>
  <c r="BC29" i="2"/>
  <c r="BD67" i="3"/>
  <c r="BD86" i="29" s="1"/>
  <c r="BD16" i="2"/>
  <c r="BD35" i="2" s="1"/>
  <c r="BI1" i="12" s="1"/>
  <c r="AF115" i="2"/>
  <c r="AG116" i="2"/>
  <c r="AJ116" i="2" s="1"/>
  <c r="AK115" i="2"/>
  <c r="BM4" i="12"/>
  <c r="BH188" i="3"/>
  <c r="BH18" i="2"/>
  <c r="BH36" i="2"/>
  <c r="BI17" i="2"/>
  <c r="BI33" i="2" s="1"/>
  <c r="BJ5" i="3"/>
  <c r="BI6" i="3"/>
  <c r="BI87" i="3"/>
  <c r="BI106" i="29" s="1"/>
  <c r="BF141" i="3"/>
  <c r="BE157" i="3"/>
  <c r="BI175" i="3"/>
  <c r="BJ174" i="3" s="1"/>
  <c r="BH50" i="2"/>
  <c r="BH12" i="3" s="1"/>
  <c r="W9" i="3" l="1"/>
  <c r="V18" i="3"/>
  <c r="V27" i="3" s="1"/>
  <c r="X57" i="2"/>
  <c r="W45" i="2"/>
  <c r="BG61" i="24"/>
  <c r="BF20" i="25"/>
  <c r="BM281" i="12"/>
  <c r="BH62" i="24" s="1"/>
  <c r="BH54" i="24" s="1"/>
  <c r="BM277" i="12"/>
  <c r="BM279" i="12"/>
  <c r="BM278" i="12"/>
  <c r="V136" i="29"/>
  <c r="W136" i="29" s="1"/>
  <c r="X136" i="29" s="1"/>
  <c r="Y136" i="29" s="1"/>
  <c r="Z136" i="29" s="1"/>
  <c r="AA136" i="29" s="1"/>
  <c r="AB136" i="29" s="1"/>
  <c r="AC136" i="29" s="1"/>
  <c r="AD136" i="29" s="1"/>
  <c r="AE136" i="29" s="1"/>
  <c r="AF136" i="29" s="1"/>
  <c r="AG136" i="29" s="1"/>
  <c r="AH136" i="29" s="1"/>
  <c r="AI136" i="29" s="1"/>
  <c r="AJ136" i="29" s="1"/>
  <c r="M156" i="3"/>
  <c r="BH37" i="2"/>
  <c r="M116" i="3"/>
  <c r="AX149" i="29"/>
  <c r="AY149" i="29" s="1"/>
  <c r="AZ149" i="29" s="1"/>
  <c r="BA149" i="29" s="1"/>
  <c r="BB149" i="29" s="1"/>
  <c r="BC149" i="29" s="1"/>
  <c r="BD149" i="29" s="1"/>
  <c r="BE149" i="29" s="1"/>
  <c r="BF149" i="29" s="1"/>
  <c r="BG149" i="29" s="1"/>
  <c r="BH149" i="29" s="1"/>
  <c r="BI149" i="29" s="1"/>
  <c r="BJ149" i="29" s="1"/>
  <c r="BK149" i="29" s="1"/>
  <c r="BL149" i="29" s="1"/>
  <c r="BM149" i="29" s="1"/>
  <c r="E149" i="29" s="1"/>
  <c r="R12" i="12"/>
  <c r="M44" i="3" s="1"/>
  <c r="AA154" i="29"/>
  <c r="L60" i="29"/>
  <c r="L59" i="29" s="1"/>
  <c r="V42" i="3"/>
  <c r="V154" i="3"/>
  <c r="V114" i="3"/>
  <c r="W18" i="3"/>
  <c r="W27" i="3" s="1"/>
  <c r="W138" i="3"/>
  <c r="V19" i="3"/>
  <c r="V28" i="3" s="1"/>
  <c r="V43" i="3" s="1"/>
  <c r="O29" i="3"/>
  <c r="O30" i="29"/>
  <c r="X9" i="3"/>
  <c r="Y57" i="2"/>
  <c r="X45" i="2"/>
  <c r="Y44" i="2"/>
  <c r="M29" i="29"/>
  <c r="M175" i="29"/>
  <c r="M135" i="29"/>
  <c r="BH21" i="3"/>
  <c r="BH30" i="3" s="1"/>
  <c r="N29" i="3"/>
  <c r="N30" i="29"/>
  <c r="V47" i="2"/>
  <c r="W46" i="2"/>
  <c r="W10" i="3" s="1"/>
  <c r="W58" i="2"/>
  <c r="U139" i="3"/>
  <c r="Q48" i="2"/>
  <c r="Q11" i="3" s="1"/>
  <c r="Q15" i="29" s="1"/>
  <c r="Q14" i="29" s="1"/>
  <c r="BD29" i="2"/>
  <c r="BE28" i="2"/>
  <c r="P20" i="3"/>
  <c r="P140" i="3"/>
  <c r="AI81" i="2"/>
  <c r="AK80" i="2"/>
  <c r="P74" i="2"/>
  <c r="O73" i="2"/>
  <c r="AH73" i="2"/>
  <c r="AL72" i="2"/>
  <c r="BF24" i="2"/>
  <c r="BF25" i="2"/>
  <c r="BG19" i="2"/>
  <c r="BG20" i="2" s="1"/>
  <c r="BF27" i="2"/>
  <c r="BF23" i="2"/>
  <c r="BF21" i="2"/>
  <c r="BF26" i="2"/>
  <c r="BF22" i="2"/>
  <c r="BD30" i="2"/>
  <c r="BE67" i="3"/>
  <c r="BE86" i="29" s="1"/>
  <c r="BE16" i="2"/>
  <c r="BE35" i="2" s="1"/>
  <c r="BJ1" i="12" s="1"/>
  <c r="Y73" i="2"/>
  <c r="Z74" i="2"/>
  <c r="BJ175" i="3"/>
  <c r="BK174" i="3" s="1"/>
  <c r="BF157" i="3"/>
  <c r="BN4" i="12"/>
  <c r="BI188" i="3"/>
  <c r="BI18" i="2"/>
  <c r="BJ6" i="3"/>
  <c r="BK5" i="3"/>
  <c r="BJ17" i="2"/>
  <c r="BJ33" i="2" s="1"/>
  <c r="BJ87" i="3"/>
  <c r="BJ106" i="29" s="1"/>
  <c r="BI50" i="2"/>
  <c r="BI12" i="3" s="1"/>
  <c r="BI21" i="3" s="1"/>
  <c r="BI30" i="3" s="1"/>
  <c r="BI36" i="2"/>
  <c r="BG141" i="3"/>
  <c r="AK116" i="2"/>
  <c r="AG117" i="2"/>
  <c r="AJ117" i="2" s="1"/>
  <c r="AF116" i="2"/>
  <c r="O45" i="29" l="1"/>
  <c r="O44" i="29" s="1"/>
  <c r="O135" i="29" s="1"/>
  <c r="N45" i="29"/>
  <c r="N44" i="29" s="1"/>
  <c r="N29" i="29" s="1"/>
  <c r="S12" i="12"/>
  <c r="N44" i="3" s="1"/>
  <c r="T12" i="12" s="1"/>
  <c r="BH61" i="24"/>
  <c r="BG20" i="25"/>
  <c r="O116" i="3"/>
  <c r="BN281" i="12"/>
  <c r="BI62" i="24" s="1"/>
  <c r="BI54" i="24" s="1"/>
  <c r="BN277" i="12"/>
  <c r="BN279" i="12"/>
  <c r="BN278" i="12"/>
  <c r="Z57" i="2"/>
  <c r="O156" i="3"/>
  <c r="BI37" i="2"/>
  <c r="N116" i="3"/>
  <c r="AK136" i="29"/>
  <c r="AL136" i="29" s="1"/>
  <c r="AM136" i="29" s="1"/>
  <c r="AN136" i="29" s="1"/>
  <c r="AO136" i="29" s="1"/>
  <c r="AP136" i="29" s="1"/>
  <c r="AQ136" i="29" s="1"/>
  <c r="AR136" i="29" s="1"/>
  <c r="AS136" i="29" s="1"/>
  <c r="AT136" i="29" s="1"/>
  <c r="AU136" i="29" s="1"/>
  <c r="AV136" i="29" s="1"/>
  <c r="AW136" i="29" s="1"/>
  <c r="AX136" i="29" s="1"/>
  <c r="AY136" i="29" s="1"/>
  <c r="AZ136" i="29" s="1"/>
  <c r="BA136" i="29" s="1"/>
  <c r="BB136" i="29" s="1"/>
  <c r="BC136" i="29" s="1"/>
  <c r="BD136" i="29" s="1"/>
  <c r="BE136" i="29" s="1"/>
  <c r="BF136" i="29" s="1"/>
  <c r="BG136" i="29" s="1"/>
  <c r="BH136" i="29" s="1"/>
  <c r="BI136" i="29" s="1"/>
  <c r="BJ136" i="29" s="1"/>
  <c r="BK136" i="29" s="1"/>
  <c r="BL136" i="29" s="1"/>
  <c r="BM136" i="29" s="1"/>
  <c r="E136" i="29" s="1"/>
  <c r="A136" i="29" s="1"/>
  <c r="AB154" i="29"/>
  <c r="N156" i="3"/>
  <c r="Q159" i="29"/>
  <c r="W19" i="3"/>
  <c r="W28" i="3" s="1"/>
  <c r="W43" i="3" s="1"/>
  <c r="M60" i="29"/>
  <c r="M59" i="29" s="1"/>
  <c r="X18" i="3"/>
  <c r="X27" i="3" s="1"/>
  <c r="X138" i="3"/>
  <c r="W42" i="3"/>
  <c r="W154" i="3"/>
  <c r="W114" i="3"/>
  <c r="P29" i="3"/>
  <c r="P45" i="29" s="1"/>
  <c r="P44" i="29" s="1"/>
  <c r="P30" i="29"/>
  <c r="Y9" i="3"/>
  <c r="Z44" i="2"/>
  <c r="Y45" i="2"/>
  <c r="W47" i="2"/>
  <c r="X46" i="2"/>
  <c r="X10" i="3" s="1"/>
  <c r="X58" i="2"/>
  <c r="V155" i="3"/>
  <c r="V139" i="3"/>
  <c r="R48" i="2"/>
  <c r="R11" i="3" s="1"/>
  <c r="R15" i="29" s="1"/>
  <c r="R14" i="29" s="1"/>
  <c r="R159" i="29" s="1"/>
  <c r="Z75" i="2"/>
  <c r="Y74" i="2"/>
  <c r="BF67" i="3"/>
  <c r="BF86" i="29" s="1"/>
  <c r="BF16" i="2"/>
  <c r="BF35" i="2" s="1"/>
  <c r="BK1" i="12" s="1"/>
  <c r="AI82" i="2"/>
  <c r="AI83" i="2" s="1"/>
  <c r="AI84" i="2" s="1"/>
  <c r="AI85" i="2" s="1"/>
  <c r="AI86" i="2" s="1"/>
  <c r="AI87" i="2" s="1"/>
  <c r="AI88" i="2" s="1"/>
  <c r="AI89" i="2" s="1"/>
  <c r="AI90" i="2" s="1"/>
  <c r="AI91" i="2" s="1"/>
  <c r="AI92" i="2" s="1"/>
  <c r="AI93" i="2" s="1"/>
  <c r="AI94" i="2" s="1"/>
  <c r="AI95" i="2" s="1"/>
  <c r="AI96" i="2" s="1"/>
  <c r="AI97" i="2" s="1"/>
  <c r="AI98" i="2" s="1"/>
  <c r="AI99" i="2" s="1"/>
  <c r="AI100" i="2" s="1"/>
  <c r="AI101" i="2" s="1"/>
  <c r="AI102" i="2" s="1"/>
  <c r="AI103" i="2" s="1"/>
  <c r="AI104" i="2" s="1"/>
  <c r="AI105" i="2" s="1"/>
  <c r="AI106" i="2" s="1"/>
  <c r="AI107" i="2" s="1"/>
  <c r="AI108" i="2" s="1"/>
  <c r="AI109" i="2" s="1"/>
  <c r="AI110" i="2" s="1"/>
  <c r="AI111" i="2" s="1"/>
  <c r="AI112" i="2" s="1"/>
  <c r="AI113" i="2" s="1"/>
  <c r="AI114" i="2" s="1"/>
  <c r="AI115" i="2" s="1"/>
  <c r="AI116" i="2" s="1"/>
  <c r="AI117" i="2" s="1"/>
  <c r="AK81" i="2"/>
  <c r="BF28" i="2"/>
  <c r="AL73" i="2"/>
  <c r="AH74" i="2"/>
  <c r="BE30" i="2"/>
  <c r="O74" i="2"/>
  <c r="P75" i="2"/>
  <c r="Q140" i="3"/>
  <c r="Q20" i="3"/>
  <c r="BE29" i="2"/>
  <c r="BG21" i="2"/>
  <c r="BH19" i="2"/>
  <c r="BH20" i="2" s="1"/>
  <c r="BG24" i="2"/>
  <c r="BG25" i="2"/>
  <c r="BG23" i="2"/>
  <c r="BG27" i="2"/>
  <c r="BG22" i="2"/>
  <c r="BG26" i="2"/>
  <c r="BK175" i="3"/>
  <c r="BL174" i="3" s="1"/>
  <c r="BG157" i="3"/>
  <c r="AG118" i="2"/>
  <c r="AJ118" i="2" s="1"/>
  <c r="AK117" i="2"/>
  <c r="AF117" i="2"/>
  <c r="BJ50" i="2"/>
  <c r="BJ12" i="3" s="1"/>
  <c r="BH141" i="3"/>
  <c r="BJ36" i="2"/>
  <c r="BK17" i="2"/>
  <c r="BK33" i="2" s="1"/>
  <c r="BL5" i="3"/>
  <c r="BK6" i="3"/>
  <c r="BK87" i="3"/>
  <c r="BK106" i="29" s="1"/>
  <c r="BO4" i="12"/>
  <c r="BJ188" i="3"/>
  <c r="BJ18" i="2"/>
  <c r="N135" i="29" l="1"/>
  <c r="N175" i="29"/>
  <c r="O29" i="29"/>
  <c r="O175" i="29"/>
  <c r="BI61" i="24"/>
  <c r="BH20" i="25"/>
  <c r="AA57" i="2"/>
  <c r="BO281" i="12"/>
  <c r="BO279" i="12"/>
  <c r="BO277" i="12"/>
  <c r="BO278" i="12"/>
  <c r="BJ37" i="2"/>
  <c r="P116" i="3"/>
  <c r="P156" i="3"/>
  <c r="AC154" i="29"/>
  <c r="X42" i="3"/>
  <c r="X114" i="3"/>
  <c r="X154" i="3"/>
  <c r="Y18" i="3"/>
  <c r="Y27" i="3" s="1"/>
  <c r="Y138" i="3"/>
  <c r="P29" i="29"/>
  <c r="P135" i="29"/>
  <c r="P175" i="29"/>
  <c r="BJ21" i="3"/>
  <c r="BJ30" i="3" s="1"/>
  <c r="Q29" i="3"/>
  <c r="Q45" i="29" s="1"/>
  <c r="Q44" i="29" s="1"/>
  <c r="Q30" i="29"/>
  <c r="O44" i="3"/>
  <c r="N60" i="29"/>
  <c r="N59" i="29" s="1"/>
  <c r="X19" i="3"/>
  <c r="X28" i="3" s="1"/>
  <c r="X43" i="3" s="1"/>
  <c r="Z9" i="3"/>
  <c r="Z45" i="2"/>
  <c r="AA44" i="2"/>
  <c r="S48" i="2"/>
  <c r="T48" i="2" s="1"/>
  <c r="X47" i="2"/>
  <c r="Y46" i="2"/>
  <c r="Y10" i="3" s="1"/>
  <c r="Y19" i="3" s="1"/>
  <c r="Y28" i="3" s="1"/>
  <c r="Y58" i="2"/>
  <c r="W155" i="3"/>
  <c r="W139" i="3"/>
  <c r="BG16" i="2"/>
  <c r="BG35" i="2" s="1"/>
  <c r="BL1" i="12" s="1"/>
  <c r="BF29" i="2"/>
  <c r="BF30" i="2"/>
  <c r="P76" i="2"/>
  <c r="O75" i="2"/>
  <c r="BG67" i="3"/>
  <c r="BG86" i="29" s="1"/>
  <c r="Y75" i="2"/>
  <c r="Z76" i="2"/>
  <c r="BG28" i="2"/>
  <c r="BH27" i="2"/>
  <c r="BH22" i="2"/>
  <c r="BI19" i="2"/>
  <c r="BI20" i="2" s="1"/>
  <c r="BH26" i="2"/>
  <c r="BH23" i="2"/>
  <c r="BH24" i="2"/>
  <c r="BH21" i="2"/>
  <c r="BH25" i="2"/>
  <c r="R140" i="3"/>
  <c r="R20" i="3"/>
  <c r="AL74" i="2"/>
  <c r="AH75" i="2"/>
  <c r="BL175" i="3"/>
  <c r="BM174" i="3" s="1"/>
  <c r="AI118" i="2"/>
  <c r="BI141" i="3"/>
  <c r="BP4" i="12"/>
  <c r="BK188" i="3"/>
  <c r="BK18" i="2"/>
  <c r="BM5" i="3"/>
  <c r="BL6" i="3"/>
  <c r="BL87" i="3"/>
  <c r="BL106" i="29" s="1"/>
  <c r="BL17" i="2"/>
  <c r="BL33" i="2" s="1"/>
  <c r="AG119" i="2"/>
  <c r="AJ119" i="2" s="1"/>
  <c r="AK118" i="2"/>
  <c r="AF118" i="2"/>
  <c r="BH157" i="3"/>
  <c r="BK36" i="2"/>
  <c r="BK50" i="2"/>
  <c r="BK12" i="3" s="1"/>
  <c r="U12" i="12" l="1"/>
  <c r="P44" i="3" s="1"/>
  <c r="BJ61" i="24"/>
  <c r="BJ62" i="24"/>
  <c r="BJ54" i="24" s="1"/>
  <c r="BI20" i="25"/>
  <c r="BP277" i="12"/>
  <c r="BP278" i="12"/>
  <c r="BP279" i="12"/>
  <c r="BP281" i="12"/>
  <c r="Q116" i="3"/>
  <c r="Q156" i="3"/>
  <c r="BK37" i="2"/>
  <c r="Y43" i="3"/>
  <c r="AD154" i="29"/>
  <c r="S11" i="3"/>
  <c r="S15" i="29" s="1"/>
  <c r="S14" i="29" s="1"/>
  <c r="S159" i="29" s="1"/>
  <c r="Y42" i="3"/>
  <c r="Y154" i="3"/>
  <c r="Y114" i="3"/>
  <c r="O60" i="29"/>
  <c r="O59" i="29" s="1"/>
  <c r="AA9" i="3"/>
  <c r="AB44" i="2"/>
  <c r="AB57" i="2"/>
  <c r="AA45" i="2"/>
  <c r="BK21" i="3"/>
  <c r="BK30" i="3" s="1"/>
  <c r="Z18" i="3"/>
  <c r="Z27" i="3" s="1"/>
  <c r="Z138" i="3"/>
  <c r="Q175" i="29"/>
  <c r="Q135" i="29"/>
  <c r="Q29" i="29"/>
  <c r="R29" i="3"/>
  <c r="R45" i="29" s="1"/>
  <c r="R44" i="29" s="1"/>
  <c r="R30" i="29"/>
  <c r="Y47" i="2"/>
  <c r="Z46" i="2"/>
  <c r="Z10" i="3" s="1"/>
  <c r="Z58" i="2"/>
  <c r="X155" i="3"/>
  <c r="X139" i="3"/>
  <c r="BG29" i="2"/>
  <c r="BI21" i="2"/>
  <c r="BJ19" i="2"/>
  <c r="BJ20" i="2" s="1"/>
  <c r="BI22" i="2"/>
  <c r="BI25" i="2"/>
  <c r="BI27" i="2"/>
  <c r="BI23" i="2"/>
  <c r="BI24" i="2"/>
  <c r="BI26" i="2"/>
  <c r="U48" i="2"/>
  <c r="T11" i="3"/>
  <c r="T15" i="29" s="1"/>
  <c r="T14" i="29" s="1"/>
  <c r="P77" i="2"/>
  <c r="U76" i="2"/>
  <c r="O76" i="2"/>
  <c r="BH67" i="3"/>
  <c r="BH86" i="29" s="1"/>
  <c r="BH16" i="2"/>
  <c r="BH35" i="2" s="1"/>
  <c r="BM1" i="12" s="1"/>
  <c r="AH76" i="2"/>
  <c r="AL75" i="2"/>
  <c r="Y76" i="2"/>
  <c r="Z77" i="2"/>
  <c r="BG30" i="2"/>
  <c r="BH28" i="2"/>
  <c r="AI119" i="2"/>
  <c r="BM175" i="3"/>
  <c r="BQ4" i="12"/>
  <c r="BL188" i="3"/>
  <c r="BL18" i="2"/>
  <c r="BM17" i="2"/>
  <c r="BM33" i="2" s="1"/>
  <c r="D33" i="2" s="1"/>
  <c r="BM6" i="3"/>
  <c r="BM87" i="3"/>
  <c r="BM106" i="29" s="1"/>
  <c r="BI157" i="3"/>
  <c r="BL50" i="2"/>
  <c r="BL12" i="3" s="1"/>
  <c r="BJ141" i="3"/>
  <c r="AK119" i="2"/>
  <c r="AG120" i="2"/>
  <c r="AJ120" i="2" s="1"/>
  <c r="AF119" i="2"/>
  <c r="BL36" i="2"/>
  <c r="V12" i="12" l="1"/>
  <c r="Q44" i="3" s="1"/>
  <c r="BK61" i="24"/>
  <c r="BK62" i="24"/>
  <c r="BK54" i="24" s="1"/>
  <c r="BJ20" i="25"/>
  <c r="R156" i="3"/>
  <c r="R116" i="3"/>
  <c r="BQ277" i="12"/>
  <c r="BQ279" i="12"/>
  <c r="BQ278" i="12"/>
  <c r="BQ281" i="12"/>
  <c r="S20" i="3"/>
  <c r="S29" i="3" s="1"/>
  <c r="S45" i="29" s="1"/>
  <c r="S44" i="29" s="1"/>
  <c r="S140" i="3"/>
  <c r="BL37" i="2"/>
  <c r="AC57" i="2"/>
  <c r="AE154" i="29"/>
  <c r="Z114" i="3"/>
  <c r="Z154" i="3"/>
  <c r="Z42" i="3"/>
  <c r="P60" i="29"/>
  <c r="P59" i="29" s="1"/>
  <c r="BL21" i="3"/>
  <c r="BL30" i="3" s="1"/>
  <c r="AB9" i="3"/>
  <c r="AB45" i="2"/>
  <c r="T159" i="29"/>
  <c r="Z19" i="3"/>
  <c r="Z28" i="3" s="1"/>
  <c r="Z43" i="3" s="1"/>
  <c r="R29" i="29"/>
  <c r="R135" i="29"/>
  <c r="R175" i="29"/>
  <c r="AC44" i="2"/>
  <c r="AA18" i="3"/>
  <c r="AA27" i="3" s="1"/>
  <c r="AA138" i="3"/>
  <c r="Z47" i="2"/>
  <c r="AA46" i="2"/>
  <c r="AA10" i="3" s="1"/>
  <c r="AA19" i="3" s="1"/>
  <c r="AA28" i="3" s="1"/>
  <c r="AA58" i="2"/>
  <c r="Y155" i="3"/>
  <c r="Y139" i="3"/>
  <c r="BI16" i="2"/>
  <c r="BI35" i="2" s="1"/>
  <c r="BN1" i="12" s="1"/>
  <c r="AI120" i="2"/>
  <c r="BH30" i="2"/>
  <c r="BI28" i="2"/>
  <c r="T140" i="3"/>
  <c r="T20" i="3"/>
  <c r="BJ26" i="2"/>
  <c r="BJ23" i="2"/>
  <c r="BJ21" i="2"/>
  <c r="BJ27" i="2"/>
  <c r="BJ22" i="2"/>
  <c r="BJ24" i="2"/>
  <c r="BJ25" i="2"/>
  <c r="BK19" i="2"/>
  <c r="BK20" i="2" s="1"/>
  <c r="Z78" i="2"/>
  <c r="Y77" i="2"/>
  <c r="U11" i="3"/>
  <c r="U15" i="29" s="1"/>
  <c r="U14" i="29" s="1"/>
  <c r="U159" i="29" s="1"/>
  <c r="V48" i="2"/>
  <c r="AL76" i="2"/>
  <c r="AH77" i="2"/>
  <c r="P78" i="2"/>
  <c r="O77" i="2"/>
  <c r="U77" i="2"/>
  <c r="BI67" i="3"/>
  <c r="BI86" i="29" s="1"/>
  <c r="BH29" i="2"/>
  <c r="BJ157" i="3"/>
  <c r="BR4" i="12"/>
  <c r="BM188" i="3"/>
  <c r="BM18" i="2"/>
  <c r="BM50" i="2"/>
  <c r="BM12" i="3" s="1"/>
  <c r="BM21" i="3" s="1"/>
  <c r="BM30" i="3" s="1"/>
  <c r="BM36" i="2"/>
  <c r="AK120" i="2"/>
  <c r="AG121" i="2"/>
  <c r="AJ121" i="2" s="1"/>
  <c r="AF120" i="2"/>
  <c r="BK141" i="3"/>
  <c r="W12" i="12" l="1"/>
  <c r="R44" i="3" s="1"/>
  <c r="BL61" i="24"/>
  <c r="BL62" i="24"/>
  <c r="BL54" i="24" s="1"/>
  <c r="BK20" i="25"/>
  <c r="S30" i="29"/>
  <c r="BR279" i="12"/>
  <c r="BR278" i="12"/>
  <c r="BR277" i="12"/>
  <c r="BR281" i="12"/>
  <c r="S156" i="3"/>
  <c r="S116" i="3"/>
  <c r="BM37" i="2"/>
  <c r="AA43" i="3"/>
  <c r="AF154" i="29"/>
  <c r="Q60" i="29"/>
  <c r="Q59" i="29" s="1"/>
  <c r="AB18" i="3"/>
  <c r="AB27" i="3" s="1"/>
  <c r="AB138" i="3"/>
  <c r="AA154" i="3"/>
  <c r="AA114" i="3"/>
  <c r="T29" i="3"/>
  <c r="T45" i="29" s="1"/>
  <c r="T44" i="29" s="1"/>
  <c r="T30" i="29"/>
  <c r="AC9" i="3"/>
  <c r="AC45" i="2"/>
  <c r="AD44" i="2"/>
  <c r="AD57" i="2"/>
  <c r="AA42" i="3"/>
  <c r="S29" i="29"/>
  <c r="S175" i="29"/>
  <c r="S135" i="29"/>
  <c r="AI121" i="2"/>
  <c r="AA47" i="2"/>
  <c r="AB46" i="2"/>
  <c r="AB10" i="3" s="1"/>
  <c r="AB58" i="2"/>
  <c r="Z155" i="3"/>
  <c r="Z139" i="3"/>
  <c r="BI29" i="2"/>
  <c r="U140" i="3"/>
  <c r="U20" i="3"/>
  <c r="V11" i="3"/>
  <c r="V15" i="29" s="1"/>
  <c r="V14" i="29" s="1"/>
  <c r="V159" i="29" s="1"/>
  <c r="W48" i="2"/>
  <c r="BI30" i="2"/>
  <c r="P79" i="2"/>
  <c r="O78" i="2"/>
  <c r="U78" i="2"/>
  <c r="BK24" i="2"/>
  <c r="BK26" i="2"/>
  <c r="BL19" i="2"/>
  <c r="BL20" i="2" s="1"/>
  <c r="BK23" i="2"/>
  <c r="BK22" i="2"/>
  <c r="BK25" i="2"/>
  <c r="BK27" i="2"/>
  <c r="BK21" i="2"/>
  <c r="Z79" i="2"/>
  <c r="Y78" i="2"/>
  <c r="BJ67" i="3"/>
  <c r="BJ86" i="29" s="1"/>
  <c r="BJ16" i="2"/>
  <c r="BJ35" i="2" s="1"/>
  <c r="BO1" i="12" s="1"/>
  <c r="AH78" i="2"/>
  <c r="AL77" i="2"/>
  <c r="BJ28" i="2"/>
  <c r="BL141" i="3"/>
  <c r="BK157" i="3"/>
  <c r="AF121" i="2"/>
  <c r="AG122" i="2"/>
  <c r="AJ122" i="2" s="1"/>
  <c r="AK121" i="2"/>
  <c r="BM61" i="24" l="1"/>
  <c r="X12" i="12"/>
  <c r="S44" i="3" s="1"/>
  <c r="Y12" i="12" s="1"/>
  <c r="BM62" i="24"/>
  <c r="BM54" i="24" s="1"/>
  <c r="BL20" i="25"/>
  <c r="T156" i="3"/>
  <c r="T116" i="3"/>
  <c r="AI122" i="2"/>
  <c r="AG154" i="29"/>
  <c r="R60" i="29"/>
  <c r="R59" i="29" s="1"/>
  <c r="AB154" i="3"/>
  <c r="AB114" i="3"/>
  <c r="AB19" i="3"/>
  <c r="AB28" i="3" s="1"/>
  <c r="AB43" i="3" s="1"/>
  <c r="AB42" i="3"/>
  <c r="T135" i="29"/>
  <c r="T175" i="29"/>
  <c r="T29" i="29"/>
  <c r="U29" i="3"/>
  <c r="U45" i="29" s="1"/>
  <c r="U44" i="29" s="1"/>
  <c r="U30" i="29"/>
  <c r="AD9" i="3"/>
  <c r="AE57" i="2"/>
  <c r="AD45" i="2"/>
  <c r="AE44" i="2"/>
  <c r="AC18" i="3"/>
  <c r="AC27" i="3" s="1"/>
  <c r="AC138" i="3"/>
  <c r="AB47" i="2"/>
  <c r="AC46" i="2"/>
  <c r="AC10" i="3" s="1"/>
  <c r="AC58" i="2"/>
  <c r="AA155" i="3"/>
  <c r="AA139" i="3"/>
  <c r="BJ30" i="2"/>
  <c r="W11" i="3"/>
  <c r="W15" i="29" s="1"/>
  <c r="W14" i="29" s="1"/>
  <c r="W159" i="29" s="1"/>
  <c r="AB79" i="2"/>
  <c r="AC79" i="2" s="1"/>
  <c r="Y79" i="2"/>
  <c r="Z80" i="2"/>
  <c r="BL24" i="2"/>
  <c r="BL26" i="2"/>
  <c r="BL25" i="2"/>
  <c r="BL27" i="2"/>
  <c r="BM19" i="2"/>
  <c r="BM20" i="2" s="1"/>
  <c r="BL22" i="2"/>
  <c r="BL23" i="2"/>
  <c r="BL21" i="2"/>
  <c r="V140" i="3"/>
  <c r="V20" i="3"/>
  <c r="BK28" i="2"/>
  <c r="BJ29" i="2"/>
  <c r="X48" i="2"/>
  <c r="AH79" i="2"/>
  <c r="AL78" i="2"/>
  <c r="BK16" i="2"/>
  <c r="BK35" i="2" s="1"/>
  <c r="BP1" i="12" s="1"/>
  <c r="BK67" i="3"/>
  <c r="BK86" i="29" s="1"/>
  <c r="O79" i="2"/>
  <c r="U79" i="2"/>
  <c r="P80" i="2"/>
  <c r="BL157" i="3"/>
  <c r="BM141" i="3"/>
  <c r="AK122" i="2"/>
  <c r="AF122" i="2"/>
  <c r="AA269" i="12" s="1"/>
  <c r="V62" i="3" s="1"/>
  <c r="V54" i="3" l="1"/>
  <c r="BM20" i="25"/>
  <c r="U116" i="3"/>
  <c r="U156" i="3"/>
  <c r="AH154" i="29"/>
  <c r="AC114" i="3"/>
  <c r="AC154" i="3"/>
  <c r="U29" i="29"/>
  <c r="U175" i="29"/>
  <c r="U135" i="29"/>
  <c r="T44" i="3"/>
  <c r="S60" i="29"/>
  <c r="S59" i="29" s="1"/>
  <c r="AE9" i="3"/>
  <c r="AE45" i="2"/>
  <c r="AF57" i="2"/>
  <c r="AF44" i="2"/>
  <c r="V29" i="3"/>
  <c r="V45" i="29" s="1"/>
  <c r="V44" i="29" s="1"/>
  <c r="V30" i="29"/>
  <c r="AC19" i="3"/>
  <c r="AC28" i="3" s="1"/>
  <c r="AC43" i="3" s="1"/>
  <c r="AD18" i="3"/>
  <c r="AD27" i="3" s="1"/>
  <c r="AD138" i="3"/>
  <c r="AC42" i="3"/>
  <c r="AC47" i="2"/>
  <c r="AD46" i="2"/>
  <c r="AD10" i="3" s="1"/>
  <c r="AD58" i="2"/>
  <c r="AB155" i="3"/>
  <c r="AB139" i="3"/>
  <c r="Y269" i="12"/>
  <c r="T62" i="3" s="1"/>
  <c r="Z269" i="12"/>
  <c r="U62" i="3" s="1"/>
  <c r="AB269" i="12"/>
  <c r="W62" i="3" s="1"/>
  <c r="AC269" i="12"/>
  <c r="X62" i="3" s="1"/>
  <c r="T269" i="12"/>
  <c r="O62" i="3" s="1"/>
  <c r="S269" i="12"/>
  <c r="N62" i="3" s="1"/>
  <c r="U269" i="12"/>
  <c r="P62" i="3" s="1"/>
  <c r="V269" i="12"/>
  <c r="Q62" i="3" s="1"/>
  <c r="W269" i="12"/>
  <c r="R62" i="3" s="1"/>
  <c r="X269" i="12"/>
  <c r="S62" i="3" s="1"/>
  <c r="BK29" i="2"/>
  <c r="BM25" i="2"/>
  <c r="BM27" i="2"/>
  <c r="BM22" i="2"/>
  <c r="BM24" i="2"/>
  <c r="BM23" i="2"/>
  <c r="BM26" i="2"/>
  <c r="BM21" i="2"/>
  <c r="W140" i="3"/>
  <c r="W20" i="3"/>
  <c r="BL67" i="3"/>
  <c r="BL86" i="29" s="1"/>
  <c r="BL16" i="2"/>
  <c r="BL35" i="2" s="1"/>
  <c r="BQ1" i="12" s="1"/>
  <c r="X11" i="3"/>
  <c r="X15" i="29" s="1"/>
  <c r="X14" i="29" s="1"/>
  <c r="X159" i="29" s="1"/>
  <c r="Y48" i="2"/>
  <c r="BL28" i="2"/>
  <c r="U80" i="2"/>
  <c r="P81" i="2"/>
  <c r="O80" i="2"/>
  <c r="AH80" i="2"/>
  <c r="AL79" i="2"/>
  <c r="AB80" i="2"/>
  <c r="AC80" i="2" s="1"/>
  <c r="Z81" i="2"/>
  <c r="Y80" i="2"/>
  <c r="BK30" i="2"/>
  <c r="BM157" i="3"/>
  <c r="Z12" i="12" l="1"/>
  <c r="U44" i="3" s="1"/>
  <c r="AA12" i="12" s="1"/>
  <c r="O54" i="3"/>
  <c r="W54" i="3"/>
  <c r="R54" i="3"/>
  <c r="X54" i="3"/>
  <c r="U54" i="3"/>
  <c r="T54" i="3"/>
  <c r="P54" i="3"/>
  <c r="S54" i="3"/>
  <c r="Q54" i="3"/>
  <c r="N54" i="3"/>
  <c r="AD269" i="12"/>
  <c r="Y62" i="3" s="1"/>
  <c r="V156" i="3"/>
  <c r="V116" i="3"/>
  <c r="AD42" i="3"/>
  <c r="AI154" i="29"/>
  <c r="AJ154" i="29" s="1"/>
  <c r="AK154" i="29" s="1"/>
  <c r="AL154" i="29" s="1"/>
  <c r="AM154" i="29" s="1"/>
  <c r="AN154" i="29" s="1"/>
  <c r="AO154" i="29" s="1"/>
  <c r="AP154" i="29" s="1"/>
  <c r="AQ154" i="29" s="1"/>
  <c r="AR154" i="29" s="1"/>
  <c r="AS154" i="29" s="1"/>
  <c r="AT154" i="29" s="1"/>
  <c r="AU154" i="29" s="1"/>
  <c r="AV154" i="29" s="1"/>
  <c r="AW154" i="29" s="1"/>
  <c r="AX154" i="29" s="1"/>
  <c r="AY154" i="29" s="1"/>
  <c r="AZ154" i="29" s="1"/>
  <c r="BA154" i="29" s="1"/>
  <c r="BB154" i="29" s="1"/>
  <c r="BC154" i="29" s="1"/>
  <c r="BD154" i="29" s="1"/>
  <c r="BE154" i="29" s="1"/>
  <c r="BF154" i="29" s="1"/>
  <c r="BG154" i="29" s="1"/>
  <c r="BH154" i="29" s="1"/>
  <c r="BI154" i="29" s="1"/>
  <c r="BJ154" i="29" s="1"/>
  <c r="BK154" i="29" s="1"/>
  <c r="BL154" i="29" s="1"/>
  <c r="BM154" i="29" s="1"/>
  <c r="E154" i="29" s="1"/>
  <c r="T60" i="29"/>
  <c r="T59" i="29" s="1"/>
  <c r="AD19" i="3"/>
  <c r="AD28" i="3" s="1"/>
  <c r="AD43" i="3" s="1"/>
  <c r="AE18" i="3"/>
  <c r="AE27" i="3" s="1"/>
  <c r="AE138" i="3"/>
  <c r="W29" i="3"/>
  <c r="W45" i="29" s="1"/>
  <c r="W44" i="29" s="1"/>
  <c r="W30" i="29"/>
  <c r="V73" i="29"/>
  <c r="V81" i="29"/>
  <c r="V29" i="29"/>
  <c r="V175" i="29"/>
  <c r="V135" i="29"/>
  <c r="AD114" i="3"/>
  <c r="AD154" i="3"/>
  <c r="AF9" i="3"/>
  <c r="AF45" i="2"/>
  <c r="AG44" i="2"/>
  <c r="AG57" i="2"/>
  <c r="AD47" i="2"/>
  <c r="AE46" i="2"/>
  <c r="AE10" i="3" s="1"/>
  <c r="AE19" i="3" s="1"/>
  <c r="AE28" i="3" s="1"/>
  <c r="AE58" i="2"/>
  <c r="AC155" i="3"/>
  <c r="AC139" i="3"/>
  <c r="E69" i="3"/>
  <c r="Z48" i="2"/>
  <c r="X140" i="3"/>
  <c r="X20" i="3"/>
  <c r="U81" i="2"/>
  <c r="O81" i="2"/>
  <c r="P82" i="2"/>
  <c r="BM28" i="2"/>
  <c r="BM16" i="2"/>
  <c r="BM35" i="2" s="1"/>
  <c r="BR1" i="12" s="1"/>
  <c r="BM67" i="3"/>
  <c r="BL29" i="2"/>
  <c r="BL30" i="2"/>
  <c r="Y11" i="3"/>
  <c r="Y15" i="29" s="1"/>
  <c r="Y14" i="29" s="1"/>
  <c r="Y159" i="29" s="1"/>
  <c r="AB81" i="2"/>
  <c r="AC81" i="2" s="1"/>
  <c r="Z82" i="2"/>
  <c r="Y81" i="2"/>
  <c r="AH81" i="2"/>
  <c r="AL80" i="2"/>
  <c r="Y54" i="3" l="1"/>
  <c r="W116" i="3"/>
  <c r="AE269" i="12"/>
  <c r="Z62" i="3" s="1"/>
  <c r="W156" i="3"/>
  <c r="AE42" i="3"/>
  <c r="AE43" i="3"/>
  <c r="E67" i="3"/>
  <c r="AT74" i="2" s="1"/>
  <c r="BM86" i="29"/>
  <c r="E86" i="29" s="1"/>
  <c r="T73" i="29"/>
  <c r="T81" i="29"/>
  <c r="L73" i="29"/>
  <c r="L81" i="29"/>
  <c r="Y81" i="29"/>
  <c r="AG9" i="3"/>
  <c r="AG45" i="2"/>
  <c r="AH44" i="2"/>
  <c r="AH57" i="2"/>
  <c r="X29" i="3"/>
  <c r="X45" i="29" s="1"/>
  <c r="X44" i="29" s="1"/>
  <c r="X30" i="29"/>
  <c r="U73" i="29"/>
  <c r="U81" i="29"/>
  <c r="O73" i="29"/>
  <c r="O81" i="29"/>
  <c r="W29" i="29"/>
  <c r="W135" i="29"/>
  <c r="W175" i="29"/>
  <c r="V44" i="3"/>
  <c r="U60" i="29"/>
  <c r="U59" i="29" s="1"/>
  <c r="J73" i="29"/>
  <c r="J81" i="29"/>
  <c r="K73" i="29"/>
  <c r="K81" i="29"/>
  <c r="X73" i="29"/>
  <c r="X81" i="29"/>
  <c r="N73" i="29"/>
  <c r="N81" i="29"/>
  <c r="Q73" i="29"/>
  <c r="Q81" i="29"/>
  <c r="AF18" i="3"/>
  <c r="AF27" i="3" s="1"/>
  <c r="AF138" i="3"/>
  <c r="AE154" i="3"/>
  <c r="AE114" i="3"/>
  <c r="S73" i="29"/>
  <c r="S81" i="29"/>
  <c r="I73" i="29"/>
  <c r="I81" i="29"/>
  <c r="W73" i="29"/>
  <c r="W81" i="29"/>
  <c r="M73" i="29"/>
  <c r="M81" i="29"/>
  <c r="P73" i="29"/>
  <c r="P81" i="29"/>
  <c r="R73" i="29"/>
  <c r="R81" i="29"/>
  <c r="AE47" i="2"/>
  <c r="AF46" i="2"/>
  <c r="AF58" i="2"/>
  <c r="AD155" i="3"/>
  <c r="AD139" i="3"/>
  <c r="Z11" i="3"/>
  <c r="BM29" i="2"/>
  <c r="BM30" i="2"/>
  <c r="AH82" i="2"/>
  <c r="AL81" i="2"/>
  <c r="Y140" i="3"/>
  <c r="Y20" i="3"/>
  <c r="AB82" i="2"/>
  <c r="AC82" i="2" s="1"/>
  <c r="Y82" i="2"/>
  <c r="Z83" i="2"/>
  <c r="O82" i="2"/>
  <c r="U82" i="2"/>
  <c r="P83" i="2"/>
  <c r="AB12" i="12" l="1"/>
  <c r="W44" i="3" s="1"/>
  <c r="AC12" i="12" s="1"/>
  <c r="Z54" i="3"/>
  <c r="Y73" i="29"/>
  <c r="AF42" i="3"/>
  <c r="AF269" i="12"/>
  <c r="AA62" i="3" s="1"/>
  <c r="AT86" i="2"/>
  <c r="X116" i="3"/>
  <c r="X156" i="3"/>
  <c r="AH9" i="3"/>
  <c r="AH45" i="2"/>
  <c r="AI57" i="2"/>
  <c r="V60" i="29"/>
  <c r="V59" i="29" s="1"/>
  <c r="AG58" i="2"/>
  <c r="AF10" i="3"/>
  <c r="AG18" i="3"/>
  <c r="AG27" i="3" s="1"/>
  <c r="AG138" i="3"/>
  <c r="Y29" i="3"/>
  <c r="Y45" i="29" s="1"/>
  <c r="Y44" i="29" s="1"/>
  <c r="Y30" i="29"/>
  <c r="Z81" i="29"/>
  <c r="AF154" i="3"/>
  <c r="AF114" i="3"/>
  <c r="AI44" i="2"/>
  <c r="X29" i="29"/>
  <c r="X135" i="29"/>
  <c r="X175" i="29"/>
  <c r="Z20" i="3"/>
  <c r="Z15" i="29"/>
  <c r="Z14" i="29" s="1"/>
  <c r="Z159" i="29" s="1"/>
  <c r="AE155" i="3"/>
  <c r="AE139" i="3"/>
  <c r="AF47" i="2"/>
  <c r="AG46" i="2"/>
  <c r="AG10" i="3" s="1"/>
  <c r="AG19" i="3" s="1"/>
  <c r="AG28" i="3" s="1"/>
  <c r="Z140" i="3"/>
  <c r="AB83" i="2"/>
  <c r="AC83" i="2" s="1"/>
  <c r="Y83" i="2"/>
  <c r="Z84" i="2"/>
  <c r="AH83" i="2"/>
  <c r="AL82" i="2"/>
  <c r="U83" i="2"/>
  <c r="P84" i="2"/>
  <c r="O83" i="2"/>
  <c r="AG42" i="3" l="1"/>
  <c r="AA54" i="3"/>
  <c r="Z73" i="29"/>
  <c r="AG269" i="12"/>
  <c r="AB62" i="3" s="1"/>
  <c r="Y116" i="3"/>
  <c r="Y156" i="3"/>
  <c r="AI9" i="3"/>
  <c r="AI45" i="2"/>
  <c r="AJ44" i="2"/>
  <c r="AJ57" i="2"/>
  <c r="Y29" i="29"/>
  <c r="Y135" i="29"/>
  <c r="Y175" i="29"/>
  <c r="X44" i="3"/>
  <c r="AD12" i="12" s="1"/>
  <c r="W60" i="29"/>
  <c r="W59" i="29" s="1"/>
  <c r="Z29" i="3"/>
  <c r="Z30" i="29"/>
  <c r="AG114" i="3"/>
  <c r="AG154" i="3"/>
  <c r="AF19" i="3"/>
  <c r="AF28" i="3" s="1"/>
  <c r="AF43" i="3" s="1"/>
  <c r="AG43" i="3" s="1"/>
  <c r="AH18" i="3"/>
  <c r="AH27" i="3" s="1"/>
  <c r="AH138" i="3"/>
  <c r="AG47" i="2"/>
  <c r="AH46" i="2"/>
  <c r="AH10" i="3" s="1"/>
  <c r="AF139" i="3"/>
  <c r="AH58" i="2"/>
  <c r="S155" i="3"/>
  <c r="AH84" i="2"/>
  <c r="AL83" i="2"/>
  <c r="P85" i="2"/>
  <c r="O84" i="2"/>
  <c r="U84" i="2"/>
  <c r="AB84" i="2"/>
  <c r="AC84" i="2" s="1"/>
  <c r="Z85" i="2"/>
  <c r="Y84" i="2"/>
  <c r="AA73" i="29" l="1"/>
  <c r="AA81" i="29"/>
  <c r="AB81" i="29"/>
  <c r="AB54" i="3"/>
  <c r="AH269" i="12"/>
  <c r="AC62" i="3" s="1"/>
  <c r="Y44" i="3"/>
  <c r="AE12" i="12" s="1"/>
  <c r="X60" i="29"/>
  <c r="X59" i="29" s="1"/>
  <c r="AH19" i="3"/>
  <c r="AH28" i="3" s="1"/>
  <c r="AH43" i="3" s="1"/>
  <c r="Z116" i="3"/>
  <c r="Z45" i="29"/>
  <c r="Z44" i="29" s="1"/>
  <c r="Z156" i="3"/>
  <c r="AJ9" i="3"/>
  <c r="AJ45" i="2"/>
  <c r="AK44" i="2"/>
  <c r="AL44" i="2" s="1"/>
  <c r="AL9" i="3" s="1"/>
  <c r="AK57" i="2"/>
  <c r="AF155" i="3"/>
  <c r="AH114" i="3"/>
  <c r="AH154" i="3"/>
  <c r="AH42" i="3"/>
  <c r="AI18" i="3"/>
  <c r="AI27" i="3" s="1"/>
  <c r="AI138" i="3"/>
  <c r="AH47" i="2"/>
  <c r="AI46" i="2"/>
  <c r="AI10" i="3" s="1"/>
  <c r="AI58" i="2"/>
  <c r="AG155" i="3"/>
  <c r="AG139" i="3"/>
  <c r="T155" i="3"/>
  <c r="AH85" i="2"/>
  <c r="AL84" i="2"/>
  <c r="AB85" i="2"/>
  <c r="AC85" i="2" s="1"/>
  <c r="Z86" i="2"/>
  <c r="Y85" i="2"/>
  <c r="P86" i="2"/>
  <c r="O85" i="2"/>
  <c r="U85" i="2"/>
  <c r="AC54" i="3" l="1"/>
  <c r="AB73" i="29"/>
  <c r="AI269" i="12"/>
  <c r="AD62" i="3" s="1"/>
  <c r="AM44" i="2"/>
  <c r="AM9" i="3" s="1"/>
  <c r="AM18" i="3" s="1"/>
  <c r="AM27" i="3" s="1"/>
  <c r="AL45" i="2"/>
  <c r="AI154" i="3"/>
  <c r="AI114" i="3"/>
  <c r="AI42" i="3"/>
  <c r="AJ18" i="3"/>
  <c r="AJ27" i="3" s="1"/>
  <c r="AJ138" i="3"/>
  <c r="AI19" i="3"/>
  <c r="AI28" i="3" s="1"/>
  <c r="AI43" i="3" s="1"/>
  <c r="Z29" i="29"/>
  <c r="Z175" i="29"/>
  <c r="Z135" i="29"/>
  <c r="Z44" i="3"/>
  <c r="Y60" i="29"/>
  <c r="Y59" i="29" s="1"/>
  <c r="AL18" i="3"/>
  <c r="AL27" i="3" s="1"/>
  <c r="AK9" i="3"/>
  <c r="AL57" i="2"/>
  <c r="AM57" i="2" s="1"/>
  <c r="AK45" i="2"/>
  <c r="AH155" i="3"/>
  <c r="AH139" i="3"/>
  <c r="AI47" i="2"/>
  <c r="AJ46" i="2"/>
  <c r="AJ10" i="3" s="1"/>
  <c r="AJ58" i="2"/>
  <c r="AL138" i="3"/>
  <c r="U155" i="3"/>
  <c r="P87" i="2"/>
  <c r="O86" i="2"/>
  <c r="U86" i="2"/>
  <c r="AH86" i="2"/>
  <c r="AL85" i="2"/>
  <c r="AB86" i="2"/>
  <c r="AC86" i="2" s="1"/>
  <c r="Y86" i="2"/>
  <c r="Z87" i="2"/>
  <c r="Z60" i="29" l="1"/>
  <c r="Z59" i="29" s="1"/>
  <c r="AM45" i="2"/>
  <c r="AD54" i="3"/>
  <c r="AN44" i="2"/>
  <c r="AN9" i="3" s="1"/>
  <c r="AN18" i="3" s="1"/>
  <c r="AN27" i="3" s="1"/>
  <c r="AN57" i="2"/>
  <c r="AC73" i="29"/>
  <c r="AC81" i="29"/>
  <c r="AJ269" i="12"/>
  <c r="AE62" i="3" s="1"/>
  <c r="AJ19" i="3"/>
  <c r="AJ28" i="3" s="1"/>
  <c r="AJ43" i="3" s="1"/>
  <c r="AJ42" i="3"/>
  <c r="AJ154" i="3"/>
  <c r="AJ114" i="3"/>
  <c r="AK18" i="3"/>
  <c r="AK27" i="3" s="1"/>
  <c r="AK138" i="3"/>
  <c r="AM138" i="3"/>
  <c r="AL154" i="3"/>
  <c r="AL114" i="3"/>
  <c r="AJ47" i="2"/>
  <c r="AK46" i="2"/>
  <c r="AK10" i="3" s="1"/>
  <c r="AK19" i="3" s="1"/>
  <c r="AK28" i="3" s="1"/>
  <c r="AI155" i="3"/>
  <c r="AI139" i="3"/>
  <c r="AK58" i="2"/>
  <c r="U87" i="2"/>
  <c r="P88" i="2"/>
  <c r="O87" i="2"/>
  <c r="AL86" i="2"/>
  <c r="AH87" i="2"/>
  <c r="AB87" i="2"/>
  <c r="AC87" i="2" s="1"/>
  <c r="Y87" i="2"/>
  <c r="Z88" i="2"/>
  <c r="AO57" i="2" l="1"/>
  <c r="AO44" i="2"/>
  <c r="AO9" i="3" s="1"/>
  <c r="AO18" i="3" s="1"/>
  <c r="AO27" i="3" s="1"/>
  <c r="AD81" i="29"/>
  <c r="AN45" i="2"/>
  <c r="AE54" i="3"/>
  <c r="AD73" i="29"/>
  <c r="AK269" i="12"/>
  <c r="AF62" i="3" s="1"/>
  <c r="AK42" i="3"/>
  <c r="AL42" i="3" s="1"/>
  <c r="AM42" i="3" s="1"/>
  <c r="AK43" i="3"/>
  <c r="AK154" i="3"/>
  <c r="AK114" i="3"/>
  <c r="AJ155" i="3"/>
  <c r="AJ139" i="3"/>
  <c r="AM114" i="3"/>
  <c r="AM154" i="3"/>
  <c r="AK47" i="2"/>
  <c r="AL46" i="2"/>
  <c r="AL10" i="3" s="1"/>
  <c r="AL58" i="2"/>
  <c r="AN138" i="3"/>
  <c r="AL87" i="2"/>
  <c r="AH88" i="2"/>
  <c r="AB88" i="2"/>
  <c r="AC88" i="2" s="1"/>
  <c r="Y88" i="2"/>
  <c r="Z89" i="2"/>
  <c r="P89" i="2"/>
  <c r="O88" i="2"/>
  <c r="U88" i="2"/>
  <c r="AP57" i="2" l="1"/>
  <c r="AP44" i="2"/>
  <c r="AP9" i="3" s="1"/>
  <c r="AP18" i="3" s="1"/>
  <c r="AP27" i="3" s="1"/>
  <c r="AO45" i="2"/>
  <c r="AN42" i="3"/>
  <c r="AO42" i="3" s="1"/>
  <c r="AE81" i="29"/>
  <c r="AF54" i="3"/>
  <c r="AE73" i="29"/>
  <c r="AL269" i="12"/>
  <c r="AG62" i="3" s="1"/>
  <c r="AL19" i="3"/>
  <c r="AL28" i="3" s="1"/>
  <c r="AL43" i="3" s="1"/>
  <c r="AO138" i="3"/>
  <c r="AK155" i="3"/>
  <c r="AK139" i="3"/>
  <c r="AN114" i="3"/>
  <c r="AN154" i="3"/>
  <c r="AM58" i="2"/>
  <c r="AL47" i="2"/>
  <c r="AM46" i="2"/>
  <c r="AM10" i="3" s="1"/>
  <c r="AM19" i="3" s="1"/>
  <c r="AM28" i="3" s="1"/>
  <c r="AB89" i="2"/>
  <c r="AC89" i="2" s="1"/>
  <c r="Y89" i="2"/>
  <c r="Z90" i="2"/>
  <c r="P90" i="2"/>
  <c r="O89" i="2"/>
  <c r="U89" i="2"/>
  <c r="AL88" i="2"/>
  <c r="AH89" i="2"/>
  <c r="AQ44" i="2" l="1"/>
  <c r="AQ9" i="3" s="1"/>
  <c r="AQ18" i="3" s="1"/>
  <c r="AQ27" i="3" s="1"/>
  <c r="AQ57" i="2"/>
  <c r="AP45" i="2"/>
  <c r="AG81" i="29"/>
  <c r="AG54" i="3"/>
  <c r="AM269" i="12"/>
  <c r="AH62" i="3" s="1"/>
  <c r="AF81" i="29"/>
  <c r="AF73" i="29"/>
  <c r="AM43" i="3"/>
  <c r="AP42" i="3"/>
  <c r="AO114" i="3"/>
  <c r="AO154" i="3"/>
  <c r="AN58" i="2"/>
  <c r="AM47" i="2"/>
  <c r="AN46" i="2"/>
  <c r="AL155" i="3"/>
  <c r="AL139" i="3"/>
  <c r="AQ45" i="2"/>
  <c r="AR44" i="2"/>
  <c r="AR9" i="3" s="1"/>
  <c r="AR57" i="2"/>
  <c r="AP138" i="3"/>
  <c r="AL89" i="2"/>
  <c r="AH90" i="2"/>
  <c r="O90" i="2"/>
  <c r="P91" i="2"/>
  <c r="U90" i="2"/>
  <c r="AB90" i="2"/>
  <c r="AC90" i="2" s="1"/>
  <c r="Y90" i="2"/>
  <c r="Z91" i="2"/>
  <c r="AQ42" i="3" l="1"/>
  <c r="AH54" i="3"/>
  <c r="AG73" i="29"/>
  <c r="AN269" i="12"/>
  <c r="AI62" i="3" s="1"/>
  <c r="AO58" i="2"/>
  <c r="AN10" i="3"/>
  <c r="AR18" i="3"/>
  <c r="AR27" i="3" s="1"/>
  <c r="AR42" i="3" s="1"/>
  <c r="AS57" i="2"/>
  <c r="AQ138" i="3"/>
  <c r="AM155" i="3"/>
  <c r="AM139" i="3"/>
  <c r="AP114" i="3"/>
  <c r="AP154" i="3"/>
  <c r="AN47" i="2"/>
  <c r="AO46" i="2"/>
  <c r="AR45" i="2"/>
  <c r="AS44" i="2"/>
  <c r="AS9" i="3" s="1"/>
  <c r="AS18" i="3" s="1"/>
  <c r="AS27" i="3" s="1"/>
  <c r="AB91" i="2"/>
  <c r="AC91" i="2" s="1"/>
  <c r="Z92" i="2"/>
  <c r="Y91" i="2"/>
  <c r="O91" i="2"/>
  <c r="P92" i="2"/>
  <c r="U91" i="2"/>
  <c r="AH91" i="2"/>
  <c r="AL90" i="2"/>
  <c r="AH81" i="29" l="1"/>
  <c r="AI54" i="3"/>
  <c r="AH73" i="29"/>
  <c r="AO269" i="12"/>
  <c r="AJ62" i="3" s="1"/>
  <c r="AS42" i="3"/>
  <c r="AP58" i="2"/>
  <c r="AO10" i="3"/>
  <c r="AN19" i="3"/>
  <c r="AN28" i="3" s="1"/>
  <c r="AR138" i="3"/>
  <c r="AN139" i="3"/>
  <c r="AS45" i="2"/>
  <c r="AT44" i="2"/>
  <c r="AT9" i="3" s="1"/>
  <c r="D44" i="2"/>
  <c r="AO47" i="2"/>
  <c r="AP46" i="2"/>
  <c r="AT57" i="2"/>
  <c r="AQ154" i="3"/>
  <c r="AQ114" i="3"/>
  <c r="O92" i="2"/>
  <c r="U92" i="2"/>
  <c r="P93" i="2"/>
  <c r="AB92" i="2"/>
  <c r="AC92" i="2" s="1"/>
  <c r="Y92" i="2"/>
  <c r="Z93" i="2"/>
  <c r="AL91" i="2"/>
  <c r="AH92" i="2"/>
  <c r="AI81" i="29" l="1"/>
  <c r="AJ54" i="3"/>
  <c r="AI73" i="29"/>
  <c r="AP269" i="12"/>
  <c r="AK62" i="3" s="1"/>
  <c r="AN43" i="3"/>
  <c r="AN155" i="3"/>
  <c r="AT18" i="3"/>
  <c r="AT27" i="3" s="1"/>
  <c r="AT42" i="3" s="1"/>
  <c r="AQ58" i="2"/>
  <c r="AP10" i="3"/>
  <c r="AO19" i="3"/>
  <c r="AO28" i="3" s="1"/>
  <c r="AO155" i="3" s="1"/>
  <c r="AU57" i="2"/>
  <c r="AO139" i="3"/>
  <c r="AS138" i="3"/>
  <c r="G130" i="3"/>
  <c r="H130" i="3" s="1"/>
  <c r="I130" i="3" s="1"/>
  <c r="J130" i="3" s="1"/>
  <c r="AT45" i="2"/>
  <c r="AU44" i="2"/>
  <c r="AP47" i="2"/>
  <c r="AQ46" i="2"/>
  <c r="AR154" i="3"/>
  <c r="AR114" i="3"/>
  <c r="AH93" i="2"/>
  <c r="AL92" i="2"/>
  <c r="O93" i="2"/>
  <c r="P94" i="2"/>
  <c r="U93" i="2"/>
  <c r="AB93" i="2"/>
  <c r="AC93" i="2" s="1"/>
  <c r="Z94" i="2"/>
  <c r="Y93" i="2"/>
  <c r="AK54" i="3" l="1"/>
  <c r="AJ73" i="29"/>
  <c r="AJ81" i="29"/>
  <c r="AQ269" i="12"/>
  <c r="AL62" i="3" s="1"/>
  <c r="AP19" i="3"/>
  <c r="AP28" i="3" s="1"/>
  <c r="AP155" i="3" s="1"/>
  <c r="AV57" i="2"/>
  <c r="AU9" i="3"/>
  <c r="AR58" i="2"/>
  <c r="AQ10" i="3"/>
  <c r="AQ19" i="3" s="1"/>
  <c r="AQ28" i="3" s="1"/>
  <c r="AO43" i="3"/>
  <c r="AP139" i="3"/>
  <c r="K130" i="3"/>
  <c r="L130" i="3" s="1"/>
  <c r="M130" i="3" s="1"/>
  <c r="AS154" i="3"/>
  <c r="AS114" i="3"/>
  <c r="AU45" i="2"/>
  <c r="AV44" i="2"/>
  <c r="AT138" i="3"/>
  <c r="AQ47" i="2"/>
  <c r="AR46" i="2"/>
  <c r="AB94" i="2"/>
  <c r="AC94" i="2" s="1"/>
  <c r="Z95" i="2"/>
  <c r="Y94" i="2"/>
  <c r="U94" i="2"/>
  <c r="P95" i="2"/>
  <c r="O94" i="2"/>
  <c r="AH94" i="2"/>
  <c r="AL93" i="2"/>
  <c r="AL81" i="29" l="1"/>
  <c r="AL54" i="3"/>
  <c r="AK81" i="29"/>
  <c r="AK73" i="29"/>
  <c r="AR269" i="12"/>
  <c r="AM62" i="3" s="1"/>
  <c r="AW57" i="2"/>
  <c r="AV9" i="3"/>
  <c r="AU18" i="3"/>
  <c r="AU27" i="3" s="1"/>
  <c r="AU42" i="3" s="1"/>
  <c r="AP43" i="3"/>
  <c r="AQ43" i="3" s="1"/>
  <c r="AS58" i="2"/>
  <c r="AR10" i="3"/>
  <c r="AT154" i="3"/>
  <c r="AT114" i="3"/>
  <c r="AQ155" i="3"/>
  <c r="AQ139" i="3"/>
  <c r="N130" i="3"/>
  <c r="O130" i="3" s="1"/>
  <c r="P130" i="3" s="1"/>
  <c r="AU138" i="3"/>
  <c r="AV45" i="2"/>
  <c r="AW44" i="2"/>
  <c r="AW9" i="3" s="1"/>
  <c r="AW18" i="3" s="1"/>
  <c r="AW27" i="3" s="1"/>
  <c r="AR47" i="2"/>
  <c r="AS46" i="2"/>
  <c r="AS10" i="3" s="1"/>
  <c r="AS19" i="3" s="1"/>
  <c r="AS28" i="3" s="1"/>
  <c r="P96" i="2"/>
  <c r="O95" i="2"/>
  <c r="U95" i="2"/>
  <c r="AB95" i="2"/>
  <c r="AC95" i="2" s="1"/>
  <c r="Z96" i="2"/>
  <c r="Y95" i="2"/>
  <c r="AH95" i="2"/>
  <c r="AL94" i="2"/>
  <c r="AM54" i="3" l="1"/>
  <c r="AL73" i="29"/>
  <c r="AS269" i="12"/>
  <c r="AN62" i="3" s="1"/>
  <c r="AM81" i="29"/>
  <c r="AR19" i="3"/>
  <c r="AR28" i="3" s="1"/>
  <c r="AR155" i="3" s="1"/>
  <c r="AV18" i="3"/>
  <c r="AV27" i="3" s="1"/>
  <c r="AV42" i="3" s="1"/>
  <c r="AW42" i="3" s="1"/>
  <c r="Q130" i="3"/>
  <c r="R130" i="3" s="1"/>
  <c r="S130" i="3" s="1"/>
  <c r="T130" i="3" s="1"/>
  <c r="U130" i="3" s="1"/>
  <c r="V130" i="3" s="1"/>
  <c r="W130" i="3" s="1"/>
  <c r="X130" i="3" s="1"/>
  <c r="Y130" i="3" s="1"/>
  <c r="Z130" i="3" s="1"/>
  <c r="AA130" i="3" s="1"/>
  <c r="AB130" i="3" s="1"/>
  <c r="AC130" i="3" s="1"/>
  <c r="AD130" i="3" s="1"/>
  <c r="AE130" i="3" s="1"/>
  <c r="AF130" i="3" s="1"/>
  <c r="AG130" i="3" s="1"/>
  <c r="AH130" i="3" s="1"/>
  <c r="AI130" i="3" s="1"/>
  <c r="AJ130" i="3" s="1"/>
  <c r="AK130" i="3" s="1"/>
  <c r="AL130" i="3" s="1"/>
  <c r="AM130" i="3" s="1"/>
  <c r="AN130" i="3" s="1"/>
  <c r="AO130" i="3" s="1"/>
  <c r="AP130" i="3" s="1"/>
  <c r="AQ130" i="3" s="1"/>
  <c r="AR130" i="3" s="1"/>
  <c r="AS130" i="3" s="1"/>
  <c r="AT130" i="3" s="1"/>
  <c r="AU130" i="3" s="1"/>
  <c r="AV130" i="3" s="1"/>
  <c r="AW130" i="3" s="1"/>
  <c r="AX130" i="3" s="1"/>
  <c r="AY130" i="3" s="1"/>
  <c r="AZ130" i="3" s="1"/>
  <c r="BA130" i="3" s="1"/>
  <c r="BB130" i="3" s="1"/>
  <c r="BC130" i="3" s="1"/>
  <c r="BD130" i="3" s="1"/>
  <c r="BE130" i="3" s="1"/>
  <c r="AS47" i="2"/>
  <c r="AT46" i="2"/>
  <c r="AT10" i="3" s="1"/>
  <c r="D46" i="2"/>
  <c r="AW45" i="2"/>
  <c r="AX44" i="2"/>
  <c r="AX9" i="3" s="1"/>
  <c r="AX57" i="2"/>
  <c r="AV138" i="3"/>
  <c r="AU154" i="3"/>
  <c r="AU114" i="3"/>
  <c r="AR139" i="3"/>
  <c r="AT58" i="2"/>
  <c r="AH96" i="2"/>
  <c r="AL95" i="2"/>
  <c r="AB96" i="2"/>
  <c r="AC96" i="2" s="1"/>
  <c r="Z97" i="2"/>
  <c r="Y96" i="2"/>
  <c r="O96" i="2"/>
  <c r="P97" i="2"/>
  <c r="U96" i="2"/>
  <c r="AN54" i="3" l="1"/>
  <c r="AT269" i="12"/>
  <c r="AO62" i="3" s="1"/>
  <c r="AM73" i="29"/>
  <c r="AT19" i="3"/>
  <c r="AT28" i="3" s="1"/>
  <c r="AX18" i="3"/>
  <c r="AX27" i="3" s="1"/>
  <c r="AX42" i="3" s="1"/>
  <c r="AR43" i="3"/>
  <c r="AS43" i="3" s="1"/>
  <c r="AX45" i="2"/>
  <c r="AY44" i="2"/>
  <c r="AY9" i="3" s="1"/>
  <c r="AY18" i="3" s="1"/>
  <c r="AY27" i="3" s="1"/>
  <c r="AY57" i="2"/>
  <c r="AW138" i="3"/>
  <c r="BF130" i="3"/>
  <c r="BG130" i="3" s="1"/>
  <c r="BH130" i="3" s="1"/>
  <c r="BI130" i="3" s="1"/>
  <c r="BJ130" i="3" s="1"/>
  <c r="BK130" i="3" s="1"/>
  <c r="BL130" i="3" s="1"/>
  <c r="BM130" i="3" s="1"/>
  <c r="E130" i="3" s="1"/>
  <c r="AU58" i="2"/>
  <c r="AT47" i="2"/>
  <c r="AU46" i="2"/>
  <c r="AU10" i="3" s="1"/>
  <c r="AS155" i="3"/>
  <c r="AS139" i="3"/>
  <c r="G131" i="3"/>
  <c r="H131" i="3" s="1"/>
  <c r="AV154" i="3"/>
  <c r="AV114" i="3"/>
  <c r="O97" i="2"/>
  <c r="U97" i="2"/>
  <c r="P98" i="2"/>
  <c r="AB97" i="2"/>
  <c r="AC97" i="2" s="1"/>
  <c r="Z98" i="2"/>
  <c r="Y97" i="2"/>
  <c r="AH97" i="2"/>
  <c r="AL96" i="2"/>
  <c r="AO54" i="3" l="1"/>
  <c r="AU269" i="12"/>
  <c r="AP62" i="3" s="1"/>
  <c r="AN81" i="29"/>
  <c r="AN73" i="29"/>
  <c r="AY42" i="3"/>
  <c r="AO81" i="29"/>
  <c r="AU19" i="3"/>
  <c r="AU28" i="3" s="1"/>
  <c r="AT43" i="3"/>
  <c r="AT155" i="3"/>
  <c r="AT139" i="3"/>
  <c r="AW154" i="3"/>
  <c r="AW114" i="3"/>
  <c r="I131" i="3"/>
  <c r="AY45" i="2"/>
  <c r="AZ44" i="2"/>
  <c r="AZ9" i="3" s="1"/>
  <c r="AZ57" i="2"/>
  <c r="AX138" i="3"/>
  <c r="AV58" i="2"/>
  <c r="AU47" i="2"/>
  <c r="AV46" i="2"/>
  <c r="AV10" i="3" s="1"/>
  <c r="AL97" i="2"/>
  <c r="AH98" i="2"/>
  <c r="P99" i="2"/>
  <c r="O98" i="2"/>
  <c r="U98" i="2"/>
  <c r="AB98" i="2"/>
  <c r="AC98" i="2" s="1"/>
  <c r="Y98" i="2"/>
  <c r="Z99" i="2"/>
  <c r="AP54" i="3" l="1"/>
  <c r="AO73" i="29"/>
  <c r="AV269" i="12"/>
  <c r="AQ62" i="3" s="1"/>
  <c r="AU43" i="3"/>
  <c r="AV19" i="3"/>
  <c r="AV28" i="3" s="1"/>
  <c r="AZ18" i="3"/>
  <c r="AZ27" i="3" s="1"/>
  <c r="AZ42" i="3" s="1"/>
  <c r="AZ45" i="2"/>
  <c r="BA44" i="2"/>
  <c r="BA9" i="3" s="1"/>
  <c r="BA57" i="2"/>
  <c r="AW58" i="2"/>
  <c r="AV47" i="2"/>
  <c r="AW46" i="2"/>
  <c r="AW10" i="3" s="1"/>
  <c r="AW19" i="3" s="1"/>
  <c r="AW28" i="3" s="1"/>
  <c r="AY138" i="3"/>
  <c r="J131" i="3"/>
  <c r="K131" i="3" s="1"/>
  <c r="AX114" i="3"/>
  <c r="AX154" i="3"/>
  <c r="AU155" i="3"/>
  <c r="AU139" i="3"/>
  <c r="AB99" i="2"/>
  <c r="AC99" i="2" s="1"/>
  <c r="Y99" i="2"/>
  <c r="Z100" i="2"/>
  <c r="U99" i="2"/>
  <c r="O99" i="2"/>
  <c r="P100" i="2"/>
  <c r="AH99" i="2"/>
  <c r="AL98" i="2"/>
  <c r="AV43" i="3" l="1"/>
  <c r="AW43" i="3" s="1"/>
  <c r="AP81" i="29"/>
  <c r="AQ54" i="3"/>
  <c r="AP73" i="29"/>
  <c r="AW269" i="12"/>
  <c r="AR62" i="3" s="1"/>
  <c r="BA18" i="3"/>
  <c r="BA27" i="3" s="1"/>
  <c r="BA42" i="3" s="1"/>
  <c r="AY114" i="3"/>
  <c r="AY154" i="3"/>
  <c r="AX58" i="2"/>
  <c r="AW47" i="2"/>
  <c r="AX46" i="2"/>
  <c r="AX10" i="3" s="1"/>
  <c r="L131" i="3"/>
  <c r="M131" i="3" s="1"/>
  <c r="AV155" i="3"/>
  <c r="AV139" i="3"/>
  <c r="BA45" i="2"/>
  <c r="BB44" i="2"/>
  <c r="BB9" i="3" s="1"/>
  <c r="BB57" i="2"/>
  <c r="AZ138" i="3"/>
  <c r="AL99" i="2"/>
  <c r="AH100" i="2"/>
  <c r="P101" i="2"/>
  <c r="O100" i="2"/>
  <c r="U100" i="2"/>
  <c r="AB100" i="2"/>
  <c r="AC100" i="2" s="1"/>
  <c r="Y100" i="2"/>
  <c r="Z101" i="2"/>
  <c r="AR54" i="3" l="1"/>
  <c r="AQ81" i="29"/>
  <c r="AX269" i="12"/>
  <c r="AS62" i="3" s="1"/>
  <c r="AQ73" i="29"/>
  <c r="AX19" i="3"/>
  <c r="AX28" i="3" s="1"/>
  <c r="AX43" i="3" s="1"/>
  <c r="BB18" i="3"/>
  <c r="BB27" i="3" s="1"/>
  <c r="BB42" i="3" s="1"/>
  <c r="AR81" i="29"/>
  <c r="N131" i="3"/>
  <c r="O131" i="3" s="1"/>
  <c r="P131" i="3" s="1"/>
  <c r="Q131" i="3" s="1"/>
  <c r="R131" i="3" s="1"/>
  <c r="S131" i="3" s="1"/>
  <c r="T131" i="3" s="1"/>
  <c r="U131" i="3" s="1"/>
  <c r="V131" i="3" s="1"/>
  <c r="W131" i="3" s="1"/>
  <c r="X131" i="3" s="1"/>
  <c r="Y131" i="3" s="1"/>
  <c r="Z131" i="3" s="1"/>
  <c r="AA131" i="3" s="1"/>
  <c r="AB131" i="3" s="1"/>
  <c r="AC131" i="3" s="1"/>
  <c r="AD131" i="3" s="1"/>
  <c r="AE131" i="3" s="1"/>
  <c r="AF131" i="3" s="1"/>
  <c r="AG131" i="3" s="1"/>
  <c r="AH131" i="3" s="1"/>
  <c r="AI131" i="3" s="1"/>
  <c r="AJ131" i="3" s="1"/>
  <c r="AK131" i="3" s="1"/>
  <c r="AL131" i="3" s="1"/>
  <c r="AM131" i="3" s="1"/>
  <c r="AN131" i="3" s="1"/>
  <c r="AO131" i="3" s="1"/>
  <c r="AP131" i="3" s="1"/>
  <c r="AQ131" i="3" s="1"/>
  <c r="AR131" i="3" s="1"/>
  <c r="AS131" i="3" s="1"/>
  <c r="AT131" i="3" s="1"/>
  <c r="AU131" i="3" s="1"/>
  <c r="AV131" i="3" s="1"/>
  <c r="AW131" i="3" s="1"/>
  <c r="AX131" i="3" s="1"/>
  <c r="AY131" i="3" s="1"/>
  <c r="AZ131" i="3" s="1"/>
  <c r="BA131" i="3" s="1"/>
  <c r="BB131" i="3" s="1"/>
  <c r="BC131" i="3" s="1"/>
  <c r="AY58" i="2"/>
  <c r="AX47" i="2"/>
  <c r="AY46" i="2"/>
  <c r="AY10" i="3" s="1"/>
  <c r="AY19" i="3" s="1"/>
  <c r="AY28" i="3" s="1"/>
  <c r="AW155" i="3"/>
  <c r="AW139" i="3"/>
  <c r="AZ154" i="3"/>
  <c r="AZ114" i="3"/>
  <c r="BB45" i="2"/>
  <c r="BC44" i="2"/>
  <c r="BC9" i="3" s="1"/>
  <c r="BC18" i="3" s="1"/>
  <c r="BC27" i="3" s="1"/>
  <c r="BC57" i="2"/>
  <c r="BA138" i="3"/>
  <c r="AB101" i="2"/>
  <c r="AC101" i="2" s="1"/>
  <c r="Y101" i="2"/>
  <c r="Z102" i="2"/>
  <c r="P102" i="2"/>
  <c r="U101" i="2"/>
  <c r="O101" i="2"/>
  <c r="AH101" i="2"/>
  <c r="AL100" i="2"/>
  <c r="AS54" i="3" l="1"/>
  <c r="AR73" i="29"/>
  <c r="AY269" i="12"/>
  <c r="AT62" i="3" s="1"/>
  <c r="BC42" i="3"/>
  <c r="AY43" i="3"/>
  <c r="AZ58" i="2"/>
  <c r="AY47" i="2"/>
  <c r="AZ46" i="2"/>
  <c r="AZ10" i="3" s="1"/>
  <c r="BD131" i="3"/>
  <c r="BE131" i="3" s="1"/>
  <c r="BF131" i="3" s="1"/>
  <c r="BG131" i="3" s="1"/>
  <c r="BH131" i="3" s="1"/>
  <c r="BI131" i="3" s="1"/>
  <c r="BJ131" i="3" s="1"/>
  <c r="BK131" i="3" s="1"/>
  <c r="BL131" i="3" s="1"/>
  <c r="BM131" i="3" s="1"/>
  <c r="E131" i="3" s="1"/>
  <c r="BC45" i="2"/>
  <c r="BD44" i="2"/>
  <c r="BD9" i="3" s="1"/>
  <c r="AX155" i="3"/>
  <c r="AX139" i="3"/>
  <c r="BD57" i="2"/>
  <c r="BA114" i="3"/>
  <c r="BA154" i="3"/>
  <c r="BB138" i="3"/>
  <c r="AL101" i="2"/>
  <c r="AH102" i="2"/>
  <c r="AB102" i="2"/>
  <c r="AC102" i="2" s="1"/>
  <c r="Z103" i="2"/>
  <c r="Y102" i="2"/>
  <c r="P103" i="2"/>
  <c r="U102" i="2"/>
  <c r="O102" i="2"/>
  <c r="AT54" i="3" l="1"/>
  <c r="AS73" i="29"/>
  <c r="AS81" i="29"/>
  <c r="AZ269" i="12"/>
  <c r="AU62" i="3" s="1"/>
  <c r="BD18" i="3"/>
  <c r="BD27" i="3" s="1"/>
  <c r="BD42" i="3" s="1"/>
  <c r="AZ19" i="3"/>
  <c r="AZ28" i="3" s="1"/>
  <c r="AZ43" i="3" s="1"/>
  <c r="BE57" i="2"/>
  <c r="BC138" i="3"/>
  <c r="BA58" i="2"/>
  <c r="AZ47" i="2"/>
  <c r="BA46" i="2"/>
  <c r="BA10" i="3" s="1"/>
  <c r="BB114" i="3"/>
  <c r="BB154" i="3"/>
  <c r="AY155" i="3"/>
  <c r="AY139" i="3"/>
  <c r="BD45" i="2"/>
  <c r="BE44" i="2"/>
  <c r="BE9" i="3" s="1"/>
  <c r="BE18" i="3" s="1"/>
  <c r="BE27" i="3" s="1"/>
  <c r="U103" i="2"/>
  <c r="O103" i="2"/>
  <c r="P104" i="2"/>
  <c r="AB103" i="2"/>
  <c r="AC103" i="2" s="1"/>
  <c r="Z104" i="2"/>
  <c r="Y103" i="2"/>
  <c r="AL102" i="2"/>
  <c r="AH103" i="2"/>
  <c r="AU54" i="3" l="1"/>
  <c r="AT81" i="29"/>
  <c r="BA269" i="12"/>
  <c r="AV62" i="3" s="1"/>
  <c r="AT73" i="29"/>
  <c r="BE42" i="3"/>
  <c r="AU81" i="29"/>
  <c r="BA19" i="3"/>
  <c r="BA28" i="3" s="1"/>
  <c r="BA43" i="3" s="1"/>
  <c r="BD138" i="3"/>
  <c r="BB58" i="2"/>
  <c r="BA47" i="2"/>
  <c r="BB46" i="2"/>
  <c r="BB10" i="3" s="1"/>
  <c r="AZ155" i="3"/>
  <c r="AZ139" i="3"/>
  <c r="BE45" i="2"/>
  <c r="BF44" i="2"/>
  <c r="BF9" i="3" s="1"/>
  <c r="BF57" i="2"/>
  <c r="BC154" i="3"/>
  <c r="BC114" i="3"/>
  <c r="AL103" i="2"/>
  <c r="AH104" i="2"/>
  <c r="U104" i="2"/>
  <c r="O104" i="2"/>
  <c r="P105" i="2"/>
  <c r="AB104" i="2"/>
  <c r="AC104" i="2" s="1"/>
  <c r="Z105" i="2"/>
  <c r="Y104" i="2"/>
  <c r="AU73" i="29" l="1"/>
  <c r="AV81" i="29"/>
  <c r="BB269" i="12"/>
  <c r="AW62" i="3" s="1"/>
  <c r="BB19" i="3"/>
  <c r="BB28" i="3" s="1"/>
  <c r="BB43" i="3" s="1"/>
  <c r="BF18" i="3"/>
  <c r="BF27" i="3" s="1"/>
  <c r="BF42" i="3" s="1"/>
  <c r="BC58" i="2"/>
  <c r="BB47" i="2"/>
  <c r="BC46" i="2"/>
  <c r="BC10" i="3" s="1"/>
  <c r="BC19" i="3" s="1"/>
  <c r="BC28" i="3" s="1"/>
  <c r="BA155" i="3"/>
  <c r="BA139" i="3"/>
  <c r="BF45" i="2"/>
  <c r="BG44" i="2"/>
  <c r="BG9" i="3" s="1"/>
  <c r="BG57" i="2"/>
  <c r="BE138" i="3"/>
  <c r="BD154" i="3"/>
  <c r="BD114" i="3"/>
  <c r="O105" i="2"/>
  <c r="P106" i="2"/>
  <c r="U105" i="2"/>
  <c r="AL104" i="2"/>
  <c r="AH105" i="2"/>
  <c r="AB105" i="2"/>
  <c r="AC105" i="2" s="1"/>
  <c r="Y105" i="2"/>
  <c r="Z106" i="2"/>
  <c r="AV54" i="3" l="1"/>
  <c r="AV73" i="29" s="1"/>
  <c r="AW54" i="3"/>
  <c r="BC269" i="12"/>
  <c r="AX62" i="3" s="1"/>
  <c r="BC43" i="3"/>
  <c r="BG18" i="3"/>
  <c r="BG27" i="3" s="1"/>
  <c r="BG42" i="3" s="1"/>
  <c r="AW81" i="29"/>
  <c r="BH57" i="2"/>
  <c r="BF138" i="3"/>
  <c r="BD58" i="2"/>
  <c r="BC47" i="2"/>
  <c r="BD46" i="2"/>
  <c r="BD10" i="3" s="1"/>
  <c r="BE154" i="3"/>
  <c r="BE114" i="3"/>
  <c r="BB155" i="3"/>
  <c r="BB139" i="3"/>
  <c r="BG45" i="2"/>
  <c r="BH44" i="2"/>
  <c r="BH9" i="3" s="1"/>
  <c r="AH106" i="2"/>
  <c r="AL105" i="2"/>
  <c r="AB106" i="2"/>
  <c r="AC106" i="2" s="1"/>
  <c r="Y106" i="2"/>
  <c r="Z107" i="2"/>
  <c r="U106" i="2"/>
  <c r="P107" i="2"/>
  <c r="O106" i="2"/>
  <c r="AX54" i="3" l="1"/>
  <c r="AW73" i="29"/>
  <c r="BD269" i="12"/>
  <c r="AY62" i="3" s="1"/>
  <c r="AX81" i="29"/>
  <c r="BD19" i="3"/>
  <c r="BD28" i="3" s="1"/>
  <c r="BD43" i="3" s="1"/>
  <c r="BH18" i="3"/>
  <c r="BH27" i="3" s="1"/>
  <c r="BH42" i="3" s="1"/>
  <c r="BE58" i="2"/>
  <c r="BD47" i="2"/>
  <c r="BE46" i="2"/>
  <c r="BE10" i="3" s="1"/>
  <c r="BE19" i="3" s="1"/>
  <c r="BE28" i="3" s="1"/>
  <c r="BC155" i="3"/>
  <c r="BC139" i="3"/>
  <c r="BH45" i="2"/>
  <c r="BI44" i="2"/>
  <c r="BI9" i="3" s="1"/>
  <c r="BI18" i="3" s="1"/>
  <c r="BI27" i="3" s="1"/>
  <c r="BI57" i="2"/>
  <c r="BF114" i="3"/>
  <c r="BF154" i="3"/>
  <c r="BG138" i="3"/>
  <c r="Y107" i="2"/>
  <c r="AB107" i="2"/>
  <c r="AC107" i="2" s="1"/>
  <c r="Z108" i="2"/>
  <c r="P108" i="2"/>
  <c r="U107" i="2"/>
  <c r="O107" i="2"/>
  <c r="AL106" i="2"/>
  <c r="AH107" i="2"/>
  <c r="AY54" i="3" l="1"/>
  <c r="AX73" i="29"/>
  <c r="BE269" i="12"/>
  <c r="AZ62" i="3" s="1"/>
  <c r="BE43" i="3"/>
  <c r="BI42" i="3"/>
  <c r="BJ57" i="2"/>
  <c r="BI45" i="2"/>
  <c r="BJ44" i="2"/>
  <c r="BJ9" i="3" s="1"/>
  <c r="BE47" i="2"/>
  <c r="BF46" i="2"/>
  <c r="BF10" i="3" s="1"/>
  <c r="BH138" i="3"/>
  <c r="BF58" i="2"/>
  <c r="BG114" i="3"/>
  <c r="BG154" i="3"/>
  <c r="BD139" i="3"/>
  <c r="BD155" i="3"/>
  <c r="AH108" i="2"/>
  <c r="AL107" i="2"/>
  <c r="P109" i="2"/>
  <c r="O108" i="2"/>
  <c r="U108" i="2"/>
  <c r="AB108" i="2"/>
  <c r="AC108" i="2" s="1"/>
  <c r="Y108" i="2"/>
  <c r="Z109" i="2"/>
  <c r="AY81" i="29" l="1"/>
  <c r="AZ54" i="3"/>
  <c r="AY73" i="29"/>
  <c r="BF269" i="12"/>
  <c r="BA62" i="3" s="1"/>
  <c r="BF19" i="3"/>
  <c r="BF28" i="3" s="1"/>
  <c r="BF43" i="3" s="1"/>
  <c r="BJ18" i="3"/>
  <c r="BJ27" i="3" s="1"/>
  <c r="BJ42" i="3" s="1"/>
  <c r="BG58" i="2"/>
  <c r="BE155" i="3"/>
  <c r="BE139" i="3"/>
  <c r="BJ45" i="2"/>
  <c r="BK44" i="2"/>
  <c r="BK9" i="3" s="1"/>
  <c r="BK18" i="3" s="1"/>
  <c r="BK27" i="3" s="1"/>
  <c r="BF47" i="2"/>
  <c r="BG46" i="2"/>
  <c r="BG10" i="3" s="1"/>
  <c r="BK57" i="2"/>
  <c r="BH154" i="3"/>
  <c r="BH114" i="3"/>
  <c r="BI138" i="3"/>
  <c r="AB109" i="2"/>
  <c r="AC109" i="2" s="1"/>
  <c r="Z110" i="2"/>
  <c r="Y109" i="2"/>
  <c r="U109" i="2"/>
  <c r="O109" i="2"/>
  <c r="P110" i="2"/>
  <c r="AH109" i="2"/>
  <c r="AL108" i="2"/>
  <c r="AZ81" i="29" l="1"/>
  <c r="BA54" i="3"/>
  <c r="AZ73" i="29"/>
  <c r="BG269" i="12"/>
  <c r="BB62" i="3" s="1"/>
  <c r="BK42" i="3"/>
  <c r="BA81" i="29"/>
  <c r="BG19" i="3"/>
  <c r="BG28" i="3" s="1"/>
  <c r="BG43" i="3" s="1"/>
  <c r="BG47" i="2"/>
  <c r="BH46" i="2"/>
  <c r="BH10" i="3" s="1"/>
  <c r="BL57" i="2"/>
  <c r="BK45" i="2"/>
  <c r="BL44" i="2"/>
  <c r="BL9" i="3" s="1"/>
  <c r="BH58" i="2"/>
  <c r="BF155" i="3"/>
  <c r="BF139" i="3"/>
  <c r="BJ138" i="3"/>
  <c r="BI154" i="3"/>
  <c r="BI114" i="3"/>
  <c r="AL109" i="2"/>
  <c r="AH110" i="2"/>
  <c r="AB110" i="2"/>
  <c r="AC110" i="2" s="1"/>
  <c r="Z111" i="2"/>
  <c r="Y110" i="2"/>
  <c r="U110" i="2"/>
  <c r="O110" i="2"/>
  <c r="P111" i="2"/>
  <c r="BB54" i="3" l="1"/>
  <c r="BA73" i="29"/>
  <c r="BH269" i="12"/>
  <c r="BC62" i="3" s="1"/>
  <c r="BB81" i="29"/>
  <c r="BL18" i="3"/>
  <c r="BL27" i="3" s="1"/>
  <c r="BL42" i="3" s="1"/>
  <c r="BH19" i="3"/>
  <c r="BH28" i="3" s="1"/>
  <c r="BH43" i="3" s="1"/>
  <c r="BM57" i="2"/>
  <c r="BL45" i="2"/>
  <c r="BM44" i="2"/>
  <c r="BM9" i="3" s="1"/>
  <c r="BH47" i="2"/>
  <c r="BI46" i="2"/>
  <c r="BI58" i="2"/>
  <c r="BK138" i="3"/>
  <c r="BJ114" i="3"/>
  <c r="BJ154" i="3"/>
  <c r="BG139" i="3"/>
  <c r="BG155" i="3"/>
  <c r="O111" i="2"/>
  <c r="U111" i="2"/>
  <c r="P112" i="2"/>
  <c r="AB111" i="2"/>
  <c r="AC111" i="2" s="1"/>
  <c r="Y111" i="2"/>
  <c r="Z112" i="2"/>
  <c r="AL110" i="2"/>
  <c r="AH111" i="2"/>
  <c r="BC54" i="3" l="1"/>
  <c r="BC73" i="29" s="1"/>
  <c r="BB73" i="29"/>
  <c r="BI269" i="12"/>
  <c r="BD62" i="3" s="1"/>
  <c r="BM18" i="3"/>
  <c r="BM27" i="3" s="1"/>
  <c r="BM42" i="3" s="1"/>
  <c r="BJ58" i="2"/>
  <c r="BI10" i="3"/>
  <c r="BI19" i="3" s="1"/>
  <c r="BI28" i="3" s="1"/>
  <c r="BI43" i="3" s="1"/>
  <c r="BK154" i="3"/>
  <c r="BK114" i="3"/>
  <c r="BH155" i="3"/>
  <c r="BH139" i="3"/>
  <c r="BI47" i="2"/>
  <c r="BJ46" i="2"/>
  <c r="BJ10" i="3" s="1"/>
  <c r="BM45" i="2"/>
  <c r="BL138" i="3"/>
  <c r="AB112" i="2"/>
  <c r="AC112" i="2" s="1"/>
  <c r="Y112" i="2"/>
  <c r="O112" i="2"/>
  <c r="U112" i="2"/>
  <c r="AL111" i="2"/>
  <c r="AH112" i="2"/>
  <c r="BC81" i="29" l="1"/>
  <c r="BD54" i="3"/>
  <c r="BJ265" i="12"/>
  <c r="BJ269" i="12"/>
  <c r="BE62" i="3" s="1"/>
  <c r="BJ19" i="3"/>
  <c r="BJ28" i="3" s="1"/>
  <c r="BJ43" i="3" s="1"/>
  <c r="BL154" i="3"/>
  <c r="BL114" i="3"/>
  <c r="BJ47" i="2"/>
  <c r="BK46" i="2"/>
  <c r="BK10" i="3" s="1"/>
  <c r="BK19" i="3" s="1"/>
  <c r="BK28" i="3" s="1"/>
  <c r="BM138" i="3"/>
  <c r="E138" i="3" s="1"/>
  <c r="AS64" i="2"/>
  <c r="E9" i="3"/>
  <c r="BK58" i="2"/>
  <c r="BI139" i="3"/>
  <c r="BI155" i="3"/>
  <c r="P9" i="1"/>
  <c r="Q9" i="1"/>
  <c r="BO265" i="12"/>
  <c r="BN265" i="12"/>
  <c r="BL265" i="12"/>
  <c r="BC266" i="12"/>
  <c r="BC267" i="12"/>
  <c r="V266" i="12"/>
  <c r="BB266" i="12"/>
  <c r="AH266" i="12"/>
  <c r="BA266" i="12"/>
  <c r="AX267" i="12"/>
  <c r="AP267" i="12"/>
  <c r="BB267" i="12"/>
  <c r="AD266" i="12"/>
  <c r="AF266" i="12"/>
  <c r="AO266" i="12"/>
  <c r="AZ267" i="12"/>
  <c r="AB266" i="12"/>
  <c r="AU267" i="12"/>
  <c r="AY266" i="12"/>
  <c r="AT266" i="12"/>
  <c r="AQ267" i="12"/>
  <c r="AI266" i="12"/>
  <c r="AM266" i="12"/>
  <c r="AT267" i="12"/>
  <c r="AX266" i="12"/>
  <c r="AW267" i="12"/>
  <c r="AG266" i="12"/>
  <c r="AS267" i="12"/>
  <c r="AV266" i="12"/>
  <c r="AP266" i="12"/>
  <c r="AK266" i="12"/>
  <c r="BE267" i="12"/>
  <c r="AY267" i="12"/>
  <c r="AQ266" i="12"/>
  <c r="BD266" i="12"/>
  <c r="AN267" i="12"/>
  <c r="AO267" i="12"/>
  <c r="AL266" i="12"/>
  <c r="AR267" i="12"/>
  <c r="AN266" i="12"/>
  <c r="AS266" i="12"/>
  <c r="BD267" i="12"/>
  <c r="AE266" i="12"/>
  <c r="AV267" i="12"/>
  <c r="AC266" i="12"/>
  <c r="AZ266" i="12"/>
  <c r="AW266" i="12"/>
  <c r="BA267" i="12"/>
  <c r="AU266" i="12"/>
  <c r="AR266" i="12"/>
  <c r="AJ266" i="12"/>
  <c r="BE266" i="12"/>
  <c r="BF267" i="12"/>
  <c r="BF266" i="12"/>
  <c r="BG266" i="12"/>
  <c r="BG267" i="12"/>
  <c r="BI266" i="12"/>
  <c r="BJ267" i="12"/>
  <c r="BH267" i="12"/>
  <c r="BH266" i="12"/>
  <c r="BI267" i="12"/>
  <c r="BJ266" i="12"/>
  <c r="BK267" i="12"/>
  <c r="BL266" i="12"/>
  <c r="BO266" i="12"/>
  <c r="BK266" i="12"/>
  <c r="BN266" i="12"/>
  <c r="BO267" i="12"/>
  <c r="BM266" i="12"/>
  <c r="BL267" i="12"/>
  <c r="BM267" i="12"/>
  <c r="BN267" i="12"/>
  <c r="BP267" i="12"/>
  <c r="BP266" i="12"/>
  <c r="BQ266" i="12"/>
  <c r="BR266" i="12"/>
  <c r="BQ267" i="12"/>
  <c r="BR267" i="12"/>
  <c r="BP265" i="12"/>
  <c r="BQ265" i="12"/>
  <c r="BR265" i="12"/>
  <c r="AK265" i="12"/>
  <c r="AL265" i="12"/>
  <c r="AM265" i="12"/>
  <c r="AN265" i="12"/>
  <c r="AO265" i="12"/>
  <c r="AP265" i="12"/>
  <c r="AR265" i="12"/>
  <c r="AS265" i="12"/>
  <c r="AQ265" i="12"/>
  <c r="AX265" i="12"/>
  <c r="AU265" i="12"/>
  <c r="AV265" i="12"/>
  <c r="AT265" i="12"/>
  <c r="AW265" i="12"/>
  <c r="BC265" i="12"/>
  <c r="AZ265" i="12"/>
  <c r="AY265" i="12"/>
  <c r="BD265" i="12"/>
  <c r="BA265" i="12"/>
  <c r="BB265" i="12"/>
  <c r="BE265" i="12"/>
  <c r="BF265" i="12"/>
  <c r="BI265" i="12"/>
  <c r="BM265" i="12"/>
  <c r="BG265" i="12"/>
  <c r="BK265" i="12"/>
  <c r="BH265" i="12"/>
  <c r="AH113" i="2"/>
  <c r="AL112" i="2"/>
  <c r="BE54" i="3" l="1"/>
  <c r="BD73" i="29"/>
  <c r="BE81" i="29"/>
  <c r="BK269" i="12"/>
  <c r="BF62" i="3" s="1"/>
  <c r="BD81" i="29"/>
  <c r="BK43" i="3"/>
  <c r="Q154" i="3"/>
  <c r="Q114" i="3"/>
  <c r="P114" i="3"/>
  <c r="P154" i="3"/>
  <c r="AT64" i="2"/>
  <c r="AU64" i="2" s="1"/>
  <c r="BM114" i="3"/>
  <c r="BM154" i="3"/>
  <c r="BK47" i="2"/>
  <c r="BL46" i="2"/>
  <c r="BL10" i="3" s="1"/>
  <c r="BL58" i="2"/>
  <c r="E27" i="3"/>
  <c r="E18" i="3" s="1"/>
  <c r="O154" i="3"/>
  <c r="O114" i="3"/>
  <c r="G146" i="3"/>
  <c r="H146" i="3" s="1"/>
  <c r="I146" i="3" s="1"/>
  <c r="BJ155" i="3"/>
  <c r="BJ139" i="3"/>
  <c r="BJ61" i="3"/>
  <c r="BE61" i="3"/>
  <c r="AV264" i="12"/>
  <c r="AQ61" i="3"/>
  <c r="BA61" i="3"/>
  <c r="BF264" i="12"/>
  <c r="AR61" i="3"/>
  <c r="AW264" i="12"/>
  <c r="AK61" i="3"/>
  <c r="BM61" i="3"/>
  <c r="M264" i="12"/>
  <c r="BE264" i="12"/>
  <c r="AZ61" i="3"/>
  <c r="AO61" i="3"/>
  <c r="AT264" i="12"/>
  <c r="AJ61" i="3"/>
  <c r="N264" i="12"/>
  <c r="I61" i="3"/>
  <c r="BI61" i="3"/>
  <c r="AV61" i="3"/>
  <c r="BA264" i="12"/>
  <c r="O264" i="12"/>
  <c r="J61" i="3"/>
  <c r="AS61" i="3"/>
  <c r="AX264" i="12"/>
  <c r="P264" i="12"/>
  <c r="K61" i="3"/>
  <c r="BB61" i="3"/>
  <c r="BG264" i="12"/>
  <c r="AY264" i="12"/>
  <c r="AT61" i="3"/>
  <c r="AL61" i="3"/>
  <c r="BK61" i="3"/>
  <c r="Q264" i="12"/>
  <c r="L61" i="3"/>
  <c r="AI61" i="3"/>
  <c r="BH264" i="12"/>
  <c r="BC61" i="3"/>
  <c r="BF61" i="3"/>
  <c r="BH61" i="3"/>
  <c r="AU61" i="3"/>
  <c r="AZ264" i="12"/>
  <c r="AN61" i="3"/>
  <c r="AS264" i="12"/>
  <c r="BG61" i="3"/>
  <c r="AW61" i="3"/>
  <c r="BB264" i="12"/>
  <c r="K264" i="12"/>
  <c r="AP61" i="3"/>
  <c r="AU264" i="12"/>
  <c r="AY61" i="3"/>
  <c r="BD264" i="12"/>
  <c r="BL61" i="3"/>
  <c r="BD61" i="3"/>
  <c r="BI264" i="12"/>
  <c r="BC264" i="12"/>
  <c r="AX61" i="3"/>
  <c r="AM61" i="3"/>
  <c r="AR264" i="12"/>
  <c r="L264" i="12"/>
  <c r="BJ264" i="12"/>
  <c r="AH114" i="2"/>
  <c r="AL113" i="2"/>
  <c r="BF54" i="3" l="1"/>
  <c r="BE73" i="29"/>
  <c r="BG80" i="29"/>
  <c r="BK264" i="12"/>
  <c r="BK80" i="29"/>
  <c r="BL269" i="12"/>
  <c r="BG62" i="3" s="1"/>
  <c r="BD80" i="29"/>
  <c r="AS80" i="29"/>
  <c r="AY80" i="29"/>
  <c r="BE80" i="29"/>
  <c r="AU80" i="29"/>
  <c r="AM80" i="29"/>
  <c r="BB80" i="29"/>
  <c r="I80" i="29"/>
  <c r="AZ80" i="29"/>
  <c r="BL80" i="29"/>
  <c r="AW80" i="29"/>
  <c r="AQ80" i="29"/>
  <c r="BA80" i="29"/>
  <c r="BC80" i="29"/>
  <c r="AN80" i="29"/>
  <c r="AT80" i="29"/>
  <c r="BI80" i="29"/>
  <c r="BF80" i="29"/>
  <c r="L80" i="29"/>
  <c r="AV80" i="29"/>
  <c r="AX80" i="29"/>
  <c r="BF81" i="29"/>
  <c r="AO80" i="29"/>
  <c r="BL19" i="3"/>
  <c r="BL28" i="3" s="1"/>
  <c r="BL43" i="3" s="1"/>
  <c r="BM80" i="29"/>
  <c r="J80" i="29"/>
  <c r="AP80" i="29"/>
  <c r="K80" i="29"/>
  <c r="AR80" i="29"/>
  <c r="BH80" i="29"/>
  <c r="BJ80" i="29"/>
  <c r="E114" i="3"/>
  <c r="A114" i="3" s="1"/>
  <c r="E154" i="3"/>
  <c r="S9" i="1"/>
  <c r="S9" i="21" s="1"/>
  <c r="R9" i="21" s="1"/>
  <c r="BL47" i="2"/>
  <c r="BM46" i="2"/>
  <c r="BM10" i="3" s="1"/>
  <c r="BM58" i="2"/>
  <c r="J146" i="3"/>
  <c r="BK139" i="3"/>
  <c r="BK155" i="3"/>
  <c r="AH115" i="2"/>
  <c r="AL114" i="2"/>
  <c r="BF73" i="29" l="1"/>
  <c r="BG54" i="3"/>
  <c r="BL264" i="12"/>
  <c r="BM269" i="12"/>
  <c r="BH62" i="3" s="1"/>
  <c r="I281" i="12"/>
  <c r="A281" i="12" s="1"/>
  <c r="BM19" i="3"/>
  <c r="BM28" i="3" s="1"/>
  <c r="BM43" i="3" s="1"/>
  <c r="K146" i="3"/>
  <c r="L146" i="3" s="1"/>
  <c r="M146" i="3" s="1"/>
  <c r="BL155" i="3"/>
  <c r="BL139" i="3"/>
  <c r="BM47" i="2"/>
  <c r="AL115" i="2"/>
  <c r="BN269" i="12" s="1"/>
  <c r="BI62" i="3" s="1"/>
  <c r="AH116" i="2"/>
  <c r="K26" i="3"/>
  <c r="L26" i="3"/>
  <c r="L40" i="29" s="1"/>
  <c r="P11" i="12" l="1"/>
  <c r="K40" i="29"/>
  <c r="BG81" i="29"/>
  <c r="BH81" i="29"/>
  <c r="BI54" i="3"/>
  <c r="BG73" i="29"/>
  <c r="BM264" i="12"/>
  <c r="K56" i="29"/>
  <c r="K35" i="3"/>
  <c r="N146" i="3"/>
  <c r="O146" i="3" s="1"/>
  <c r="P146" i="3" s="1"/>
  <c r="Q146" i="3" s="1"/>
  <c r="R146" i="3" s="1"/>
  <c r="S146" i="3" s="1"/>
  <c r="T146" i="3" s="1"/>
  <c r="U146" i="3" s="1"/>
  <c r="V146" i="3" s="1"/>
  <c r="W146" i="3" s="1"/>
  <c r="X146" i="3" s="1"/>
  <c r="Y146" i="3" s="1"/>
  <c r="Z146" i="3" s="1"/>
  <c r="AA146" i="3" s="1"/>
  <c r="AB146" i="3" s="1"/>
  <c r="AC146" i="3" s="1"/>
  <c r="AD146" i="3" s="1"/>
  <c r="AE146" i="3" s="1"/>
  <c r="AF146" i="3" s="1"/>
  <c r="AG146" i="3" s="1"/>
  <c r="AH146" i="3" s="1"/>
  <c r="AI146" i="3" s="1"/>
  <c r="AJ146" i="3" s="1"/>
  <c r="AK146" i="3" s="1"/>
  <c r="AL146" i="3" s="1"/>
  <c r="AM146" i="3" s="1"/>
  <c r="AN146" i="3" s="1"/>
  <c r="AO146" i="3" s="1"/>
  <c r="AP146" i="3" s="1"/>
  <c r="AQ146" i="3" s="1"/>
  <c r="AR146" i="3" s="1"/>
  <c r="AS146" i="3" s="1"/>
  <c r="AT146" i="3" s="1"/>
  <c r="AU146" i="3" s="1"/>
  <c r="AV146" i="3" s="1"/>
  <c r="AW146" i="3" s="1"/>
  <c r="AX146" i="3" s="1"/>
  <c r="AY146" i="3" s="1"/>
  <c r="AZ146" i="3" s="1"/>
  <c r="BA146" i="3" s="1"/>
  <c r="BB146" i="3" s="1"/>
  <c r="BC146" i="3" s="1"/>
  <c r="BD146" i="3" s="1"/>
  <c r="BE146" i="3" s="1"/>
  <c r="BF146" i="3" s="1"/>
  <c r="BG146" i="3" s="1"/>
  <c r="BH146" i="3" s="1"/>
  <c r="BM139" i="3"/>
  <c r="E139" i="3" s="1"/>
  <c r="BM155" i="3"/>
  <c r="AS65" i="2"/>
  <c r="E10" i="3"/>
  <c r="BN264" i="12"/>
  <c r="AH117" i="2"/>
  <c r="AL116" i="2"/>
  <c r="BO269" i="12" s="1"/>
  <c r="BJ62" i="3" s="1"/>
  <c r="K153" i="3"/>
  <c r="K55" i="29" l="1"/>
  <c r="K54" i="29" s="1"/>
  <c r="BH54" i="3"/>
  <c r="BH73" i="29" s="1"/>
  <c r="BJ54" i="3"/>
  <c r="Q11" i="12"/>
  <c r="BI73" i="29"/>
  <c r="BI81" i="29"/>
  <c r="L35" i="3"/>
  <c r="BI146" i="3"/>
  <c r="BJ146" i="3" s="1"/>
  <c r="BK146" i="3" s="1"/>
  <c r="BL146" i="3" s="1"/>
  <c r="BM146" i="3" s="1"/>
  <c r="E146" i="3" s="1"/>
  <c r="AT65" i="2"/>
  <c r="AU65" i="2" s="1"/>
  <c r="O155" i="3"/>
  <c r="O115" i="3"/>
  <c r="BO264" i="12"/>
  <c r="AH118" i="2"/>
  <c r="AL117" i="2"/>
  <c r="BP269" i="12" s="1"/>
  <c r="BK62" i="3" s="1"/>
  <c r="M26" i="3"/>
  <c r="M40" i="29" s="1"/>
  <c r="L153" i="3"/>
  <c r="BK54" i="3" l="1"/>
  <c r="M35" i="3"/>
  <c r="M55" i="29" s="1"/>
  <c r="R11" i="12"/>
  <c r="BJ73" i="29"/>
  <c r="BJ81" i="29"/>
  <c r="L39" i="29"/>
  <c r="L55" i="29"/>
  <c r="K39" i="29"/>
  <c r="P115" i="3"/>
  <c r="P155" i="3"/>
  <c r="Q10" i="1"/>
  <c r="L56" i="29"/>
  <c r="BP264" i="12"/>
  <c r="AH119" i="2"/>
  <c r="AL118" i="2"/>
  <c r="BQ269" i="12" s="1"/>
  <c r="BL62" i="3" s="1"/>
  <c r="M153" i="3"/>
  <c r="K24" i="29" l="1"/>
  <c r="L24" i="29"/>
  <c r="M39" i="29"/>
  <c r="BL54" i="3"/>
  <c r="L172" i="29"/>
  <c r="BK73" i="29"/>
  <c r="BK81" i="29"/>
  <c r="L54" i="29"/>
  <c r="K172" i="29"/>
  <c r="R155" i="3"/>
  <c r="Q155" i="3"/>
  <c r="E28" i="3"/>
  <c r="E19" i="3" s="1"/>
  <c r="G147" i="3"/>
  <c r="H147" i="3" s="1"/>
  <c r="I147" i="3" s="1"/>
  <c r="J147" i="3" s="1"/>
  <c r="K147" i="3" s="1"/>
  <c r="L147" i="3" s="1"/>
  <c r="M147" i="3" s="1"/>
  <c r="N147" i="3" s="1"/>
  <c r="O147" i="3" s="1"/>
  <c r="P147" i="3" s="1"/>
  <c r="Q147" i="3" s="1"/>
  <c r="R147" i="3" s="1"/>
  <c r="S147" i="3" s="1"/>
  <c r="T147" i="3" s="1"/>
  <c r="U147" i="3" s="1"/>
  <c r="V147" i="3" s="1"/>
  <c r="W147" i="3" s="1"/>
  <c r="X147" i="3" s="1"/>
  <c r="Y147" i="3" s="1"/>
  <c r="Z147" i="3" s="1"/>
  <c r="AA147" i="3" s="1"/>
  <c r="AB147" i="3" s="1"/>
  <c r="AC147" i="3" s="1"/>
  <c r="AD147" i="3" s="1"/>
  <c r="AE147" i="3" s="1"/>
  <c r="AF147" i="3" s="1"/>
  <c r="AG147" i="3" s="1"/>
  <c r="AH147" i="3" s="1"/>
  <c r="AI147" i="3" s="1"/>
  <c r="AJ147" i="3" s="1"/>
  <c r="AK147" i="3" s="1"/>
  <c r="AL147" i="3" s="1"/>
  <c r="AM147" i="3" s="1"/>
  <c r="AN147" i="3" s="1"/>
  <c r="AO147" i="3" s="1"/>
  <c r="AP147" i="3" s="1"/>
  <c r="AQ147" i="3" s="1"/>
  <c r="AR147" i="3" s="1"/>
  <c r="AS147" i="3" s="1"/>
  <c r="AT147" i="3" s="1"/>
  <c r="AU147" i="3" s="1"/>
  <c r="AV147" i="3" s="1"/>
  <c r="AW147" i="3" s="1"/>
  <c r="AX147" i="3" s="1"/>
  <c r="AY147" i="3" s="1"/>
  <c r="AZ147" i="3" s="1"/>
  <c r="BA147" i="3" s="1"/>
  <c r="BB147" i="3" s="1"/>
  <c r="BC147" i="3" s="1"/>
  <c r="BD147" i="3" s="1"/>
  <c r="BE147" i="3" s="1"/>
  <c r="BF147" i="3" s="1"/>
  <c r="BG147" i="3" s="1"/>
  <c r="BH147" i="3" s="1"/>
  <c r="BI147" i="3" s="1"/>
  <c r="BJ147" i="3" s="1"/>
  <c r="BK147" i="3" s="1"/>
  <c r="BL147" i="3" s="1"/>
  <c r="BM147" i="3" s="1"/>
  <c r="E147" i="3" s="1"/>
  <c r="Q115" i="3"/>
  <c r="R115" i="3" s="1"/>
  <c r="P10" i="1"/>
  <c r="M56" i="29"/>
  <c r="M54" i="29" s="1"/>
  <c r="BQ264" i="12"/>
  <c r="AL119" i="2"/>
  <c r="BR269" i="12" s="1"/>
  <c r="BM62" i="3" s="1"/>
  <c r="AH120" i="2"/>
  <c r="M24" i="29" l="1"/>
  <c r="M172" i="29"/>
  <c r="BM54" i="3"/>
  <c r="BL73" i="29"/>
  <c r="BL81" i="29"/>
  <c r="E155" i="3"/>
  <c r="S10" i="1"/>
  <c r="S10" i="21" s="1"/>
  <c r="R10" i="21" s="1"/>
  <c r="S115" i="3"/>
  <c r="T115" i="3" s="1"/>
  <c r="E62" i="24"/>
  <c r="J29" i="23" s="1"/>
  <c r="I269" i="12"/>
  <c r="A269" i="12" s="1"/>
  <c r="BR264" i="12"/>
  <c r="AL120" i="2"/>
  <c r="AH121" i="2"/>
  <c r="BM81" i="29" l="1"/>
  <c r="E81" i="29" s="1"/>
  <c r="E54" i="24"/>
  <c r="J52" i="23" s="1"/>
  <c r="U115" i="3"/>
  <c r="V115" i="3" s="1"/>
  <c r="W115" i="3" s="1"/>
  <c r="X115" i="3" s="1"/>
  <c r="Y115" i="3" s="1"/>
  <c r="Z115" i="3" s="1"/>
  <c r="AA115" i="3" s="1"/>
  <c r="AB115" i="3" s="1"/>
  <c r="AC115" i="3" s="1"/>
  <c r="AD115" i="3" s="1"/>
  <c r="AE115" i="3" s="1"/>
  <c r="AF115" i="3" s="1"/>
  <c r="AG115" i="3" s="1"/>
  <c r="AH115" i="3" s="1"/>
  <c r="AI115" i="3" s="1"/>
  <c r="AJ115" i="3" s="1"/>
  <c r="AK115" i="3" s="1"/>
  <c r="AL115" i="3" s="1"/>
  <c r="AM115" i="3" s="1"/>
  <c r="AN115" i="3" s="1"/>
  <c r="AO115" i="3" s="1"/>
  <c r="AP115" i="3" s="1"/>
  <c r="AQ115" i="3" s="1"/>
  <c r="AR115" i="3" s="1"/>
  <c r="AS115" i="3" s="1"/>
  <c r="AT115" i="3" s="1"/>
  <c r="AU115" i="3" s="1"/>
  <c r="AV115" i="3" s="1"/>
  <c r="AW115" i="3" s="1"/>
  <c r="AX115" i="3" s="1"/>
  <c r="AY115" i="3" s="1"/>
  <c r="AZ115" i="3" s="1"/>
  <c r="BA115" i="3" s="1"/>
  <c r="BB115" i="3" s="1"/>
  <c r="BC115" i="3" s="1"/>
  <c r="E62" i="3"/>
  <c r="J29" i="1" s="1"/>
  <c r="J29" i="21" s="1"/>
  <c r="AH122" i="2"/>
  <c r="AL122" i="2" s="1"/>
  <c r="AL121" i="2"/>
  <c r="E54" i="3" l="1"/>
  <c r="J52" i="1" s="1"/>
  <c r="J52" i="21" s="1"/>
  <c r="BM73" i="29"/>
  <c r="E73" i="29" s="1"/>
  <c r="BD115" i="3"/>
  <c r="BE115" i="3" s="1"/>
  <c r="BF115" i="3" s="1"/>
  <c r="BG115" i="3" s="1"/>
  <c r="BH115" i="3" s="1"/>
  <c r="BI115" i="3" s="1"/>
  <c r="BJ115" i="3" s="1"/>
  <c r="BK115" i="3" s="1"/>
  <c r="BL115" i="3" s="1"/>
  <c r="BM115" i="3" s="1"/>
  <c r="E115" i="3" s="1"/>
  <c r="A115" i="3" s="1"/>
  <c r="V53" i="29" l="1"/>
  <c r="W53" i="29" l="1"/>
  <c r="K103" i="3"/>
  <c r="K123" i="29" l="1"/>
  <c r="K122" i="29"/>
  <c r="L361" i="12"/>
  <c r="M361" i="12"/>
  <c r="K361" i="12"/>
  <c r="M360" i="12" l="1"/>
  <c r="M136" i="12" s="1"/>
  <c r="L360" i="12"/>
  <c r="L136" i="12" s="1"/>
  <c r="K360" i="12"/>
  <c r="G92" i="29" l="1"/>
  <c r="H92" i="29"/>
  <c r="F92" i="29"/>
  <c r="K136" i="12"/>
  <c r="L103" i="3"/>
  <c r="M103" i="3"/>
  <c r="M123" i="29" l="1"/>
  <c r="M122" i="29"/>
  <c r="L123" i="29"/>
  <c r="L122" i="29"/>
  <c r="J100" i="29"/>
  <c r="J103" i="3"/>
  <c r="J123" i="29" l="1"/>
  <c r="J122" i="29"/>
  <c r="M111" i="10" l="1"/>
  <c r="N40" i="25" l="1"/>
  <c r="N41" i="25" s="1"/>
  <c r="N8" i="24" l="1"/>
  <c r="O56" i="25"/>
  <c r="O40" i="25"/>
  <c r="O8" i="24" l="1"/>
  <c r="O17" i="24" s="1"/>
  <c r="O41" i="25"/>
  <c r="N17" i="24"/>
  <c r="N26" i="29" s="1"/>
  <c r="N11" i="29"/>
  <c r="N137" i="24"/>
  <c r="P40" i="25"/>
  <c r="P41" i="25" s="1"/>
  <c r="P56" i="25"/>
  <c r="O11" i="29" l="1"/>
  <c r="P8" i="24"/>
  <c r="Q56" i="25"/>
  <c r="Q40" i="25"/>
  <c r="Q41" i="25" s="1"/>
  <c r="O137" i="24"/>
  <c r="P11" i="29" l="1"/>
  <c r="P17" i="24"/>
  <c r="Q8" i="24"/>
  <c r="R40" i="25"/>
  <c r="R41" i="25" s="1"/>
  <c r="R56" i="25"/>
  <c r="P137" i="24"/>
  <c r="Q11" i="29" l="1"/>
  <c r="Q17" i="24"/>
  <c r="R8" i="24"/>
  <c r="S56" i="25"/>
  <c r="S40" i="25"/>
  <c r="S41" i="25" s="1"/>
  <c r="Q137" i="24"/>
  <c r="R137" i="24" l="1"/>
  <c r="R17" i="24"/>
  <c r="R11" i="29"/>
  <c r="S8" i="24"/>
  <c r="T40" i="25"/>
  <c r="T56" i="25"/>
  <c r="U40" i="25"/>
  <c r="U8" i="24" l="1"/>
  <c r="U17" i="24" s="1"/>
  <c r="U41" i="25"/>
  <c r="T8" i="24"/>
  <c r="T17" i="24" s="1"/>
  <c r="T41" i="25"/>
  <c r="S137" i="24"/>
  <c r="S17" i="24"/>
  <c r="S11" i="29"/>
  <c r="U56" i="25"/>
  <c r="V56" i="25" s="1"/>
  <c r="V40" i="25"/>
  <c r="V41" i="25" s="1"/>
  <c r="U11" i="29" l="1"/>
  <c r="T11" i="29"/>
  <c r="T137" i="24"/>
  <c r="V8" i="24"/>
  <c r="W56" i="25"/>
  <c r="U137" i="24"/>
  <c r="V11" i="29" l="1"/>
  <c r="V17" i="24"/>
  <c r="V137" i="24"/>
  <c r="P26" i="29" l="1"/>
  <c r="Q26" i="29" l="1"/>
  <c r="R26" i="29" l="1"/>
  <c r="S26" i="29" l="1"/>
  <c r="T26" i="29" l="1"/>
  <c r="U26" i="29" l="1"/>
  <c r="V26" i="29" l="1"/>
  <c r="N26" i="24" l="1"/>
  <c r="N37" i="24" s="1"/>
  <c r="N39" i="24" l="1"/>
  <c r="N40" i="24" s="1"/>
  <c r="N41" i="24" s="1"/>
  <c r="N35" i="24" s="1"/>
  <c r="N41" i="29"/>
  <c r="N153" i="24"/>
  <c r="P26" i="24" l="1"/>
  <c r="P37" i="24" s="1"/>
  <c r="P39" i="24" l="1"/>
  <c r="P40" i="24" s="1"/>
  <c r="P41" i="24" s="1"/>
  <c r="P35" i="24" s="1"/>
  <c r="P41" i="29"/>
  <c r="Q26" i="24"/>
  <c r="P153" i="24"/>
  <c r="Q41" i="29" l="1"/>
  <c r="Q37" i="24"/>
  <c r="U16" i="12"/>
  <c r="R26" i="24"/>
  <c r="R37" i="24" s="1"/>
  <c r="Q153" i="24"/>
  <c r="R39" i="24" l="1"/>
  <c r="R40" i="24" s="1"/>
  <c r="R41" i="24" s="1"/>
  <c r="R35" i="24" s="1"/>
  <c r="Q39" i="24"/>
  <c r="Q40" i="24" s="1"/>
  <c r="Q41" i="24" s="1"/>
  <c r="Q35" i="24" s="1"/>
  <c r="R41" i="29"/>
  <c r="S26" i="24"/>
  <c r="R153" i="24"/>
  <c r="W16" i="12" l="1"/>
  <c r="S41" i="29"/>
  <c r="S37" i="24"/>
  <c r="V16" i="12"/>
  <c r="T26" i="24"/>
  <c r="S153" i="24"/>
  <c r="T41" i="29" l="1"/>
  <c r="T37" i="24"/>
  <c r="S39" i="24"/>
  <c r="S40" i="24" s="1"/>
  <c r="S41" i="24" s="1"/>
  <c r="S35" i="24" s="1"/>
  <c r="U26" i="24"/>
  <c r="T153" i="24"/>
  <c r="U41" i="29" l="1"/>
  <c r="U37" i="24"/>
  <c r="X16" i="12"/>
  <c r="T39" i="24"/>
  <c r="T40" i="24" s="1"/>
  <c r="T41" i="24" s="1"/>
  <c r="T35" i="24" s="1"/>
  <c r="U153" i="24"/>
  <c r="V26" i="24"/>
  <c r="Y16" i="12" l="1"/>
  <c r="V41" i="29"/>
  <c r="V37" i="24"/>
  <c r="U39" i="24"/>
  <c r="U40" i="24" s="1"/>
  <c r="U41" i="24" s="1"/>
  <c r="V153" i="24"/>
  <c r="U35" i="24" l="1"/>
  <c r="V39" i="24"/>
  <c r="V40" i="24" s="1"/>
  <c r="V41" i="24" s="1"/>
  <c r="V35" i="24" l="1"/>
  <c r="Z16" i="12"/>
  <c r="AA16" i="12" l="1"/>
  <c r="O40" i="2" l="1"/>
  <c r="O8" i="3" l="1"/>
  <c r="O17" i="3" s="1"/>
  <c r="O41" i="2"/>
  <c r="O42" i="2" s="1"/>
  <c r="P40" i="2"/>
  <c r="P41" i="2" s="1"/>
  <c r="P42" i="2" s="1"/>
  <c r="O137" i="3" l="1"/>
  <c r="O10" i="29"/>
  <c r="O9" i="29" s="1"/>
  <c r="O156" i="29" s="1"/>
  <c r="P8" i="3"/>
  <c r="P17" i="3" s="1"/>
  <c r="Q40" i="2"/>
  <c r="R40" i="2" l="1"/>
  <c r="R41" i="2" s="1"/>
  <c r="R42" i="2" s="1"/>
  <c r="Q41" i="2"/>
  <c r="Q42" i="2" s="1"/>
  <c r="Q8" i="3"/>
  <c r="Q17" i="3" s="1"/>
  <c r="P137" i="3"/>
  <c r="P10" i="29"/>
  <c r="P9" i="29" s="1"/>
  <c r="R8" i="3" l="1"/>
  <c r="R17" i="3" s="1"/>
  <c r="Q137" i="3"/>
  <c r="Q10" i="29"/>
  <c r="Q9" i="29" s="1"/>
  <c r="Q156" i="29" s="1"/>
  <c r="G74" i="29"/>
  <c r="P156" i="29"/>
  <c r="R137" i="3" l="1"/>
  <c r="R10" i="29"/>
  <c r="R9" i="29" s="1"/>
  <c r="R156" i="29" s="1"/>
  <c r="M87" i="29"/>
  <c r="I87" i="29"/>
  <c r="L87" i="29"/>
  <c r="K87" i="29"/>
  <c r="J87" i="29"/>
  <c r="I74" i="29" l="1"/>
  <c r="J74" i="29" l="1"/>
  <c r="K74" i="29" l="1"/>
  <c r="M74" i="29"/>
  <c r="L74" i="29" l="1"/>
  <c r="O25" i="29" l="1"/>
  <c r="O26" i="3" l="1"/>
  <c r="O37" i="3" s="1"/>
  <c r="P25" i="29"/>
  <c r="O39" i="3" l="1"/>
  <c r="O40" i="3" s="1"/>
  <c r="O41" i="3" s="1"/>
  <c r="O35" i="3" s="1"/>
  <c r="O40" i="29"/>
  <c r="O153" i="3"/>
  <c r="P26" i="3"/>
  <c r="P37" i="3" s="1"/>
  <c r="P39" i="3" s="1"/>
  <c r="Q25" i="29"/>
  <c r="P40" i="3" l="1"/>
  <c r="P41" i="3" s="1"/>
  <c r="P35" i="3" s="1"/>
  <c r="P40" i="29"/>
  <c r="P39" i="29" s="1"/>
  <c r="P153" i="3"/>
  <c r="Q26" i="3"/>
  <c r="Q37" i="3" s="1"/>
  <c r="R25" i="29" l="1"/>
  <c r="Q39" i="3"/>
  <c r="Q40" i="3" s="1"/>
  <c r="Q41" i="3" s="1"/>
  <c r="P24" i="29"/>
  <c r="Q40" i="29"/>
  <c r="Q39" i="29" s="1"/>
  <c r="P172" i="29"/>
  <c r="R26" i="3"/>
  <c r="R37" i="3" s="1"/>
  <c r="Q153" i="3"/>
  <c r="R39" i="3" l="1"/>
  <c r="R40" i="3" s="1"/>
  <c r="R41" i="3" s="1"/>
  <c r="Q35" i="3"/>
  <c r="Q24" i="29"/>
  <c r="R40" i="29"/>
  <c r="R39" i="29" s="1"/>
  <c r="R153" i="3"/>
  <c r="Q172" i="29"/>
  <c r="R35" i="3" l="1"/>
  <c r="R24" i="29"/>
  <c r="R172" i="29"/>
  <c r="D9" i="1" l="1"/>
  <c r="D12" i="1"/>
  <c r="D10" i="1"/>
  <c r="AA48" i="2" l="1"/>
  <c r="AA11" i="3" l="1"/>
  <c r="AB48" i="2"/>
  <c r="AA15" i="29" l="1"/>
  <c r="AA14" i="29" s="1"/>
  <c r="AA159" i="29" s="1"/>
  <c r="N147" i="12"/>
  <c r="O147" i="12"/>
  <c r="P147" i="12"/>
  <c r="Q147" i="12"/>
  <c r="O372" i="12"/>
  <c r="Q372" i="12"/>
  <c r="R372" i="12"/>
  <c r="N372" i="12"/>
  <c r="P372" i="12"/>
  <c r="AB11" i="3"/>
  <c r="R287" i="12"/>
  <c r="O287" i="12"/>
  <c r="Q287" i="12"/>
  <c r="P287" i="12"/>
  <c r="N287" i="12"/>
  <c r="AC48" i="2"/>
  <c r="AA20" i="3"/>
  <c r="AA140" i="3"/>
  <c r="O223" i="12"/>
  <c r="Q223" i="12"/>
  <c r="P223" i="12"/>
  <c r="N223" i="12"/>
  <c r="R223" i="12"/>
  <c r="R147" i="12"/>
  <c r="V267" i="12" l="1"/>
  <c r="T267" i="12"/>
  <c r="U267" i="12"/>
  <c r="S267" i="12"/>
  <c r="AB15" i="29"/>
  <c r="AB14" i="29" s="1"/>
  <c r="AB159" i="29" s="1"/>
  <c r="AA29" i="3"/>
  <c r="AA30" i="29"/>
  <c r="R325" i="12"/>
  <c r="P325" i="12"/>
  <c r="AC11" i="3"/>
  <c r="AD48" i="2"/>
  <c r="N325" i="12"/>
  <c r="Q325" i="12"/>
  <c r="AB20" i="3"/>
  <c r="AB140" i="3"/>
  <c r="O325" i="12"/>
  <c r="AA45" i="29" l="1"/>
  <c r="AA44" i="29" s="1"/>
  <c r="AA29" i="29" s="1"/>
  <c r="AF12" i="12"/>
  <c r="AC15" i="29"/>
  <c r="AC14" i="29" s="1"/>
  <c r="AC159" i="29" s="1"/>
  <c r="AA116" i="3"/>
  <c r="M83" i="29"/>
  <c r="K90" i="29"/>
  <c r="L84" i="29"/>
  <c r="M82" i="29"/>
  <c r="M90" i="29"/>
  <c r="U266" i="12"/>
  <c r="M91" i="29"/>
  <c r="S266" i="12"/>
  <c r="T266" i="12"/>
  <c r="AA156" i="3"/>
  <c r="J90" i="29"/>
  <c r="K83" i="29"/>
  <c r="K91" i="29"/>
  <c r="L91" i="29"/>
  <c r="J91" i="29"/>
  <c r="AB29" i="3"/>
  <c r="AB45" i="29" s="1"/>
  <c r="AB44" i="29" s="1"/>
  <c r="AB30" i="29"/>
  <c r="I90" i="29"/>
  <c r="K84" i="29"/>
  <c r="I91" i="29"/>
  <c r="L90" i="29"/>
  <c r="I84" i="29"/>
  <c r="M84" i="29"/>
  <c r="J82" i="29"/>
  <c r="J84" i="29"/>
  <c r="J83" i="29"/>
  <c r="L83" i="29"/>
  <c r="I83" i="29"/>
  <c r="I82" i="29"/>
  <c r="L82" i="29"/>
  <c r="K82" i="29"/>
  <c r="AD11" i="3"/>
  <c r="AE48" i="2"/>
  <c r="AC140" i="3"/>
  <c r="AC20" i="3"/>
  <c r="AA135" i="29" l="1"/>
  <c r="AA175" i="29"/>
  <c r="AB116" i="3"/>
  <c r="AD15" i="29"/>
  <c r="AD14" i="29" s="1"/>
  <c r="AD159" i="29" s="1"/>
  <c r="AA44" i="3"/>
  <c r="AB156" i="3"/>
  <c r="AC29" i="3"/>
  <c r="AC45" i="29" s="1"/>
  <c r="AC44" i="29" s="1"/>
  <c r="AC30" i="29"/>
  <c r="AB29" i="29"/>
  <c r="AB175" i="29"/>
  <c r="AB135" i="29"/>
  <c r="AE11" i="3"/>
  <c r="AD140" i="3"/>
  <c r="AD20" i="3"/>
  <c r="AA60" i="29" l="1"/>
  <c r="AA59" i="29" s="1"/>
  <c r="AG12" i="12"/>
  <c r="AB44" i="3" s="1"/>
  <c r="AH12" i="12" s="1"/>
  <c r="AC156" i="3"/>
  <c r="AC116" i="3"/>
  <c r="AC29" i="29"/>
  <c r="AC135" i="29"/>
  <c r="AC175" i="29"/>
  <c r="AE15" i="29"/>
  <c r="AE14" i="29" s="1"/>
  <c r="AE159" i="29" s="1"/>
  <c r="AD29" i="3"/>
  <c r="AD45" i="29" s="1"/>
  <c r="AD44" i="29" s="1"/>
  <c r="AD30" i="29"/>
  <c r="AE140" i="3"/>
  <c r="AE20" i="3"/>
  <c r="AB60" i="29" l="1"/>
  <c r="AB59" i="29" s="1"/>
  <c r="S265" i="12"/>
  <c r="S264" i="12" s="1"/>
  <c r="AC44" i="3"/>
  <c r="AD116" i="3"/>
  <c r="AE29" i="3"/>
  <c r="AE45" i="29" s="1"/>
  <c r="AE44" i="29" s="1"/>
  <c r="AE30" i="29"/>
  <c r="AD29" i="29"/>
  <c r="AD135" i="29"/>
  <c r="AD175" i="29"/>
  <c r="AD156" i="3"/>
  <c r="AC60" i="29" l="1"/>
  <c r="AC59" i="29" s="1"/>
  <c r="AI12" i="12"/>
  <c r="AD44" i="3" s="1"/>
  <c r="AE156" i="3"/>
  <c r="AE116" i="3"/>
  <c r="N61" i="3"/>
  <c r="U265" i="12"/>
  <c r="U264" i="12" s="1"/>
  <c r="AE29" i="29"/>
  <c r="AE135" i="29"/>
  <c r="AE175" i="29"/>
  <c r="AD60" i="29" l="1"/>
  <c r="AD59" i="29" s="1"/>
  <c r="AJ12" i="12"/>
  <c r="N80" i="29"/>
  <c r="P61" i="3"/>
  <c r="V265" i="12"/>
  <c r="R264" i="12"/>
  <c r="M61" i="3"/>
  <c r="P80" i="29" l="1"/>
  <c r="Q61" i="3"/>
  <c r="Q80" i="29" s="1"/>
  <c r="V264" i="12"/>
  <c r="M80" i="29"/>
  <c r="T265" i="12"/>
  <c r="AE44" i="3"/>
  <c r="AE60" i="29" l="1"/>
  <c r="AE59" i="29" s="1"/>
  <c r="O61" i="3"/>
  <c r="T264" i="12"/>
  <c r="O80" i="29" l="1"/>
  <c r="J17" i="23" l="1"/>
  <c r="H17" i="23" l="1"/>
  <c r="G17" i="23"/>
  <c r="E54" i="25"/>
  <c r="G54" i="25" s="1"/>
  <c r="J34" i="23" l="1"/>
  <c r="AG66" i="24" s="1"/>
  <c r="I34" i="23"/>
  <c r="AH66" i="24"/>
  <c r="AA66" i="24"/>
  <c r="AX66" i="24"/>
  <c r="AI66" i="24"/>
  <c r="AY66" i="24"/>
  <c r="R66" i="24"/>
  <c r="AT66" i="24"/>
  <c r="N66" i="24"/>
  <c r="BK66" i="24"/>
  <c r="K66" i="24"/>
  <c r="K74" i="24" s="1"/>
  <c r="W66" i="24"/>
  <c r="BH66" i="24"/>
  <c r="AB66" i="24"/>
  <c r="Q66" i="24"/>
  <c r="V66" i="24"/>
  <c r="BL66" i="24"/>
  <c r="X66" i="24"/>
  <c r="AW66" i="24"/>
  <c r="Z66" i="24"/>
  <c r="L66" i="24"/>
  <c r="L74" i="24" s="1"/>
  <c r="F66" i="24"/>
  <c r="F74" i="24" s="1"/>
  <c r="F59" i="24" s="1"/>
  <c r="AK66" i="24"/>
  <c r="AF66" i="24"/>
  <c r="M66" i="24"/>
  <c r="M74" i="24" s="1"/>
  <c r="AE66" i="24"/>
  <c r="J66" i="24"/>
  <c r="J74" i="24" s="1"/>
  <c r="BF66" i="24"/>
  <c r="BC66" i="24"/>
  <c r="H54" i="25"/>
  <c r="I54" i="25" s="1"/>
  <c r="J54" i="25" s="1"/>
  <c r="G14" i="24"/>
  <c r="G23" i="24" s="1"/>
  <c r="AU66" i="24" l="1"/>
  <c r="BE66" i="24"/>
  <c r="BI66" i="24"/>
  <c r="T66" i="24"/>
  <c r="AS66" i="24"/>
  <c r="I66" i="24"/>
  <c r="I74" i="24" s="1"/>
  <c r="Y66" i="24"/>
  <c r="AQ66" i="24"/>
  <c r="O66" i="24"/>
  <c r="AZ66" i="24"/>
  <c r="BJ66" i="24"/>
  <c r="S66" i="24"/>
  <c r="BG66" i="24"/>
  <c r="H66" i="24"/>
  <c r="H74" i="24" s="1"/>
  <c r="H59" i="24" s="1"/>
  <c r="AC66" i="24"/>
  <c r="AJ66" i="24"/>
  <c r="U66" i="24"/>
  <c r="P66" i="24"/>
  <c r="H34" i="23"/>
  <c r="BA66" i="24"/>
  <c r="AR66" i="24"/>
  <c r="BB66" i="24"/>
  <c r="G66" i="24"/>
  <c r="G74" i="24" s="1"/>
  <c r="G59" i="24" s="1"/>
  <c r="AP66" i="24"/>
  <c r="BM66" i="24"/>
  <c r="AO66" i="24"/>
  <c r="AN66" i="24"/>
  <c r="BD66" i="24"/>
  <c r="AV66" i="24"/>
  <c r="AD66" i="24"/>
  <c r="AL66" i="24"/>
  <c r="AM66" i="24"/>
  <c r="J55" i="25"/>
  <c r="J14" i="24"/>
  <c r="G143" i="24"/>
  <c r="G32" i="24"/>
  <c r="H55" i="25"/>
  <c r="H14" i="24"/>
  <c r="H23" i="24" s="1"/>
  <c r="K54" i="25"/>
  <c r="I14" i="24"/>
  <c r="I55" i="25"/>
  <c r="E66" i="24" l="1"/>
  <c r="AT85" i="25" s="1"/>
  <c r="L54" i="25"/>
  <c r="M54" i="25" s="1"/>
  <c r="H143" i="24"/>
  <c r="H32" i="24"/>
  <c r="K14" i="24"/>
  <c r="K55" i="25"/>
  <c r="I23" i="24"/>
  <c r="I32" i="24" s="1"/>
  <c r="I143" i="24"/>
  <c r="G47" i="24"/>
  <c r="G119" i="24"/>
  <c r="G159" i="24"/>
  <c r="J23" i="24"/>
  <c r="J32" i="24" s="1"/>
  <c r="J143" i="24"/>
  <c r="AT73" i="25" l="1"/>
  <c r="H159" i="24"/>
  <c r="H47" i="24"/>
  <c r="I47" i="24" s="1"/>
  <c r="H119" i="24"/>
  <c r="I159" i="24"/>
  <c r="J159" i="24"/>
  <c r="K143" i="24"/>
  <c r="K23" i="24"/>
  <c r="K32" i="24" s="1"/>
  <c r="L55" i="25"/>
  <c r="L14" i="24"/>
  <c r="M55" i="25"/>
  <c r="M14" i="24"/>
  <c r="N54" i="25"/>
  <c r="J47" i="24" l="1"/>
  <c r="K47" i="24" s="1"/>
  <c r="I119" i="24"/>
  <c r="K159" i="24"/>
  <c r="L23" i="24"/>
  <c r="L32" i="24" s="1"/>
  <c r="L143" i="24"/>
  <c r="N14" i="24"/>
  <c r="N55" i="25"/>
  <c r="M23" i="24"/>
  <c r="M32" i="24" s="1"/>
  <c r="M143" i="24"/>
  <c r="O54" i="25"/>
  <c r="J119" i="24" l="1"/>
  <c r="K119" i="24" s="1"/>
  <c r="N23" i="24"/>
  <c r="N32" i="24" s="1"/>
  <c r="N143" i="24"/>
  <c r="M159" i="24"/>
  <c r="L159" i="24"/>
  <c r="L47" i="24"/>
  <c r="M47" i="24" s="1"/>
  <c r="O55" i="25"/>
  <c r="O14" i="24"/>
  <c r="P54" i="25"/>
  <c r="L119" i="24" l="1"/>
  <c r="M119" i="24" s="1"/>
  <c r="N159" i="24"/>
  <c r="N47" i="24"/>
  <c r="P14" i="24"/>
  <c r="P55" i="25"/>
  <c r="Q54" i="25"/>
  <c r="O143" i="24"/>
  <c r="N119" i="24" l="1"/>
  <c r="Q55" i="25"/>
  <c r="Q14" i="24"/>
  <c r="R54" i="25"/>
  <c r="P143" i="24"/>
  <c r="R55" i="25" l="1"/>
  <c r="R14" i="24"/>
  <c r="S54" i="25"/>
  <c r="Q143" i="24"/>
  <c r="S55" i="25" l="1"/>
  <c r="S14" i="24"/>
  <c r="T54" i="25"/>
  <c r="R143" i="24"/>
  <c r="T14" i="24" l="1"/>
  <c r="T55" i="25"/>
  <c r="U54" i="25"/>
  <c r="S23" i="24"/>
  <c r="S32" i="24" s="1"/>
  <c r="S143" i="24"/>
  <c r="U55" i="25" l="1"/>
  <c r="U14" i="24"/>
  <c r="V54" i="25"/>
  <c r="T143" i="24"/>
  <c r="T23" i="24"/>
  <c r="T32" i="24" s="1"/>
  <c r="S159" i="24"/>
  <c r="T159" i="24" l="1"/>
  <c r="V55" i="25"/>
  <c r="V14" i="24"/>
  <c r="W54" i="25"/>
  <c r="U143" i="24"/>
  <c r="U23" i="24"/>
  <c r="U32" i="24" s="1"/>
  <c r="U159" i="24" l="1"/>
  <c r="V143" i="24"/>
  <c r="V23" i="24"/>
  <c r="V32" i="24" s="1"/>
  <c r="W14" i="24"/>
  <c r="W55" i="25"/>
  <c r="X54" i="25"/>
  <c r="V159" i="24" l="1"/>
  <c r="W143" i="24"/>
  <c r="W23" i="24"/>
  <c r="W32" i="24" s="1"/>
  <c r="X14" i="24"/>
  <c r="X55" i="25"/>
  <c r="Y54" i="25"/>
  <c r="W159" i="24" l="1"/>
  <c r="Y55" i="25"/>
  <c r="Y14" i="24"/>
  <c r="Z54" i="25"/>
  <c r="X23" i="24"/>
  <c r="X32" i="24" s="1"/>
  <c r="X143" i="24"/>
  <c r="X159" i="24" l="1"/>
  <c r="Y143" i="24"/>
  <c r="Y23" i="24"/>
  <c r="Y32" i="24" s="1"/>
  <c r="Z14" i="24"/>
  <c r="Z55" i="25"/>
  <c r="AA54" i="25"/>
  <c r="Z143" i="24" l="1"/>
  <c r="Z23" i="24"/>
  <c r="Z32" i="24" s="1"/>
  <c r="Y159" i="24"/>
  <c r="AA14" i="24"/>
  <c r="AA55" i="25"/>
  <c r="AB54" i="25"/>
  <c r="Z159" i="24" l="1"/>
  <c r="AB14" i="24"/>
  <c r="AB55" i="25"/>
  <c r="AC54" i="25"/>
  <c r="AA23" i="24"/>
  <c r="AA32" i="24" s="1"/>
  <c r="AA143" i="24"/>
  <c r="AC55" i="25" l="1"/>
  <c r="AC14" i="24"/>
  <c r="AD54" i="25"/>
  <c r="AB143" i="24"/>
  <c r="AB23" i="24"/>
  <c r="AB32" i="24" s="1"/>
  <c r="AA159" i="24"/>
  <c r="AB159" i="24" l="1"/>
  <c r="AD55" i="25"/>
  <c r="AD14" i="24"/>
  <c r="AE54" i="25"/>
  <c r="AC23" i="24"/>
  <c r="AC32" i="24" s="1"/>
  <c r="AC143" i="24"/>
  <c r="AE55" i="25" l="1"/>
  <c r="AE14" i="24"/>
  <c r="AF54" i="25"/>
  <c r="AC159" i="24"/>
  <c r="AD23" i="24"/>
  <c r="AD32" i="24" s="1"/>
  <c r="AD143" i="24"/>
  <c r="AF55" i="25" l="1"/>
  <c r="AF14" i="24"/>
  <c r="AG54" i="25"/>
  <c r="AE143" i="24"/>
  <c r="AE23" i="24"/>
  <c r="AE32" i="24" s="1"/>
  <c r="AD159" i="24"/>
  <c r="AE159" i="24" l="1"/>
  <c r="AG14" i="24"/>
  <c r="AG55" i="25"/>
  <c r="AH54" i="25"/>
  <c r="AF143" i="24"/>
  <c r="AF23" i="24"/>
  <c r="AF32" i="24" s="1"/>
  <c r="AH14" i="24" l="1"/>
  <c r="AH55" i="25"/>
  <c r="AI54" i="25"/>
  <c r="AF159" i="24"/>
  <c r="AG143" i="24"/>
  <c r="AG23" i="24"/>
  <c r="AG32" i="24" s="1"/>
  <c r="AI55" i="25" l="1"/>
  <c r="AI14" i="24"/>
  <c r="AJ54" i="25"/>
  <c r="AG159" i="24"/>
  <c r="AH23" i="24"/>
  <c r="AH32" i="24" s="1"/>
  <c r="AH143" i="24"/>
  <c r="AH159" i="24" l="1"/>
  <c r="AJ14" i="24"/>
  <c r="AJ55" i="25"/>
  <c r="AK54" i="25"/>
  <c r="AI23" i="24"/>
  <c r="AI32" i="24" s="1"/>
  <c r="AI143" i="24"/>
  <c r="AK55" i="25" l="1"/>
  <c r="AK14" i="24"/>
  <c r="AL54" i="25"/>
  <c r="AI159" i="24"/>
  <c r="AJ23" i="24"/>
  <c r="AJ32" i="24" s="1"/>
  <c r="AJ143" i="24"/>
  <c r="AL55" i="25" l="1"/>
  <c r="AL14" i="24"/>
  <c r="AM54" i="25"/>
  <c r="AK23" i="24"/>
  <c r="AK32" i="24" s="1"/>
  <c r="AK143" i="24"/>
  <c r="AJ159" i="24"/>
  <c r="AK159" i="24" l="1"/>
  <c r="AL143" i="24"/>
  <c r="AL23" i="24"/>
  <c r="AL32" i="24" s="1"/>
  <c r="AM14" i="24"/>
  <c r="AM55" i="25"/>
  <c r="AN54" i="25"/>
  <c r="AL159" i="24" l="1"/>
  <c r="AN55" i="25"/>
  <c r="AN14" i="24"/>
  <c r="AO54" i="25"/>
  <c r="AM143" i="24"/>
  <c r="AM23" i="24"/>
  <c r="AM32" i="24" s="1"/>
  <c r="AM159" i="24" l="1"/>
  <c r="AO55" i="25"/>
  <c r="AO14" i="24"/>
  <c r="AP54" i="25"/>
  <c r="AN23" i="24"/>
  <c r="AN32" i="24" s="1"/>
  <c r="AN143" i="24"/>
  <c r="AN159" i="24" l="1"/>
  <c r="AP55" i="25"/>
  <c r="AP14" i="24"/>
  <c r="AQ54" i="25"/>
  <c r="AO143" i="24"/>
  <c r="AO23" i="24"/>
  <c r="AO32" i="24" s="1"/>
  <c r="AO159" i="24" l="1"/>
  <c r="AP143" i="24"/>
  <c r="AP23" i="24"/>
  <c r="AP32" i="24" s="1"/>
  <c r="AQ55" i="25"/>
  <c r="AQ14" i="24"/>
  <c r="AR54" i="25"/>
  <c r="AP159" i="24" l="1"/>
  <c r="AR55" i="25"/>
  <c r="AR14" i="24"/>
  <c r="AS54" i="25"/>
  <c r="AQ143" i="24"/>
  <c r="AQ23" i="24"/>
  <c r="AQ32" i="24" s="1"/>
  <c r="AQ159" i="24" l="1"/>
  <c r="AR143" i="24"/>
  <c r="AR23" i="24"/>
  <c r="AR32" i="24" s="1"/>
  <c r="AS55" i="25"/>
  <c r="AS14" i="24"/>
  <c r="D54" i="25"/>
  <c r="AT54" i="25"/>
  <c r="C54" i="25"/>
  <c r="AR159" i="24" l="1"/>
  <c r="AS23" i="24"/>
  <c r="AS32" i="24" s="1"/>
  <c r="AS143" i="24"/>
  <c r="G135" i="24"/>
  <c r="H135" i="24" s="1"/>
  <c r="AT55" i="25"/>
  <c r="AT14" i="24"/>
  <c r="AU54" i="25"/>
  <c r="AS159" i="24" l="1"/>
  <c r="I135" i="24"/>
  <c r="AT143" i="24"/>
  <c r="AT23" i="24"/>
  <c r="AT32" i="24" s="1"/>
  <c r="AU14" i="24"/>
  <c r="AU55" i="25"/>
  <c r="AV54" i="25"/>
  <c r="J135" i="24" l="1"/>
  <c r="K135" i="24" s="1"/>
  <c r="L135" i="24" s="1"/>
  <c r="AV55" i="25"/>
  <c r="AV14" i="24"/>
  <c r="AW54" i="25"/>
  <c r="AT159" i="24"/>
  <c r="AU23" i="24"/>
  <c r="AU32" i="24" s="1"/>
  <c r="AU143" i="24"/>
  <c r="M135" i="24" l="1"/>
  <c r="N135" i="24" s="1"/>
  <c r="O135" i="24" s="1"/>
  <c r="AU159" i="24"/>
  <c r="AW55" i="25"/>
  <c r="AW14" i="24"/>
  <c r="AX54" i="25"/>
  <c r="AV23" i="24"/>
  <c r="AV32" i="24" s="1"/>
  <c r="AV143" i="24"/>
  <c r="P135" i="24" l="1"/>
  <c r="AV159" i="24"/>
  <c r="AX55" i="25"/>
  <c r="AX14" i="24"/>
  <c r="AY54" i="25"/>
  <c r="AW23" i="24"/>
  <c r="AW32" i="24" s="1"/>
  <c r="AW143" i="24"/>
  <c r="Q135" i="24" l="1"/>
  <c r="AW159" i="24"/>
  <c r="AY55" i="25"/>
  <c r="AY14" i="24"/>
  <c r="AZ54" i="25"/>
  <c r="AX143" i="24"/>
  <c r="AX23" i="24"/>
  <c r="AX32" i="24" s="1"/>
  <c r="R135" i="24" l="1"/>
  <c r="AX159" i="24"/>
  <c r="AY23" i="24"/>
  <c r="AY32" i="24" s="1"/>
  <c r="AY143" i="24"/>
  <c r="AZ14" i="24"/>
  <c r="AZ55" i="25"/>
  <c r="BA54" i="25"/>
  <c r="S135" i="24" l="1"/>
  <c r="T135" i="24" s="1"/>
  <c r="AY159" i="24"/>
  <c r="AZ23" i="24"/>
  <c r="AZ32" i="24" s="1"/>
  <c r="AZ143" i="24"/>
  <c r="BA55" i="25"/>
  <c r="BA14" i="24"/>
  <c r="BB54" i="25"/>
  <c r="U135" i="24" l="1"/>
  <c r="BB55" i="25"/>
  <c r="BB14" i="24"/>
  <c r="BC54" i="25"/>
  <c r="BA23" i="24"/>
  <c r="BA32" i="24" s="1"/>
  <c r="BA143" i="24"/>
  <c r="AZ159" i="24"/>
  <c r="V135" i="24" l="1"/>
  <c r="W135" i="24" s="1"/>
  <c r="BB143" i="24"/>
  <c r="BB23" i="24"/>
  <c r="BB32" i="24" s="1"/>
  <c r="BA159" i="24"/>
  <c r="BC55" i="25"/>
  <c r="BC14" i="24"/>
  <c r="BD54" i="25"/>
  <c r="X135" i="24" l="1"/>
  <c r="Y135" i="24" s="1"/>
  <c r="Z135" i="24" s="1"/>
  <c r="AA135" i="24" s="1"/>
  <c r="AB135" i="24" s="1"/>
  <c r="AC135" i="24" s="1"/>
  <c r="AD135" i="24" s="1"/>
  <c r="AE135" i="24" s="1"/>
  <c r="AF135" i="24" s="1"/>
  <c r="AG135" i="24" s="1"/>
  <c r="AH135" i="24" s="1"/>
  <c r="AI135" i="24" s="1"/>
  <c r="AJ135" i="24" s="1"/>
  <c r="AK135" i="24" s="1"/>
  <c r="AL135" i="24" s="1"/>
  <c r="AM135" i="24" s="1"/>
  <c r="AN135" i="24" s="1"/>
  <c r="AO135" i="24" s="1"/>
  <c r="AP135" i="24" s="1"/>
  <c r="AQ135" i="24" s="1"/>
  <c r="AR135" i="24" s="1"/>
  <c r="AS135" i="24" s="1"/>
  <c r="AT135" i="24" s="1"/>
  <c r="AU135" i="24" s="1"/>
  <c r="AV135" i="24" s="1"/>
  <c r="AW135" i="24" s="1"/>
  <c r="AX135" i="24" s="1"/>
  <c r="AY135" i="24" s="1"/>
  <c r="AZ135" i="24" s="1"/>
  <c r="BA135" i="24" s="1"/>
  <c r="BB135" i="24" s="1"/>
  <c r="BC135" i="24" s="1"/>
  <c r="BD135" i="24" s="1"/>
  <c r="BE135" i="24" s="1"/>
  <c r="BF135" i="24" s="1"/>
  <c r="BG135" i="24" s="1"/>
  <c r="BH135" i="24" s="1"/>
  <c r="BI135" i="24" s="1"/>
  <c r="BJ135" i="24" s="1"/>
  <c r="BK135" i="24" s="1"/>
  <c r="BL135" i="24" s="1"/>
  <c r="BM135" i="24" s="1"/>
  <c r="E135" i="24" s="1"/>
  <c r="BB159" i="24"/>
  <c r="BD55" i="25"/>
  <c r="BD14" i="24"/>
  <c r="BE54" i="25"/>
  <c r="BC23" i="24"/>
  <c r="BC32" i="24" s="1"/>
  <c r="BC143" i="24"/>
  <c r="BC159" i="24" l="1"/>
  <c r="BE55" i="25"/>
  <c r="BE14" i="24"/>
  <c r="BF54" i="25"/>
  <c r="BD23" i="24"/>
  <c r="BD32" i="24" s="1"/>
  <c r="BD143" i="24"/>
  <c r="BD159" i="24" l="1"/>
  <c r="BE23" i="24"/>
  <c r="BE32" i="24" s="1"/>
  <c r="BE143" i="24"/>
  <c r="BF55" i="25"/>
  <c r="BF14" i="24"/>
  <c r="BG54" i="25"/>
  <c r="BE159" i="24" l="1"/>
  <c r="BG55" i="25"/>
  <c r="BG14" i="24"/>
  <c r="BH54" i="25"/>
  <c r="BF143" i="24"/>
  <c r="BF23" i="24"/>
  <c r="BF32" i="24" s="1"/>
  <c r="BF159" i="24" l="1"/>
  <c r="BH14" i="24"/>
  <c r="BH55" i="25"/>
  <c r="BI54" i="25"/>
  <c r="BG23" i="24"/>
  <c r="BG32" i="24" s="1"/>
  <c r="BG143" i="24"/>
  <c r="BG159" i="24" l="1"/>
  <c r="BI55" i="25"/>
  <c r="BI14" i="24"/>
  <c r="BJ54" i="25"/>
  <c r="BH143" i="24"/>
  <c r="BH23" i="24"/>
  <c r="BH32" i="24" s="1"/>
  <c r="BH159" i="24" l="1"/>
  <c r="BI23" i="24"/>
  <c r="BI32" i="24" s="1"/>
  <c r="BI143" i="24"/>
  <c r="BJ55" i="25"/>
  <c r="BJ14" i="24"/>
  <c r="BK54" i="25"/>
  <c r="BI159" i="24" l="1"/>
  <c r="BJ23" i="24"/>
  <c r="BJ32" i="24" s="1"/>
  <c r="BJ143" i="24"/>
  <c r="BK55" i="25"/>
  <c r="BK14" i="24"/>
  <c r="BL54" i="25"/>
  <c r="BL14" i="24" l="1"/>
  <c r="BL55" i="25"/>
  <c r="BM54" i="25"/>
  <c r="BK143" i="24"/>
  <c r="BK23" i="24"/>
  <c r="BK32" i="24" s="1"/>
  <c r="BJ159" i="24"/>
  <c r="BK159" i="24" l="1"/>
  <c r="BM55" i="25"/>
  <c r="O23" i="24" s="1"/>
  <c r="BM14" i="24"/>
  <c r="BL23" i="24"/>
  <c r="BL32" i="24" s="1"/>
  <c r="BL143" i="24"/>
  <c r="O32" i="24" l="1"/>
  <c r="P23" i="24"/>
  <c r="BM143" i="24"/>
  <c r="E143" i="24" s="1"/>
  <c r="BM23" i="24"/>
  <c r="BM32" i="24" s="1"/>
  <c r="E14" i="24"/>
  <c r="AS69" i="25"/>
  <c r="BL159" i="24"/>
  <c r="P32" i="24" l="1"/>
  <c r="Q23" i="24"/>
  <c r="O159" i="24"/>
  <c r="O47" i="24"/>
  <c r="O119" i="24"/>
  <c r="AT69" i="25"/>
  <c r="AU69" i="25" s="1"/>
  <c r="BM159" i="24"/>
  <c r="Q32" i="24" l="1"/>
  <c r="R23" i="24"/>
  <c r="R32" i="24" s="1"/>
  <c r="AS81" i="25" s="1"/>
  <c r="AS93" i="25" s="1"/>
  <c r="P119" i="24"/>
  <c r="P159" i="24"/>
  <c r="P47" i="24"/>
  <c r="P17" i="23"/>
  <c r="Q159" i="24" l="1"/>
  <c r="Q119" i="24"/>
  <c r="R159" i="24"/>
  <c r="Q17" i="23"/>
  <c r="E32" i="24"/>
  <c r="E23" i="24" s="1"/>
  <c r="G151" i="24"/>
  <c r="H151" i="24" s="1"/>
  <c r="Q47" i="24"/>
  <c r="R47" i="24" s="1"/>
  <c r="AS109" i="25"/>
  <c r="AS117" i="25" s="1"/>
  <c r="E159" i="24" l="1"/>
  <c r="R119" i="24"/>
  <c r="S119" i="24" s="1"/>
  <c r="I151" i="24"/>
  <c r="J151" i="24" s="1"/>
  <c r="K151" i="24" s="1"/>
  <c r="L151" i="24" s="1"/>
  <c r="M151" i="24" s="1"/>
  <c r="S17" i="23"/>
  <c r="S47" i="24"/>
  <c r="T47" i="24" s="1"/>
  <c r="T119" i="24" l="1"/>
  <c r="U119" i="24" s="1"/>
  <c r="V119" i="24" s="1"/>
  <c r="W119" i="24" s="1"/>
  <c r="N151" i="24"/>
  <c r="U47" i="24"/>
  <c r="O151" i="24" l="1"/>
  <c r="V47" i="24"/>
  <c r="X119" i="24"/>
  <c r="P151" i="24" l="1"/>
  <c r="Q151" i="24" s="1"/>
  <c r="R151" i="24" s="1"/>
  <c r="W47" i="24"/>
  <c r="Y119" i="24"/>
  <c r="S151" i="24" l="1"/>
  <c r="X47" i="24"/>
  <c r="Z119" i="24"/>
  <c r="T151" i="24" l="1"/>
  <c r="AA119" i="24"/>
  <c r="Y47" i="24"/>
  <c r="U151" i="24" l="1"/>
  <c r="Z47" i="24"/>
  <c r="AB119" i="24"/>
  <c r="V151" i="24" l="1"/>
  <c r="AC119" i="24"/>
  <c r="AA47" i="24"/>
  <c r="W151" i="24" l="1"/>
  <c r="AB47" i="24"/>
  <c r="AD119" i="24"/>
  <c r="X151" i="24" l="1"/>
  <c r="AE119" i="24"/>
  <c r="AC47" i="24"/>
  <c r="Y151" i="24" l="1"/>
  <c r="AD47" i="24"/>
  <c r="AF119" i="24"/>
  <c r="Z151" i="24" l="1"/>
  <c r="AE47" i="24"/>
  <c r="AG119" i="24"/>
  <c r="AA151" i="24" l="1"/>
  <c r="AF47" i="24"/>
  <c r="AH119" i="24"/>
  <c r="AB151" i="24" l="1"/>
  <c r="AI119" i="24"/>
  <c r="AG47" i="24"/>
  <c r="AC151" i="24" l="1"/>
  <c r="AH47" i="24"/>
  <c r="AJ119" i="24"/>
  <c r="AD151" i="24" l="1"/>
  <c r="AK119" i="24"/>
  <c r="AI47" i="24"/>
  <c r="AE151" i="24" l="1"/>
  <c r="AL119" i="24"/>
  <c r="AJ47" i="24"/>
  <c r="AF151" i="24" l="1"/>
  <c r="AK47" i="24"/>
  <c r="AM119" i="24"/>
  <c r="AG151" i="24" l="1"/>
  <c r="AN119" i="24"/>
  <c r="AL47" i="24"/>
  <c r="AH151" i="24" l="1"/>
  <c r="AM47" i="24"/>
  <c r="AO119" i="24"/>
  <c r="AI151" i="24" l="1"/>
  <c r="AN47" i="24"/>
  <c r="AP119" i="24"/>
  <c r="AJ151" i="24" l="1"/>
  <c r="AQ119" i="24"/>
  <c r="AO47" i="24"/>
  <c r="AK151" i="24" l="1"/>
  <c r="AP47" i="24"/>
  <c r="AR119" i="24"/>
  <c r="AL151" i="24" l="1"/>
  <c r="AS119" i="24"/>
  <c r="AQ47" i="24"/>
  <c r="AM151" i="24" l="1"/>
  <c r="AR47" i="24"/>
  <c r="AT119" i="24"/>
  <c r="AN151" i="24" l="1"/>
  <c r="AU119" i="24"/>
  <c r="AS47" i="24"/>
  <c r="AO151" i="24" l="1"/>
  <c r="AV119" i="24"/>
  <c r="AT47" i="24"/>
  <c r="AP151" i="24" l="1"/>
  <c r="AU47" i="24"/>
  <c r="AW119" i="24"/>
  <c r="AQ151" i="24" l="1"/>
  <c r="AX119" i="24"/>
  <c r="AV47" i="24"/>
  <c r="AR151" i="24" l="1"/>
  <c r="AY119" i="24"/>
  <c r="AW47" i="24"/>
  <c r="AS151" i="24" l="1"/>
  <c r="AZ119" i="24"/>
  <c r="AX47" i="24"/>
  <c r="AT151" i="24" l="1"/>
  <c r="AY47" i="24"/>
  <c r="BA119" i="24"/>
  <c r="AU151" i="24" l="1"/>
  <c r="BB119" i="24"/>
  <c r="AZ47" i="24"/>
  <c r="AV151" i="24" l="1"/>
  <c r="BA47" i="24"/>
  <c r="BC119" i="24"/>
  <c r="J17" i="1"/>
  <c r="J17" i="21" l="1"/>
  <c r="AW151" i="24"/>
  <c r="BD119" i="24"/>
  <c r="BB47" i="24"/>
  <c r="H17" i="1"/>
  <c r="G17" i="1"/>
  <c r="E54" i="2"/>
  <c r="H17" i="21" l="1"/>
  <c r="G17" i="21"/>
  <c r="AX151" i="24"/>
  <c r="J34" i="1"/>
  <c r="BJ66" i="3" s="1"/>
  <c r="BJ85" i="29" s="1"/>
  <c r="BC47" i="24"/>
  <c r="BE119" i="24"/>
  <c r="G54" i="2"/>
  <c r="G14" i="3" s="1"/>
  <c r="AA66" i="3" l="1"/>
  <c r="AA85" i="29" s="1"/>
  <c r="AH66" i="3"/>
  <c r="AH85" i="29" s="1"/>
  <c r="AD66" i="3"/>
  <c r="AD85" i="29" s="1"/>
  <c r="AC66" i="3"/>
  <c r="AC85" i="29" s="1"/>
  <c r="M66" i="3"/>
  <c r="M85" i="29" s="1"/>
  <c r="AN66" i="3"/>
  <c r="AN85" i="29" s="1"/>
  <c r="V66" i="3"/>
  <c r="V85" i="29" s="1"/>
  <c r="AY66" i="3"/>
  <c r="AY85" i="29" s="1"/>
  <c r="AJ66" i="3"/>
  <c r="AJ85" i="29" s="1"/>
  <c r="BL66" i="3"/>
  <c r="BL85" i="29" s="1"/>
  <c r="BK66" i="3"/>
  <c r="BK85" i="29" s="1"/>
  <c r="L66" i="3"/>
  <c r="L85" i="29" s="1"/>
  <c r="AE66" i="3"/>
  <c r="AE85" i="29" s="1"/>
  <c r="AB66" i="3"/>
  <c r="AB85" i="29" s="1"/>
  <c r="AO66" i="3"/>
  <c r="AO85" i="29" s="1"/>
  <c r="AV66" i="3"/>
  <c r="AV85" i="29" s="1"/>
  <c r="BH66" i="3"/>
  <c r="BH85" i="29" s="1"/>
  <c r="AQ66" i="3"/>
  <c r="AQ85" i="29" s="1"/>
  <c r="BE66" i="3"/>
  <c r="BE85" i="29" s="1"/>
  <c r="AP66" i="3"/>
  <c r="AP85" i="29" s="1"/>
  <c r="P66" i="3"/>
  <c r="P85" i="29" s="1"/>
  <c r="X66" i="3"/>
  <c r="X85" i="29" s="1"/>
  <c r="BG66" i="3"/>
  <c r="BG85" i="29" s="1"/>
  <c r="AS66" i="3"/>
  <c r="AS85" i="29" s="1"/>
  <c r="AG66" i="3"/>
  <c r="AG85" i="29" s="1"/>
  <c r="U66" i="3"/>
  <c r="U85" i="29" s="1"/>
  <c r="Q66" i="3"/>
  <c r="Q85" i="29" s="1"/>
  <c r="AF66" i="3"/>
  <c r="AF85" i="29" s="1"/>
  <c r="AZ66" i="3"/>
  <c r="AZ85" i="29" s="1"/>
  <c r="BI66" i="3"/>
  <c r="BI85" i="29" s="1"/>
  <c r="S66" i="3"/>
  <c r="S85" i="29" s="1"/>
  <c r="AL66" i="3"/>
  <c r="AL85" i="29" s="1"/>
  <c r="T66" i="3"/>
  <c r="T85" i="29" s="1"/>
  <c r="Y66" i="3"/>
  <c r="Y85" i="29" s="1"/>
  <c r="I66" i="3"/>
  <c r="I85" i="29" s="1"/>
  <c r="AW66" i="3"/>
  <c r="AW85" i="29" s="1"/>
  <c r="AX66" i="3"/>
  <c r="AX85" i="29" s="1"/>
  <c r="I34" i="1"/>
  <c r="AR66" i="3"/>
  <c r="AR85" i="29" s="1"/>
  <c r="R66" i="3"/>
  <c r="R85" i="29" s="1"/>
  <c r="H34" i="1"/>
  <c r="Z66" i="3"/>
  <c r="Z85" i="29" s="1"/>
  <c r="K66" i="3"/>
  <c r="K85" i="29" s="1"/>
  <c r="AI66" i="3"/>
  <c r="AI85" i="29" s="1"/>
  <c r="BA66" i="3"/>
  <c r="BA85" i="29" s="1"/>
  <c r="BF66" i="3"/>
  <c r="BF85" i="29" s="1"/>
  <c r="BD66" i="3"/>
  <c r="BD85" i="29" s="1"/>
  <c r="J66" i="3"/>
  <c r="J85" i="29" s="1"/>
  <c r="AT66" i="3"/>
  <c r="AT85" i="29" s="1"/>
  <c r="J34" i="21"/>
  <c r="BB66" i="3"/>
  <c r="BB85" i="29" s="1"/>
  <c r="O66" i="3"/>
  <c r="O85" i="29" s="1"/>
  <c r="AK66" i="3"/>
  <c r="AK85" i="29" s="1"/>
  <c r="BM66" i="3"/>
  <c r="BM85" i="29" s="1"/>
  <c r="N66" i="3"/>
  <c r="N85" i="29" s="1"/>
  <c r="AU66" i="3"/>
  <c r="AU85" i="29" s="1"/>
  <c r="BC66" i="3"/>
  <c r="BC85" i="29" s="1"/>
  <c r="G23" i="3"/>
  <c r="G32" i="3" s="1"/>
  <c r="G47" i="3" s="1"/>
  <c r="AM66" i="3"/>
  <c r="AM85" i="29" s="1"/>
  <c r="W66" i="3"/>
  <c r="W85" i="29" s="1"/>
  <c r="G66" i="3"/>
  <c r="H66" i="3"/>
  <c r="F66" i="3"/>
  <c r="AY151" i="24"/>
  <c r="BF119" i="24"/>
  <c r="BD47" i="24"/>
  <c r="H54" i="2"/>
  <c r="M74" i="3" l="1"/>
  <c r="M93" i="29" s="1"/>
  <c r="J74" i="3"/>
  <c r="J93" i="29" s="1"/>
  <c r="K74" i="3"/>
  <c r="K93" i="29" s="1"/>
  <c r="L74" i="3"/>
  <c r="L93" i="29" s="1"/>
  <c r="I74" i="3"/>
  <c r="I93" i="29" s="1"/>
  <c r="H34" i="21"/>
  <c r="F34" i="21" s="1"/>
  <c r="I34" i="21"/>
  <c r="H74" i="3"/>
  <c r="H85" i="29"/>
  <c r="G74" i="3"/>
  <c r="G93" i="29" s="1"/>
  <c r="G85" i="29"/>
  <c r="I54" i="2"/>
  <c r="I14" i="3" s="1"/>
  <c r="H14" i="3"/>
  <c r="F74" i="3"/>
  <c r="F93" i="29" s="1"/>
  <c r="F85" i="29"/>
  <c r="E66" i="3"/>
  <c r="AT73" i="2" s="1"/>
  <c r="AZ151" i="24"/>
  <c r="BE47" i="24"/>
  <c r="BG119" i="24"/>
  <c r="R361" i="12"/>
  <c r="P361" i="12"/>
  <c r="O361" i="12"/>
  <c r="Q361" i="12"/>
  <c r="N361" i="12"/>
  <c r="H55" i="2"/>
  <c r="G143" i="3"/>
  <c r="AT85" i="2" l="1"/>
  <c r="F59" i="3"/>
  <c r="G78" i="29"/>
  <c r="J54" i="2"/>
  <c r="K54" i="2" s="1"/>
  <c r="K14" i="3" s="1"/>
  <c r="G59" i="3"/>
  <c r="H23" i="3"/>
  <c r="H32" i="3" s="1"/>
  <c r="H47" i="3" s="1"/>
  <c r="I23" i="3"/>
  <c r="I32" i="3" s="1"/>
  <c r="I55" i="2"/>
  <c r="E85" i="29"/>
  <c r="F78" i="29"/>
  <c r="H93" i="29"/>
  <c r="H59" i="3"/>
  <c r="BA151" i="24"/>
  <c r="BH119" i="24"/>
  <c r="BF47" i="24"/>
  <c r="P360" i="12"/>
  <c r="P136" i="12" s="1"/>
  <c r="K59" i="24"/>
  <c r="G159" i="3"/>
  <c r="G119" i="3"/>
  <c r="H143" i="3"/>
  <c r="N360" i="12"/>
  <c r="N136" i="12" s="1"/>
  <c r="R360" i="12"/>
  <c r="R136" i="12" s="1"/>
  <c r="M59" i="24"/>
  <c r="Q360" i="12"/>
  <c r="Q136" i="12" s="1"/>
  <c r="L59" i="24"/>
  <c r="O360" i="12"/>
  <c r="O136" i="12" s="1"/>
  <c r="J59" i="24"/>
  <c r="I143" i="3"/>
  <c r="J55" i="2" l="1"/>
  <c r="K55" i="2"/>
  <c r="J14" i="3"/>
  <c r="J23" i="3" s="1"/>
  <c r="J32" i="3" s="1"/>
  <c r="L54" i="2"/>
  <c r="M54" i="2" s="1"/>
  <c r="I92" i="29"/>
  <c r="I78" i="29" s="1"/>
  <c r="I47" i="3"/>
  <c r="K23" i="3"/>
  <c r="K32" i="3" s="1"/>
  <c r="H78" i="29"/>
  <c r="L59" i="3"/>
  <c r="L92" i="29"/>
  <c r="L78" i="29" s="1"/>
  <c r="M59" i="3"/>
  <c r="M92" i="29"/>
  <c r="M78" i="29" s="1"/>
  <c r="K59" i="3"/>
  <c r="K92" i="29"/>
  <c r="K78" i="29" s="1"/>
  <c r="J59" i="3"/>
  <c r="J92" i="29"/>
  <c r="J78" i="29" s="1"/>
  <c r="BB151" i="24"/>
  <c r="BG47" i="24"/>
  <c r="BI119" i="24"/>
  <c r="I59" i="24"/>
  <c r="I59" i="3"/>
  <c r="H119" i="3"/>
  <c r="K143" i="3"/>
  <c r="I159" i="3"/>
  <c r="H159" i="3"/>
  <c r="J143" i="3" l="1"/>
  <c r="L14" i="3"/>
  <c r="L23" i="3" s="1"/>
  <c r="L32" i="3" s="1"/>
  <c r="L55" i="2"/>
  <c r="M55" i="2"/>
  <c r="N94" i="12"/>
  <c r="J47" i="3"/>
  <c r="N54" i="2"/>
  <c r="N14" i="3" s="1"/>
  <c r="M14" i="3"/>
  <c r="M143" i="3" s="1"/>
  <c r="BC151" i="24"/>
  <c r="BJ119" i="24"/>
  <c r="BH47" i="24"/>
  <c r="I119" i="3"/>
  <c r="K159" i="3"/>
  <c r="J159" i="3"/>
  <c r="K47" i="3" l="1"/>
  <c r="L143" i="3"/>
  <c r="N55" i="2"/>
  <c r="O54" i="2"/>
  <c r="O14" i="3" s="1"/>
  <c r="O23" i="3" s="1"/>
  <c r="O32" i="3" s="1"/>
  <c r="O94" i="12"/>
  <c r="L47" i="3"/>
  <c r="M23" i="3"/>
  <c r="M32" i="3" s="1"/>
  <c r="N23" i="3"/>
  <c r="N32" i="3" s="1"/>
  <c r="BD151" i="24"/>
  <c r="BI47" i="24"/>
  <c r="BK119" i="24"/>
  <c r="J119" i="3"/>
  <c r="L159" i="3"/>
  <c r="N143" i="3"/>
  <c r="P54" i="2" l="1"/>
  <c r="P14" i="3" s="1"/>
  <c r="P23" i="3" s="1"/>
  <c r="P32" i="3" s="1"/>
  <c r="O55" i="2"/>
  <c r="P94" i="12"/>
  <c r="Q94" i="12"/>
  <c r="M159" i="3"/>
  <c r="M47" i="3"/>
  <c r="BE151" i="24"/>
  <c r="BL119" i="24"/>
  <c r="BJ47" i="24"/>
  <c r="K119" i="3"/>
  <c r="N159" i="3"/>
  <c r="O143" i="3"/>
  <c r="N47" i="3" l="1"/>
  <c r="O47" i="3" s="1"/>
  <c r="P47" i="3" s="1"/>
  <c r="Q54" i="2"/>
  <c r="Q14" i="3" s="1"/>
  <c r="Q23" i="3" s="1"/>
  <c r="Q32" i="3" s="1"/>
  <c r="P55" i="2"/>
  <c r="R94" i="12"/>
  <c r="BF151" i="24"/>
  <c r="BK47" i="24"/>
  <c r="BM119" i="24"/>
  <c r="L119" i="3"/>
  <c r="M119" i="3" s="1"/>
  <c r="P143" i="3"/>
  <c r="R54" i="2" l="1"/>
  <c r="R14" i="3" s="1"/>
  <c r="R23" i="3" s="1"/>
  <c r="R32" i="3" s="1"/>
  <c r="Q55" i="2"/>
  <c r="Q47" i="3"/>
  <c r="BG151" i="24"/>
  <c r="BH151" i="24" s="1"/>
  <c r="BI151" i="24" s="1"/>
  <c r="BJ151" i="24" s="1"/>
  <c r="BK151" i="24" s="1"/>
  <c r="BL151" i="24" s="1"/>
  <c r="BM151" i="24" s="1"/>
  <c r="E151" i="24" s="1"/>
  <c r="E119" i="24"/>
  <c r="A119" i="24" s="1"/>
  <c r="BL47" i="24"/>
  <c r="N119" i="3"/>
  <c r="Q143" i="3"/>
  <c r="S54" i="2" l="1"/>
  <c r="S14" i="3" s="1"/>
  <c r="S23" i="3" s="1"/>
  <c r="S32" i="3" s="1"/>
  <c r="R55" i="2"/>
  <c r="R47" i="3"/>
  <c r="BM47" i="24"/>
  <c r="S55" i="2"/>
  <c r="T54" i="2"/>
  <c r="T14" i="3" s="1"/>
  <c r="R143" i="3"/>
  <c r="S47" i="3" l="1"/>
  <c r="T23" i="3"/>
  <c r="T32" i="3" s="1"/>
  <c r="E47" i="24"/>
  <c r="AT81" i="25" s="1"/>
  <c r="T55" i="2"/>
  <c r="U54" i="2"/>
  <c r="U14" i="3" s="1"/>
  <c r="S143" i="3"/>
  <c r="T47" i="3" l="1"/>
  <c r="U23" i="3"/>
  <c r="U32" i="3" s="1"/>
  <c r="U47" i="3" s="1"/>
  <c r="AT93" i="25"/>
  <c r="U55" i="2"/>
  <c r="V54" i="2"/>
  <c r="V14" i="3" s="1"/>
  <c r="T143" i="3"/>
  <c r="V23" i="3" l="1"/>
  <c r="V32" i="3" s="1"/>
  <c r="V47" i="3" s="1"/>
  <c r="AT109" i="25"/>
  <c r="AT117" i="25" s="1"/>
  <c r="BH126" i="24"/>
  <c r="AK126" i="24"/>
  <c r="Q126" i="24"/>
  <c r="I126" i="24"/>
  <c r="AD126" i="24"/>
  <c r="AA126" i="24"/>
  <c r="Z126" i="24"/>
  <c r="AM126" i="24"/>
  <c r="AG126" i="24"/>
  <c r="AN126" i="24"/>
  <c r="V126" i="24"/>
  <c r="AF126" i="24"/>
  <c r="U126" i="24"/>
  <c r="BK126" i="24"/>
  <c r="W126" i="24"/>
  <c r="AJ126" i="24"/>
  <c r="AY126" i="24"/>
  <c r="T126" i="24"/>
  <c r="AU126" i="24"/>
  <c r="AI126" i="24"/>
  <c r="M126" i="24"/>
  <c r="AR126" i="24"/>
  <c r="BA126" i="24"/>
  <c r="AL126" i="24"/>
  <c r="O126" i="24"/>
  <c r="R126" i="24"/>
  <c r="AP126" i="24"/>
  <c r="AX126" i="24"/>
  <c r="Y126" i="24"/>
  <c r="BE126" i="24"/>
  <c r="AE126" i="24"/>
  <c r="AO126" i="24"/>
  <c r="N126" i="24"/>
  <c r="J126" i="24"/>
  <c r="AS126" i="24"/>
  <c r="BG126" i="24"/>
  <c r="AH126" i="24"/>
  <c r="BI126" i="24"/>
  <c r="AB126" i="24"/>
  <c r="AW126" i="24"/>
  <c r="G126" i="24"/>
  <c r="BD126" i="24"/>
  <c r="L126" i="24"/>
  <c r="AV126" i="24"/>
  <c r="AZ126" i="24"/>
  <c r="AQ126" i="24"/>
  <c r="F126" i="24"/>
  <c r="BJ126" i="24"/>
  <c r="AC126" i="24"/>
  <c r="S126" i="24"/>
  <c r="P126" i="24"/>
  <c r="X126" i="24"/>
  <c r="BL126" i="24"/>
  <c r="BM126" i="24"/>
  <c r="BB126" i="24"/>
  <c r="BC126" i="24"/>
  <c r="H126" i="24"/>
  <c r="AT126" i="24"/>
  <c r="BF126" i="24"/>
  <c r="K126" i="24"/>
  <c r="V55" i="2"/>
  <c r="W54" i="2"/>
  <c r="W14" i="3" s="1"/>
  <c r="U143" i="3"/>
  <c r="W23" i="3" l="1"/>
  <c r="W32" i="3" s="1"/>
  <c r="W47" i="3" s="1"/>
  <c r="E126" i="24"/>
  <c r="V143" i="3"/>
  <c r="W55" i="2"/>
  <c r="X54" i="2"/>
  <c r="X14" i="3" s="1"/>
  <c r="X23" i="3" l="1"/>
  <c r="X32" i="3" s="1"/>
  <c r="X47" i="3" s="1"/>
  <c r="X55" i="2"/>
  <c r="Y54" i="2"/>
  <c r="Y14" i="3" s="1"/>
  <c r="W143" i="3"/>
  <c r="V159" i="3"/>
  <c r="Y23" i="3" l="1"/>
  <c r="Y32" i="3" s="1"/>
  <c r="Y47" i="3" s="1"/>
  <c r="W159" i="3"/>
  <c r="Y55" i="2"/>
  <c r="Z54" i="2"/>
  <c r="Z14" i="3" s="1"/>
  <c r="X143" i="3"/>
  <c r="Z23" i="3" l="1"/>
  <c r="Z32" i="3" s="1"/>
  <c r="Z47" i="3" s="1"/>
  <c r="X159" i="3"/>
  <c r="Z55" i="2"/>
  <c r="AA54" i="2"/>
  <c r="AA14" i="3" s="1"/>
  <c r="Y143" i="3"/>
  <c r="AA23" i="3" l="1"/>
  <c r="AA32" i="3" s="1"/>
  <c r="AA47" i="3" s="1"/>
  <c r="Y159" i="3"/>
  <c r="AA55" i="2"/>
  <c r="AB54" i="2"/>
  <c r="AB14" i="3" s="1"/>
  <c r="Z143" i="3"/>
  <c r="AB23" i="3" l="1"/>
  <c r="AB32" i="3" s="1"/>
  <c r="AB47" i="3" s="1"/>
  <c r="Z159" i="3"/>
  <c r="AB55" i="2"/>
  <c r="AC54" i="2"/>
  <c r="AC14" i="3" s="1"/>
  <c r="AA143" i="3"/>
  <c r="AC23" i="3" l="1"/>
  <c r="AC32" i="3" s="1"/>
  <c r="AC47" i="3" s="1"/>
  <c r="AA159" i="3"/>
  <c r="AB143" i="3"/>
  <c r="AC55" i="2"/>
  <c r="AD54" i="2"/>
  <c r="AD14" i="3" s="1"/>
  <c r="AD23" i="3" l="1"/>
  <c r="AD32" i="3" s="1"/>
  <c r="AD47" i="3" s="1"/>
  <c r="AC143" i="3"/>
  <c r="AB159" i="3"/>
  <c r="AD55" i="2"/>
  <c r="AE54" i="2"/>
  <c r="AE14" i="3" s="1"/>
  <c r="AE23" i="3" l="1"/>
  <c r="AE32" i="3" s="1"/>
  <c r="AE47" i="3" s="1"/>
  <c r="AE55" i="2"/>
  <c r="AF54" i="2"/>
  <c r="AF14" i="3" s="1"/>
  <c r="AD143" i="3"/>
  <c r="AC159" i="3"/>
  <c r="AF23" i="3" l="1"/>
  <c r="AF32" i="3" s="1"/>
  <c r="AF47" i="3" s="1"/>
  <c r="AF55" i="2"/>
  <c r="AG54" i="2"/>
  <c r="AG14" i="3" s="1"/>
  <c r="AD159" i="3"/>
  <c r="AE143" i="3"/>
  <c r="AG23" i="3" l="1"/>
  <c r="AG32" i="3" s="1"/>
  <c r="AG47" i="3" s="1"/>
  <c r="AG55" i="2"/>
  <c r="AH54" i="2"/>
  <c r="AH14" i="3" s="1"/>
  <c r="AF143" i="3"/>
  <c r="AE159" i="3"/>
  <c r="AH23" i="3" l="1"/>
  <c r="AH32" i="3" s="1"/>
  <c r="AH47" i="3" s="1"/>
  <c r="AH55" i="2"/>
  <c r="AI54" i="2"/>
  <c r="AI14" i="3" s="1"/>
  <c r="AF159" i="3"/>
  <c r="AG143" i="3"/>
  <c r="AI23" i="3" l="1"/>
  <c r="AI32" i="3" s="1"/>
  <c r="AI47" i="3" s="1"/>
  <c r="AG159" i="3"/>
  <c r="AH143" i="3"/>
  <c r="AI55" i="2"/>
  <c r="AJ54" i="2"/>
  <c r="AJ14" i="3" s="1"/>
  <c r="AJ23" i="3" l="1"/>
  <c r="AJ32" i="3" s="1"/>
  <c r="AJ47" i="3" s="1"/>
  <c r="AH159" i="3"/>
  <c r="AJ55" i="2"/>
  <c r="AK54" i="2"/>
  <c r="AK14" i="3" s="1"/>
  <c r="AI143" i="3"/>
  <c r="AK23" i="3" l="1"/>
  <c r="AK32" i="3" s="1"/>
  <c r="AK47" i="3" s="1"/>
  <c r="AI159" i="3"/>
  <c r="AJ143" i="3"/>
  <c r="AK55" i="2"/>
  <c r="AL54" i="2"/>
  <c r="AL14" i="3" s="1"/>
  <c r="AL23" i="3" l="1"/>
  <c r="AL32" i="3" s="1"/>
  <c r="AL47" i="3" s="1"/>
  <c r="AK143" i="3"/>
  <c r="AJ159" i="3"/>
  <c r="AL55" i="2"/>
  <c r="AM54" i="2"/>
  <c r="AM14" i="3" s="1"/>
  <c r="AM23" i="3" l="1"/>
  <c r="AM32" i="3" s="1"/>
  <c r="AM47" i="3" s="1"/>
  <c r="AL143" i="3"/>
  <c r="AK159" i="3"/>
  <c r="AM55" i="2"/>
  <c r="AN54" i="2"/>
  <c r="AN14" i="3" s="1"/>
  <c r="AN23" i="3" l="1"/>
  <c r="AN32" i="3" s="1"/>
  <c r="AN47" i="3" s="1"/>
  <c r="AL159" i="3"/>
  <c r="AN55" i="2"/>
  <c r="AO54" i="2"/>
  <c r="AO14" i="3" s="1"/>
  <c r="AM143" i="3"/>
  <c r="AO23" i="3" l="1"/>
  <c r="AO32" i="3" s="1"/>
  <c r="AO47" i="3" s="1"/>
  <c r="AM159" i="3"/>
  <c r="AO55" i="2"/>
  <c r="AP54" i="2"/>
  <c r="AP14" i="3" s="1"/>
  <c r="AN143" i="3"/>
  <c r="AP23" i="3" l="1"/>
  <c r="AP32" i="3" s="1"/>
  <c r="AP47" i="3" s="1"/>
  <c r="AN159" i="3"/>
  <c r="AP55" i="2"/>
  <c r="AQ54" i="2"/>
  <c r="AQ14" i="3" s="1"/>
  <c r="AO143" i="3"/>
  <c r="AQ23" i="3" l="1"/>
  <c r="AQ32" i="3" s="1"/>
  <c r="AQ47" i="3" s="1"/>
  <c r="AO159" i="3"/>
  <c r="AQ55" i="2"/>
  <c r="AR54" i="2"/>
  <c r="AR14" i="3" s="1"/>
  <c r="AP143" i="3"/>
  <c r="AR23" i="3" l="1"/>
  <c r="AR32" i="3" s="1"/>
  <c r="AR47" i="3" s="1"/>
  <c r="AP159" i="3"/>
  <c r="AR55" i="2"/>
  <c r="AS54" i="2"/>
  <c r="AS14" i="3" s="1"/>
  <c r="AQ143" i="3"/>
  <c r="AS23" i="3" l="1"/>
  <c r="AS32" i="3" s="1"/>
  <c r="AS47" i="3" s="1"/>
  <c r="AQ159" i="3"/>
  <c r="AS55" i="2"/>
  <c r="AT54" i="2"/>
  <c r="AT14" i="3" s="1"/>
  <c r="C54" i="2"/>
  <c r="D54" i="2"/>
  <c r="AR143" i="3"/>
  <c r="N106" i="12" l="1"/>
  <c r="Q106" i="12"/>
  <c r="R106" i="12"/>
  <c r="O106" i="12"/>
  <c r="P106" i="12"/>
  <c r="AT23" i="3"/>
  <c r="AT32" i="3" s="1"/>
  <c r="AT47" i="3" s="1"/>
  <c r="AT55" i="2"/>
  <c r="AU54" i="2"/>
  <c r="AU14" i="3" s="1"/>
  <c r="AS143" i="3"/>
  <c r="G135" i="3"/>
  <c r="AR159" i="3"/>
  <c r="AU23" i="3" l="1"/>
  <c r="AU32" i="3" s="1"/>
  <c r="AU47" i="3" s="1"/>
  <c r="H135" i="3"/>
  <c r="AS159" i="3"/>
  <c r="AU55" i="2"/>
  <c r="AV54" i="2"/>
  <c r="AV14" i="3" s="1"/>
  <c r="AT143" i="3"/>
  <c r="AV23" i="3" l="1"/>
  <c r="AV32" i="3" s="1"/>
  <c r="AV47" i="3" s="1"/>
  <c r="I135" i="3"/>
  <c r="AV55" i="2"/>
  <c r="AW54" i="2"/>
  <c r="AW14" i="3" s="1"/>
  <c r="AU143" i="3"/>
  <c r="AT159" i="3"/>
  <c r="AW23" i="3" l="1"/>
  <c r="AW32" i="3" s="1"/>
  <c r="AW47" i="3" s="1"/>
  <c r="J135" i="3"/>
  <c r="AW55" i="2"/>
  <c r="AX54" i="2"/>
  <c r="AX14" i="3" s="1"/>
  <c r="AV143" i="3"/>
  <c r="AU159" i="3"/>
  <c r="AX23" i="3" l="1"/>
  <c r="AX32" i="3" s="1"/>
  <c r="AX47" i="3" s="1"/>
  <c r="AX55" i="2"/>
  <c r="AY54" i="2"/>
  <c r="AY14" i="3" s="1"/>
  <c r="AW143" i="3"/>
  <c r="AV159" i="3"/>
  <c r="K135" i="3"/>
  <c r="AY23" i="3" l="1"/>
  <c r="AY32" i="3" s="1"/>
  <c r="AY47" i="3" s="1"/>
  <c r="AW159" i="3"/>
  <c r="L135" i="3"/>
  <c r="M135" i="3" s="1"/>
  <c r="AY55" i="2"/>
  <c r="AZ54" i="2"/>
  <c r="AZ14" i="3" s="1"/>
  <c r="AX143" i="3"/>
  <c r="AZ23" i="3" l="1"/>
  <c r="AZ32" i="3" s="1"/>
  <c r="AZ47" i="3" s="1"/>
  <c r="N135" i="3"/>
  <c r="O135" i="3" s="1"/>
  <c r="AX159" i="3"/>
  <c r="AZ55" i="2"/>
  <c r="BA54" i="2"/>
  <c r="BA14" i="3" s="1"/>
  <c r="AY143" i="3"/>
  <c r="BA23" i="3" l="1"/>
  <c r="BA32" i="3" s="1"/>
  <c r="BA47" i="3" s="1"/>
  <c r="P135" i="3"/>
  <c r="Q135" i="3" s="1"/>
  <c r="R135" i="3" s="1"/>
  <c r="S135" i="3" s="1"/>
  <c r="T135" i="3" s="1"/>
  <c r="U135" i="3" s="1"/>
  <c r="V135" i="3" s="1"/>
  <c r="W135" i="3" s="1"/>
  <c r="X135" i="3" s="1"/>
  <c r="Y135" i="3" s="1"/>
  <c r="Z135" i="3" s="1"/>
  <c r="AA135" i="3" s="1"/>
  <c r="AB135" i="3" s="1"/>
  <c r="AC135" i="3" s="1"/>
  <c r="AD135" i="3" s="1"/>
  <c r="AE135" i="3" s="1"/>
  <c r="AF135" i="3" s="1"/>
  <c r="AG135" i="3" s="1"/>
  <c r="AH135" i="3" s="1"/>
  <c r="AI135" i="3" s="1"/>
  <c r="AJ135" i="3" s="1"/>
  <c r="AK135" i="3" s="1"/>
  <c r="AL135" i="3" s="1"/>
  <c r="AM135" i="3" s="1"/>
  <c r="AN135" i="3" s="1"/>
  <c r="AO135" i="3" s="1"/>
  <c r="AP135" i="3" s="1"/>
  <c r="AQ135" i="3" s="1"/>
  <c r="AR135" i="3" s="1"/>
  <c r="AS135" i="3" s="1"/>
  <c r="AT135" i="3" s="1"/>
  <c r="AU135" i="3" s="1"/>
  <c r="AV135" i="3" s="1"/>
  <c r="AW135" i="3" s="1"/>
  <c r="AX135" i="3" s="1"/>
  <c r="AY135" i="3" s="1"/>
  <c r="AZ135" i="3" s="1"/>
  <c r="BA135" i="3" s="1"/>
  <c r="BB135" i="3" s="1"/>
  <c r="BC135" i="3" s="1"/>
  <c r="BD135" i="3" s="1"/>
  <c r="BE135" i="3" s="1"/>
  <c r="BF135" i="3" s="1"/>
  <c r="BG135" i="3" s="1"/>
  <c r="BH135" i="3" s="1"/>
  <c r="BI135" i="3" s="1"/>
  <c r="BJ135" i="3" s="1"/>
  <c r="BK135" i="3" s="1"/>
  <c r="BL135" i="3" s="1"/>
  <c r="BM135" i="3" s="1"/>
  <c r="E135" i="3" s="1"/>
  <c r="AY159" i="3"/>
  <c r="BA55" i="2"/>
  <c r="BB54" i="2"/>
  <c r="BB14" i="3" s="1"/>
  <c r="AZ143" i="3"/>
  <c r="BB23" i="3" l="1"/>
  <c r="BB32" i="3" s="1"/>
  <c r="BB47" i="3" s="1"/>
  <c r="BB55" i="2"/>
  <c r="BC54" i="2"/>
  <c r="BC14" i="3" s="1"/>
  <c r="BA143" i="3"/>
  <c r="AZ159" i="3"/>
  <c r="BC23" i="3" l="1"/>
  <c r="BC32" i="3" s="1"/>
  <c r="BC47" i="3" s="1"/>
  <c r="BA159" i="3"/>
  <c r="BC55" i="2"/>
  <c r="BD54" i="2"/>
  <c r="BD14" i="3" s="1"/>
  <c r="BB143" i="3"/>
  <c r="BD23" i="3" l="1"/>
  <c r="BD32" i="3" s="1"/>
  <c r="BD47" i="3" s="1"/>
  <c r="BB159" i="3"/>
  <c r="BD55" i="2"/>
  <c r="BE54" i="2"/>
  <c r="BE14" i="3" s="1"/>
  <c r="BC143" i="3"/>
  <c r="BE23" i="3" l="1"/>
  <c r="BE32" i="3" s="1"/>
  <c r="BE47" i="3" s="1"/>
  <c r="BC159" i="3"/>
  <c r="BE55" i="2"/>
  <c r="BF54" i="2"/>
  <c r="BF14" i="3" s="1"/>
  <c r="BD143" i="3"/>
  <c r="BF23" i="3" l="1"/>
  <c r="BF32" i="3" s="1"/>
  <c r="BF47" i="3" s="1"/>
  <c r="BE143" i="3"/>
  <c r="BD159" i="3"/>
  <c r="BF55" i="2"/>
  <c r="BG54" i="2"/>
  <c r="BG14" i="3" s="1"/>
  <c r="BG23" i="3" l="1"/>
  <c r="BG32" i="3" s="1"/>
  <c r="BG47" i="3" s="1"/>
  <c r="BE159" i="3"/>
  <c r="BG55" i="2"/>
  <c r="BH54" i="2"/>
  <c r="BH14" i="3" s="1"/>
  <c r="BF143" i="3"/>
  <c r="BH23" i="3" l="1"/>
  <c r="BH32" i="3" s="1"/>
  <c r="BH47" i="3" s="1"/>
  <c r="BG143" i="3"/>
  <c r="BF159" i="3"/>
  <c r="BH55" i="2"/>
  <c r="BI54" i="2"/>
  <c r="BI14" i="3" s="1"/>
  <c r="BI23" i="3" l="1"/>
  <c r="BI32" i="3" s="1"/>
  <c r="BI47" i="3" s="1"/>
  <c r="BG159" i="3"/>
  <c r="BH143" i="3"/>
  <c r="BI55" i="2"/>
  <c r="BJ54" i="2"/>
  <c r="BJ14" i="3" s="1"/>
  <c r="BJ23" i="3" l="1"/>
  <c r="BJ32" i="3" s="1"/>
  <c r="BJ47" i="3" s="1"/>
  <c r="BH159" i="3"/>
  <c r="BI143" i="3"/>
  <c r="BJ55" i="2"/>
  <c r="BK54" i="2"/>
  <c r="BK14" i="3" s="1"/>
  <c r="BK23" i="3" l="1"/>
  <c r="BK32" i="3" s="1"/>
  <c r="BK47" i="3" s="1"/>
  <c r="BI159" i="3"/>
  <c r="BK55" i="2"/>
  <c r="BL54" i="2"/>
  <c r="BL14" i="3" s="1"/>
  <c r="BJ143" i="3"/>
  <c r="BL23" i="3" l="1"/>
  <c r="BL32" i="3" s="1"/>
  <c r="BL47" i="3" s="1"/>
  <c r="BJ159" i="3"/>
  <c r="BL55" i="2"/>
  <c r="BM54" i="2"/>
  <c r="BM14" i="3" s="1"/>
  <c r="BK143" i="3"/>
  <c r="BM23" i="3" l="1"/>
  <c r="BM32" i="3" s="1"/>
  <c r="BM47" i="3" s="1"/>
  <c r="BK159" i="3"/>
  <c r="BL143" i="3"/>
  <c r="BM55" i="2"/>
  <c r="BL159" i="3" l="1"/>
  <c r="BM143" i="3"/>
  <c r="E143" i="3" s="1"/>
  <c r="AS69" i="2"/>
  <c r="E14" i="3"/>
  <c r="O159" i="3" l="1"/>
  <c r="O119" i="3"/>
  <c r="BM159" i="3"/>
  <c r="AT69" i="2"/>
  <c r="AU69" i="2" s="1"/>
  <c r="P119" i="3" l="1"/>
  <c r="P159" i="3"/>
  <c r="Q159" i="3" l="1"/>
  <c r="Q119" i="3"/>
  <c r="R119" i="3" s="1"/>
  <c r="R159" i="3" l="1"/>
  <c r="S159" i="3" l="1"/>
  <c r="S119" i="3"/>
  <c r="T119" i="3" l="1"/>
  <c r="P17" i="1"/>
  <c r="Q17" i="1"/>
  <c r="T159" i="3"/>
  <c r="U159" i="3" l="1"/>
  <c r="E159" i="3" s="1"/>
  <c r="U119" i="3"/>
  <c r="E32" i="3"/>
  <c r="E23" i="3" s="1"/>
  <c r="G151" i="3"/>
  <c r="AS81" i="2"/>
  <c r="V119" i="3" l="1"/>
  <c r="W119" i="3" s="1"/>
  <c r="AS93" i="2"/>
  <c r="S17" i="1"/>
  <c r="S17" i="21" s="1"/>
  <c r="M106" i="12"/>
  <c r="L106" i="12"/>
  <c r="H151" i="3"/>
  <c r="G72" i="29" l="1"/>
  <c r="H72" i="29"/>
  <c r="AS109" i="2"/>
  <c r="AS117" i="2" s="1"/>
  <c r="I151" i="3"/>
  <c r="X119" i="3"/>
  <c r="F72" i="29" l="1"/>
  <c r="J72" i="29"/>
  <c r="L72" i="29"/>
  <c r="M72" i="29"/>
  <c r="K72" i="29"/>
  <c r="F69" i="29"/>
  <c r="F180" i="29" s="1"/>
  <c r="I72" i="29"/>
  <c r="R17" i="21"/>
  <c r="F50" i="3"/>
  <c r="J151" i="3"/>
  <c r="K151" i="3" s="1"/>
  <c r="L151" i="3" s="1"/>
  <c r="M151" i="3" s="1"/>
  <c r="N151" i="3" s="1"/>
  <c r="O151" i="3" s="1"/>
  <c r="P151" i="3" s="1"/>
  <c r="Q151" i="3" s="1"/>
  <c r="R151" i="3" s="1"/>
  <c r="S151" i="3" s="1"/>
  <c r="T151" i="3" s="1"/>
  <c r="U151" i="3" s="1"/>
  <c r="V151" i="3" s="1"/>
  <c r="W151" i="3" s="1"/>
  <c r="X151" i="3" s="1"/>
  <c r="Y151" i="3" s="1"/>
  <c r="Z151" i="3" s="1"/>
  <c r="AA151" i="3" s="1"/>
  <c r="AB151" i="3" s="1"/>
  <c r="AC151" i="3" s="1"/>
  <c r="AD151" i="3" s="1"/>
  <c r="AE151" i="3" s="1"/>
  <c r="AF151" i="3" s="1"/>
  <c r="AG151" i="3" s="1"/>
  <c r="F50" i="24"/>
  <c r="Y119" i="3"/>
  <c r="F95" i="29" l="1"/>
  <c r="F161" i="3"/>
  <c r="F76" i="3"/>
  <c r="Z119" i="3"/>
  <c r="AH151" i="3"/>
  <c r="AI151" i="3" s="1"/>
  <c r="F76" i="24"/>
  <c r="F169" i="24" s="1"/>
  <c r="F161" i="24"/>
  <c r="AJ151" i="3" l="1"/>
  <c r="AA119" i="3"/>
  <c r="AB119" i="3" l="1"/>
  <c r="AK151" i="3"/>
  <c r="AC119" i="3" l="1"/>
  <c r="AL151" i="3"/>
  <c r="AM151" i="3" s="1"/>
  <c r="AN151" i="3" l="1"/>
  <c r="AO151" i="3" s="1"/>
  <c r="AD119" i="3"/>
  <c r="AE119" i="3" l="1"/>
  <c r="AP151" i="3"/>
  <c r="AF119" i="3" l="1"/>
  <c r="AQ151" i="3"/>
  <c r="AR151" i="3" s="1"/>
  <c r="AS151" i="3" l="1"/>
  <c r="AT151" i="3" s="1"/>
  <c r="AU151" i="3" s="1"/>
  <c r="AG119" i="3"/>
  <c r="AH119" i="3" l="1"/>
  <c r="AV151" i="3"/>
  <c r="AI119" i="3" l="1"/>
  <c r="AW151" i="3"/>
  <c r="AJ119" i="3" l="1"/>
  <c r="AX151" i="3"/>
  <c r="AK119" i="3" l="1"/>
  <c r="AY151" i="3"/>
  <c r="AL119" i="3" l="1"/>
  <c r="AZ151" i="3"/>
  <c r="AM119" i="3" l="1"/>
  <c r="BA151" i="3"/>
  <c r="AN119" i="3" l="1"/>
  <c r="BB151" i="3"/>
  <c r="AO119" i="3" l="1"/>
  <c r="BC151" i="3"/>
  <c r="AP119" i="3" l="1"/>
  <c r="BD151" i="3"/>
  <c r="AQ119" i="3" l="1"/>
  <c r="BE151" i="3"/>
  <c r="AR119" i="3" l="1"/>
  <c r="BF151" i="3"/>
  <c r="AS119" i="3" l="1"/>
  <c r="BG151" i="3"/>
  <c r="AT119" i="3" l="1"/>
  <c r="BH151" i="3"/>
  <c r="AU119" i="3" l="1"/>
  <c r="BI151" i="3"/>
  <c r="AV119" i="3" l="1"/>
  <c r="BJ151" i="3"/>
  <c r="AW119" i="3" l="1"/>
  <c r="BK151" i="3"/>
  <c r="AX119" i="3" l="1"/>
  <c r="BL151" i="3"/>
  <c r="AY119" i="3" l="1"/>
  <c r="BM151" i="3"/>
  <c r="AZ119" i="3" l="1"/>
  <c r="E151" i="3"/>
  <c r="BA119" i="3" l="1"/>
  <c r="BB119" i="3" l="1"/>
  <c r="BC119" i="3" l="1"/>
  <c r="BD119" i="3" l="1"/>
  <c r="BE119" i="3" l="1"/>
  <c r="BF119" i="3" l="1"/>
  <c r="BG119" i="3" l="1"/>
  <c r="BH119" i="3" l="1"/>
  <c r="BI119" i="3" l="1"/>
  <c r="BJ119" i="3" l="1"/>
  <c r="BK119" i="3" l="1"/>
  <c r="BL119" i="3" l="1"/>
  <c r="BM119" i="3" l="1"/>
  <c r="E119" i="3" l="1"/>
  <c r="A119" i="3" s="1"/>
  <c r="E42" i="3" l="1"/>
  <c r="E43" i="3" l="1"/>
  <c r="F198" i="3" l="1"/>
  <c r="G51" i="3"/>
  <c r="L94" i="12"/>
  <c r="H51" i="3"/>
  <c r="H70" i="29" s="1"/>
  <c r="G52" i="3"/>
  <c r="G71" i="29" l="1"/>
  <c r="G70" i="29"/>
  <c r="I51" i="3"/>
  <c r="M94" i="12"/>
  <c r="G50" i="24"/>
  <c r="I52" i="3"/>
  <c r="H50" i="24"/>
  <c r="H52" i="3"/>
  <c r="I50" i="24" l="1"/>
  <c r="I161" i="24" s="1"/>
  <c r="H71" i="29"/>
  <c r="I71" i="29"/>
  <c r="I70" i="29"/>
  <c r="H161" i="24"/>
  <c r="H76" i="24"/>
  <c r="J51" i="3"/>
  <c r="J70" i="29" s="1"/>
  <c r="J52" i="3"/>
  <c r="G161" i="24"/>
  <c r="G76" i="24"/>
  <c r="G169" i="24" s="1"/>
  <c r="H169" i="24" l="1"/>
  <c r="I76" i="24"/>
  <c r="J71" i="29"/>
  <c r="K51" i="3"/>
  <c r="K70" i="29" s="1"/>
  <c r="K52" i="3"/>
  <c r="J50" i="24"/>
  <c r="I169" i="24" l="1"/>
  <c r="K71" i="29"/>
  <c r="K50" i="24"/>
  <c r="L51" i="3"/>
  <c r="M52" i="3"/>
  <c r="M51" i="3"/>
  <c r="J161" i="24"/>
  <c r="J76" i="24"/>
  <c r="L52" i="3"/>
  <c r="J169" i="24" l="1"/>
  <c r="M70" i="29"/>
  <c r="L71" i="29"/>
  <c r="M71" i="29"/>
  <c r="L70" i="29"/>
  <c r="L50" i="24"/>
  <c r="K161" i="24"/>
  <c r="K76" i="24"/>
  <c r="M50" i="24"/>
  <c r="K169" i="24" l="1"/>
  <c r="L161" i="24"/>
  <c r="L76" i="24"/>
  <c r="M161" i="24"/>
  <c r="M76" i="24"/>
  <c r="L169" i="24" l="1"/>
  <c r="M169" i="24" s="1"/>
  <c r="X53" i="29"/>
  <c r="Y53" i="29" l="1"/>
  <c r="E47" i="3" l="1"/>
  <c r="AT81" i="2" s="1"/>
  <c r="AT93" i="2" l="1"/>
  <c r="AT109" i="2" l="1"/>
  <c r="AT117" i="2" s="1"/>
  <c r="BF145" i="29"/>
  <c r="V145" i="29"/>
  <c r="AS145" i="29"/>
  <c r="I145" i="29"/>
  <c r="AJ145" i="29"/>
  <c r="BJ145" i="29"/>
  <c r="AW145" i="29"/>
  <c r="AI145" i="29"/>
  <c r="T145" i="29"/>
  <c r="G145" i="29"/>
  <c r="AZ145" i="29"/>
  <c r="P145" i="29"/>
  <c r="AM145" i="29"/>
  <c r="AD145" i="29"/>
  <c r="AX145" i="29"/>
  <c r="AK145" i="29"/>
  <c r="W145" i="29"/>
  <c r="H145" i="29"/>
  <c r="BM145" i="29"/>
  <c r="AT145" i="29"/>
  <c r="J145" i="29"/>
  <c r="AG145" i="29"/>
  <c r="BH145" i="29"/>
  <c r="X145" i="29"/>
  <c r="AL145" i="29"/>
  <c r="Y145" i="29"/>
  <c r="K145" i="29"/>
  <c r="BC145" i="29"/>
  <c r="BA145" i="29"/>
  <c r="AN145" i="29"/>
  <c r="BK145" i="29"/>
  <c r="AA145" i="29"/>
  <c r="BB145" i="29"/>
  <c r="R145" i="29"/>
  <c r="Z145" i="29"/>
  <c r="M145" i="29"/>
  <c r="BD145" i="29"/>
  <c r="AQ145" i="29"/>
  <c r="AO145" i="29"/>
  <c r="AH145" i="29"/>
  <c r="BE145" i="29"/>
  <c r="U145" i="29"/>
  <c r="AV145" i="29"/>
  <c r="L145" i="29"/>
  <c r="N145" i="29"/>
  <c r="BG145" i="29"/>
  <c r="AR145" i="29"/>
  <c r="AE145" i="29"/>
  <c r="AC145" i="29"/>
  <c r="BL145" i="29"/>
  <c r="AB145" i="29"/>
  <c r="AY145" i="29"/>
  <c r="O145" i="29"/>
  <c r="AP145" i="29"/>
  <c r="F145" i="29"/>
  <c r="BI145" i="29"/>
  <c r="AU145" i="29"/>
  <c r="AF145" i="29"/>
  <c r="S145" i="29"/>
  <c r="Q145" i="29"/>
  <c r="F126" i="3"/>
  <c r="BC126" i="3"/>
  <c r="BK126" i="3"/>
  <c r="AL126" i="3"/>
  <c r="AV126" i="3"/>
  <c r="M126" i="3"/>
  <c r="X126" i="3"/>
  <c r="AT126" i="3"/>
  <c r="AD126" i="3"/>
  <c r="AE126" i="3"/>
  <c r="N126" i="3"/>
  <c r="BL126" i="3"/>
  <c r="P126" i="3"/>
  <c r="AZ126" i="3"/>
  <c r="T126" i="3"/>
  <c r="I126" i="3"/>
  <c r="AJ126" i="3"/>
  <c r="AA126" i="3"/>
  <c r="AU126" i="3"/>
  <c r="AH126" i="3"/>
  <c r="AO126" i="3"/>
  <c r="S126" i="3"/>
  <c r="AQ126" i="3"/>
  <c r="AW126" i="3"/>
  <c r="BH126" i="3"/>
  <c r="BE126" i="3"/>
  <c r="J126" i="3"/>
  <c r="R126" i="3"/>
  <c r="AX126" i="3"/>
  <c r="BF126" i="3"/>
  <c r="AY126" i="3"/>
  <c r="BM126" i="3"/>
  <c r="AI126" i="3"/>
  <c r="BA126" i="3"/>
  <c r="BB126" i="3"/>
  <c r="AG126" i="3"/>
  <c r="U126" i="3"/>
  <c r="Q126" i="3"/>
  <c r="AK126" i="3"/>
  <c r="BD126" i="3"/>
  <c r="AS126" i="3"/>
  <c r="K126" i="3"/>
  <c r="AC126" i="3"/>
  <c r="AB126" i="3"/>
  <c r="AM126" i="3"/>
  <c r="G126" i="3"/>
  <c r="BG126" i="3"/>
  <c r="H126" i="3"/>
  <c r="AR126" i="3"/>
  <c r="AF126" i="3"/>
  <c r="L126" i="3"/>
  <c r="W126" i="3"/>
  <c r="BI126" i="3"/>
  <c r="Y126" i="3"/>
  <c r="AN126" i="3"/>
  <c r="O126" i="3"/>
  <c r="AP126" i="3"/>
  <c r="BJ126" i="3"/>
  <c r="Z126" i="3"/>
  <c r="V126" i="3"/>
  <c r="E145" i="29" l="1"/>
  <c r="E126" i="3"/>
  <c r="I103" i="3" l="1"/>
  <c r="I122" i="29" l="1"/>
  <c r="I100" i="29"/>
  <c r="I123" i="29" l="1"/>
  <c r="G42" i="24" l="1"/>
  <c r="H42" i="24" l="1"/>
  <c r="I42" i="24" l="1"/>
  <c r="J42" i="24" l="1"/>
  <c r="K42" i="24" l="1"/>
  <c r="L42" i="24" s="1"/>
  <c r="M42" i="24" s="1"/>
  <c r="N42" i="24" l="1"/>
  <c r="O42" i="24" l="1"/>
  <c r="P42" i="24" s="1"/>
  <c r="Q42" i="24" l="1"/>
  <c r="R42" i="24" l="1"/>
  <c r="S42" i="24" l="1"/>
  <c r="T42" i="24" s="1"/>
  <c r="U42" i="24" s="1"/>
  <c r="V42" i="24" s="1"/>
  <c r="W42" i="24" s="1"/>
  <c r="X42" i="24" s="1"/>
  <c r="Y42" i="24" s="1"/>
  <c r="G43" i="24"/>
  <c r="Z42" i="24" l="1"/>
  <c r="AA42" i="24" s="1"/>
  <c r="AB42" i="24" s="1"/>
  <c r="AC42" i="24" s="1"/>
  <c r="AD42" i="24" s="1"/>
  <c r="AE42" i="24" s="1"/>
  <c r="AF42" i="24" s="1"/>
  <c r="AG42" i="24" s="1"/>
  <c r="AH42" i="24" s="1"/>
  <c r="AI42" i="24" s="1"/>
  <c r="H43" i="24"/>
  <c r="AJ42" i="24" l="1"/>
  <c r="I43" i="24"/>
  <c r="AK42" i="24" l="1"/>
  <c r="J43" i="24"/>
  <c r="AL42" i="24" l="1"/>
  <c r="AM42" i="24" s="1"/>
  <c r="K43" i="24"/>
  <c r="L43" i="24" s="1"/>
  <c r="M43" i="24" s="1"/>
  <c r="AN42" i="24" l="1"/>
  <c r="N43" i="24"/>
  <c r="O43" i="24" s="1"/>
  <c r="AO42" i="24" l="1"/>
  <c r="AP42" i="24" s="1"/>
  <c r="AQ42" i="24" s="1"/>
  <c r="AR42" i="24" s="1"/>
  <c r="AS42" i="24" s="1"/>
  <c r="AT42" i="24" s="1"/>
  <c r="P43" i="24"/>
  <c r="AU42" i="24" l="1"/>
  <c r="AV42" i="24" s="1"/>
  <c r="AW42" i="24" s="1"/>
  <c r="AX42" i="24" s="1"/>
  <c r="AY42" i="24" s="1"/>
  <c r="AZ42" i="24" s="1"/>
  <c r="BA42" i="24" s="1"/>
  <c r="BB42" i="24" s="1"/>
  <c r="BC42" i="24" s="1"/>
  <c r="BD42" i="24" s="1"/>
  <c r="BE42" i="24" s="1"/>
  <c r="BF42" i="24" s="1"/>
  <c r="BG42" i="24" s="1"/>
  <c r="BH42" i="24" s="1"/>
  <c r="BI42" i="24" s="1"/>
  <c r="BJ42" i="24" s="1"/>
  <c r="BK42" i="24" s="1"/>
  <c r="BL42" i="24" s="1"/>
  <c r="BM42" i="24" s="1"/>
  <c r="E42" i="24" s="1"/>
  <c r="Q43" i="24"/>
  <c r="R43" i="24" l="1"/>
  <c r="S43" i="24" s="1"/>
  <c r="T43" i="24" s="1"/>
  <c r="U43" i="24" s="1"/>
  <c r="V43" i="24" s="1"/>
  <c r="W43" i="24" s="1"/>
  <c r="X43" i="24" s="1"/>
  <c r="Y43" i="24" s="1"/>
  <c r="Z43" i="24" s="1"/>
  <c r="AA43" i="24" s="1"/>
  <c r="AB43" i="24" s="1"/>
  <c r="AC43" i="24" s="1"/>
  <c r="AD43" i="24" s="1"/>
  <c r="AE43" i="24" s="1"/>
  <c r="AF43" i="24" s="1"/>
  <c r="AG43" i="24" s="1"/>
  <c r="AH43" i="24" s="1"/>
  <c r="AI43" i="24" s="1"/>
  <c r="G45" i="24"/>
  <c r="AJ43" i="24" l="1"/>
  <c r="F208" i="29"/>
  <c r="F217" i="29" s="1"/>
  <c r="H45" i="24"/>
  <c r="AK43" i="24" l="1"/>
  <c r="I45" i="24"/>
  <c r="AL43" i="24" l="1"/>
  <c r="AM43" i="24" s="1"/>
  <c r="J45" i="24"/>
  <c r="AN43" i="24" l="1"/>
  <c r="K45" i="24"/>
  <c r="AO43" i="24" l="1"/>
  <c r="AP43" i="24" s="1"/>
  <c r="AQ43" i="24" s="1"/>
  <c r="AR43" i="24" s="1"/>
  <c r="AS43" i="24" s="1"/>
  <c r="AT43" i="24" s="1"/>
  <c r="AU43" i="24" s="1"/>
  <c r="AV43" i="24" s="1"/>
  <c r="AW43" i="24" s="1"/>
  <c r="AX43" i="24" s="1"/>
  <c r="AY43" i="24" s="1"/>
  <c r="AZ43" i="24" s="1"/>
  <c r="BA43" i="24" s="1"/>
  <c r="BB43" i="24" s="1"/>
  <c r="BC43" i="24" s="1"/>
  <c r="BD43" i="24" s="1"/>
  <c r="BE43" i="24" s="1"/>
  <c r="BF43" i="24" s="1"/>
  <c r="BG43" i="24" s="1"/>
  <c r="BH43" i="24" s="1"/>
  <c r="BI43" i="24" s="1"/>
  <c r="BJ43" i="24" s="1"/>
  <c r="BK43" i="24" s="1"/>
  <c r="BL43" i="24" s="1"/>
  <c r="BM43" i="24" s="1"/>
  <c r="E43" i="24" s="1"/>
  <c r="L45" i="24"/>
  <c r="M45" i="24" l="1"/>
  <c r="N45" i="24" l="1"/>
  <c r="O45" i="24" l="1"/>
  <c r="P45" i="24" s="1"/>
  <c r="Q45" i="24" s="1"/>
  <c r="R45" i="24" l="1"/>
  <c r="S45" i="24" s="1"/>
  <c r="T45" i="24" s="1"/>
  <c r="U45" i="24" l="1"/>
  <c r="V45" i="24" l="1"/>
  <c r="W45" i="24" l="1"/>
  <c r="X45" i="24" l="1"/>
  <c r="Y45" i="24" l="1"/>
  <c r="Z45" i="24" l="1"/>
  <c r="Z53" i="29" l="1"/>
  <c r="AA45" i="24"/>
  <c r="AB45" i="24" l="1"/>
  <c r="AA53" i="29" l="1"/>
  <c r="AC45" i="24"/>
  <c r="AB53" i="29" l="1"/>
  <c r="AD45" i="24"/>
  <c r="AC53" i="29"/>
  <c r="AE45" i="24" l="1"/>
  <c r="AD53" i="29" l="1"/>
  <c r="AF45" i="24"/>
  <c r="AG45" i="24" l="1"/>
  <c r="AH45" i="24" l="1"/>
  <c r="O26" i="29" l="1"/>
  <c r="O26" i="24" l="1"/>
  <c r="O37" i="24" s="1"/>
  <c r="O39" i="24" l="1"/>
  <c r="O40" i="24" s="1"/>
  <c r="O41" i="24" s="1"/>
  <c r="O41" i="29"/>
  <c r="O39" i="29" s="1"/>
  <c r="O153" i="24"/>
  <c r="O35" i="24" l="1"/>
  <c r="O24" i="29"/>
  <c r="O172" i="29"/>
  <c r="T16" i="12" l="1"/>
  <c r="I12" i="1"/>
  <c r="H12" i="1" s="1"/>
  <c r="I12" i="23"/>
  <c r="H12" i="23" s="1"/>
  <c r="E50" i="25" l="1"/>
  <c r="AJ50" i="25" s="1"/>
  <c r="AJ51" i="25" s="1"/>
  <c r="J12" i="23"/>
  <c r="I35" i="23"/>
  <c r="BL51" i="25"/>
  <c r="BD51" i="25"/>
  <c r="AD51" i="25"/>
  <c r="BI51" i="25"/>
  <c r="BA51" i="25"/>
  <c r="L51" i="25"/>
  <c r="AS51" i="25"/>
  <c r="BH51" i="25"/>
  <c r="AR51" i="25"/>
  <c r="AM51" i="25"/>
  <c r="X51" i="25"/>
  <c r="BF51" i="25"/>
  <c r="V51" i="25"/>
  <c r="S51" i="25"/>
  <c r="J51" i="25"/>
  <c r="BJ51" i="25"/>
  <c r="BB51" i="25"/>
  <c r="Z51" i="25"/>
  <c r="AE51" i="25"/>
  <c r="AZ51" i="25"/>
  <c r="AI50" i="25"/>
  <c r="AL51" i="25"/>
  <c r="AB51" i="25"/>
  <c r="G51" i="25"/>
  <c r="N51" i="25"/>
  <c r="J12" i="1"/>
  <c r="I35" i="1"/>
  <c r="E50" i="2"/>
  <c r="AF50" i="2" s="1"/>
  <c r="H12" i="21"/>
  <c r="AG51" i="25" l="1"/>
  <c r="Y51" i="25"/>
  <c r="O51" i="25"/>
  <c r="I51" i="25"/>
  <c r="BG51" i="25"/>
  <c r="AX51" i="25"/>
  <c r="M51" i="25"/>
  <c r="AN51" i="25"/>
  <c r="W51" i="25"/>
  <c r="F51" i="25"/>
  <c r="U51" i="25"/>
  <c r="AC51" i="25"/>
  <c r="AV51" i="25"/>
  <c r="AW51" i="25"/>
  <c r="AU51" i="25"/>
  <c r="AO51" i="25"/>
  <c r="P51" i="25"/>
  <c r="AY51" i="25"/>
  <c r="Q51" i="25"/>
  <c r="AQ51" i="25"/>
  <c r="BE51" i="25"/>
  <c r="AH51" i="25"/>
  <c r="AP51" i="25"/>
  <c r="BC51" i="25"/>
  <c r="T51" i="25"/>
  <c r="AF51" i="25"/>
  <c r="AA51" i="25"/>
  <c r="BM51" i="25"/>
  <c r="AT51" i="25"/>
  <c r="K51" i="25"/>
  <c r="BK51" i="25"/>
  <c r="AK51" i="25"/>
  <c r="H51" i="25"/>
  <c r="R51" i="25"/>
  <c r="J12" i="21"/>
  <c r="E12" i="21" s="1"/>
  <c r="AF12" i="3"/>
  <c r="AJ12" i="24"/>
  <c r="AI12" i="24"/>
  <c r="D50" i="25"/>
  <c r="AI51" i="25"/>
  <c r="C50" i="25"/>
  <c r="I35" i="21"/>
  <c r="Y51" i="2"/>
  <c r="AD51" i="2"/>
  <c r="BH51" i="2"/>
  <c r="AZ51" i="2"/>
  <c r="AP51" i="2"/>
  <c r="N51" i="2"/>
  <c r="AK51" i="2"/>
  <c r="AB51" i="2"/>
  <c r="O51" i="2"/>
  <c r="BM51" i="2"/>
  <c r="BD51" i="2"/>
  <c r="H51" i="2"/>
  <c r="AH51" i="2"/>
  <c r="AM51" i="2"/>
  <c r="AJ51" i="2"/>
  <c r="AI51" i="2"/>
  <c r="V51" i="2"/>
  <c r="BL51" i="2"/>
  <c r="AW51" i="2"/>
  <c r="AX51" i="2"/>
  <c r="AQ51" i="2"/>
  <c r="AA51" i="2"/>
  <c r="Q51" i="2"/>
  <c r="P51" i="2"/>
  <c r="Z51" i="2"/>
  <c r="BK51" i="2"/>
  <c r="X51" i="2"/>
  <c r="BC51" i="2"/>
  <c r="AL51" i="2"/>
  <c r="BG51" i="2"/>
  <c r="AE50" i="2"/>
  <c r="M51" i="2"/>
  <c r="AF51" i="2"/>
  <c r="R51" i="2"/>
  <c r="S51" i="2"/>
  <c r="G51" i="2"/>
  <c r="L51" i="2"/>
  <c r="AO51" i="2"/>
  <c r="AT51" i="2"/>
  <c r="AV51" i="2"/>
  <c r="AG51" i="2"/>
  <c r="BJ51" i="2"/>
  <c r="BB51" i="2"/>
  <c r="AR51" i="2"/>
  <c r="K51" i="2"/>
  <c r="J51" i="2"/>
  <c r="AS51" i="2"/>
  <c r="F51" i="2"/>
  <c r="BI51" i="2"/>
  <c r="BA51" i="2"/>
  <c r="AC51" i="2"/>
  <c r="BF51" i="2"/>
  <c r="T51" i="2"/>
  <c r="BE51" i="2"/>
  <c r="AY51" i="2"/>
  <c r="AU51" i="2"/>
  <c r="W51" i="2"/>
  <c r="AN51" i="2"/>
  <c r="U51" i="2"/>
  <c r="I51" i="2"/>
  <c r="AF21" i="3" l="1"/>
  <c r="AF30" i="3" s="1"/>
  <c r="AF141" i="3"/>
  <c r="AJ141" i="24"/>
  <c r="AJ21" i="24"/>
  <c r="AJ30" i="24" s="1"/>
  <c r="P12" i="23"/>
  <c r="AS67" i="25"/>
  <c r="AI141" i="24"/>
  <c r="G133" i="24"/>
  <c r="H133" i="24" s="1"/>
  <c r="AI21" i="24"/>
  <c r="AI30" i="24" s="1"/>
  <c r="Q12" i="23"/>
  <c r="E12" i="24"/>
  <c r="C50" i="2"/>
  <c r="D50" i="2"/>
  <c r="AE51" i="2"/>
  <c r="AE12" i="3"/>
  <c r="E141" i="24" l="1"/>
  <c r="AF157" i="3"/>
  <c r="AJ157" i="24"/>
  <c r="AT67" i="25"/>
  <c r="G133" i="3"/>
  <c r="H133" i="3" s="1"/>
  <c r="I133" i="3" s="1"/>
  <c r="J133" i="3" s="1"/>
  <c r="AE141" i="3"/>
  <c r="E141" i="3" s="1"/>
  <c r="Q12" i="1"/>
  <c r="E12" i="3"/>
  <c r="P12" i="1"/>
  <c r="AS67" i="2"/>
  <c r="AE21" i="3"/>
  <c r="AE30" i="3" s="1"/>
  <c r="I133" i="24"/>
  <c r="G149" i="24"/>
  <c r="H149" i="24" s="1"/>
  <c r="AI117" i="24"/>
  <c r="E30" i="24"/>
  <c r="AI45" i="24"/>
  <c r="AI157" i="24"/>
  <c r="AJ45" i="24" l="1"/>
  <c r="E157" i="24"/>
  <c r="P12" i="21"/>
  <c r="Q12" i="21"/>
  <c r="G149" i="3"/>
  <c r="H149" i="3" s="1"/>
  <c r="AE157" i="3"/>
  <c r="E157" i="3" s="1"/>
  <c r="E30" i="3"/>
  <c r="AE117" i="3"/>
  <c r="AE45" i="3"/>
  <c r="AF45" i="3" s="1"/>
  <c r="K133" i="3"/>
  <c r="AT67" i="2"/>
  <c r="J133" i="24"/>
  <c r="S12" i="23"/>
  <c r="E21" i="24"/>
  <c r="I149" i="24"/>
  <c r="AK45" i="24"/>
  <c r="AJ117" i="24"/>
  <c r="I149" i="3" l="1"/>
  <c r="J149" i="3" s="1"/>
  <c r="AL45" i="24"/>
  <c r="K133" i="24"/>
  <c r="L133" i="3"/>
  <c r="AK117" i="24"/>
  <c r="AL117" i="24" s="1"/>
  <c r="J149" i="24"/>
  <c r="S12" i="1"/>
  <c r="E21" i="3"/>
  <c r="AG45" i="3"/>
  <c r="AF117" i="3"/>
  <c r="AM117" i="24" l="1"/>
  <c r="AM45" i="24"/>
  <c r="S12" i="21"/>
  <c r="R12" i="21" s="1"/>
  <c r="K149" i="3"/>
  <c r="L149" i="3" s="1"/>
  <c r="AH45" i="3"/>
  <c r="M133" i="3"/>
  <c r="AG117" i="3"/>
  <c r="AH117" i="3" s="1"/>
  <c r="K149" i="24"/>
  <c r="L133" i="24"/>
  <c r="AN117" i="24" l="1"/>
  <c r="AO117" i="24" s="1"/>
  <c r="M149" i="3"/>
  <c r="AI45" i="3"/>
  <c r="AJ45" i="3" s="1"/>
  <c r="L149" i="24"/>
  <c r="AI117" i="3"/>
  <c r="N133" i="3"/>
  <c r="M133" i="24"/>
  <c r="AN45" i="24"/>
  <c r="N133" i="24" l="1"/>
  <c r="AK45" i="3"/>
  <c r="AJ117" i="3"/>
  <c r="AK117" i="3" s="1"/>
  <c r="N149" i="3"/>
  <c r="O149" i="3" s="1"/>
  <c r="O133" i="3"/>
  <c r="P133" i="3" s="1"/>
  <c r="M149" i="24"/>
  <c r="AO45" i="24"/>
  <c r="AP117" i="24"/>
  <c r="AL45" i="3" l="1"/>
  <c r="AM45" i="3" s="1"/>
  <c r="AN45" i="3" s="1"/>
  <c r="AP45" i="24"/>
  <c r="O133" i="24"/>
  <c r="AQ117" i="24"/>
  <c r="AR117" i="24" s="1"/>
  <c r="AL117" i="3"/>
  <c r="AM117" i="3" s="1"/>
  <c r="N149" i="24"/>
  <c r="O149" i="24" s="1"/>
  <c r="Q133" i="3"/>
  <c r="P149" i="3"/>
  <c r="Q149" i="3" s="1"/>
  <c r="AO45" i="3" l="1"/>
  <c r="AP45" i="3" s="1"/>
  <c r="AQ45" i="3" s="1"/>
  <c r="AQ45" i="24"/>
  <c r="AR45" i="24" s="1"/>
  <c r="P133" i="24"/>
  <c r="R149" i="3"/>
  <c r="AS117" i="24"/>
  <c r="R133" i="3"/>
  <c r="P149" i="24"/>
  <c r="AN117" i="3"/>
  <c r="Q133" i="24" l="1"/>
  <c r="R133" i="24" s="1"/>
  <c r="AR45" i="3"/>
  <c r="AS45" i="3" s="1"/>
  <c r="AS45" i="24"/>
  <c r="Q149" i="24"/>
  <c r="S133" i="3"/>
  <c r="AT117" i="24"/>
  <c r="AO117" i="3"/>
  <c r="S149" i="3"/>
  <c r="S133" i="24" l="1"/>
  <c r="T133" i="24" s="1"/>
  <c r="AT45" i="24"/>
  <c r="AP117" i="3"/>
  <c r="AT45" i="3"/>
  <c r="T149" i="3"/>
  <c r="R149" i="24"/>
  <c r="AU117" i="24"/>
  <c r="T133" i="3"/>
  <c r="AU45" i="24" l="1"/>
  <c r="AV45" i="24" s="1"/>
  <c r="U149" i="3"/>
  <c r="AQ117" i="3"/>
  <c r="U133" i="3"/>
  <c r="AV117" i="24"/>
  <c r="S149" i="24"/>
  <c r="U133" i="24"/>
  <c r="AU45" i="3"/>
  <c r="V149" i="3" l="1"/>
  <c r="AV45" i="3"/>
  <c r="AW117" i="24"/>
  <c r="V133" i="3"/>
  <c r="AW45" i="24"/>
  <c r="V133" i="24"/>
  <c r="AR117" i="3"/>
  <c r="T149" i="24"/>
  <c r="W133" i="3" l="1"/>
  <c r="AW45" i="3"/>
  <c r="AS117" i="3"/>
  <c r="AX45" i="24"/>
  <c r="W149" i="3"/>
  <c r="W133" i="24"/>
  <c r="U149" i="24"/>
  <c r="AX117" i="24"/>
  <c r="AY117" i="24" l="1"/>
  <c r="V149" i="24"/>
  <c r="AX45" i="3"/>
  <c r="AY45" i="24"/>
  <c r="AT117" i="3"/>
  <c r="X133" i="3"/>
  <c r="X149" i="3"/>
  <c r="X133" i="24"/>
  <c r="Y133" i="24" l="1"/>
  <c r="AZ45" i="24"/>
  <c r="AZ117" i="24"/>
  <c r="AU117" i="3"/>
  <c r="Y149" i="3"/>
  <c r="W149" i="24"/>
  <c r="Y133" i="3"/>
  <c r="AY45" i="3"/>
  <c r="Z149" i="3" l="1"/>
  <c r="AV117" i="3"/>
  <c r="Z133" i="24"/>
  <c r="X149" i="24"/>
  <c r="BA45" i="24"/>
  <c r="Z133" i="3"/>
  <c r="BA117" i="24"/>
  <c r="AZ45" i="3"/>
  <c r="BA45" i="3" l="1"/>
  <c r="BB45" i="24"/>
  <c r="AA133" i="24"/>
  <c r="Y149" i="24"/>
  <c r="AW117" i="3"/>
  <c r="BB117" i="24"/>
  <c r="AA133" i="3"/>
  <c r="AA149" i="3"/>
  <c r="BB45" i="3" l="1"/>
  <c r="BC117" i="24"/>
  <c r="AB133" i="24"/>
  <c r="AX117" i="3"/>
  <c r="AB149" i="3"/>
  <c r="AB133" i="3"/>
  <c r="Z149" i="24"/>
  <c r="BC45" i="24"/>
  <c r="AC149" i="3" l="1"/>
  <c r="BD117" i="24"/>
  <c r="AC133" i="24"/>
  <c r="BC45" i="3"/>
  <c r="BD45" i="24"/>
  <c r="AC133" i="3"/>
  <c r="AY117" i="3"/>
  <c r="AA149" i="24"/>
  <c r="BE117" i="24" l="1"/>
  <c r="BE45" i="24"/>
  <c r="BD45" i="3"/>
  <c r="AB149" i="24"/>
  <c r="AZ117" i="3"/>
  <c r="AD149" i="3"/>
  <c r="AD133" i="24"/>
  <c r="AD133" i="3"/>
  <c r="BF45" i="24" l="1"/>
  <c r="BA117" i="3"/>
  <c r="BE45" i="3"/>
  <c r="AC149" i="24"/>
  <c r="BF117" i="24"/>
  <c r="AE133" i="24"/>
  <c r="AE149" i="3"/>
  <c r="AE133" i="3"/>
  <c r="AF133" i="3" l="1"/>
  <c r="AF133" i="24"/>
  <c r="BG45" i="24"/>
  <c r="BG117" i="24"/>
  <c r="AF149" i="3"/>
  <c r="AD149" i="24"/>
  <c r="BF45" i="3"/>
  <c r="BB117" i="3"/>
  <c r="AE149" i="24" l="1"/>
  <c r="BC117" i="3"/>
  <c r="AG149" i="3"/>
  <c r="BH117" i="24"/>
  <c r="AG133" i="24"/>
  <c r="AG133" i="3"/>
  <c r="BG45" i="3"/>
  <c r="BH45" i="24"/>
  <c r="BI45" i="24" l="1"/>
  <c r="AF149" i="24"/>
  <c r="AH133" i="3"/>
  <c r="AH133" i="24"/>
  <c r="BI117" i="24"/>
  <c r="AH149" i="3"/>
  <c r="BH45" i="3"/>
  <c r="BD117" i="3"/>
  <c r="BE117" i="3" l="1"/>
  <c r="AG149" i="24"/>
  <c r="BJ117" i="24"/>
  <c r="AI133" i="3"/>
  <c r="BI45" i="3"/>
  <c r="AI149" i="3"/>
  <c r="AI133" i="24"/>
  <c r="BJ45" i="24"/>
  <c r="AJ149" i="3" l="1"/>
  <c r="BJ45" i="3"/>
  <c r="AJ133" i="3"/>
  <c r="BK117" i="24"/>
  <c r="AH149" i="24"/>
  <c r="BK45" i="24"/>
  <c r="BF117" i="3"/>
  <c r="AJ133" i="24"/>
  <c r="BG117" i="3" l="1"/>
  <c r="AK133" i="3"/>
  <c r="BK45" i="3"/>
  <c r="BL117" i="24"/>
  <c r="AK133" i="24"/>
  <c r="AK149" i="3"/>
  <c r="AI149" i="24"/>
  <c r="BL45" i="24"/>
  <c r="BL45" i="3" l="1"/>
  <c r="AJ149" i="24"/>
  <c r="AL133" i="3"/>
  <c r="BH117" i="3"/>
  <c r="AL149" i="3"/>
  <c r="BM45" i="24"/>
  <c r="BM117" i="24"/>
  <c r="AL133" i="24"/>
  <c r="AM149" i="3" l="1"/>
  <c r="E117" i="24"/>
  <c r="AK149" i="24"/>
  <c r="BM45" i="3"/>
  <c r="BI117" i="3"/>
  <c r="AM133" i="24"/>
  <c r="AM133" i="3"/>
  <c r="E45" i="24"/>
  <c r="AN133" i="3" l="1"/>
  <c r="E45" i="3"/>
  <c r="A117" i="24"/>
  <c r="AN133" i="24"/>
  <c r="AL149" i="24"/>
  <c r="AN149" i="3"/>
  <c r="BJ117" i="3"/>
  <c r="AO133" i="3" l="1"/>
  <c r="AO149" i="3"/>
  <c r="AO133" i="24"/>
  <c r="AM149" i="24"/>
  <c r="BK117" i="3"/>
  <c r="AN149" i="24" l="1"/>
  <c r="AP133" i="3"/>
  <c r="AP133" i="24"/>
  <c r="BL117" i="3"/>
  <c r="AP149" i="3"/>
  <c r="BM117" i="3" l="1"/>
  <c r="AQ133" i="3"/>
  <c r="AQ133" i="24"/>
  <c r="AO149" i="24"/>
  <c r="AQ149" i="3"/>
  <c r="E117" i="3" l="1"/>
  <c r="AR133" i="24"/>
  <c r="AP149" i="24"/>
  <c r="AR149" i="3"/>
  <c r="AR133" i="3"/>
  <c r="AQ149" i="24" l="1"/>
  <c r="AS133" i="24"/>
  <c r="A117" i="3"/>
  <c r="AS133" i="3"/>
  <c r="AS149" i="3"/>
  <c r="AT149" i="3" l="1"/>
  <c r="AR149" i="24"/>
  <c r="AT133" i="24"/>
  <c r="AT133" i="3"/>
  <c r="AU149" i="3" l="1"/>
  <c r="AU133" i="3"/>
  <c r="AU133" i="24"/>
  <c r="AS149" i="24"/>
  <c r="AV133" i="24" l="1"/>
  <c r="AT149" i="24"/>
  <c r="AV133" i="3"/>
  <c r="AV149" i="3"/>
  <c r="AW133" i="3" l="1"/>
  <c r="AU149" i="24"/>
  <c r="AW149" i="3"/>
  <c r="AW133" i="24"/>
  <c r="AV149" i="24" l="1"/>
  <c r="AX133" i="3"/>
  <c r="AX149" i="3"/>
  <c r="AX133" i="24"/>
  <c r="AY133" i="24" l="1"/>
  <c r="AW149" i="24"/>
  <c r="AY133" i="3"/>
  <c r="AY149" i="3"/>
  <c r="AX149" i="24" l="1"/>
  <c r="AZ133" i="3"/>
  <c r="AZ133" i="24"/>
  <c r="AZ149" i="3"/>
  <c r="BA133" i="24" l="1"/>
  <c r="BA133" i="3"/>
  <c r="AY149" i="24"/>
  <c r="BA149" i="3"/>
  <c r="BB149" i="3" l="1"/>
  <c r="BB133" i="3"/>
  <c r="AZ149" i="24"/>
  <c r="BB133" i="24"/>
  <c r="BC133" i="3" l="1"/>
  <c r="BC133" i="24"/>
  <c r="BA149" i="24"/>
  <c r="BC149" i="3"/>
  <c r="BD133" i="24" l="1"/>
  <c r="BD133" i="3"/>
  <c r="BD149" i="3"/>
  <c r="BB149" i="24"/>
  <c r="BE133" i="24" l="1"/>
  <c r="BE149" i="3"/>
  <c r="BC149" i="24"/>
  <c r="BE133" i="3"/>
  <c r="BF133" i="3" l="1"/>
  <c r="BF133" i="24"/>
  <c r="BD149" i="24"/>
  <c r="BF149" i="3"/>
  <c r="BG133" i="3" l="1"/>
  <c r="BG133" i="24"/>
  <c r="BG149" i="3"/>
  <c r="BE149" i="24"/>
  <c r="BF149" i="24" l="1"/>
  <c r="BH133" i="3"/>
  <c r="BH133" i="24"/>
  <c r="BH149" i="3"/>
  <c r="BI133" i="3" l="1"/>
  <c r="BI133" i="24"/>
  <c r="BI149" i="3"/>
  <c r="BG149" i="24"/>
  <c r="BH149" i="24" l="1"/>
  <c r="BJ149" i="3"/>
  <c r="BJ133" i="3"/>
  <c r="BJ133" i="24"/>
  <c r="BK149" i="3" l="1"/>
  <c r="BI149" i="24"/>
  <c r="BK133" i="3"/>
  <c r="BK133" i="24"/>
  <c r="BJ149" i="24" l="1"/>
  <c r="BL149" i="3"/>
  <c r="BL133" i="3"/>
  <c r="BL133" i="24"/>
  <c r="BM149" i="3" l="1"/>
  <c r="BK149" i="24"/>
  <c r="BM133" i="24"/>
  <c r="BM133" i="3"/>
  <c r="E149" i="3" l="1"/>
  <c r="E133" i="3"/>
  <c r="AU67" i="2" s="1"/>
  <c r="BL149" i="24"/>
  <c r="E133" i="24"/>
  <c r="AU67" i="25" s="1"/>
  <c r="BM149" i="24" l="1"/>
  <c r="E149" i="24" l="1"/>
  <c r="N40" i="2"/>
  <c r="N41" i="2" s="1"/>
  <c r="N42" i="2" s="1"/>
  <c r="H74" i="29"/>
  <c r="N8" i="3" l="1"/>
  <c r="O56" i="2"/>
  <c r="P56" i="2" s="1"/>
  <c r="Q56" i="2" s="1"/>
  <c r="R56" i="2" s="1"/>
  <c r="S56" i="2" s="1"/>
  <c r="N17" i="3" l="1"/>
  <c r="N25" i="29" s="1"/>
  <c r="N10" i="29"/>
  <c r="N9" i="29" s="1"/>
  <c r="N156" i="29" s="1"/>
  <c r="N137" i="3"/>
  <c r="N26" i="3" l="1"/>
  <c r="N37" i="3" s="1"/>
  <c r="N39" i="3" s="1"/>
  <c r="U11" i="12"/>
  <c r="N40" i="29" l="1"/>
  <c r="N39" i="29" s="1"/>
  <c r="N172" i="29" s="1"/>
  <c r="N153" i="3"/>
  <c r="N40" i="3"/>
  <c r="N41" i="3" s="1"/>
  <c r="N35" i="3" s="1"/>
  <c r="Q55" i="29"/>
  <c r="V11" i="12"/>
  <c r="O55" i="29"/>
  <c r="T11" i="12"/>
  <c r="W11" i="12"/>
  <c r="P55" i="29"/>
  <c r="N24" i="29" l="1"/>
  <c r="N55" i="29"/>
  <c r="S11" i="12"/>
  <c r="R55" i="29"/>
  <c r="M16" i="10" l="1"/>
  <c r="R14" i="10"/>
  <c r="M14" i="10" l="1"/>
  <c r="N56" i="29" l="1"/>
  <c r="N54" i="29" s="1"/>
  <c r="S16" i="12"/>
  <c r="O56" i="29" l="1"/>
  <c r="O54" i="29" l="1"/>
  <c r="P56" i="29" l="1"/>
  <c r="P54" i="29" l="1"/>
  <c r="Q56" i="29" l="1"/>
  <c r="Q54" i="29" l="1"/>
  <c r="R56" i="29" l="1"/>
  <c r="R54" i="29" s="1"/>
  <c r="S56" i="29" l="1"/>
  <c r="T56" i="29" l="1"/>
  <c r="U56" i="29" l="1"/>
  <c r="V56" i="29" l="1"/>
  <c r="P95" i="24" l="1"/>
  <c r="I321" i="12" l="1"/>
  <c r="A321" i="12" l="1"/>
  <c r="F111" i="24" l="1"/>
  <c r="F178" i="24" l="1"/>
  <c r="F179" i="24" l="1"/>
  <c r="F180" i="24" s="1"/>
  <c r="F182" i="24" s="1"/>
  <c r="F183" i="24" s="1"/>
  <c r="F184" i="24" s="1"/>
  <c r="F185" i="24" s="1"/>
  <c r="F186" i="24" s="1"/>
  <c r="F109" i="24" l="1"/>
  <c r="F79" i="24"/>
  <c r="F171" i="24" l="1"/>
  <c r="G162" i="24" l="1"/>
  <c r="G111" i="24" l="1"/>
  <c r="G178" i="24" l="1"/>
  <c r="G179" i="24" l="1"/>
  <c r="G180" i="24" l="1"/>
  <c r="G181" i="24"/>
  <c r="G182" i="24" l="1"/>
  <c r="G183" i="24" l="1"/>
  <c r="G190" i="24" l="1"/>
  <c r="G109" i="24"/>
  <c r="G184" i="24" l="1"/>
  <c r="H162" i="24" l="1"/>
  <c r="G185" i="24" l="1"/>
  <c r="G186" i="24" s="1"/>
  <c r="G79" i="24"/>
  <c r="G171" i="24" l="1"/>
  <c r="H111" i="24" l="1"/>
  <c r="H178" i="24" l="1"/>
  <c r="H179" i="24" l="1"/>
  <c r="H181" i="24" l="1"/>
  <c r="H180" i="24" l="1"/>
  <c r="H182" i="24" l="1"/>
  <c r="H183" i="24" l="1"/>
  <c r="H109" i="24" l="1"/>
  <c r="H190" i="24"/>
  <c r="H79" i="24" l="1"/>
  <c r="I162" i="24"/>
  <c r="H171" i="24"/>
  <c r="I111" i="24" l="1"/>
  <c r="I178" i="24" l="1"/>
  <c r="I179" i="24" l="1"/>
  <c r="I181" i="24"/>
  <c r="I180" i="24" l="1"/>
  <c r="I182" i="24" l="1"/>
  <c r="I183" i="24" l="1"/>
  <c r="I190" i="24" l="1"/>
  <c r="I109" i="24"/>
  <c r="I171" i="24" l="1"/>
  <c r="J162" i="24"/>
  <c r="J111" i="24" l="1"/>
  <c r="J178" i="24" l="1"/>
  <c r="J179" i="24" l="1"/>
  <c r="J180" i="24" l="1"/>
  <c r="J181" i="24"/>
  <c r="J182" i="24" l="1"/>
  <c r="J183" i="24" l="1"/>
  <c r="J109" i="24" l="1"/>
  <c r="J190" i="24"/>
  <c r="J79" i="24" l="1"/>
  <c r="J171" i="24" s="1"/>
  <c r="K162" i="24" l="1"/>
  <c r="K111" i="24" l="1"/>
  <c r="K178" i="24" l="1"/>
  <c r="K179" i="24" l="1"/>
  <c r="K180" i="24" l="1"/>
  <c r="K181" i="24"/>
  <c r="K182" i="24" l="1"/>
  <c r="K183" i="24" l="1"/>
  <c r="K109" i="24" l="1"/>
  <c r="K190" i="24"/>
  <c r="L162" i="24" l="1"/>
  <c r="L181" i="24" l="1"/>
  <c r="L190" i="24" l="1"/>
  <c r="L109" i="24"/>
  <c r="L171" i="24" l="1"/>
  <c r="M162" i="24"/>
  <c r="M190" i="24" l="1"/>
  <c r="M109" i="24"/>
  <c r="N162" i="24" l="1"/>
  <c r="M171" i="24"/>
  <c r="M84" i="3" l="1"/>
  <c r="M103" i="29" s="1"/>
  <c r="G101" i="29"/>
  <c r="H84" i="3"/>
  <c r="H103" i="29" s="1"/>
  <c r="I84" i="3"/>
  <c r="I103" i="29" s="1"/>
  <c r="K84" i="3"/>
  <c r="K103" i="29" s="1"/>
  <c r="L84" i="3"/>
  <c r="L103" i="29" s="1"/>
  <c r="K101" i="29"/>
  <c r="H101" i="29"/>
  <c r="L101" i="29"/>
  <c r="J101" i="29"/>
  <c r="G84" i="3"/>
  <c r="G103" i="29" s="1"/>
  <c r="I101" i="29"/>
  <c r="J84" i="3"/>
  <c r="J103" i="29" s="1"/>
  <c r="M101" i="29"/>
  <c r="F84" i="3"/>
  <c r="F101" i="29"/>
  <c r="F103" i="29" l="1"/>
  <c r="F104" i="29"/>
  <c r="F107" i="29"/>
  <c r="J107" i="29"/>
  <c r="I107" i="29"/>
  <c r="H107" i="29"/>
  <c r="K107" i="29"/>
  <c r="G107" i="29"/>
  <c r="L107" i="29"/>
  <c r="M107" i="29"/>
  <c r="I110" i="29" l="1"/>
  <c r="K110" i="29"/>
  <c r="L110" i="29"/>
  <c r="M110" i="29"/>
  <c r="G110" i="29"/>
  <c r="H110" i="29"/>
  <c r="J110" i="29"/>
  <c r="F110" i="29"/>
  <c r="F112" i="29"/>
  <c r="I112" i="29"/>
  <c r="L112" i="29"/>
  <c r="M112" i="29"/>
  <c r="J112" i="29"/>
  <c r="H112" i="29"/>
  <c r="K112" i="29"/>
  <c r="G112" i="29"/>
  <c r="M115" i="29"/>
  <c r="J115" i="29"/>
  <c r="H115" i="29"/>
  <c r="K115" i="29"/>
  <c r="G115" i="29"/>
  <c r="I115" i="29"/>
  <c r="L115" i="29"/>
  <c r="F115" i="29"/>
  <c r="F98" i="3"/>
  <c r="F117" i="29" l="1"/>
  <c r="F118" i="29"/>
  <c r="L118" i="29"/>
  <c r="G118" i="29"/>
  <c r="K118" i="29"/>
  <c r="J118" i="29"/>
  <c r="I118" i="29"/>
  <c r="M118" i="29"/>
  <c r="F100" i="3"/>
  <c r="H118" i="29"/>
  <c r="F119" i="29" l="1"/>
  <c r="K120" i="29" l="1"/>
  <c r="G120" i="29"/>
  <c r="J120" i="29"/>
  <c r="H120" i="29"/>
  <c r="I120" i="29"/>
  <c r="M120" i="29"/>
  <c r="L120" i="29"/>
  <c r="F120" i="29"/>
  <c r="G104" i="29" l="1"/>
  <c r="H104" i="29" l="1"/>
  <c r="I104" i="29" l="1"/>
  <c r="J104" i="29" l="1"/>
  <c r="K104" i="29" l="1"/>
  <c r="L104" i="29" l="1"/>
  <c r="M104" i="29" l="1"/>
  <c r="M79" i="24"/>
  <c r="M111" i="24"/>
  <c r="L79" i="24"/>
  <c r="L178" i="24"/>
  <c r="L179" i="24" s="1"/>
  <c r="L180" i="24" s="1"/>
  <c r="L182" i="24" s="1"/>
  <c r="L183" i="24" s="1"/>
  <c r="L184" i="24" s="1"/>
  <c r="L185" i="24" s="1"/>
  <c r="L186" i="24" s="1"/>
  <c r="L111" i="24"/>
  <c r="M181" i="24" l="1"/>
  <c r="M178" i="24"/>
  <c r="M179" i="24" s="1"/>
  <c r="M180" i="24" s="1"/>
  <c r="M182" i="24" s="1"/>
  <c r="M183" i="24" s="1"/>
  <c r="M184" i="24" s="1"/>
  <c r="M185" i="24" s="1"/>
  <c r="M186" i="24" s="1"/>
  <c r="F62" i="2" l="1"/>
  <c r="S10" i="10"/>
  <c r="D8" i="1"/>
  <c r="H8" i="1"/>
  <c r="S29" i="10" s="1"/>
  <c r="S28" i="10" l="1"/>
  <c r="J8" i="1"/>
  <c r="E40" i="2"/>
  <c r="T40" i="2" s="1"/>
  <c r="T41" i="2" s="1"/>
  <c r="J37" i="1"/>
  <c r="S19" i="10"/>
  <c r="J16" i="1" l="1"/>
  <c r="C16" i="1" s="1"/>
  <c r="S49" i="10" s="1"/>
  <c r="K49" i="10" s="1"/>
  <c r="U40" i="2"/>
  <c r="V40" i="2" s="1"/>
  <c r="W40" i="2" s="1"/>
  <c r="X40" i="2" s="1"/>
  <c r="Y40" i="2" s="1"/>
  <c r="Z40" i="2" s="1"/>
  <c r="S43" i="2"/>
  <c r="T56" i="2"/>
  <c r="I37" i="1"/>
  <c r="H37" i="1"/>
  <c r="S43" i="10"/>
  <c r="O43" i="2"/>
  <c r="R43" i="2"/>
  <c r="H43" i="2"/>
  <c r="J43" i="2"/>
  <c r="M43" i="2"/>
  <c r="Q43" i="2"/>
  <c r="G43" i="2"/>
  <c r="K43" i="2"/>
  <c r="P43" i="2"/>
  <c r="I43" i="2"/>
  <c r="L43" i="2"/>
  <c r="N43" i="2"/>
  <c r="F43" i="2"/>
  <c r="AA40" i="2" l="1"/>
  <c r="AB40" i="2" s="1"/>
  <c r="AC40" i="2" s="1"/>
  <c r="AD40" i="2" s="1"/>
  <c r="AE40" i="2" s="1"/>
  <c r="AF40" i="2" s="1"/>
  <c r="E52" i="2"/>
  <c r="G16" i="1"/>
  <c r="S47" i="10"/>
  <c r="H16" i="1"/>
  <c r="U56" i="2"/>
  <c r="T8" i="3"/>
  <c r="T43" i="2"/>
  <c r="S25" i="29"/>
  <c r="S10" i="29"/>
  <c r="S137" i="3"/>
  <c r="AG40" i="2" l="1"/>
  <c r="AH40" i="2" s="1"/>
  <c r="AI40" i="2" s="1"/>
  <c r="AJ40" i="2" s="1"/>
  <c r="AK40" i="2" s="1"/>
  <c r="AL40" i="2" s="1"/>
  <c r="S26" i="3"/>
  <c r="S37" i="3" s="1"/>
  <c r="U43" i="2"/>
  <c r="U8" i="3"/>
  <c r="H15" i="1"/>
  <c r="V56" i="2"/>
  <c r="S46" i="10"/>
  <c r="T10" i="29"/>
  <c r="T9" i="29" s="1"/>
  <c r="T156" i="29" s="1"/>
  <c r="T137" i="3"/>
  <c r="S9" i="29"/>
  <c r="S24" i="10"/>
  <c r="G15" i="1"/>
  <c r="F53" i="2"/>
  <c r="G52" i="2"/>
  <c r="AL8" i="3" l="1"/>
  <c r="S40" i="29"/>
  <c r="S39" i="29" s="1"/>
  <c r="S153" i="3"/>
  <c r="S23" i="10"/>
  <c r="W8" i="3"/>
  <c r="W43" i="2"/>
  <c r="U10" i="29"/>
  <c r="U9" i="29" s="1"/>
  <c r="U156" i="29" s="1"/>
  <c r="U137" i="3"/>
  <c r="V8" i="3"/>
  <c r="V43" i="2"/>
  <c r="S156" i="29"/>
  <c r="W56" i="2"/>
  <c r="X56" i="2" s="1"/>
  <c r="G13" i="3"/>
  <c r="G38" i="2"/>
  <c r="G53" i="2"/>
  <c r="H52" i="2"/>
  <c r="S39" i="3"/>
  <c r="S40" i="3" s="1"/>
  <c r="S41" i="3" s="1"/>
  <c r="H13" i="3" l="1"/>
  <c r="H53" i="2"/>
  <c r="H38" i="2"/>
  <c r="H32" i="2" s="1"/>
  <c r="V10" i="29"/>
  <c r="V137" i="3"/>
  <c r="G142" i="3"/>
  <c r="G19" i="29"/>
  <c r="G22" i="3"/>
  <c r="G34" i="29" s="1"/>
  <c r="X43" i="2"/>
  <c r="X8" i="3"/>
  <c r="I52" i="2"/>
  <c r="W10" i="29"/>
  <c r="W137" i="3"/>
  <c r="G32" i="2"/>
  <c r="Y56" i="2"/>
  <c r="S35" i="3"/>
  <c r="S24" i="29"/>
  <c r="S172" i="29"/>
  <c r="G31" i="3" l="1"/>
  <c r="G25" i="3" s="1"/>
  <c r="X137" i="3"/>
  <c r="X10" i="29"/>
  <c r="V9" i="29"/>
  <c r="S55" i="29"/>
  <c r="X11" i="12"/>
  <c r="Y43" i="2"/>
  <c r="Y8" i="3"/>
  <c r="H19" i="29"/>
  <c r="H22" i="3"/>
  <c r="H34" i="29" s="1"/>
  <c r="H142" i="3"/>
  <c r="I53" i="2"/>
  <c r="I38" i="2"/>
  <c r="I13" i="3"/>
  <c r="J52" i="2"/>
  <c r="K52" i="2" s="1"/>
  <c r="Z56" i="2"/>
  <c r="L14" i="12" l="1"/>
  <c r="G46" i="3" s="1"/>
  <c r="G158" i="3"/>
  <c r="G49" i="29"/>
  <c r="G118" i="3"/>
  <c r="G113" i="3" s="1"/>
  <c r="AA56" i="2"/>
  <c r="I22" i="3"/>
  <c r="I34" i="29" s="1"/>
  <c r="I142" i="3"/>
  <c r="I19" i="29"/>
  <c r="K13" i="3"/>
  <c r="K53" i="2"/>
  <c r="K38" i="2"/>
  <c r="K32" i="2" s="1"/>
  <c r="I32" i="2"/>
  <c r="J38" i="2"/>
  <c r="J32" i="2" s="1"/>
  <c r="J13" i="3"/>
  <c r="J53" i="2"/>
  <c r="S54" i="29"/>
  <c r="V156" i="29"/>
  <c r="Y10" i="29"/>
  <c r="Y137" i="3"/>
  <c r="H31" i="3"/>
  <c r="L52" i="2"/>
  <c r="Z43" i="2"/>
  <c r="Z8" i="3"/>
  <c r="I31" i="3" l="1"/>
  <c r="I118" i="3" s="1"/>
  <c r="I113" i="3" s="1"/>
  <c r="G189" i="3"/>
  <c r="G64" i="29"/>
  <c r="AA8" i="3"/>
  <c r="AA43" i="2"/>
  <c r="H118" i="3"/>
  <c r="H49" i="29"/>
  <c r="H158" i="3"/>
  <c r="H25" i="3"/>
  <c r="M14" i="12"/>
  <c r="Z10" i="29"/>
  <c r="Z137" i="3"/>
  <c r="L53" i="2"/>
  <c r="L13" i="3"/>
  <c r="L38" i="2"/>
  <c r="L32" i="2" s="1"/>
  <c r="J22" i="3"/>
  <c r="J34" i="29" s="1"/>
  <c r="J19" i="29"/>
  <c r="J142" i="3"/>
  <c r="K22" i="3"/>
  <c r="K34" i="29" s="1"/>
  <c r="K142" i="3"/>
  <c r="K19" i="29"/>
  <c r="M52" i="2"/>
  <c r="AB56" i="2"/>
  <c r="I25" i="3" l="1"/>
  <c r="I49" i="29"/>
  <c r="I158" i="3"/>
  <c r="J31" i="3"/>
  <c r="J25" i="3" s="1"/>
  <c r="K31" i="3"/>
  <c r="K158" i="3" s="1"/>
  <c r="H46" i="3"/>
  <c r="AB8" i="3"/>
  <c r="AB43" i="2"/>
  <c r="M38" i="2"/>
  <c r="M32" i="2" s="1"/>
  <c r="M53" i="2"/>
  <c r="M13" i="3"/>
  <c r="N52" i="2"/>
  <c r="AA137" i="3"/>
  <c r="AA10" i="29"/>
  <c r="AC56" i="2"/>
  <c r="L22" i="3"/>
  <c r="L34" i="29" s="1"/>
  <c r="L19" i="29"/>
  <c r="L142" i="3"/>
  <c r="H113" i="3"/>
  <c r="J118" i="3" l="1"/>
  <c r="J113" i="3" s="1"/>
  <c r="J158" i="3"/>
  <c r="J49" i="29"/>
  <c r="K118" i="3"/>
  <c r="K113" i="3" s="1"/>
  <c r="K49" i="29"/>
  <c r="K25" i="3"/>
  <c r="AD56" i="2"/>
  <c r="AE56" i="2" s="1"/>
  <c r="L31" i="3"/>
  <c r="AB10" i="29"/>
  <c r="AB137" i="3"/>
  <c r="N13" i="3"/>
  <c r="N53" i="2"/>
  <c r="N38" i="2"/>
  <c r="N32" i="2" s="1"/>
  <c r="O52" i="2"/>
  <c r="M19" i="29"/>
  <c r="M22" i="3"/>
  <c r="M34" i="29" s="1"/>
  <c r="M142" i="3"/>
  <c r="H64" i="29"/>
  <c r="H189" i="3"/>
  <c r="N14" i="12"/>
  <c r="AC8" i="3"/>
  <c r="AC43" i="2"/>
  <c r="M31" i="3" l="1"/>
  <c r="M118" i="3" s="1"/>
  <c r="M113" i="3" s="1"/>
  <c r="L118" i="3"/>
  <c r="L25" i="3"/>
  <c r="L158" i="3"/>
  <c r="L49" i="29"/>
  <c r="AC137" i="3"/>
  <c r="AC10" i="29"/>
  <c r="I46" i="3"/>
  <c r="O53" i="2"/>
  <c r="O13" i="3"/>
  <c r="O38" i="2"/>
  <c r="O32" i="2" s="1"/>
  <c r="P52" i="2"/>
  <c r="AD43" i="2"/>
  <c r="AD8" i="3"/>
  <c r="AF56" i="2"/>
  <c r="N19" i="29"/>
  <c r="N142" i="3"/>
  <c r="S98" i="12"/>
  <c r="N22" i="3"/>
  <c r="N34" i="29" s="1"/>
  <c r="M49" i="29" l="1"/>
  <c r="M25" i="3"/>
  <c r="M158" i="3"/>
  <c r="N31" i="3"/>
  <c r="N118" i="3" s="1"/>
  <c r="N113" i="3" s="1"/>
  <c r="AE8" i="3"/>
  <c r="AE43" i="2"/>
  <c r="AG56" i="2"/>
  <c r="AD137" i="3"/>
  <c r="AD10" i="29"/>
  <c r="I64" i="29"/>
  <c r="O14" i="12"/>
  <c r="I189" i="3"/>
  <c r="P38" i="2"/>
  <c r="P32" i="2" s="1"/>
  <c r="P13" i="3"/>
  <c r="P53" i="2"/>
  <c r="Q52" i="2"/>
  <c r="L113" i="3"/>
  <c r="N55" i="3"/>
  <c r="T98" i="12"/>
  <c r="O55" i="3" s="1"/>
  <c r="O142" i="3"/>
  <c r="O22" i="3"/>
  <c r="O34" i="29" s="1"/>
  <c r="O19" i="29"/>
  <c r="N49" i="29" l="1"/>
  <c r="N25" i="3"/>
  <c r="N158" i="3"/>
  <c r="U98" i="12"/>
  <c r="P19" i="29"/>
  <c r="P22" i="3"/>
  <c r="P34" i="29" s="1"/>
  <c r="P142" i="3"/>
  <c r="J46" i="3"/>
  <c r="AE10" i="29"/>
  <c r="AE137" i="3"/>
  <c r="AF8" i="3"/>
  <c r="AF43" i="2"/>
  <c r="O31" i="3"/>
  <c r="Q53" i="2"/>
  <c r="Q13" i="3"/>
  <c r="Q38" i="2"/>
  <c r="Q32" i="2" s="1"/>
  <c r="R52" i="2"/>
  <c r="O118" i="3" l="1"/>
  <c r="O25" i="3"/>
  <c r="O158" i="3"/>
  <c r="O49" i="29"/>
  <c r="P31" i="3"/>
  <c r="AG8" i="3"/>
  <c r="AG43" i="2"/>
  <c r="R38" i="2"/>
  <c r="R32" i="2" s="1"/>
  <c r="R13" i="3"/>
  <c r="R53" i="2"/>
  <c r="S52" i="2"/>
  <c r="AF137" i="3"/>
  <c r="AF10" i="29"/>
  <c r="AH56" i="2"/>
  <c r="P55" i="3"/>
  <c r="V98" i="12"/>
  <c r="Q55" i="3" s="1"/>
  <c r="Q19" i="29"/>
  <c r="Q22" i="3"/>
  <c r="Q34" i="29" s="1"/>
  <c r="Q142" i="3"/>
  <c r="J64" i="29"/>
  <c r="J189" i="3"/>
  <c r="P14" i="12"/>
  <c r="Q31" i="3" l="1"/>
  <c r="Q118" i="3" s="1"/>
  <c r="Q113" i="3" s="1"/>
  <c r="K46" i="3"/>
  <c r="AH8" i="3"/>
  <c r="AH43" i="2"/>
  <c r="O113" i="3"/>
  <c r="S53" i="2"/>
  <c r="S13" i="3"/>
  <c r="S38" i="2"/>
  <c r="S32" i="2" s="1"/>
  <c r="T52" i="2"/>
  <c r="AG10" i="29"/>
  <c r="AG137" i="3"/>
  <c r="W98" i="12"/>
  <c r="R22" i="3"/>
  <c r="R34" i="29" s="1"/>
  <c r="R142" i="3"/>
  <c r="R19" i="29"/>
  <c r="P118" i="3"/>
  <c r="P113" i="3" s="1"/>
  <c r="P25" i="3"/>
  <c r="P158" i="3"/>
  <c r="P49" i="29"/>
  <c r="AI56" i="2"/>
  <c r="Q49" i="29" l="1"/>
  <c r="Q158" i="3"/>
  <c r="Q25" i="3"/>
  <c r="AJ56" i="2"/>
  <c r="AK56" i="2" s="1"/>
  <c r="R55" i="3"/>
  <c r="AH10" i="29"/>
  <c r="AH137" i="3"/>
  <c r="S142" i="3"/>
  <c r="S22" i="3"/>
  <c r="S34" i="29" s="1"/>
  <c r="S19" i="29"/>
  <c r="X98" i="12"/>
  <c r="S55" i="3" s="1"/>
  <c r="T53" i="2"/>
  <c r="T13" i="3"/>
  <c r="T38" i="2"/>
  <c r="T32" i="2" s="1"/>
  <c r="T42" i="2" s="1"/>
  <c r="T17" i="3" s="1"/>
  <c r="T26" i="3" s="1"/>
  <c r="U52" i="2"/>
  <c r="AI43" i="2"/>
  <c r="AI8" i="3"/>
  <c r="K64" i="29"/>
  <c r="K189" i="3"/>
  <c r="Q14" i="12"/>
  <c r="R31" i="3"/>
  <c r="S31" i="3" l="1"/>
  <c r="S158" i="3" s="1"/>
  <c r="U13" i="3"/>
  <c r="U53" i="2"/>
  <c r="U38" i="2"/>
  <c r="U32" i="2" s="1"/>
  <c r="V52" i="2"/>
  <c r="R118" i="3"/>
  <c r="R113" i="3" s="1"/>
  <c r="R25" i="3"/>
  <c r="R158" i="3"/>
  <c r="R49" i="29"/>
  <c r="AI10" i="29"/>
  <c r="AI137" i="3"/>
  <c r="T142" i="3"/>
  <c r="T19" i="29"/>
  <c r="Y98" i="12"/>
  <c r="L46" i="3"/>
  <c r="AJ8" i="3"/>
  <c r="AJ43" i="2"/>
  <c r="AL56" i="2"/>
  <c r="S118" i="3" l="1"/>
  <c r="S113" i="3" s="1"/>
  <c r="S25" i="3"/>
  <c r="S49" i="29"/>
  <c r="AJ137" i="3"/>
  <c r="AJ10" i="29"/>
  <c r="V13" i="3"/>
  <c r="V53" i="2"/>
  <c r="V38" i="2"/>
  <c r="V32" i="2" s="1"/>
  <c r="W52" i="2"/>
  <c r="AK43" i="2"/>
  <c r="AK8" i="3"/>
  <c r="L64" i="29"/>
  <c r="R14" i="12"/>
  <c r="L189" i="3"/>
  <c r="T55" i="3"/>
  <c r="U19" i="29"/>
  <c r="U142" i="3"/>
  <c r="Z98" i="12"/>
  <c r="U55" i="3" s="1"/>
  <c r="S95" i="12" l="1"/>
  <c r="M46" i="3"/>
  <c r="S96" i="12"/>
  <c r="W13" i="3"/>
  <c r="W53" i="2"/>
  <c r="W38" i="2"/>
  <c r="W32" i="2" s="1"/>
  <c r="X52" i="2"/>
  <c r="V19" i="29"/>
  <c r="V142" i="3"/>
  <c r="AA98" i="12"/>
  <c r="V55" i="3" s="1"/>
  <c r="AK10" i="29"/>
  <c r="AK137" i="3"/>
  <c r="X13" i="3" l="1"/>
  <c r="X53" i="2"/>
  <c r="X38" i="2"/>
  <c r="X32" i="2" s="1"/>
  <c r="Y52" i="2"/>
  <c r="M64" i="29"/>
  <c r="M189" i="3"/>
  <c r="S14" i="12"/>
  <c r="AL43" i="2"/>
  <c r="AM40" i="2"/>
  <c r="AM56" i="2"/>
  <c r="N51" i="3"/>
  <c r="W142" i="3"/>
  <c r="W19" i="29"/>
  <c r="AB98" i="12"/>
  <c r="W55" i="3" s="1"/>
  <c r="N52" i="3"/>
  <c r="AM8" i="3" l="1"/>
  <c r="AM43" i="2"/>
  <c r="AN40" i="2"/>
  <c r="AL137" i="3"/>
  <c r="AL10" i="29"/>
  <c r="X142" i="3"/>
  <c r="X19" i="29"/>
  <c r="AC98" i="12"/>
  <c r="X55" i="3" s="1"/>
  <c r="Y53" i="2"/>
  <c r="Y13" i="3"/>
  <c r="Y38" i="2"/>
  <c r="Y32" i="2" s="1"/>
  <c r="Z52" i="2"/>
  <c r="AN56" i="2"/>
  <c r="T95" i="12"/>
  <c r="T96" i="12"/>
  <c r="N46" i="3"/>
  <c r="AO56" i="2" l="1"/>
  <c r="N64" i="29"/>
  <c r="N189" i="3"/>
  <c r="T14" i="12"/>
  <c r="O52" i="3"/>
  <c r="Y19" i="29"/>
  <c r="Y142" i="3"/>
  <c r="AD98" i="12"/>
  <c r="Y55" i="3" s="1"/>
  <c r="AM137" i="3"/>
  <c r="AM10" i="29"/>
  <c r="O51" i="3"/>
  <c r="AN43" i="2"/>
  <c r="AN8" i="3"/>
  <c r="AO40" i="2"/>
  <c r="Z53" i="2"/>
  <c r="Z13" i="3"/>
  <c r="Z38" i="2"/>
  <c r="Z32" i="2" s="1"/>
  <c r="AA52" i="2"/>
  <c r="AP56" i="2" l="1"/>
  <c r="U95" i="12"/>
  <c r="U96" i="12"/>
  <c r="O46" i="3"/>
  <c r="AN137" i="3"/>
  <c r="AN10" i="29"/>
  <c r="AA53" i="2"/>
  <c r="AA13" i="3"/>
  <c r="AA38" i="2"/>
  <c r="AA32" i="2" s="1"/>
  <c r="AB52" i="2"/>
  <c r="Z142" i="3"/>
  <c r="Z19" i="29"/>
  <c r="AE98" i="12"/>
  <c r="Z55" i="3" s="1"/>
  <c r="AO43" i="2"/>
  <c r="AO8" i="3"/>
  <c r="AP40" i="2"/>
  <c r="AP8" i="3" l="1"/>
  <c r="AP43" i="2"/>
  <c r="AQ40" i="2"/>
  <c r="AQ56" i="2"/>
  <c r="AO10" i="29"/>
  <c r="AO137" i="3"/>
  <c r="AB13" i="3"/>
  <c r="AB53" i="2"/>
  <c r="AB38" i="2"/>
  <c r="AB32" i="2" s="1"/>
  <c r="AC52" i="2"/>
  <c r="AA142" i="3"/>
  <c r="AA19" i="29"/>
  <c r="AF98" i="12"/>
  <c r="AA55" i="3" s="1"/>
  <c r="O64" i="29"/>
  <c r="O189" i="3"/>
  <c r="U14" i="12"/>
  <c r="P52" i="3"/>
  <c r="P51" i="3"/>
  <c r="AQ43" i="2" l="1"/>
  <c r="AQ8" i="3"/>
  <c r="AR40" i="2"/>
  <c r="AC53" i="2"/>
  <c r="AC13" i="3"/>
  <c r="AC38" i="2"/>
  <c r="AC32" i="2" s="1"/>
  <c r="AD52" i="2"/>
  <c r="AP10" i="29"/>
  <c r="AP137" i="3"/>
  <c r="AB142" i="3"/>
  <c r="AB19" i="29"/>
  <c r="AG98" i="12"/>
  <c r="AB55" i="3" s="1"/>
  <c r="V95" i="12"/>
  <c r="V96" i="12"/>
  <c r="P46" i="3"/>
  <c r="AR56" i="2"/>
  <c r="AD13" i="3" l="1"/>
  <c r="AD53" i="2"/>
  <c r="AD38" i="2"/>
  <c r="AD32" i="2" s="1"/>
  <c r="AE52" i="2"/>
  <c r="AR43" i="2"/>
  <c r="AR8" i="3"/>
  <c r="AS40" i="2"/>
  <c r="AS41" i="2" s="1"/>
  <c r="P64" i="29"/>
  <c r="P189" i="3"/>
  <c r="V14" i="12"/>
  <c r="AQ10" i="29"/>
  <c r="AQ137" i="3"/>
  <c r="Q52" i="3"/>
  <c r="AC19" i="29"/>
  <c r="AC142" i="3"/>
  <c r="AH98" i="12"/>
  <c r="AC55" i="3" s="1"/>
  <c r="Q51" i="3"/>
  <c r="AS56" i="2"/>
  <c r="AS43" i="2" l="1"/>
  <c r="AS8" i="3"/>
  <c r="AS17" i="3" s="1"/>
  <c r="D40" i="2"/>
  <c r="AT40" i="2"/>
  <c r="AT41" i="2" s="1"/>
  <c r="AE53" i="2"/>
  <c r="AE13" i="3"/>
  <c r="AE38" i="2"/>
  <c r="AE32" i="2" s="1"/>
  <c r="AF52" i="2"/>
  <c r="AT56" i="2"/>
  <c r="AD142" i="3"/>
  <c r="AD19" i="29"/>
  <c r="AR10" i="29"/>
  <c r="AR137" i="3"/>
  <c r="W95" i="12"/>
  <c r="Q46" i="3"/>
  <c r="W96" i="12"/>
  <c r="AU56" i="2" l="1"/>
  <c r="AS10" i="29"/>
  <c r="AS137" i="3"/>
  <c r="G129" i="3"/>
  <c r="R51" i="3"/>
  <c r="AF13" i="3"/>
  <c r="AF53" i="2"/>
  <c r="AG52" i="2"/>
  <c r="R52" i="3"/>
  <c r="AE142" i="3"/>
  <c r="AE19" i="29"/>
  <c r="Q64" i="29"/>
  <c r="Q189" i="3"/>
  <c r="W14" i="12"/>
  <c r="AT43" i="2"/>
  <c r="AT8" i="3"/>
  <c r="AT17" i="3" s="1"/>
  <c r="AU40" i="2"/>
  <c r="AV56" i="2" l="1"/>
  <c r="AU41" i="2"/>
  <c r="X95" i="12"/>
  <c r="R46" i="3"/>
  <c r="X96" i="12"/>
  <c r="S52" i="3" s="1"/>
  <c r="H129" i="3"/>
  <c r="AT25" i="29"/>
  <c r="AT10" i="29"/>
  <c r="AT137" i="3"/>
  <c r="AG53" i="2"/>
  <c r="AG13" i="3"/>
  <c r="AH52" i="2"/>
  <c r="AU8" i="3"/>
  <c r="AU17" i="3" s="1"/>
  <c r="AU43" i="2"/>
  <c r="AV40" i="2"/>
  <c r="AF19" i="29"/>
  <c r="AF142" i="3"/>
  <c r="AW56" i="2" l="1"/>
  <c r="AV41" i="2"/>
  <c r="AT26" i="3"/>
  <c r="AT40" i="29" s="1"/>
  <c r="AG142" i="3"/>
  <c r="AG19" i="29"/>
  <c r="I129" i="3"/>
  <c r="AU10" i="29"/>
  <c r="AU25" i="29"/>
  <c r="AU137" i="3"/>
  <c r="R64" i="29"/>
  <c r="R189" i="3"/>
  <c r="X14" i="12"/>
  <c r="S51" i="3"/>
  <c r="AH13" i="3"/>
  <c r="AH53" i="2"/>
  <c r="AI52" i="2"/>
  <c r="AV43" i="2"/>
  <c r="AV8" i="3"/>
  <c r="AV17" i="3" s="1"/>
  <c r="AW40" i="2"/>
  <c r="AX56" i="2" l="1"/>
  <c r="AW41" i="2"/>
  <c r="AT153" i="3"/>
  <c r="S46" i="3"/>
  <c r="Y95" i="12"/>
  <c r="Y96" i="12"/>
  <c r="T52" i="3" s="1"/>
  <c r="AU26" i="3"/>
  <c r="AW8" i="3"/>
  <c r="AW17" i="3" s="1"/>
  <c r="AW43" i="2"/>
  <c r="AX40" i="2"/>
  <c r="J129" i="3"/>
  <c r="AI13" i="3"/>
  <c r="AI53" i="2"/>
  <c r="AJ52" i="2"/>
  <c r="AV25" i="29"/>
  <c r="AV10" i="29"/>
  <c r="AV137" i="3"/>
  <c r="AH142" i="3"/>
  <c r="AH19" i="29"/>
  <c r="AY56" i="2" l="1"/>
  <c r="AX41" i="2"/>
  <c r="AV26" i="3"/>
  <c r="AV153" i="3" s="1"/>
  <c r="AI19" i="29"/>
  <c r="AI142" i="3"/>
  <c r="T51" i="3"/>
  <c r="S64" i="29"/>
  <c r="S189" i="3"/>
  <c r="AX43" i="2"/>
  <c r="AX8" i="3"/>
  <c r="AX17" i="3" s="1"/>
  <c r="AY40" i="2"/>
  <c r="AY41" i="2" s="1"/>
  <c r="AU40" i="29"/>
  <c r="AU153" i="3"/>
  <c r="AW137" i="3"/>
  <c r="AW10" i="29"/>
  <c r="AW25" i="29"/>
  <c r="AJ53" i="2"/>
  <c r="AJ13" i="3"/>
  <c r="AK52" i="2"/>
  <c r="K129" i="3"/>
  <c r="L129" i="3" s="1"/>
  <c r="AV40" i="29" l="1"/>
  <c r="AZ56" i="2"/>
  <c r="AW26" i="3"/>
  <c r="AW40" i="29" s="1"/>
  <c r="M129" i="3"/>
  <c r="N129" i="3" s="1"/>
  <c r="AK13" i="3"/>
  <c r="AK53" i="2"/>
  <c r="AL52" i="2"/>
  <c r="AY8" i="3"/>
  <c r="AY17" i="3" s="1"/>
  <c r="AY43" i="2"/>
  <c r="AZ40" i="2"/>
  <c r="AZ41" i="2" s="1"/>
  <c r="AJ19" i="29"/>
  <c r="AJ142" i="3"/>
  <c r="AX137" i="3"/>
  <c r="AX10" i="29"/>
  <c r="AX25" i="29"/>
  <c r="AW153" i="3" l="1"/>
  <c r="AX26" i="3"/>
  <c r="AX40" i="29" s="1"/>
  <c r="AY25" i="29"/>
  <c r="AY10" i="29"/>
  <c r="AY137" i="3"/>
  <c r="O129" i="3"/>
  <c r="AL53" i="2"/>
  <c r="AL13" i="3"/>
  <c r="AM52" i="2"/>
  <c r="AZ8" i="3"/>
  <c r="AZ17" i="3" s="1"/>
  <c r="AZ43" i="2"/>
  <c r="BA40" i="2"/>
  <c r="BA41" i="2" s="1"/>
  <c r="AK19" i="29"/>
  <c r="AK142" i="3"/>
  <c r="BA56" i="2"/>
  <c r="BB56" i="2" l="1"/>
  <c r="AX153" i="3"/>
  <c r="AY26" i="3"/>
  <c r="AY40" i="29" s="1"/>
  <c r="AM13" i="3"/>
  <c r="AM53" i="2"/>
  <c r="AN52" i="2"/>
  <c r="BA43" i="2"/>
  <c r="BA8" i="3"/>
  <c r="BA17" i="3" s="1"/>
  <c r="BB40" i="2"/>
  <c r="BB41" i="2" s="1"/>
  <c r="AL142" i="3"/>
  <c r="AL19" i="29"/>
  <c r="AZ10" i="29"/>
  <c r="AZ25" i="29"/>
  <c r="AZ137" i="3"/>
  <c r="P129" i="3"/>
  <c r="AY153" i="3" l="1"/>
  <c r="BB8" i="3"/>
  <c r="BB17" i="3" s="1"/>
  <c r="BB43" i="2"/>
  <c r="BC40" i="2"/>
  <c r="BC41" i="2" s="1"/>
  <c r="AN53" i="2"/>
  <c r="AN13" i="3"/>
  <c r="AO52" i="2"/>
  <c r="Q129" i="3"/>
  <c r="AZ26" i="3"/>
  <c r="BA25" i="29"/>
  <c r="BA10" i="29"/>
  <c r="BA137" i="3"/>
  <c r="AM19" i="29"/>
  <c r="AM142" i="3"/>
  <c r="BC56" i="2"/>
  <c r="BD56" i="2" l="1"/>
  <c r="BB10" i="29"/>
  <c r="BB25" i="29"/>
  <c r="BB137" i="3"/>
  <c r="AO53" i="2"/>
  <c r="AO13" i="3"/>
  <c r="AP52" i="2"/>
  <c r="BA26" i="3"/>
  <c r="AN19" i="29"/>
  <c r="AN142" i="3"/>
  <c r="R129" i="3"/>
  <c r="BC8" i="3"/>
  <c r="BC17" i="3" s="1"/>
  <c r="BC43" i="2"/>
  <c r="BD40" i="2"/>
  <c r="AZ40" i="29"/>
  <c r="AZ153" i="3"/>
  <c r="BE56" i="2" l="1"/>
  <c r="BD41" i="2"/>
  <c r="AP53" i="2"/>
  <c r="AP13" i="3"/>
  <c r="AQ52" i="2"/>
  <c r="AO19" i="29"/>
  <c r="AO142" i="3"/>
  <c r="BA40" i="29"/>
  <c r="BA153" i="3"/>
  <c r="S129" i="3"/>
  <c r="BD43" i="2"/>
  <c r="BD8" i="3"/>
  <c r="BD17" i="3" s="1"/>
  <c r="BE40" i="2"/>
  <c r="BC25" i="29"/>
  <c r="BC10" i="29"/>
  <c r="BC137" i="3"/>
  <c r="BB26" i="3"/>
  <c r="BF56" i="2" l="1"/>
  <c r="BE41" i="2"/>
  <c r="BC26" i="3"/>
  <c r="BC40" i="29" s="1"/>
  <c r="AQ53" i="2"/>
  <c r="AQ13" i="3"/>
  <c r="AR52" i="2"/>
  <c r="BB40" i="29"/>
  <c r="BB153" i="3"/>
  <c r="T129" i="3"/>
  <c r="AP19" i="29"/>
  <c r="AP142" i="3"/>
  <c r="BD25" i="29"/>
  <c r="BD10" i="29"/>
  <c r="BD137" i="3"/>
  <c r="BE43" i="2"/>
  <c r="BE8" i="3"/>
  <c r="BE17" i="3" s="1"/>
  <c r="BF40" i="2"/>
  <c r="BF41" i="2" s="1"/>
  <c r="BC153" i="3" l="1"/>
  <c r="AQ19" i="29"/>
  <c r="AQ142" i="3"/>
  <c r="BF43" i="2"/>
  <c r="BF8" i="3"/>
  <c r="BF17" i="3" s="1"/>
  <c r="BG40" i="2"/>
  <c r="BE10" i="29"/>
  <c r="BE25" i="29"/>
  <c r="BE137" i="3"/>
  <c r="BG56" i="2"/>
  <c r="U129" i="3"/>
  <c r="BD26" i="3"/>
  <c r="AR53" i="2"/>
  <c r="AR13" i="3"/>
  <c r="AS52" i="2"/>
  <c r="BH56" i="2" l="1"/>
  <c r="BG41" i="2"/>
  <c r="V129" i="3"/>
  <c r="AS53" i="2"/>
  <c r="AS13" i="3"/>
  <c r="C52" i="2"/>
  <c r="D52" i="2"/>
  <c r="AT52" i="2"/>
  <c r="AR19" i="29"/>
  <c r="AR142" i="3"/>
  <c r="BD153" i="3"/>
  <c r="BD40" i="29"/>
  <c r="BF25" i="29"/>
  <c r="BF10" i="29"/>
  <c r="BF137" i="3"/>
  <c r="BE26" i="3"/>
  <c r="BG8" i="3"/>
  <c r="BG17" i="3" s="1"/>
  <c r="BG43" i="2"/>
  <c r="BH40" i="2"/>
  <c r="BI56" i="2" l="1"/>
  <c r="BH41" i="2"/>
  <c r="BG137" i="3"/>
  <c r="BG25" i="29"/>
  <c r="BG10" i="29"/>
  <c r="AS142" i="3"/>
  <c r="AS19" i="29"/>
  <c r="G134" i="3"/>
  <c r="BE40" i="29"/>
  <c r="BE153" i="3"/>
  <c r="BH8" i="3"/>
  <c r="BH17" i="3" s="1"/>
  <c r="BH43" i="2"/>
  <c r="BI40" i="2"/>
  <c r="W129" i="3"/>
  <c r="BF26" i="3"/>
  <c r="AT13" i="3"/>
  <c r="AT53" i="2"/>
  <c r="AU52" i="2"/>
  <c r="BJ56" i="2" l="1"/>
  <c r="BI41" i="2"/>
  <c r="BF40" i="29"/>
  <c r="BF153" i="3"/>
  <c r="AU53" i="2"/>
  <c r="AU13" i="3"/>
  <c r="AV52" i="2"/>
  <c r="X129" i="3"/>
  <c r="BI43" i="2"/>
  <c r="BI8" i="3"/>
  <c r="BI17" i="3" s="1"/>
  <c r="BJ40" i="2"/>
  <c r="BG26" i="3"/>
  <c r="AT142" i="3"/>
  <c r="AT22" i="3"/>
  <c r="AT34" i="29" s="1"/>
  <c r="AT19" i="29"/>
  <c r="BH25" i="29"/>
  <c r="BH137" i="3"/>
  <c r="BH10" i="29"/>
  <c r="H134" i="3"/>
  <c r="BK56" i="2" l="1"/>
  <c r="BJ41" i="2"/>
  <c r="BI10" i="29"/>
  <c r="BI25" i="29"/>
  <c r="BI137" i="3"/>
  <c r="BG40" i="29"/>
  <c r="BG153" i="3"/>
  <c r="AT31" i="3"/>
  <c r="Y129" i="3"/>
  <c r="AU22" i="3"/>
  <c r="AU34" i="29" s="1"/>
  <c r="AU142" i="3"/>
  <c r="AU19" i="29"/>
  <c r="AV13" i="3"/>
  <c r="AV53" i="2"/>
  <c r="AW52" i="2"/>
  <c r="I134" i="3"/>
  <c r="BH26" i="3"/>
  <c r="BJ43" i="2"/>
  <c r="BJ8" i="3"/>
  <c r="BJ17" i="3" s="1"/>
  <c r="BK40" i="2"/>
  <c r="BL56" i="2" l="1"/>
  <c r="BK41" i="2"/>
  <c r="AV22" i="3"/>
  <c r="AV34" i="29" s="1"/>
  <c r="AV142" i="3"/>
  <c r="AV19" i="29"/>
  <c r="BK8" i="3"/>
  <c r="BK17" i="3" s="1"/>
  <c r="BK43" i="2"/>
  <c r="BL40" i="2"/>
  <c r="J134" i="3"/>
  <c r="AU31" i="3"/>
  <c r="BJ10" i="29"/>
  <c r="BJ137" i="3"/>
  <c r="BJ25" i="29"/>
  <c r="Z129" i="3"/>
  <c r="AT49" i="29"/>
  <c r="AT118" i="3"/>
  <c r="AT158" i="3"/>
  <c r="BH153" i="3"/>
  <c r="BH40" i="29"/>
  <c r="AW13" i="3"/>
  <c r="AW53" i="2"/>
  <c r="AX52" i="2"/>
  <c r="BI26" i="3"/>
  <c r="BM56" i="2" l="1"/>
  <c r="BL41" i="2"/>
  <c r="AV31" i="3"/>
  <c r="AV49" i="29" s="1"/>
  <c r="AA129" i="3"/>
  <c r="BL43" i="2"/>
  <c r="BL8" i="3"/>
  <c r="BL17" i="3" s="1"/>
  <c r="BM40" i="2"/>
  <c r="BM41" i="2" s="1"/>
  <c r="AX53" i="2"/>
  <c r="AX13" i="3"/>
  <c r="AY52" i="2"/>
  <c r="AW142" i="3"/>
  <c r="AW22" i="3"/>
  <c r="AW34" i="29" s="1"/>
  <c r="AW19" i="29"/>
  <c r="AU49" i="29"/>
  <c r="AU118" i="3"/>
  <c r="AU158" i="3"/>
  <c r="BJ26" i="3"/>
  <c r="BI153" i="3"/>
  <c r="BI40" i="29"/>
  <c r="K134" i="3"/>
  <c r="BK25" i="29"/>
  <c r="BK10" i="29"/>
  <c r="BK137" i="3"/>
  <c r="AV158" i="3" l="1"/>
  <c r="AV118" i="3"/>
  <c r="AW31" i="3"/>
  <c r="AW118" i="3" s="1"/>
  <c r="BK26" i="3"/>
  <c r="BK153" i="3" s="1"/>
  <c r="AX19" i="29"/>
  <c r="AX142" i="3"/>
  <c r="AX22" i="3"/>
  <c r="AX34" i="29" s="1"/>
  <c r="BM43" i="2"/>
  <c r="U41" i="2" s="1"/>
  <c r="V41" i="2" s="1"/>
  <c r="W41" i="2" s="1"/>
  <c r="X41" i="2" s="1"/>
  <c r="Y41" i="2" s="1"/>
  <c r="Z41" i="2" s="1"/>
  <c r="AA41" i="2" s="1"/>
  <c r="AB41" i="2" s="1"/>
  <c r="AC41" i="2" s="1"/>
  <c r="AD41" i="2" s="1"/>
  <c r="AE41" i="2" s="1"/>
  <c r="BM8" i="3"/>
  <c r="BM17" i="3" s="1"/>
  <c r="AB129" i="3"/>
  <c r="BL137" i="3"/>
  <c r="BL10" i="29"/>
  <c r="BL25" i="29"/>
  <c r="BJ40" i="29"/>
  <c r="BJ153" i="3"/>
  <c r="L134" i="3"/>
  <c r="AY53" i="2"/>
  <c r="AY13" i="3"/>
  <c r="AZ52" i="2"/>
  <c r="AF41" i="2" l="1"/>
  <c r="AG41" i="2" s="1"/>
  <c r="AH41" i="2" s="1"/>
  <c r="AI41" i="2" s="1"/>
  <c r="AJ41" i="2" s="1"/>
  <c r="AK41" i="2" s="1"/>
  <c r="AL41" i="2" s="1"/>
  <c r="AM41" i="2" s="1"/>
  <c r="AN41" i="2" s="1"/>
  <c r="AO41" i="2" s="1"/>
  <c r="AP41" i="2" s="1"/>
  <c r="AQ41" i="2" s="1"/>
  <c r="AR41" i="2" s="1"/>
  <c r="AE42" i="2"/>
  <c r="AW49" i="29"/>
  <c r="AW158" i="3"/>
  <c r="BK40" i="29"/>
  <c r="U42" i="2"/>
  <c r="U17" i="3" s="1"/>
  <c r="AX31" i="3"/>
  <c r="AX158" i="3" s="1"/>
  <c r="BL26" i="3"/>
  <c r="BL40" i="29" s="1"/>
  <c r="AZ13" i="3"/>
  <c r="AZ53" i="2"/>
  <c r="BA52" i="2"/>
  <c r="BM10" i="29"/>
  <c r="BM26" i="3"/>
  <c r="BM137" i="3"/>
  <c r="E137" i="3" s="1"/>
  <c r="BM25" i="29"/>
  <c r="E8" i="3"/>
  <c r="AS63" i="2"/>
  <c r="AY19" i="29"/>
  <c r="AY142" i="3"/>
  <c r="AY22" i="3"/>
  <c r="AY34" i="29" s="1"/>
  <c r="T25" i="29"/>
  <c r="M134" i="3"/>
  <c r="AC129" i="3"/>
  <c r="AF42" i="2" l="1"/>
  <c r="AX49" i="29"/>
  <c r="AX118" i="3"/>
  <c r="V42" i="2"/>
  <c r="V17" i="3" s="1"/>
  <c r="BL153" i="3"/>
  <c r="BM153" i="3"/>
  <c r="BM40" i="29"/>
  <c r="E10" i="29"/>
  <c r="AZ22" i="3"/>
  <c r="AZ34" i="29" s="1"/>
  <c r="AZ19" i="29"/>
  <c r="AZ142" i="3"/>
  <c r="BA13" i="3"/>
  <c r="BA53" i="2"/>
  <c r="BB52" i="2"/>
  <c r="U25" i="29"/>
  <c r="U26" i="3"/>
  <c r="AY31" i="3"/>
  <c r="T153" i="3"/>
  <c r="T40" i="29"/>
  <c r="T37" i="3"/>
  <c r="AT63" i="2"/>
  <c r="AD129" i="3"/>
  <c r="N134" i="3"/>
  <c r="W42" i="2" l="1"/>
  <c r="W17" i="3" s="1"/>
  <c r="AZ31" i="3"/>
  <c r="AZ118" i="3" s="1"/>
  <c r="BB53" i="2"/>
  <c r="BB13" i="3"/>
  <c r="BC52" i="2"/>
  <c r="AE129" i="3"/>
  <c r="AY49" i="29"/>
  <c r="AY158" i="3"/>
  <c r="AY118" i="3"/>
  <c r="BA22" i="3"/>
  <c r="BA34" i="29" s="1"/>
  <c r="BA19" i="29"/>
  <c r="BA142" i="3"/>
  <c r="T39" i="3"/>
  <c r="V25" i="29"/>
  <c r="V26" i="3"/>
  <c r="T39" i="29"/>
  <c r="U153" i="3"/>
  <c r="U37" i="3"/>
  <c r="U40" i="29"/>
  <c r="U39" i="29" s="1"/>
  <c r="O134" i="3"/>
  <c r="P134" i="3" s="1"/>
  <c r="Q134" i="3" s="1"/>
  <c r="R134" i="3" s="1"/>
  <c r="S134" i="3" s="1"/>
  <c r="T134" i="3" s="1"/>
  <c r="U134" i="3" s="1"/>
  <c r="V134" i="3" s="1"/>
  <c r="W134" i="3" s="1"/>
  <c r="X134" i="3" s="1"/>
  <c r="Y134" i="3" s="1"/>
  <c r="Z134" i="3" s="1"/>
  <c r="AA134" i="3" s="1"/>
  <c r="AB134" i="3" s="1"/>
  <c r="AC134" i="3" s="1"/>
  <c r="AD134" i="3" s="1"/>
  <c r="AE134" i="3" s="1"/>
  <c r="AF134" i="3" s="1"/>
  <c r="AG134" i="3" s="1"/>
  <c r="AH134" i="3" s="1"/>
  <c r="AI134" i="3" s="1"/>
  <c r="AJ134" i="3" s="1"/>
  <c r="AK134" i="3" s="1"/>
  <c r="AL134" i="3" s="1"/>
  <c r="AM134" i="3" s="1"/>
  <c r="AN134" i="3" s="1"/>
  <c r="AO134" i="3" s="1"/>
  <c r="AP134" i="3" s="1"/>
  <c r="AQ134" i="3" s="1"/>
  <c r="AR134" i="3" s="1"/>
  <c r="AS134" i="3" s="1"/>
  <c r="AT134" i="3" s="1"/>
  <c r="AU134" i="3" s="1"/>
  <c r="AV134" i="3" s="1"/>
  <c r="AW134" i="3" s="1"/>
  <c r="AX134" i="3" s="1"/>
  <c r="AY134" i="3" s="1"/>
  <c r="AZ134" i="3" s="1"/>
  <c r="BA134" i="3" s="1"/>
  <c r="BB134" i="3" s="1"/>
  <c r="BC134" i="3" s="1"/>
  <c r="BD134" i="3" s="1"/>
  <c r="BE134" i="3" s="1"/>
  <c r="BF134" i="3" s="1"/>
  <c r="BG134" i="3" s="1"/>
  <c r="BH134" i="3" s="1"/>
  <c r="BI134" i="3" s="1"/>
  <c r="BJ134" i="3" s="1"/>
  <c r="BK134" i="3" s="1"/>
  <c r="BL134" i="3" s="1"/>
  <c r="BM134" i="3" s="1"/>
  <c r="E134" i="3" s="1"/>
  <c r="AZ49" i="29" l="1"/>
  <c r="X42" i="2"/>
  <c r="X17" i="3" s="1"/>
  <c r="AZ158" i="3"/>
  <c r="BA31" i="3"/>
  <c r="BA118" i="3" s="1"/>
  <c r="W25" i="29"/>
  <c r="W26" i="3"/>
  <c r="V40" i="29"/>
  <c r="V39" i="29" s="1"/>
  <c r="V37" i="3"/>
  <c r="V153" i="3"/>
  <c r="U39" i="3"/>
  <c r="U40" i="3" s="1"/>
  <c r="U24" i="29"/>
  <c r="G140" i="32" s="1"/>
  <c r="U172" i="29"/>
  <c r="AF129" i="3"/>
  <c r="T40" i="3"/>
  <c r="T41" i="3" s="1"/>
  <c r="T35" i="3" s="1"/>
  <c r="BC53" i="2"/>
  <c r="BC13" i="3"/>
  <c r="BD52" i="2"/>
  <c r="BB142" i="3"/>
  <c r="BB19" i="29"/>
  <c r="BB22" i="3"/>
  <c r="BB34" i="29" s="1"/>
  <c r="T24" i="29"/>
  <c r="F140" i="32" s="1"/>
  <c r="T172" i="29"/>
  <c r="BA158" i="3" l="1"/>
  <c r="BA49" i="29"/>
  <c r="Y42" i="2"/>
  <c r="Y17" i="3" s="1"/>
  <c r="T55" i="29"/>
  <c r="Y11" i="12"/>
  <c r="BB31" i="3"/>
  <c r="U41" i="3"/>
  <c r="U35" i="3" s="1"/>
  <c r="V39" i="3"/>
  <c r="V40" i="3" s="1"/>
  <c r="V24" i="29"/>
  <c r="H140" i="32" s="1"/>
  <c r="V172" i="29"/>
  <c r="AG129" i="3"/>
  <c r="BC22" i="3"/>
  <c r="BC34" i="29" s="1"/>
  <c r="BC19" i="29"/>
  <c r="BC142" i="3"/>
  <c r="X25" i="29"/>
  <c r="X26" i="3"/>
  <c r="BD53" i="2"/>
  <c r="BD13" i="3"/>
  <c r="BE52" i="2"/>
  <c r="W37" i="3"/>
  <c r="W153" i="3"/>
  <c r="W40" i="29"/>
  <c r="Z42" i="2" l="1"/>
  <c r="Z17" i="3" s="1"/>
  <c r="BC31" i="3"/>
  <c r="BC49" i="29" s="1"/>
  <c r="V41" i="3"/>
  <c r="V35" i="3" s="1"/>
  <c r="X153" i="3"/>
  <c r="X40" i="29"/>
  <c r="X37" i="3"/>
  <c r="AH129" i="3"/>
  <c r="W39" i="3"/>
  <c r="W40" i="3" s="1"/>
  <c r="Z11" i="12"/>
  <c r="U55" i="29"/>
  <c r="U54" i="29" s="1"/>
  <c r="Y25" i="29"/>
  <c r="Y26" i="3"/>
  <c r="BE53" i="2"/>
  <c r="BE13" i="3"/>
  <c r="BF52" i="2"/>
  <c r="BB49" i="29"/>
  <c r="BB118" i="3"/>
  <c r="BB158" i="3"/>
  <c r="BD19" i="29"/>
  <c r="BD142" i="3"/>
  <c r="BD22" i="3"/>
  <c r="BD34" i="29" s="1"/>
  <c r="T54" i="29"/>
  <c r="BC158" i="3" l="1"/>
  <c r="BC118" i="3"/>
  <c r="AA42" i="2"/>
  <c r="AA17" i="3" s="1"/>
  <c r="W41" i="3"/>
  <c r="W35" i="3" s="1"/>
  <c r="AI129" i="3"/>
  <c r="Y40" i="29"/>
  <c r="Y153" i="3"/>
  <c r="Y37" i="3"/>
  <c r="BE142" i="3"/>
  <c r="BE22" i="3"/>
  <c r="BE34" i="29" s="1"/>
  <c r="BE19" i="29"/>
  <c r="X39" i="3"/>
  <c r="X40" i="3" s="1"/>
  <c r="Z25" i="29"/>
  <c r="Z26" i="3"/>
  <c r="BD31" i="3"/>
  <c r="V55" i="29"/>
  <c r="AA11" i="12"/>
  <c r="BF13" i="3"/>
  <c r="BF53" i="2"/>
  <c r="BG52" i="2"/>
  <c r="X41" i="3" l="1"/>
  <c r="X35" i="3" s="1"/>
  <c r="AB42" i="2"/>
  <c r="AB17" i="3" s="1"/>
  <c r="AJ129" i="3"/>
  <c r="BD49" i="29"/>
  <c r="BD118" i="3"/>
  <c r="BD158" i="3"/>
  <c r="BE31" i="3"/>
  <c r="BG53" i="2"/>
  <c r="BG13" i="3"/>
  <c r="BH52" i="2"/>
  <c r="BF19" i="29"/>
  <c r="BF22" i="3"/>
  <c r="BF34" i="29" s="1"/>
  <c r="BF142" i="3"/>
  <c r="Z40" i="29"/>
  <c r="Z37" i="3"/>
  <c r="Z153" i="3"/>
  <c r="W55" i="29"/>
  <c r="AB11" i="12"/>
  <c r="V54" i="29"/>
  <c r="AA25" i="29"/>
  <c r="AA26" i="3"/>
  <c r="Y39" i="3"/>
  <c r="AC42" i="2" l="1"/>
  <c r="AC17" i="3" s="1"/>
  <c r="BH53" i="2"/>
  <c r="BH13" i="3"/>
  <c r="BI52" i="2"/>
  <c r="BF31" i="3"/>
  <c r="AK129" i="3"/>
  <c r="X55" i="29"/>
  <c r="AC11" i="12"/>
  <c r="AB25" i="29"/>
  <c r="AB26" i="3"/>
  <c r="BE49" i="29"/>
  <c r="BE118" i="3"/>
  <c r="BE158" i="3"/>
  <c r="AA153" i="3"/>
  <c r="AA40" i="29"/>
  <c r="AA37" i="3"/>
  <c r="Z39" i="3"/>
  <c r="BG22" i="3"/>
  <c r="BG34" i="29" s="1"/>
  <c r="BG142" i="3"/>
  <c r="BG19" i="29"/>
  <c r="Y40" i="3"/>
  <c r="Y41" i="3" s="1"/>
  <c r="Y35" i="3" s="1"/>
  <c r="BG31" i="3" l="1"/>
  <c r="BG49" i="29" s="1"/>
  <c r="AD42" i="2"/>
  <c r="AD17" i="3" s="1"/>
  <c r="AD11" i="12"/>
  <c r="Y55" i="29"/>
  <c r="AA39" i="3"/>
  <c r="AA40" i="3" s="1"/>
  <c r="AL129" i="3"/>
  <c r="BF49" i="29"/>
  <c r="BF118" i="3"/>
  <c r="BF158" i="3"/>
  <c r="BI53" i="2"/>
  <c r="BI13" i="3"/>
  <c r="BJ52" i="2"/>
  <c r="AC25" i="29"/>
  <c r="AC26" i="3"/>
  <c r="BH22" i="3"/>
  <c r="BH34" i="29" s="1"/>
  <c r="BH19" i="29"/>
  <c r="BH142" i="3"/>
  <c r="Z40" i="3"/>
  <c r="Z41" i="3" s="1"/>
  <c r="Z35" i="3" s="1"/>
  <c r="AB37" i="3"/>
  <c r="AB40" i="29"/>
  <c r="AB153" i="3"/>
  <c r="BG118" i="3" l="1"/>
  <c r="BG158" i="3"/>
  <c r="AE17" i="3"/>
  <c r="BH31" i="3"/>
  <c r="BH118" i="3" s="1"/>
  <c r="AA41" i="3"/>
  <c r="AA35" i="3" s="1"/>
  <c r="AE11" i="12"/>
  <c r="Z55" i="29"/>
  <c r="AB39" i="3"/>
  <c r="AB40" i="3" s="1"/>
  <c r="AC37" i="3"/>
  <c r="AC153" i="3"/>
  <c r="AC40" i="29"/>
  <c r="BJ53" i="2"/>
  <c r="BJ13" i="3"/>
  <c r="BK52" i="2"/>
  <c r="BI19" i="29"/>
  <c r="BI22" i="3"/>
  <c r="BI34" i="29" s="1"/>
  <c r="BI142" i="3"/>
  <c r="AM129" i="3"/>
  <c r="AD25" i="29"/>
  <c r="AD26" i="3"/>
  <c r="AB41" i="3" l="1"/>
  <c r="AB35" i="3" s="1"/>
  <c r="BH158" i="3"/>
  <c r="BH49" i="29"/>
  <c r="AC39" i="3"/>
  <c r="AD37" i="3"/>
  <c r="AD40" i="29"/>
  <c r="AD153" i="3"/>
  <c r="AN129" i="3"/>
  <c r="BI31" i="3"/>
  <c r="BK53" i="2"/>
  <c r="BK13" i="3"/>
  <c r="BL52" i="2"/>
  <c r="AE25" i="29"/>
  <c r="AE26" i="3"/>
  <c r="BJ22" i="3"/>
  <c r="BJ34" i="29" s="1"/>
  <c r="BJ19" i="29"/>
  <c r="BJ142" i="3"/>
  <c r="AF11" i="12"/>
  <c r="AA55" i="29"/>
  <c r="BJ31" i="3" l="1"/>
  <c r="AD39" i="3"/>
  <c r="BI49" i="29"/>
  <c r="BI118" i="3"/>
  <c r="BI158" i="3"/>
  <c r="AO129" i="3"/>
  <c r="AB55" i="29"/>
  <c r="AG11" i="12"/>
  <c r="BL13" i="3"/>
  <c r="BL53" i="2"/>
  <c r="BM52" i="2"/>
  <c r="AC40" i="3"/>
  <c r="AC41" i="3" s="1"/>
  <c r="AC35" i="3" s="1"/>
  <c r="BK19" i="29"/>
  <c r="BK22" i="3"/>
  <c r="BK34" i="29" s="1"/>
  <c r="BK142" i="3"/>
  <c r="AE40" i="29"/>
  <c r="AE153" i="3"/>
  <c r="AE37" i="3"/>
  <c r="BK31" i="3" l="1"/>
  <c r="BK158" i="3" s="1"/>
  <c r="AC55" i="29"/>
  <c r="AH11" i="12"/>
  <c r="BM53" i="2"/>
  <c r="T22" i="3" s="1"/>
  <c r="BM13" i="3"/>
  <c r="AP129" i="3"/>
  <c r="BJ49" i="29"/>
  <c r="BJ118" i="3"/>
  <c r="BJ158" i="3"/>
  <c r="AD40" i="3"/>
  <c r="AD41" i="3" s="1"/>
  <c r="AD35" i="3" s="1"/>
  <c r="BL19" i="29"/>
  <c r="BL142" i="3"/>
  <c r="BL22" i="3"/>
  <c r="BL34" i="29" s="1"/>
  <c r="BK118" i="3" l="1"/>
  <c r="BK49" i="29"/>
  <c r="BL31" i="3"/>
  <c r="BL158" i="3" s="1"/>
  <c r="AD55" i="29"/>
  <c r="AI11" i="12"/>
  <c r="AE35" i="3"/>
  <c r="AQ129" i="3"/>
  <c r="BM22" i="3"/>
  <c r="BM34" i="29" s="1"/>
  <c r="BM19" i="29"/>
  <c r="BM142" i="3"/>
  <c r="E142" i="3" s="1"/>
  <c r="E13" i="3"/>
  <c r="AS68" i="2"/>
  <c r="T34" i="29"/>
  <c r="T31" i="3"/>
  <c r="U22" i="3"/>
  <c r="BL49" i="29" l="1"/>
  <c r="BL118" i="3"/>
  <c r="AT68" i="2"/>
  <c r="AU68" i="2" s="1"/>
  <c r="T118" i="3"/>
  <c r="T113" i="3" s="1"/>
  <c r="T49" i="29"/>
  <c r="T158" i="3"/>
  <c r="Y14" i="12"/>
  <c r="T25" i="3"/>
  <c r="E19" i="29"/>
  <c r="AR129" i="3"/>
  <c r="AJ11" i="12"/>
  <c r="AE55" i="29"/>
  <c r="BM31" i="3"/>
  <c r="U34" i="29"/>
  <c r="U31" i="3"/>
  <c r="V22" i="3"/>
  <c r="U118" i="3" l="1"/>
  <c r="U113" i="3" s="1"/>
  <c r="U158" i="3"/>
  <c r="U49" i="29"/>
  <c r="U25" i="3"/>
  <c r="V34" i="29"/>
  <c r="V31" i="3"/>
  <c r="W22" i="3"/>
  <c r="BM49" i="29"/>
  <c r="BM158" i="3"/>
  <c r="BM118" i="3"/>
  <c r="T46" i="3"/>
  <c r="Z14" i="12" s="1"/>
  <c r="Z95" i="12"/>
  <c r="Z96" i="12"/>
  <c r="U52" i="3" s="1"/>
  <c r="AS129" i="3"/>
  <c r="AT129" i="3" l="1"/>
  <c r="U51" i="3"/>
  <c r="W34" i="29"/>
  <c r="W31" i="3"/>
  <c r="X22" i="3"/>
  <c r="T64" i="29"/>
  <c r="T189" i="3"/>
  <c r="V118" i="3"/>
  <c r="V113" i="3" s="1"/>
  <c r="V158" i="3"/>
  <c r="V49" i="29"/>
  <c r="V25" i="3"/>
  <c r="U46" i="3"/>
  <c r="U64" i="29" s="1"/>
  <c r="AA95" i="12"/>
  <c r="AA96" i="12"/>
  <c r="V52" i="3" s="1"/>
  <c r="U189" i="3" l="1"/>
  <c r="W118" i="3"/>
  <c r="W113" i="3" s="1"/>
  <c r="W158" i="3"/>
  <c r="W49" i="29"/>
  <c r="W25" i="3"/>
  <c r="AU129" i="3"/>
  <c r="X34" i="29"/>
  <c r="X31" i="3"/>
  <c r="Y22" i="3"/>
  <c r="V51" i="3"/>
  <c r="AA14" i="12"/>
  <c r="V46" i="3" l="1"/>
  <c r="AB95" i="12"/>
  <c r="AB96" i="12"/>
  <c r="W52" i="3" s="1"/>
  <c r="Y34" i="29"/>
  <c r="Y31" i="3"/>
  <c r="Z22" i="3"/>
  <c r="X118" i="3"/>
  <c r="X113" i="3" s="1"/>
  <c r="X158" i="3"/>
  <c r="X49" i="29"/>
  <c r="X25" i="3"/>
  <c r="AV129" i="3"/>
  <c r="W51" i="3" l="1"/>
  <c r="AW129" i="3"/>
  <c r="Z34" i="29"/>
  <c r="Z31" i="3"/>
  <c r="AA22" i="3"/>
  <c r="V64" i="29"/>
  <c r="V189" i="3"/>
  <c r="AB14" i="12"/>
  <c r="Y118" i="3"/>
  <c r="Y158" i="3"/>
  <c r="Y49" i="29"/>
  <c r="Y25" i="3"/>
  <c r="Z118" i="3" l="1"/>
  <c r="Z113" i="3" s="1"/>
  <c r="Z49" i="29"/>
  <c r="Z158" i="3"/>
  <c r="Z25" i="3"/>
  <c r="AX129" i="3"/>
  <c r="AA34" i="29"/>
  <c r="AA31" i="3"/>
  <c r="AB22" i="3"/>
  <c r="W46" i="3"/>
  <c r="AC96" i="12"/>
  <c r="X52" i="3" s="1"/>
  <c r="AC95" i="12"/>
  <c r="Y113" i="3"/>
  <c r="AB34" i="29" l="1"/>
  <c r="AB31" i="3"/>
  <c r="AC22" i="3"/>
  <c r="AY129" i="3"/>
  <c r="X51" i="3"/>
  <c r="W64" i="29"/>
  <c r="W189" i="3"/>
  <c r="AC14" i="12"/>
  <c r="AA118" i="3"/>
  <c r="AA113" i="3" s="1"/>
  <c r="AA49" i="29"/>
  <c r="AA158" i="3"/>
  <c r="AA25" i="3"/>
  <c r="AZ129" i="3" l="1"/>
  <c r="AB118" i="3"/>
  <c r="AB113" i="3" s="1"/>
  <c r="AB158" i="3"/>
  <c r="AB49" i="29"/>
  <c r="AB25" i="3"/>
  <c r="X46" i="3"/>
  <c r="AD95" i="12"/>
  <c r="AD96" i="12"/>
  <c r="Y52" i="3" s="1"/>
  <c r="AC34" i="29"/>
  <c r="AC31" i="3"/>
  <c r="AD22" i="3"/>
  <c r="AS25" i="29" l="1"/>
  <c r="AS26" i="3"/>
  <c r="Y51" i="3"/>
  <c r="X64" i="29"/>
  <c r="X189" i="3"/>
  <c r="AD14" i="12"/>
  <c r="BA129" i="3"/>
  <c r="AC118" i="3"/>
  <c r="AC113" i="3" s="1"/>
  <c r="AC49" i="29"/>
  <c r="AC158" i="3"/>
  <c r="AC25" i="3"/>
  <c r="AD34" i="29"/>
  <c r="AD31" i="3"/>
  <c r="AE22" i="3"/>
  <c r="AS40" i="29" l="1"/>
  <c r="AS153" i="3"/>
  <c r="AE34" i="29"/>
  <c r="AE31" i="3"/>
  <c r="AF22" i="3"/>
  <c r="AD118" i="3"/>
  <c r="AD113" i="3" s="1"/>
  <c r="AD49" i="29"/>
  <c r="AD158" i="3"/>
  <c r="AD25" i="3"/>
  <c r="BB129" i="3"/>
  <c r="Y46" i="3"/>
  <c r="AE96" i="12"/>
  <c r="Z52" i="3" s="1"/>
  <c r="AE95" i="12"/>
  <c r="BC129" i="3" l="1"/>
  <c r="AF34" i="29"/>
  <c r="AF31" i="3"/>
  <c r="AG22" i="3"/>
  <c r="AE118" i="3"/>
  <c r="AE113" i="3" s="1"/>
  <c r="AE49" i="29"/>
  <c r="AE158" i="3"/>
  <c r="AE25" i="3"/>
  <c r="Y64" i="29"/>
  <c r="AE14" i="12"/>
  <c r="Y189" i="3"/>
  <c r="Z51" i="3"/>
  <c r="AF49" i="29" l="1"/>
  <c r="AF118" i="3"/>
  <c r="AF158" i="3"/>
  <c r="BD129" i="3"/>
  <c r="Z46" i="3"/>
  <c r="AF95" i="12"/>
  <c r="AF96" i="12"/>
  <c r="AA52" i="3" s="1"/>
  <c r="AG34" i="29"/>
  <c r="AG31" i="3"/>
  <c r="AH22" i="3"/>
  <c r="AA51" i="3" l="1"/>
  <c r="BE129" i="3"/>
  <c r="Z64" i="29"/>
  <c r="Z189" i="3"/>
  <c r="AF14" i="12"/>
  <c r="AH34" i="29"/>
  <c r="AH31" i="3"/>
  <c r="AI22" i="3"/>
  <c r="AG49" i="29"/>
  <c r="AG158" i="3"/>
  <c r="AG118" i="3"/>
  <c r="AI34" i="29" l="1"/>
  <c r="AI31" i="3"/>
  <c r="AJ22" i="3"/>
  <c r="AH49" i="29"/>
  <c r="AH118" i="3"/>
  <c r="AH158" i="3"/>
  <c r="AA46" i="3"/>
  <c r="AG95" i="12"/>
  <c r="AG96" i="12"/>
  <c r="AB52" i="3" s="1"/>
  <c r="BF129" i="3"/>
  <c r="BG129" i="3" l="1"/>
  <c r="AJ34" i="29"/>
  <c r="AJ31" i="3"/>
  <c r="AK22" i="3"/>
  <c r="AI49" i="29"/>
  <c r="AI118" i="3"/>
  <c r="AI158" i="3"/>
  <c r="AB51" i="3"/>
  <c r="AA64" i="29"/>
  <c r="AA189" i="3"/>
  <c r="AG14" i="12"/>
  <c r="AB46" i="3" l="1"/>
  <c r="AH95" i="12"/>
  <c r="AH96" i="12"/>
  <c r="AC52" i="3" s="1"/>
  <c r="AK34" i="29"/>
  <c r="AK31" i="3"/>
  <c r="AL22" i="3"/>
  <c r="AM22" i="3" s="1"/>
  <c r="AJ49" i="29"/>
  <c r="AJ118" i="3"/>
  <c r="AJ158" i="3"/>
  <c r="BH129" i="3"/>
  <c r="AM34" i="29" l="1"/>
  <c r="AM31" i="3"/>
  <c r="AN22" i="3"/>
  <c r="AL34" i="29"/>
  <c r="AL31" i="3"/>
  <c r="AK49" i="29"/>
  <c r="AK118" i="3"/>
  <c r="AK158" i="3"/>
  <c r="BI129" i="3"/>
  <c r="AC51" i="3"/>
  <c r="AB64" i="29"/>
  <c r="AB189" i="3"/>
  <c r="AH14" i="12"/>
  <c r="AN34" i="29" l="1"/>
  <c r="AN31" i="3"/>
  <c r="AO22" i="3"/>
  <c r="AM49" i="29"/>
  <c r="AM118" i="3"/>
  <c r="AM158" i="3"/>
  <c r="BJ129" i="3"/>
  <c r="AC46" i="3"/>
  <c r="AI95" i="12"/>
  <c r="AI96" i="12"/>
  <c r="AD52" i="3" s="1"/>
  <c r="AL118" i="3"/>
  <c r="AL49" i="29"/>
  <c r="AL158" i="3"/>
  <c r="AO34" i="29" l="1"/>
  <c r="AO31" i="3"/>
  <c r="AP22" i="3"/>
  <c r="AN49" i="29"/>
  <c r="AN118" i="3"/>
  <c r="AN158" i="3"/>
  <c r="AD51" i="3"/>
  <c r="AC64" i="29"/>
  <c r="AC189" i="3"/>
  <c r="AI14" i="12"/>
  <c r="BK129" i="3"/>
  <c r="AP34" i="29" l="1"/>
  <c r="AQ22" i="3"/>
  <c r="AP31" i="3"/>
  <c r="AO158" i="3"/>
  <c r="AO118" i="3"/>
  <c r="AO49" i="29"/>
  <c r="BL129" i="3"/>
  <c r="AD46" i="3"/>
  <c r="AJ96" i="12"/>
  <c r="AE52" i="3" s="1"/>
  <c r="AJ95" i="12"/>
  <c r="AQ34" i="29" l="1"/>
  <c r="AQ31" i="3"/>
  <c r="AR22" i="3"/>
  <c r="AP158" i="3"/>
  <c r="AP118" i="3"/>
  <c r="AP49" i="29"/>
  <c r="AD64" i="29"/>
  <c r="AD189" i="3"/>
  <c r="AJ14" i="12"/>
  <c r="BM129" i="3"/>
  <c r="AE51" i="3"/>
  <c r="AR34" i="29" l="1"/>
  <c r="AR31" i="3"/>
  <c r="AS22" i="3"/>
  <c r="AQ158" i="3"/>
  <c r="AQ49" i="29"/>
  <c r="AQ118" i="3"/>
  <c r="AE46" i="3"/>
  <c r="AK96" i="12"/>
  <c r="AF52" i="3" s="1"/>
  <c r="AK95" i="12"/>
  <c r="E129" i="3"/>
  <c r="AU63" i="2" s="1"/>
  <c r="AS34" i="29" l="1"/>
  <c r="AS31" i="3"/>
  <c r="E31" i="3" s="1"/>
  <c r="Q16" i="1"/>
  <c r="P16" i="1"/>
  <c r="AR158" i="3"/>
  <c r="AR118" i="3"/>
  <c r="AR49" i="29"/>
  <c r="AF51" i="3"/>
  <c r="AE64" i="29"/>
  <c r="AE34" i="3"/>
  <c r="AE189" i="3"/>
  <c r="AK14" i="12"/>
  <c r="AF46" i="3" s="1"/>
  <c r="G150" i="3" l="1"/>
  <c r="H150" i="3" s="1"/>
  <c r="AS80" i="2"/>
  <c r="AS92" i="2" s="1"/>
  <c r="E22" i="3"/>
  <c r="S16" i="1"/>
  <c r="AS118" i="3"/>
  <c r="E118" i="3" s="1"/>
  <c r="A118" i="3" s="1"/>
  <c r="AS158" i="3"/>
  <c r="E158" i="3" s="1"/>
  <c r="AS49" i="29"/>
  <c r="E49" i="29" s="1"/>
  <c r="E34" i="29" s="1"/>
  <c r="AE53" i="29"/>
  <c r="AF64" i="29"/>
  <c r="AL14" i="12"/>
  <c r="AG46" i="3" s="1"/>
  <c r="I150" i="3" l="1"/>
  <c r="J150" i="3" s="1"/>
  <c r="K150" i="3" s="1"/>
  <c r="AS108" i="2"/>
  <c r="AS116" i="2" s="1"/>
  <c r="AG64" i="29"/>
  <c r="AM14" i="12"/>
  <c r="AH46" i="3" s="1"/>
  <c r="L150" i="3" l="1"/>
  <c r="M150" i="3" s="1"/>
  <c r="AH64" i="29"/>
  <c r="AN14" i="12"/>
  <c r="AI46" i="3" s="1"/>
  <c r="N150" i="3" l="1"/>
  <c r="O150" i="3" s="1"/>
  <c r="AI64" i="29"/>
  <c r="AO14" i="12"/>
  <c r="AJ46" i="3" s="1"/>
  <c r="P150" i="3" l="1"/>
  <c r="Q150" i="3" s="1"/>
  <c r="R150" i="3" s="1"/>
  <c r="S150" i="3" s="1"/>
  <c r="T150" i="3" s="1"/>
  <c r="U150" i="3" s="1"/>
  <c r="V150" i="3" s="1"/>
  <c r="W150" i="3" s="1"/>
  <c r="X150" i="3" s="1"/>
  <c r="Y150" i="3" s="1"/>
  <c r="Z150" i="3" s="1"/>
  <c r="AA150" i="3" s="1"/>
  <c r="AB150" i="3" s="1"/>
  <c r="AC150" i="3" s="1"/>
  <c r="AD150" i="3" s="1"/>
  <c r="AE150" i="3" s="1"/>
  <c r="AF150" i="3" s="1"/>
  <c r="AG150" i="3" s="1"/>
  <c r="AH150" i="3" s="1"/>
  <c r="AI150" i="3" s="1"/>
  <c r="AJ150" i="3" s="1"/>
  <c r="AK150" i="3" s="1"/>
  <c r="AL150" i="3" s="1"/>
  <c r="AM150" i="3" s="1"/>
  <c r="AN150" i="3" s="1"/>
  <c r="AO150" i="3" s="1"/>
  <c r="AP150" i="3" s="1"/>
  <c r="AQ150" i="3" s="1"/>
  <c r="AR150" i="3" s="1"/>
  <c r="AS150" i="3" s="1"/>
  <c r="AT150" i="3" s="1"/>
  <c r="AU150" i="3" s="1"/>
  <c r="AV150" i="3" s="1"/>
  <c r="AW150" i="3" s="1"/>
  <c r="AX150" i="3" s="1"/>
  <c r="AY150" i="3" s="1"/>
  <c r="AZ150" i="3" s="1"/>
  <c r="BA150" i="3" s="1"/>
  <c r="BB150" i="3" s="1"/>
  <c r="BC150" i="3" s="1"/>
  <c r="BD150" i="3" s="1"/>
  <c r="BE150" i="3" s="1"/>
  <c r="BF150" i="3" s="1"/>
  <c r="BG150" i="3" s="1"/>
  <c r="BH150" i="3" s="1"/>
  <c r="BI150" i="3" s="1"/>
  <c r="BJ150" i="3" s="1"/>
  <c r="BK150" i="3" s="1"/>
  <c r="BL150" i="3" s="1"/>
  <c r="BM150" i="3" s="1"/>
  <c r="E150" i="3" s="1"/>
  <c r="AJ64" i="29"/>
  <c r="AP14" i="12"/>
  <c r="AK46" i="3" s="1"/>
  <c r="AK64" i="29" l="1"/>
  <c r="AQ14" i="12"/>
  <c r="AL46" i="3" s="1"/>
  <c r="AL64" i="29" l="1"/>
  <c r="AR14" i="12"/>
  <c r="AM46" i="3" s="1"/>
  <c r="AM64" i="29" l="1"/>
  <c r="AS14" i="12"/>
  <c r="AN46" i="3" s="1"/>
  <c r="AN64" i="29" l="1"/>
  <c r="AT14" i="12"/>
  <c r="AO46" i="3" s="1"/>
  <c r="AO64" i="29" l="1"/>
  <c r="AU14" i="12"/>
  <c r="AP46" i="3" s="1"/>
  <c r="AP64" i="29" l="1"/>
  <c r="AV14" i="12"/>
  <c r="AQ46" i="3" s="1"/>
  <c r="AQ64" i="29" l="1"/>
  <c r="AW14" i="12"/>
  <c r="AR46" i="3" s="1"/>
  <c r="AR64" i="29" l="1"/>
  <c r="AX14" i="12"/>
  <c r="AS46" i="3" s="1"/>
  <c r="AS64" i="29" l="1"/>
  <c r="AY14" i="12"/>
  <c r="AT46" i="3" s="1"/>
  <c r="AT64" i="29" l="1"/>
  <c r="AZ14" i="12"/>
  <c r="AU46" i="3" s="1"/>
  <c r="AU64" i="29" l="1"/>
  <c r="BA14" i="12"/>
  <c r="AV46" i="3" s="1"/>
  <c r="AV64" i="29" l="1"/>
  <c r="BB14" i="12"/>
  <c r="AW46" i="3" s="1"/>
  <c r="AW64" i="29" l="1"/>
  <c r="BC14" i="12"/>
  <c r="AX46" i="3" s="1"/>
  <c r="AX64" i="29" l="1"/>
  <c r="BD14" i="12"/>
  <c r="AY46" i="3" s="1"/>
  <c r="AY64" i="29" l="1"/>
  <c r="BE14" i="12"/>
  <c r="AZ46" i="3" s="1"/>
  <c r="AZ64" i="29" l="1"/>
  <c r="BF14" i="12"/>
  <c r="BA46" i="3" s="1"/>
  <c r="BA64" i="29" l="1"/>
  <c r="BG14" i="12"/>
  <c r="BB46" i="3" s="1"/>
  <c r="BB64" i="29" l="1"/>
  <c r="BH14" i="12"/>
  <c r="BC46" i="3" s="1"/>
  <c r="BC64" i="29" l="1"/>
  <c r="BI14" i="12"/>
  <c r="BD46" i="3" s="1"/>
  <c r="BD64" i="29" l="1"/>
  <c r="BJ14" i="12"/>
  <c r="BE46" i="3" s="1"/>
  <c r="BE64" i="29" l="1"/>
  <c r="BK14" i="12"/>
  <c r="BF46" i="3" s="1"/>
  <c r="BF64" i="29" l="1"/>
  <c r="BL14" i="12"/>
  <c r="BG46" i="3" s="1"/>
  <c r="BG64" i="29" l="1"/>
  <c r="BM14" i="12"/>
  <c r="BH46" i="3" s="1"/>
  <c r="BH64" i="29" l="1"/>
  <c r="BN14" i="12"/>
  <c r="BI46" i="3" s="1"/>
  <c r="BI64" i="29" l="1"/>
  <c r="BO14" i="12"/>
  <c r="BJ46" i="3" s="1"/>
  <c r="BJ64" i="29" l="1"/>
  <c r="BP14" i="12"/>
  <c r="BK46" i="3" s="1"/>
  <c r="BK64" i="29" l="1"/>
  <c r="BQ14" i="12"/>
  <c r="BL46" i="3" s="1"/>
  <c r="BL64" i="29" l="1"/>
  <c r="BR14" i="12"/>
  <c r="BM46" i="3" l="1"/>
  <c r="I14" i="12"/>
  <c r="A14" i="12" s="1"/>
  <c r="BM64" i="29" l="1"/>
  <c r="E46" i="3"/>
  <c r="AT80" i="2" l="1"/>
  <c r="S76" i="10"/>
  <c r="E64" i="29"/>
  <c r="AT92" i="2" l="1"/>
  <c r="Z125" i="3" l="1"/>
  <c r="J125" i="3"/>
  <c r="AS125" i="3"/>
  <c r="P125" i="3"/>
  <c r="AF125" i="3"/>
  <c r="AI125" i="3"/>
  <c r="AR125" i="3"/>
  <c r="AD125" i="3"/>
  <c r="I125" i="3"/>
  <c r="BF125" i="3"/>
  <c r="AU125" i="3"/>
  <c r="M125" i="3"/>
  <c r="L125" i="3"/>
  <c r="S125" i="3"/>
  <c r="AC125" i="3"/>
  <c r="BE125" i="3"/>
  <c r="AQ125" i="3"/>
  <c r="G125" i="3"/>
  <c r="T125" i="3"/>
  <c r="U125" i="3"/>
  <c r="AN125" i="3"/>
  <c r="H125" i="3"/>
  <c r="AX125" i="3"/>
  <c r="BJ125" i="3"/>
  <c r="O125" i="3"/>
  <c r="BI125" i="3"/>
  <c r="AA125" i="3"/>
  <c r="AH125" i="3"/>
  <c r="Q125" i="3"/>
  <c r="BH125" i="3"/>
  <c r="BC125" i="3"/>
  <c r="AM125" i="3"/>
  <c r="AJ125" i="3"/>
  <c r="V125" i="3"/>
  <c r="BK125" i="3"/>
  <c r="R125" i="3"/>
  <c r="Y125" i="3"/>
  <c r="BM125" i="3"/>
  <c r="BA125" i="3"/>
  <c r="AV125" i="3"/>
  <c r="K125" i="3"/>
  <c r="AT125" i="3"/>
  <c r="BD125" i="3"/>
  <c r="X125" i="3"/>
  <c r="BL125" i="3"/>
  <c r="AK125" i="3"/>
  <c r="AG125" i="3"/>
  <c r="AB125" i="3"/>
  <c r="F125" i="3"/>
  <c r="BB125" i="3"/>
  <c r="AE125" i="3"/>
  <c r="N125" i="3"/>
  <c r="AP125" i="3"/>
  <c r="AO125" i="3"/>
  <c r="AW125" i="3"/>
  <c r="AY125" i="3"/>
  <c r="BG125" i="3"/>
  <c r="AZ125" i="3"/>
  <c r="AL125" i="3"/>
  <c r="W125" i="3"/>
  <c r="AT108" i="2"/>
  <c r="AT116" i="2" s="1"/>
  <c r="E125" i="3" l="1"/>
  <c r="S12" i="10" l="1"/>
  <c r="E64" i="2"/>
  <c r="E69" i="2" s="1"/>
  <c r="D11" i="1"/>
  <c r="B12" i="10" s="1"/>
  <c r="G11" i="1"/>
  <c r="S21" i="10" l="1"/>
  <c r="J33" i="1"/>
  <c r="F64" i="2"/>
  <c r="F69" i="2" s="1"/>
  <c r="E87" i="2" s="1"/>
  <c r="H11" i="1"/>
  <c r="G7" i="1"/>
  <c r="J11" i="1" l="1"/>
  <c r="H7" i="1"/>
  <c r="S33" i="10"/>
  <c r="E48" i="2"/>
  <c r="E75" i="2"/>
  <c r="E77" i="2" s="1"/>
  <c r="G18" i="1"/>
  <c r="G162" i="12" s="1"/>
  <c r="H33" i="1"/>
  <c r="I33" i="1"/>
  <c r="I288" i="12"/>
  <c r="S18" i="10"/>
  <c r="C81" i="2" l="1"/>
  <c r="J25" i="1"/>
  <c r="I7" i="1"/>
  <c r="I18" i="1" s="1"/>
  <c r="S37" i="10" s="1"/>
  <c r="H18" i="1"/>
  <c r="BN288" i="12"/>
  <c r="AY288" i="12"/>
  <c r="AO288" i="12"/>
  <c r="BI288" i="12"/>
  <c r="Y288" i="12"/>
  <c r="BG288" i="12"/>
  <c r="V288" i="12"/>
  <c r="U288" i="12"/>
  <c r="AN288" i="12"/>
  <c r="BL288" i="12"/>
  <c r="AV288" i="12"/>
  <c r="AF288" i="12"/>
  <c r="AA288" i="12"/>
  <c r="AQ288" i="12"/>
  <c r="AH288" i="12"/>
  <c r="AE288" i="12"/>
  <c r="BE288" i="12"/>
  <c r="AI288" i="12"/>
  <c r="BC288" i="12"/>
  <c r="X288" i="12"/>
  <c r="AS288" i="12"/>
  <c r="AZ288" i="12"/>
  <c r="AX288" i="12"/>
  <c r="T288" i="12"/>
  <c r="AT288" i="12"/>
  <c r="BK288" i="12"/>
  <c r="BJ288" i="12"/>
  <c r="AJ288" i="12"/>
  <c r="AK288" i="12"/>
  <c r="AW288" i="12"/>
  <c r="BD288" i="12"/>
  <c r="AP288" i="12"/>
  <c r="AC288" i="12"/>
  <c r="AG288" i="12"/>
  <c r="BQ288" i="12"/>
  <c r="BM288" i="12"/>
  <c r="BH288" i="12"/>
  <c r="BF288" i="12"/>
  <c r="BR288" i="12"/>
  <c r="AR288" i="12"/>
  <c r="BO288" i="12"/>
  <c r="AD288" i="12"/>
  <c r="BP288" i="12"/>
  <c r="AU288" i="12"/>
  <c r="S288" i="12"/>
  <c r="W288" i="12"/>
  <c r="BB288" i="12"/>
  <c r="BA288" i="12"/>
  <c r="Z288" i="12"/>
  <c r="AL288" i="12"/>
  <c r="G288" i="12"/>
  <c r="E33" i="1" s="1"/>
  <c r="AM288" i="12"/>
  <c r="AB288" i="12"/>
  <c r="F49" i="2"/>
  <c r="N49" i="2"/>
  <c r="H49" i="2"/>
  <c r="Z49" i="2"/>
  <c r="U49" i="2"/>
  <c r="S49" i="2"/>
  <c r="O49" i="2"/>
  <c r="AC49" i="2"/>
  <c r="AA49" i="2"/>
  <c r="J49" i="2"/>
  <c r="AD49" i="2"/>
  <c r="V49" i="2"/>
  <c r="Y49" i="2"/>
  <c r="I49" i="2"/>
  <c r="G49" i="2"/>
  <c r="T49" i="2"/>
  <c r="AE49" i="2"/>
  <c r="X49" i="2"/>
  <c r="M49" i="2"/>
  <c r="L49" i="2"/>
  <c r="R49" i="2"/>
  <c r="AB49" i="2"/>
  <c r="W49" i="2"/>
  <c r="Q49" i="2"/>
  <c r="K49" i="2"/>
  <c r="P49" i="2"/>
  <c r="AF48" i="2"/>
  <c r="G300" i="12"/>
  <c r="G290" i="12"/>
  <c r="J32" i="1"/>
  <c r="H52" i="1"/>
  <c r="I188" i="12"/>
  <c r="I182" i="12" s="1"/>
  <c r="I148" i="12" s="1"/>
  <c r="G148" i="12" s="1"/>
  <c r="H29" i="1"/>
  <c r="J39" i="1"/>
  <c r="J40" i="1"/>
  <c r="I224" i="12"/>
  <c r="J38" i="1"/>
  <c r="J31" i="1"/>
  <c r="S17" i="10"/>
  <c r="S27" i="10"/>
  <c r="S45" i="10"/>
  <c r="AQ224" i="12" l="1"/>
  <c r="BD224" i="12"/>
  <c r="BI224" i="12"/>
  <c r="BC224" i="12"/>
  <c r="U224" i="12"/>
  <c r="AD224" i="12"/>
  <c r="AF224" i="12"/>
  <c r="AI224" i="12"/>
  <c r="AL224" i="12"/>
  <c r="BR224" i="12"/>
  <c r="BK224" i="12"/>
  <c r="W224" i="12"/>
  <c r="Z224" i="12"/>
  <c r="AR224" i="12"/>
  <c r="AN224" i="12"/>
  <c r="BO224" i="12"/>
  <c r="AK224" i="12"/>
  <c r="Y224" i="12"/>
  <c r="BA224" i="12"/>
  <c r="AX224" i="12"/>
  <c r="AS224" i="12"/>
  <c r="AU224" i="12"/>
  <c r="AG224" i="12"/>
  <c r="V224" i="12"/>
  <c r="BP224" i="12"/>
  <c r="AA224" i="12"/>
  <c r="AZ224" i="12"/>
  <c r="AW224" i="12"/>
  <c r="BM224" i="12"/>
  <c r="AO224" i="12"/>
  <c r="BG224" i="12"/>
  <c r="AT224" i="12"/>
  <c r="AE224" i="12"/>
  <c r="AM224" i="12"/>
  <c r="BQ224" i="12"/>
  <c r="AY224" i="12"/>
  <c r="AV224" i="12"/>
  <c r="BF224" i="12"/>
  <c r="BJ224" i="12"/>
  <c r="AB224" i="12"/>
  <c r="BB224" i="12"/>
  <c r="X224" i="12"/>
  <c r="AP224" i="12"/>
  <c r="BN224" i="12"/>
  <c r="S224" i="12"/>
  <c r="BH224" i="12"/>
  <c r="AJ224" i="12"/>
  <c r="BE224" i="12"/>
  <c r="T224" i="12"/>
  <c r="BL224" i="12"/>
  <c r="AC224" i="12"/>
  <c r="AH224" i="12"/>
  <c r="BD65" i="3"/>
  <c r="H40" i="1"/>
  <c r="I40" i="1"/>
  <c r="I373" i="12"/>
  <c r="BK65" i="3"/>
  <c r="BL65" i="3"/>
  <c r="BE65" i="3"/>
  <c r="AX65" i="3"/>
  <c r="AJ65" i="3"/>
  <c r="H32" i="1"/>
  <c r="I32" i="1"/>
  <c r="Y65" i="3"/>
  <c r="AB65" i="3"/>
  <c r="BF65" i="3"/>
  <c r="AT65" i="3"/>
  <c r="BJ65" i="3"/>
  <c r="X65" i="3"/>
  <c r="AO65" i="3"/>
  <c r="AZ65" i="3"/>
  <c r="AI65" i="3"/>
  <c r="BI65" i="3"/>
  <c r="U65" i="3"/>
  <c r="AC182" i="12"/>
  <c r="BM182" i="12"/>
  <c r="AB182" i="12"/>
  <c r="BJ182" i="12"/>
  <c r="BE182" i="12"/>
  <c r="AG182" i="12"/>
  <c r="AY182" i="12"/>
  <c r="BB182" i="12"/>
  <c r="AM182" i="12"/>
  <c r="T182" i="12"/>
  <c r="AH182" i="12"/>
  <c r="AO182" i="12"/>
  <c r="AP182" i="12"/>
  <c r="AX182" i="12"/>
  <c r="AI182" i="12"/>
  <c r="BQ182" i="12"/>
  <c r="S182" i="12"/>
  <c r="AR182" i="12"/>
  <c r="AZ182" i="12"/>
  <c r="BP182" i="12"/>
  <c r="BN182" i="12"/>
  <c r="AW182" i="12"/>
  <c r="AK182" i="12"/>
  <c r="AQ182" i="12"/>
  <c r="Y182" i="12"/>
  <c r="AF182" i="12"/>
  <c r="BG182" i="12"/>
  <c r="BD182" i="12"/>
  <c r="U182" i="12"/>
  <c r="BC182" i="12"/>
  <c r="BA182" i="12"/>
  <c r="BI182" i="12"/>
  <c r="AS182" i="12"/>
  <c r="AA182" i="12"/>
  <c r="BO182" i="12"/>
  <c r="AE182" i="12"/>
  <c r="BK182" i="12"/>
  <c r="X182" i="12"/>
  <c r="AU182" i="12"/>
  <c r="BF182" i="12"/>
  <c r="W182" i="12"/>
  <c r="G182" i="12"/>
  <c r="BL182" i="12"/>
  <c r="BR182" i="12"/>
  <c r="AL182" i="12"/>
  <c r="AJ182" i="12"/>
  <c r="AD182" i="12"/>
  <c r="AN182" i="12"/>
  <c r="AT182" i="12"/>
  <c r="BH182" i="12"/>
  <c r="AV182" i="12"/>
  <c r="V182" i="12"/>
  <c r="Z182" i="12"/>
  <c r="AV65" i="3"/>
  <c r="AW65" i="3"/>
  <c r="AM65" i="3"/>
  <c r="AK65" i="3"/>
  <c r="O65" i="3"/>
  <c r="Z65" i="3"/>
  <c r="P65" i="3"/>
  <c r="I52" i="1"/>
  <c r="I29" i="1"/>
  <c r="S26" i="10"/>
  <c r="AE65" i="3"/>
  <c r="AA65" i="3"/>
  <c r="H39" i="1"/>
  <c r="I39" i="1"/>
  <c r="I326" i="12"/>
  <c r="BG65" i="3"/>
  <c r="AF49" i="2"/>
  <c r="AG48" i="2"/>
  <c r="AF11" i="3"/>
  <c r="AF38" i="2"/>
  <c r="W65" i="3"/>
  <c r="R65" i="3"/>
  <c r="BM65" i="3"/>
  <c r="AY65" i="3"/>
  <c r="AS65" i="3"/>
  <c r="AC65" i="3"/>
  <c r="Q65" i="3"/>
  <c r="AG65" i="3"/>
  <c r="BH65" i="3"/>
  <c r="S65" i="3"/>
  <c r="A288" i="12"/>
  <c r="AQ65" i="3"/>
  <c r="AD65" i="3"/>
  <c r="I31" i="1"/>
  <c r="H31" i="1"/>
  <c r="AH65" i="3"/>
  <c r="BA65" i="3"/>
  <c r="AU65" i="3"/>
  <c r="BB65" i="3"/>
  <c r="H25" i="1"/>
  <c r="I25" i="1"/>
  <c r="AB188" i="12"/>
  <c r="W188" i="12"/>
  <c r="AV188" i="12"/>
  <c r="BP188" i="12"/>
  <c r="AA188" i="12"/>
  <c r="BG188" i="12"/>
  <c r="V188" i="12"/>
  <c r="BI188" i="12"/>
  <c r="AF188" i="12"/>
  <c r="AQ188" i="12"/>
  <c r="G188" i="12"/>
  <c r="AY188" i="12"/>
  <c r="U188" i="12"/>
  <c r="AK188" i="12"/>
  <c r="BD188" i="12"/>
  <c r="AX188" i="12"/>
  <c r="AW188" i="12"/>
  <c r="BJ188" i="12"/>
  <c r="AT188" i="12"/>
  <c r="Z188" i="12"/>
  <c r="BA188" i="12"/>
  <c r="AD188" i="12"/>
  <c r="BL188" i="12"/>
  <c r="AJ188" i="12"/>
  <c r="BF188" i="12"/>
  <c r="BN188" i="12"/>
  <c r="AH188" i="12"/>
  <c r="BM188" i="12"/>
  <c r="S188" i="12"/>
  <c r="X188" i="12"/>
  <c r="AG188" i="12"/>
  <c r="AU188" i="12"/>
  <c r="AP188" i="12"/>
  <c r="Y188" i="12"/>
  <c r="AN188" i="12"/>
  <c r="AZ188" i="12"/>
  <c r="AO188" i="12"/>
  <c r="AM188" i="12"/>
  <c r="BC188" i="12"/>
  <c r="BR188" i="12"/>
  <c r="T188" i="12"/>
  <c r="BQ188" i="12"/>
  <c r="BH188" i="12"/>
  <c r="BK188" i="12"/>
  <c r="BE188" i="12"/>
  <c r="AS188" i="12"/>
  <c r="AC188" i="12"/>
  <c r="AL188" i="12"/>
  <c r="BO188" i="12"/>
  <c r="AR188" i="12"/>
  <c r="AE188" i="12"/>
  <c r="AI188" i="12"/>
  <c r="BB188" i="12"/>
  <c r="N65" i="3"/>
  <c r="AR65" i="3"/>
  <c r="AL65" i="3"/>
  <c r="S42" i="10"/>
  <c r="H38" i="1"/>
  <c r="I38" i="1"/>
  <c r="I344" i="12"/>
  <c r="AP65" i="3"/>
  <c r="BC65" i="3"/>
  <c r="AF65" i="3"/>
  <c r="AN65" i="3"/>
  <c r="V65" i="3"/>
  <c r="T65" i="3"/>
  <c r="AB73" i="2"/>
  <c r="AC73" i="2" s="1"/>
  <c r="AB64" i="2"/>
  <c r="AC64" i="2" s="1"/>
  <c r="AB75" i="2"/>
  <c r="AC75" i="2" s="1"/>
  <c r="AB67" i="2"/>
  <c r="AC67" i="2" s="1"/>
  <c r="AB69" i="2"/>
  <c r="AC69" i="2" s="1"/>
  <c r="AB70" i="2"/>
  <c r="AC70" i="2" s="1"/>
  <c r="AB74" i="2"/>
  <c r="AC74" i="2" s="1"/>
  <c r="AB71" i="2"/>
  <c r="AC71" i="2" s="1"/>
  <c r="AB68" i="2"/>
  <c r="AC68" i="2" s="1"/>
  <c r="J26" i="1"/>
  <c r="AB66" i="2"/>
  <c r="AC66" i="2" s="1"/>
  <c r="AB76" i="2"/>
  <c r="AC76" i="2" s="1"/>
  <c r="AB72" i="2"/>
  <c r="AC72" i="2" s="1"/>
  <c r="E88" i="2"/>
  <c r="E89" i="2" s="1"/>
  <c r="X63" i="2"/>
  <c r="AB78" i="2"/>
  <c r="AC78" i="2" s="1"/>
  <c r="AB77" i="2"/>
  <c r="AC77" i="2" s="1"/>
  <c r="AB65" i="2"/>
  <c r="AC65" i="2" s="1"/>
  <c r="AB63" i="2"/>
  <c r="AC63" i="2" s="1"/>
  <c r="Y267" i="12" l="1"/>
  <c r="AD267" i="12"/>
  <c r="AH267" i="12"/>
  <c r="AJ267" i="12"/>
  <c r="AA267" i="12"/>
  <c r="Z267" i="12"/>
  <c r="AF267" i="12"/>
  <c r="AL267" i="12"/>
  <c r="AG61" i="3" s="1"/>
  <c r="AM267" i="12"/>
  <c r="AH61" i="3" s="1"/>
  <c r="AE267" i="12"/>
  <c r="AI267" i="12"/>
  <c r="AC267" i="12"/>
  <c r="X267" i="12"/>
  <c r="AK267" i="12"/>
  <c r="AF61" i="3" s="1"/>
  <c r="AB267" i="12"/>
  <c r="AG267" i="12"/>
  <c r="A182" i="12"/>
  <c r="A188" i="12"/>
  <c r="AA65" i="2"/>
  <c r="AA64" i="2"/>
  <c r="AA66" i="2"/>
  <c r="AA63" i="2"/>
  <c r="N64" i="2"/>
  <c r="N63" i="2"/>
  <c r="AC64" i="3"/>
  <c r="N64" i="3"/>
  <c r="AQ64" i="3"/>
  <c r="BH64" i="3"/>
  <c r="AM64" i="3"/>
  <c r="Y64" i="3"/>
  <c r="S41" i="10"/>
  <c r="AG49" i="2"/>
  <c r="AG38" i="2"/>
  <c r="AG32" i="2" s="1"/>
  <c r="AG11" i="3"/>
  <c r="AF32" i="2"/>
  <c r="X64" i="3"/>
  <c r="BI64" i="3"/>
  <c r="AT64" i="3"/>
  <c r="AR64" i="3"/>
  <c r="AN64" i="3"/>
  <c r="U64" i="3"/>
  <c r="P64" i="3"/>
  <c r="E65" i="3"/>
  <c r="AV344" i="12"/>
  <c r="AW344" i="12"/>
  <c r="BB344" i="12"/>
  <c r="U344" i="12"/>
  <c r="BN344" i="12"/>
  <c r="BF344" i="12"/>
  <c r="AJ344" i="12"/>
  <c r="AX344" i="12"/>
  <c r="BE344" i="12"/>
  <c r="AZ344" i="12"/>
  <c r="AK344" i="12"/>
  <c r="BI344" i="12"/>
  <c r="X344" i="12"/>
  <c r="AR344" i="12"/>
  <c r="AM344" i="12"/>
  <c r="AH344" i="12"/>
  <c r="BG344" i="12"/>
  <c r="BC344" i="12"/>
  <c r="BQ344" i="12"/>
  <c r="T344" i="12"/>
  <c r="AC344" i="12"/>
  <c r="AS344" i="12"/>
  <c r="BK344" i="12"/>
  <c r="AI344" i="12"/>
  <c r="AP344" i="12"/>
  <c r="AY344" i="12"/>
  <c r="BD344" i="12"/>
  <c r="AG344" i="12"/>
  <c r="AF344" i="12"/>
  <c r="AE344" i="12"/>
  <c r="AU344" i="12"/>
  <c r="BH344" i="12"/>
  <c r="BR344" i="12"/>
  <c r="W344" i="12"/>
  <c r="S344" i="12"/>
  <c r="BA344" i="12"/>
  <c r="Y344" i="12"/>
  <c r="V344" i="12"/>
  <c r="AA344" i="12"/>
  <c r="BM344" i="12"/>
  <c r="AB344" i="12"/>
  <c r="BL344" i="12"/>
  <c r="BP344" i="12"/>
  <c r="BJ344" i="12"/>
  <c r="AT344" i="12"/>
  <c r="Z344" i="12"/>
  <c r="AQ344" i="12"/>
  <c r="AL344" i="12"/>
  <c r="BO344" i="12"/>
  <c r="AO344" i="12"/>
  <c r="AD344" i="12"/>
  <c r="AN344" i="12"/>
  <c r="BJ373" i="12"/>
  <c r="AA373" i="12"/>
  <c r="BE373" i="12"/>
  <c r="AZ373" i="12"/>
  <c r="BF373" i="12"/>
  <c r="W373" i="12"/>
  <c r="BD373" i="12"/>
  <c r="BQ373" i="12"/>
  <c r="BC373" i="12"/>
  <c r="BK373" i="12"/>
  <c r="Y373" i="12"/>
  <c r="AI373" i="12"/>
  <c r="AL373" i="12"/>
  <c r="AO373" i="12"/>
  <c r="AH373" i="12"/>
  <c r="BR373" i="12"/>
  <c r="BH373" i="12"/>
  <c r="BN373" i="12"/>
  <c r="AB373" i="12"/>
  <c r="AM373" i="12"/>
  <c r="Z373" i="12"/>
  <c r="V373" i="12"/>
  <c r="AW373" i="12"/>
  <c r="AK373" i="12"/>
  <c r="AD373" i="12"/>
  <c r="BA373" i="12"/>
  <c r="BB373" i="12"/>
  <c r="AY373" i="12"/>
  <c r="AQ373" i="12"/>
  <c r="X373" i="12"/>
  <c r="AJ373" i="12"/>
  <c r="AX373" i="12"/>
  <c r="BG373" i="12"/>
  <c r="BI373" i="12"/>
  <c r="AG373" i="12"/>
  <c r="AS373" i="12"/>
  <c r="AU373" i="12"/>
  <c r="BO373" i="12"/>
  <c r="AE373" i="12"/>
  <c r="AR373" i="12"/>
  <c r="AT373" i="12"/>
  <c r="AN373" i="12"/>
  <c r="BM373" i="12"/>
  <c r="BP373" i="12"/>
  <c r="AF373" i="12"/>
  <c r="BL373" i="12"/>
  <c r="AV373" i="12"/>
  <c r="T373" i="12"/>
  <c r="U373" i="12"/>
  <c r="AP373" i="12"/>
  <c r="S373" i="12"/>
  <c r="AC373" i="12"/>
  <c r="BG64" i="3"/>
  <c r="AK64" i="3"/>
  <c r="BL64" i="3"/>
  <c r="AU64" i="3"/>
  <c r="AS64" i="3"/>
  <c r="R64" i="3"/>
  <c r="AX64" i="3"/>
  <c r="AF140" i="3"/>
  <c r="AF20" i="3"/>
  <c r="AF30" i="29" s="1"/>
  <c r="AF15" i="29"/>
  <c r="AK98" i="12"/>
  <c r="O64" i="3"/>
  <c r="S64" i="3"/>
  <c r="AH64" i="3"/>
  <c r="V64" i="3"/>
  <c r="AV64" i="3"/>
  <c r="BF64" i="3"/>
  <c r="BD64" i="3"/>
  <c r="H26" i="1"/>
  <c r="I26" i="1"/>
  <c r="AZ64" i="3"/>
  <c r="AW64" i="3"/>
  <c r="Z64" i="3"/>
  <c r="BK64" i="3"/>
  <c r="T64" i="3"/>
  <c r="BM64" i="3"/>
  <c r="AY64" i="3"/>
  <c r="AE64" i="3"/>
  <c r="W64" i="3"/>
  <c r="AO64" i="3"/>
  <c r="Q64" i="3"/>
  <c r="AF64" i="3"/>
  <c r="AG64" i="3"/>
  <c r="AL64" i="3"/>
  <c r="AX326" i="12"/>
  <c r="BL326" i="12"/>
  <c r="AC326" i="12"/>
  <c r="AG326" i="12"/>
  <c r="BA326" i="12"/>
  <c r="BQ326" i="12"/>
  <c r="AP326" i="12"/>
  <c r="Y326" i="12"/>
  <c r="BI326" i="12"/>
  <c r="Z326" i="12"/>
  <c r="AU326" i="12"/>
  <c r="BB326" i="12"/>
  <c r="BK326" i="12"/>
  <c r="AT326" i="12"/>
  <c r="BF326" i="12"/>
  <c r="V326" i="12"/>
  <c r="AE326" i="12"/>
  <c r="AK326" i="12"/>
  <c r="BH326" i="12"/>
  <c r="AA326" i="12"/>
  <c r="AS326" i="12"/>
  <c r="W326" i="12"/>
  <c r="AN326" i="12"/>
  <c r="BD326" i="12"/>
  <c r="AJ326" i="12"/>
  <c r="AM326" i="12"/>
  <c r="BN326" i="12"/>
  <c r="AI326" i="12"/>
  <c r="BG326" i="12"/>
  <c r="AD326" i="12"/>
  <c r="AV326" i="12"/>
  <c r="AR326" i="12"/>
  <c r="BJ326" i="12"/>
  <c r="BC326" i="12"/>
  <c r="AZ326" i="12"/>
  <c r="AY326" i="12"/>
  <c r="T326" i="12"/>
  <c r="BR326" i="12"/>
  <c r="AB326" i="12"/>
  <c r="BP326" i="12"/>
  <c r="X326" i="12"/>
  <c r="AH326" i="12"/>
  <c r="BE326" i="12"/>
  <c r="BO326" i="12"/>
  <c r="BM326" i="12"/>
  <c r="AQ326" i="12"/>
  <c r="AW326" i="12"/>
  <c r="U326" i="12"/>
  <c r="AF326" i="12"/>
  <c r="AO326" i="12"/>
  <c r="AL326" i="12"/>
  <c r="S326" i="12"/>
  <c r="A224" i="12"/>
  <c r="BE64" i="3"/>
  <c r="BB64" i="3"/>
  <c r="AB64" i="3"/>
  <c r="BJ64" i="3"/>
  <c r="AD64" i="3"/>
  <c r="W267" i="12"/>
  <c r="AC113" i="2"/>
  <c r="AL148" i="12"/>
  <c r="BO148" i="12"/>
  <c r="AJ148" i="12"/>
  <c r="AK148" i="12"/>
  <c r="BB148" i="12"/>
  <c r="V148" i="12"/>
  <c r="AX148" i="12"/>
  <c r="U148" i="12"/>
  <c r="BN148" i="12"/>
  <c r="AV148" i="12"/>
  <c r="BA148" i="12"/>
  <c r="AH148" i="12"/>
  <c r="BM148" i="12"/>
  <c r="AA148" i="12"/>
  <c r="AU148" i="12"/>
  <c r="AQ148" i="12"/>
  <c r="BF148" i="12"/>
  <c r="BJ148" i="12"/>
  <c r="AD148" i="12"/>
  <c r="BD148" i="12"/>
  <c r="W148" i="12"/>
  <c r="BC148" i="12"/>
  <c r="AP148" i="12"/>
  <c r="AM148" i="12"/>
  <c r="BK148" i="12"/>
  <c r="AF148" i="12"/>
  <c r="BE148" i="12"/>
  <c r="AS148" i="12"/>
  <c r="X148" i="12"/>
  <c r="BR148" i="12"/>
  <c r="AY148" i="12"/>
  <c r="AI148" i="12"/>
  <c r="AE148" i="12"/>
  <c r="AR148" i="12"/>
  <c r="BG148" i="12"/>
  <c r="BP148" i="12"/>
  <c r="AO148" i="12"/>
  <c r="T148" i="12"/>
  <c r="BI148" i="12"/>
  <c r="AN148" i="12"/>
  <c r="AT148" i="12"/>
  <c r="AG148" i="12"/>
  <c r="Z148" i="12"/>
  <c r="AC148" i="12"/>
  <c r="BQ148" i="12"/>
  <c r="AW148" i="12"/>
  <c r="AB148" i="12"/>
  <c r="Y148" i="12"/>
  <c r="BH148" i="12"/>
  <c r="AZ148" i="12"/>
  <c r="BL148" i="12"/>
  <c r="S148" i="12"/>
  <c r="AH48" i="2"/>
  <c r="BC64" i="3"/>
  <c r="BA64" i="3"/>
  <c r="AJ64" i="3"/>
  <c r="AP64" i="3"/>
  <c r="AI64" i="3"/>
  <c r="AA64" i="3"/>
  <c r="AF29" i="3" l="1"/>
  <c r="Z266" i="12"/>
  <c r="AA266" i="12"/>
  <c r="X266" i="12"/>
  <c r="Y266" i="12"/>
  <c r="I267" i="12"/>
  <c r="A267" i="12" s="1"/>
  <c r="N72" i="3"/>
  <c r="BK72" i="3"/>
  <c r="AP72" i="3"/>
  <c r="AL72" i="3"/>
  <c r="U72" i="3"/>
  <c r="AG72" i="3"/>
  <c r="BA72" i="3"/>
  <c r="BJ71" i="3"/>
  <c r="BG71" i="3"/>
  <c r="R71" i="3"/>
  <c r="AT71" i="3"/>
  <c r="BL71" i="3"/>
  <c r="AF71" i="3"/>
  <c r="AW71" i="3"/>
  <c r="AT72" i="2"/>
  <c r="AT84" i="2"/>
  <c r="S92" i="10"/>
  <c r="AG20" i="3"/>
  <c r="AG30" i="29" s="1"/>
  <c r="AL98" i="12"/>
  <c r="AG55" i="3" s="1"/>
  <c r="AG140" i="3"/>
  <c r="AG15" i="29"/>
  <c r="AG14" i="29" s="1"/>
  <c r="AG159" i="29" s="1"/>
  <c r="R63" i="2"/>
  <c r="N65" i="2"/>
  <c r="Q63" i="2"/>
  <c r="R64" i="2" s="1"/>
  <c r="S64" i="2" s="1"/>
  <c r="T63" i="3"/>
  <c r="AI63" i="3"/>
  <c r="AD63" i="3"/>
  <c r="BF63" i="3"/>
  <c r="AQ63" i="3"/>
  <c r="BJ63" i="3"/>
  <c r="AR70" i="3"/>
  <c r="W70" i="3"/>
  <c r="AM70" i="3"/>
  <c r="AY70" i="3"/>
  <c r="Q70" i="3"/>
  <c r="T70" i="3"/>
  <c r="AI48" i="2"/>
  <c r="AF55" i="3"/>
  <c r="AK72" i="3"/>
  <c r="BH72" i="3"/>
  <c r="AN72" i="3"/>
  <c r="AT72" i="3"/>
  <c r="AH72" i="3"/>
  <c r="AD72" i="3"/>
  <c r="AU72" i="3"/>
  <c r="AG71" i="3"/>
  <c r="W71" i="3"/>
  <c r="BM71" i="3"/>
  <c r="AX71" i="3"/>
  <c r="AU71" i="3"/>
  <c r="AR71" i="3"/>
  <c r="W63" i="3"/>
  <c r="BD63" i="3"/>
  <c r="AT63" i="3"/>
  <c r="AH63" i="3"/>
  <c r="BA63" i="3"/>
  <c r="BI63" i="3"/>
  <c r="AL70" i="3"/>
  <c r="AQ70" i="3"/>
  <c r="AI70" i="3"/>
  <c r="BA70" i="3"/>
  <c r="AK70" i="3"/>
  <c r="AF14" i="29"/>
  <c r="P72" i="3"/>
  <c r="AI72" i="3"/>
  <c r="AB72" i="3"/>
  <c r="AW72" i="3"/>
  <c r="W72" i="3"/>
  <c r="T72" i="3"/>
  <c r="AZ72" i="3"/>
  <c r="AL71" i="3"/>
  <c r="BH71" i="3"/>
  <c r="BC71" i="3"/>
  <c r="AK71" i="3"/>
  <c r="BB71" i="3"/>
  <c r="AZ71" i="3"/>
  <c r="AQ71" i="3"/>
  <c r="E64" i="3"/>
  <c r="S90" i="10" s="1"/>
  <c r="W266" i="12"/>
  <c r="AA113" i="2"/>
  <c r="J27" i="1" s="1"/>
  <c r="AO63" i="3"/>
  <c r="BE63" i="3"/>
  <c r="BK70" i="3"/>
  <c r="AR63" i="3"/>
  <c r="O63" i="3"/>
  <c r="BM63" i="3"/>
  <c r="AK63" i="3"/>
  <c r="AL63" i="3"/>
  <c r="P63" i="3"/>
  <c r="AG63" i="3"/>
  <c r="BM70" i="3"/>
  <c r="A373" i="12"/>
  <c r="AO72" i="3"/>
  <c r="BD72" i="3"/>
  <c r="AV72" i="3"/>
  <c r="BI72" i="3"/>
  <c r="BF72" i="3"/>
  <c r="V72" i="3"/>
  <c r="U71" i="3"/>
  <c r="V71" i="3"/>
  <c r="AP71" i="3"/>
  <c r="AD71" i="3"/>
  <c r="AC71" i="3"/>
  <c r="AS71" i="3"/>
  <c r="AH49" i="2"/>
  <c r="AH38" i="2"/>
  <c r="AH11" i="3"/>
  <c r="Z63" i="3"/>
  <c r="AV63" i="3"/>
  <c r="P70" i="3"/>
  <c r="AE70" i="3"/>
  <c r="BD70" i="3"/>
  <c r="N70" i="3"/>
  <c r="BH70" i="3"/>
  <c r="Y70" i="3"/>
  <c r="R70" i="3"/>
  <c r="AO70" i="3"/>
  <c r="BL70" i="3"/>
  <c r="BL63" i="3"/>
  <c r="AJ63" i="3"/>
  <c r="S63" i="3"/>
  <c r="AX63" i="3"/>
  <c r="AP63" i="3"/>
  <c r="AS63" i="3"/>
  <c r="AG70" i="3"/>
  <c r="BJ70" i="3"/>
  <c r="O70" i="3"/>
  <c r="BB70" i="3"/>
  <c r="AN70" i="3"/>
  <c r="BF70" i="3"/>
  <c r="AV70" i="3"/>
  <c r="AF156" i="3"/>
  <c r="AF116" i="3"/>
  <c r="AK12" i="12"/>
  <c r="AF45" i="29"/>
  <c r="O72" i="3"/>
  <c r="AM72" i="3"/>
  <c r="BB72" i="3"/>
  <c r="Y72" i="3"/>
  <c r="BC72" i="3"/>
  <c r="AX72" i="3"/>
  <c r="BE72" i="3"/>
  <c r="AO71" i="3"/>
  <c r="Q71" i="3"/>
  <c r="Z71" i="3"/>
  <c r="BF71" i="3"/>
  <c r="AH71" i="3"/>
  <c r="AE71" i="3"/>
  <c r="BC63" i="3"/>
  <c r="AA63" i="3"/>
  <c r="AE63" i="3"/>
  <c r="BE70" i="3"/>
  <c r="Z70" i="3"/>
  <c r="AS70" i="3"/>
  <c r="N63" i="3"/>
  <c r="X63" i="3"/>
  <c r="BK63" i="3"/>
  <c r="A148" i="12"/>
  <c r="R63" i="3"/>
  <c r="V63" i="3"/>
  <c r="Q63" i="3"/>
  <c r="AJ70" i="3"/>
  <c r="AZ70" i="3"/>
  <c r="AT70" i="3"/>
  <c r="AD70" i="3"/>
  <c r="V70" i="3"/>
  <c r="AW70" i="3"/>
  <c r="AB70" i="3"/>
  <c r="AQ72" i="3"/>
  <c r="Z72" i="3"/>
  <c r="AS72" i="3"/>
  <c r="AF72" i="3"/>
  <c r="BM72" i="3"/>
  <c r="BL72" i="3"/>
  <c r="AI71" i="3"/>
  <c r="A344" i="12"/>
  <c r="T71" i="3"/>
  <c r="AA71" i="3"/>
  <c r="AN71" i="3"/>
  <c r="AM71" i="3"/>
  <c r="BA71" i="3"/>
  <c r="BG63" i="3"/>
  <c r="U63" i="3"/>
  <c r="BB63" i="3"/>
  <c r="AN63" i="3"/>
  <c r="AY63" i="3"/>
  <c r="BH63" i="3"/>
  <c r="AW63" i="3"/>
  <c r="A326" i="12"/>
  <c r="AC70" i="3"/>
  <c r="AU70" i="3"/>
  <c r="BI70" i="3"/>
  <c r="BC70" i="3"/>
  <c r="AP70" i="3"/>
  <c r="X70" i="3"/>
  <c r="BG72" i="3"/>
  <c r="BJ72" i="3"/>
  <c r="AE72" i="3"/>
  <c r="AR72" i="3"/>
  <c r="AC72" i="3"/>
  <c r="AY72" i="3"/>
  <c r="Y71" i="3"/>
  <c r="BE71" i="3"/>
  <c r="AV71" i="3"/>
  <c r="AB71" i="3"/>
  <c r="X71" i="3"/>
  <c r="S71" i="3"/>
  <c r="BI71" i="3"/>
  <c r="AU63" i="3"/>
  <c r="AB63" i="3"/>
  <c r="AM63" i="3"/>
  <c r="AZ63" i="3"/>
  <c r="Y63" i="3"/>
  <c r="AC63" i="3"/>
  <c r="AF63" i="3"/>
  <c r="AA70" i="3"/>
  <c r="S70" i="3"/>
  <c r="AX70" i="3"/>
  <c r="AH70" i="3"/>
  <c r="AF70" i="3"/>
  <c r="U70" i="3"/>
  <c r="BG70" i="3"/>
  <c r="X72" i="3"/>
  <c r="AA72" i="3"/>
  <c r="S72" i="3"/>
  <c r="Q72" i="3"/>
  <c r="AJ72" i="3"/>
  <c r="R72" i="3"/>
  <c r="AJ71" i="3"/>
  <c r="BK71" i="3"/>
  <c r="N71" i="3"/>
  <c r="AY71" i="3"/>
  <c r="O71" i="3"/>
  <c r="BD71" i="3"/>
  <c r="P71" i="3"/>
  <c r="I266" i="12" l="1"/>
  <c r="A266" i="12" s="1"/>
  <c r="AG29" i="3"/>
  <c r="AG156" i="3" s="1"/>
  <c r="AB74" i="3"/>
  <c r="AU74" i="3"/>
  <c r="AF74" i="3"/>
  <c r="AM74" i="3"/>
  <c r="BH74" i="3"/>
  <c r="AY74" i="3"/>
  <c r="BG74" i="3"/>
  <c r="R74" i="3"/>
  <c r="AA74" i="3"/>
  <c r="AL74" i="3"/>
  <c r="AO74" i="3"/>
  <c r="AH74" i="3"/>
  <c r="S63" i="2"/>
  <c r="T63" i="2" s="1"/>
  <c r="AF44" i="29"/>
  <c r="AS74" i="3"/>
  <c r="AJ74" i="3"/>
  <c r="AK74" i="3"/>
  <c r="AT74" i="3"/>
  <c r="AD74" i="3"/>
  <c r="AN74" i="3"/>
  <c r="BK74" i="3"/>
  <c r="BC74" i="3"/>
  <c r="E70" i="3"/>
  <c r="S94" i="10" s="1"/>
  <c r="I27" i="1"/>
  <c r="H27" i="1"/>
  <c r="AF44" i="3"/>
  <c r="AP74" i="3"/>
  <c r="BL74" i="3"/>
  <c r="AG74" i="3"/>
  <c r="BM74" i="3"/>
  <c r="AI38" i="2"/>
  <c r="AI32" i="2" s="1"/>
  <c r="AI49" i="2"/>
  <c r="AI11" i="3"/>
  <c r="BJ74" i="3"/>
  <c r="AI74" i="3"/>
  <c r="D40" i="1"/>
  <c r="E72" i="3"/>
  <c r="Y74" i="3"/>
  <c r="AF113" i="3"/>
  <c r="AH140" i="3"/>
  <c r="AH20" i="3"/>
  <c r="AH30" i="29" s="1"/>
  <c r="AH15" i="29"/>
  <c r="AM98" i="12"/>
  <c r="AH55" i="3" s="1"/>
  <c r="BI74" i="3"/>
  <c r="BD74" i="3"/>
  <c r="Q64" i="2"/>
  <c r="Q65" i="2" s="1"/>
  <c r="E71" i="3"/>
  <c r="S95" i="10" s="1"/>
  <c r="AZ74" i="3"/>
  <c r="AW74" i="3"/>
  <c r="BB74" i="3"/>
  <c r="X74" i="3"/>
  <c r="AX74" i="3"/>
  <c r="AV74" i="3"/>
  <c r="AH32" i="2"/>
  <c r="P74" i="3"/>
  <c r="AF159" i="29"/>
  <c r="AC74" i="3"/>
  <c r="V74" i="3"/>
  <c r="N74" i="3"/>
  <c r="E63" i="3"/>
  <c r="Z74" i="3"/>
  <c r="O74" i="3"/>
  <c r="BE74" i="3"/>
  <c r="BA74" i="3"/>
  <c r="W74" i="3"/>
  <c r="AJ48" i="2"/>
  <c r="AQ74" i="3"/>
  <c r="T74" i="3"/>
  <c r="U74" i="3"/>
  <c r="AE74" i="3"/>
  <c r="AR74" i="3"/>
  <c r="BF74" i="3"/>
  <c r="AG45" i="29" l="1"/>
  <c r="AG44" i="29" s="1"/>
  <c r="AG175" i="29" s="1"/>
  <c r="AG116" i="3"/>
  <c r="AG113" i="3" s="1"/>
  <c r="AH29" i="3"/>
  <c r="AH45" i="29" s="1"/>
  <c r="AH44" i="29" s="1"/>
  <c r="AL12" i="12"/>
  <c r="AG44" i="3" s="1"/>
  <c r="AG60" i="29" s="1"/>
  <c r="AG59" i="29" s="1"/>
  <c r="S89" i="10"/>
  <c r="Q66" i="2"/>
  <c r="Q67" i="2" s="1"/>
  <c r="AH14" i="29"/>
  <c r="AF60" i="29"/>
  <c r="AF175" i="29"/>
  <c r="AF135" i="29"/>
  <c r="AF29" i="29"/>
  <c r="U63" i="2"/>
  <c r="T64" i="2"/>
  <c r="U64" i="2" s="1"/>
  <c r="R66" i="2"/>
  <c r="S66" i="2" s="1"/>
  <c r="AJ49" i="2"/>
  <c r="AJ38" i="2"/>
  <c r="AJ11" i="3"/>
  <c r="AK48" i="2"/>
  <c r="R65" i="2"/>
  <c r="AI140" i="3"/>
  <c r="AN98" i="12"/>
  <c r="AI55" i="3" s="1"/>
  <c r="AI15" i="29"/>
  <c r="AI14" i="29" s="1"/>
  <c r="AI159" i="29" s="1"/>
  <c r="AI20" i="3"/>
  <c r="AI30" i="29" s="1"/>
  <c r="AG29" i="29" l="1"/>
  <c r="AG135" i="29"/>
  <c r="AH116" i="3"/>
  <c r="AH113" i="3" s="1"/>
  <c r="AH156" i="3"/>
  <c r="X265" i="12"/>
  <c r="X264" i="12" s="1"/>
  <c r="AK38" i="2"/>
  <c r="AK32" i="2" s="1"/>
  <c r="AK49" i="2"/>
  <c r="AK11" i="3"/>
  <c r="AL48" i="2"/>
  <c r="AJ32" i="2"/>
  <c r="AJ20" i="3"/>
  <c r="AJ30" i="29" s="1"/>
  <c r="AJ140" i="3"/>
  <c r="AJ15" i="29"/>
  <c r="AO98" i="12"/>
  <c r="AJ55" i="3" s="1"/>
  <c r="AH159" i="29"/>
  <c r="S65" i="2"/>
  <c r="T66" i="2"/>
  <c r="U66" i="2" s="1"/>
  <c r="R68" i="2"/>
  <c r="S68" i="2" s="1"/>
  <c r="R67" i="2"/>
  <c r="S67" i="2" s="1"/>
  <c r="T67" i="2" s="1"/>
  <c r="U67" i="2" s="1"/>
  <c r="AM12" i="12"/>
  <c r="Q68" i="2"/>
  <c r="AH29" i="29"/>
  <c r="AH135" i="29"/>
  <c r="AH175" i="29"/>
  <c r="AI29" i="3"/>
  <c r="W265" i="12"/>
  <c r="AF59" i="29"/>
  <c r="AA265" i="12" l="1"/>
  <c r="V61" i="3" s="1"/>
  <c r="S61" i="3"/>
  <c r="S80" i="29" s="1"/>
  <c r="T65" i="2"/>
  <c r="R61" i="3"/>
  <c r="W264" i="12"/>
  <c r="AK20" i="3"/>
  <c r="AK30" i="29" s="1"/>
  <c r="AK15" i="29"/>
  <c r="AK140" i="3"/>
  <c r="AP98" i="12"/>
  <c r="AK55" i="3" s="1"/>
  <c r="AI45" i="29"/>
  <c r="AI116" i="3"/>
  <c r="AI156" i="3"/>
  <c r="AL49" i="2"/>
  <c r="AL38" i="2"/>
  <c r="AL11" i="3"/>
  <c r="AM48" i="2"/>
  <c r="T68" i="2"/>
  <c r="U68" i="2" s="1"/>
  <c r="AB265" i="12" s="1"/>
  <c r="R69" i="2"/>
  <c r="S69" i="2" s="1"/>
  <c r="AH44" i="3"/>
  <c r="Q69" i="2"/>
  <c r="R70" i="2" s="1"/>
  <c r="S70" i="2" s="1"/>
  <c r="AJ29" i="3"/>
  <c r="Q70" i="2" l="1"/>
  <c r="T70" i="2" s="1"/>
  <c r="U70" i="2" s="1"/>
  <c r="AK29" i="3"/>
  <c r="AK156" i="3" s="1"/>
  <c r="AQ98" i="12"/>
  <c r="AL55" i="3" s="1"/>
  <c r="AL15" i="29"/>
  <c r="AL20" i="3"/>
  <c r="AL30" i="29" s="1"/>
  <c r="AL140" i="3"/>
  <c r="AM49" i="2"/>
  <c r="AM38" i="2"/>
  <c r="AM32" i="2" s="1"/>
  <c r="AM11" i="3"/>
  <c r="AN48" i="2"/>
  <c r="AL32" i="2"/>
  <c r="R80" i="29"/>
  <c r="W61" i="3"/>
  <c r="AH60" i="29"/>
  <c r="AI113" i="3"/>
  <c r="AN12" i="12"/>
  <c r="AJ45" i="29"/>
  <c r="AJ156" i="3"/>
  <c r="AJ116" i="3"/>
  <c r="AJ113" i="3" s="1"/>
  <c r="T69" i="2"/>
  <c r="U69" i="2" s="1"/>
  <c r="AC265" i="12" s="1"/>
  <c r="AI44" i="29"/>
  <c r="U65" i="2"/>
  <c r="Z265" i="12" s="1"/>
  <c r="R71" i="2" l="1"/>
  <c r="S71" i="2" s="1"/>
  <c r="Q71" i="2"/>
  <c r="R72" i="2" s="1"/>
  <c r="S72" i="2" s="1"/>
  <c r="AK116" i="3"/>
  <c r="AK113" i="3" s="1"/>
  <c r="AK45" i="29"/>
  <c r="AL29" i="3"/>
  <c r="AL45" i="29" s="1"/>
  <c r="Z264" i="12"/>
  <c r="U61" i="3"/>
  <c r="U80" i="29" s="1"/>
  <c r="AD265" i="12"/>
  <c r="Y61" i="3" s="1"/>
  <c r="Y265" i="12"/>
  <c r="AI44" i="3"/>
  <c r="AH59" i="29"/>
  <c r="AN49" i="2"/>
  <c r="AN38" i="2"/>
  <c r="AN32" i="2" s="1"/>
  <c r="AN11" i="3"/>
  <c r="AO48" i="2"/>
  <c r="AM140" i="3"/>
  <c r="AM15" i="29"/>
  <c r="AM20" i="3"/>
  <c r="AM30" i="29" s="1"/>
  <c r="AR98" i="12"/>
  <c r="AM55" i="3" s="1"/>
  <c r="X61" i="3"/>
  <c r="AI175" i="29"/>
  <c r="AI29" i="29"/>
  <c r="AI135" i="29"/>
  <c r="T71" i="2" l="1"/>
  <c r="U71" i="2" s="1"/>
  <c r="Q72" i="2"/>
  <c r="Q73" i="2" s="1"/>
  <c r="AL156" i="3"/>
  <c r="AL116" i="3"/>
  <c r="AL113" i="3" s="1"/>
  <c r="AM29" i="3"/>
  <c r="AM156" i="3" s="1"/>
  <c r="AN20" i="3"/>
  <c r="AN30" i="29" s="1"/>
  <c r="AN15" i="29"/>
  <c r="AS98" i="12"/>
  <c r="AN55" i="3" s="1"/>
  <c r="AN140" i="3"/>
  <c r="AO49" i="2"/>
  <c r="AO38" i="2"/>
  <c r="AO32" i="2" s="1"/>
  <c r="AO11" i="3"/>
  <c r="AP48" i="2"/>
  <c r="AI60" i="29"/>
  <c r="AO12" i="12"/>
  <c r="T61" i="3"/>
  <c r="Y264" i="12"/>
  <c r="R73" i="2" l="1"/>
  <c r="S73" i="2" s="1"/>
  <c r="T73" i="2" s="1"/>
  <c r="T72" i="2"/>
  <c r="U72" i="2" s="1"/>
  <c r="R74" i="2"/>
  <c r="S74" i="2" s="1"/>
  <c r="Q74" i="2"/>
  <c r="Q75" i="2" s="1"/>
  <c r="AM116" i="3"/>
  <c r="AM113" i="3" s="1"/>
  <c r="AM45" i="29"/>
  <c r="AF265" i="12"/>
  <c r="AA61" i="3" s="1"/>
  <c r="AN29" i="3"/>
  <c r="AN116" i="3" s="1"/>
  <c r="AN113" i="3" s="1"/>
  <c r="AE265" i="12"/>
  <c r="AP49" i="2"/>
  <c r="AP38" i="2"/>
  <c r="AP32" i="2" s="1"/>
  <c r="AP11" i="3"/>
  <c r="AQ48" i="2"/>
  <c r="AI59" i="29"/>
  <c r="AO15" i="29"/>
  <c r="AO20" i="3"/>
  <c r="AO30" i="29" s="1"/>
  <c r="AO140" i="3"/>
  <c r="AT98" i="12"/>
  <c r="AO55" i="3" s="1"/>
  <c r="T80" i="29"/>
  <c r="AJ44" i="3"/>
  <c r="T74" i="2" l="1"/>
  <c r="U74" i="2" s="1"/>
  <c r="R75" i="2"/>
  <c r="S75" i="2" s="1"/>
  <c r="T75" i="2" s="1"/>
  <c r="AN45" i="29"/>
  <c r="AN156" i="3"/>
  <c r="AO29" i="3"/>
  <c r="AO45" i="29" s="1"/>
  <c r="AQ49" i="2"/>
  <c r="AQ38" i="2"/>
  <c r="AQ32" i="2" s="1"/>
  <c r="AQ11" i="3"/>
  <c r="AR48" i="2"/>
  <c r="AU98" i="12"/>
  <c r="AP55" i="3" s="1"/>
  <c r="AP15" i="29"/>
  <c r="AP140" i="3"/>
  <c r="AP20" i="3"/>
  <c r="AP30" i="29" s="1"/>
  <c r="Z61" i="3"/>
  <c r="AJ60" i="29"/>
  <c r="AP12" i="12"/>
  <c r="R76" i="2"/>
  <c r="S76" i="2" s="1"/>
  <c r="Q76" i="2"/>
  <c r="U73" i="2"/>
  <c r="AH265" i="12" s="1"/>
  <c r="AC61" i="3" s="1"/>
  <c r="U75" i="2" l="1"/>
  <c r="U113" i="2" s="1"/>
  <c r="AO116" i="3"/>
  <c r="AO113" i="3" s="1"/>
  <c r="AO156" i="3"/>
  <c r="AI265" i="12"/>
  <c r="AD61" i="3" s="1"/>
  <c r="AP29" i="3"/>
  <c r="AK44" i="3"/>
  <c r="T76" i="2"/>
  <c r="R77" i="2"/>
  <c r="S77" i="2" s="1"/>
  <c r="Q77" i="2"/>
  <c r="AR49" i="2"/>
  <c r="AR38" i="2"/>
  <c r="AR32" i="2" s="1"/>
  <c r="AR11" i="3"/>
  <c r="AS48" i="2"/>
  <c r="AG265" i="12"/>
  <c r="AV98" i="12"/>
  <c r="AQ55" i="3" s="1"/>
  <c r="AQ20" i="3"/>
  <c r="AQ30" i="29" s="1"/>
  <c r="AQ140" i="3"/>
  <c r="AQ15" i="29"/>
  <c r="AJ265" i="12" l="1"/>
  <c r="AE61" i="3" s="1"/>
  <c r="AP116" i="3"/>
  <c r="AP113" i="3" s="1"/>
  <c r="AP156" i="3"/>
  <c r="AP45" i="29"/>
  <c r="AQ29" i="3"/>
  <c r="AQ45" i="29" s="1"/>
  <c r="AW98" i="12"/>
  <c r="AR55" i="3" s="1"/>
  <c r="AR20" i="3"/>
  <c r="AR30" i="29" s="1"/>
  <c r="AR15" i="29"/>
  <c r="AR140" i="3"/>
  <c r="T77" i="2"/>
  <c r="Q78" i="2"/>
  <c r="R78" i="2"/>
  <c r="S78" i="2" s="1"/>
  <c r="AS49" i="2"/>
  <c r="AS38" i="2"/>
  <c r="AS11" i="3"/>
  <c r="D48" i="2"/>
  <c r="C48" i="2"/>
  <c r="AT48" i="2"/>
  <c r="AB61" i="3"/>
  <c r="AK60" i="29"/>
  <c r="AQ12" i="12"/>
  <c r="I265" i="12" l="1"/>
  <c r="A265" i="12" s="1"/>
  <c r="AQ116" i="3"/>
  <c r="AQ113" i="3" s="1"/>
  <c r="AR29" i="3"/>
  <c r="AR45" i="29" s="1"/>
  <c r="AQ156" i="3"/>
  <c r="E61" i="3"/>
  <c r="S91" i="10" s="1"/>
  <c r="T78" i="2"/>
  <c r="Q79" i="2"/>
  <c r="R79" i="2"/>
  <c r="S79" i="2" s="1"/>
  <c r="AL44" i="3"/>
  <c r="AT38" i="2"/>
  <c r="AT32" i="2" s="1"/>
  <c r="AT49" i="2"/>
  <c r="AT11" i="3"/>
  <c r="AU48" i="2"/>
  <c r="AS140" i="3"/>
  <c r="AX98" i="12"/>
  <c r="AS55" i="3" s="1"/>
  <c r="AS15" i="29"/>
  <c r="AS20" i="3"/>
  <c r="AS30" i="29" s="1"/>
  <c r="G132" i="3"/>
  <c r="H132" i="3" s="1"/>
  <c r="Q11" i="1"/>
  <c r="P11" i="1"/>
  <c r="F57" i="10" s="1"/>
  <c r="AS32" i="2"/>
  <c r="U28" i="1"/>
  <c r="AR116" i="3" l="1"/>
  <c r="AR113" i="3" s="1"/>
  <c r="AR156" i="3"/>
  <c r="AS29" i="3"/>
  <c r="AS45" i="29" s="1"/>
  <c r="U29" i="1"/>
  <c r="S66" i="10"/>
  <c r="T79" i="2"/>
  <c r="R80" i="2"/>
  <c r="S80" i="2" s="1"/>
  <c r="Q80" i="2"/>
  <c r="O11" i="1"/>
  <c r="G57" i="10"/>
  <c r="AT140" i="3"/>
  <c r="AT20" i="3"/>
  <c r="AT30" i="29" s="1"/>
  <c r="AT15" i="29"/>
  <c r="AY98" i="12"/>
  <c r="AT55" i="3" s="1"/>
  <c r="I132" i="3"/>
  <c r="J132" i="3" s="1"/>
  <c r="AL60" i="29"/>
  <c r="AR12" i="12"/>
  <c r="AU49" i="2"/>
  <c r="AU38" i="2"/>
  <c r="AU32" i="2" s="1"/>
  <c r="AU11" i="3"/>
  <c r="AV48" i="2"/>
  <c r="G148" i="3" l="1"/>
  <c r="H148" i="3" s="1"/>
  <c r="AS116" i="3"/>
  <c r="AS113" i="3" s="1"/>
  <c r="AS156" i="3"/>
  <c r="AS25" i="3"/>
  <c r="AT29" i="3"/>
  <c r="AT45" i="29" s="1"/>
  <c r="AU140" i="3"/>
  <c r="AU15" i="29"/>
  <c r="AU20" i="3"/>
  <c r="AU30" i="29" s="1"/>
  <c r="AZ98" i="12"/>
  <c r="AU55" i="3" s="1"/>
  <c r="AM44" i="3"/>
  <c r="K132" i="3"/>
  <c r="AV49" i="2"/>
  <c r="AV38" i="2"/>
  <c r="AV32" i="2" s="1"/>
  <c r="AV11" i="3"/>
  <c r="AW48" i="2"/>
  <c r="T80" i="2"/>
  <c r="R81" i="2"/>
  <c r="S81" i="2" s="1"/>
  <c r="Q81" i="2"/>
  <c r="AT116" i="3" l="1"/>
  <c r="AT113" i="3" s="1"/>
  <c r="AT156" i="3"/>
  <c r="AT25" i="3"/>
  <c r="AU29" i="3"/>
  <c r="AU116" i="3" s="1"/>
  <c r="AU113" i="3" s="1"/>
  <c r="I148" i="3"/>
  <c r="J148" i="3" s="1"/>
  <c r="AV20" i="3"/>
  <c r="AV30" i="29" s="1"/>
  <c r="AV140" i="3"/>
  <c r="BA98" i="12"/>
  <c r="AV55" i="3" s="1"/>
  <c r="AV15" i="29"/>
  <c r="L132" i="3"/>
  <c r="AM60" i="29"/>
  <c r="AS12" i="12"/>
  <c r="T81" i="2"/>
  <c r="R82" i="2"/>
  <c r="S82" i="2" s="1"/>
  <c r="Q82" i="2"/>
  <c r="AW49" i="2"/>
  <c r="AW38" i="2"/>
  <c r="AW32" i="2" s="1"/>
  <c r="AW11" i="3"/>
  <c r="AX48" i="2"/>
  <c r="AU25" i="3" l="1"/>
  <c r="AU156" i="3"/>
  <c r="AU45" i="29"/>
  <c r="AX49" i="2"/>
  <c r="AX38" i="2"/>
  <c r="AX32" i="2" s="1"/>
  <c r="AX11" i="3"/>
  <c r="AY48" i="2"/>
  <c r="M132" i="3"/>
  <c r="AV29" i="3"/>
  <c r="AW15" i="29"/>
  <c r="AW20" i="3"/>
  <c r="AW30" i="29" s="1"/>
  <c r="AW140" i="3"/>
  <c r="BB98" i="12"/>
  <c r="AW55" i="3" s="1"/>
  <c r="K148" i="3"/>
  <c r="AN44" i="3"/>
  <c r="T82" i="2"/>
  <c r="R83" i="2"/>
  <c r="S83" i="2" s="1"/>
  <c r="Q83" i="2"/>
  <c r="AY38" i="2" l="1"/>
  <c r="AY32" i="2" s="1"/>
  <c r="AY49" i="2"/>
  <c r="AY11" i="3"/>
  <c r="AZ48" i="2"/>
  <c r="AV45" i="29"/>
  <c r="AV156" i="3"/>
  <c r="AV25" i="3"/>
  <c r="AV116" i="3"/>
  <c r="AV113" i="3" s="1"/>
  <c r="AX20" i="3"/>
  <c r="AX30" i="29" s="1"/>
  <c r="AX140" i="3"/>
  <c r="AX15" i="29"/>
  <c r="BC98" i="12"/>
  <c r="AX55" i="3" s="1"/>
  <c r="L148" i="3"/>
  <c r="AW29" i="3"/>
  <c r="T83" i="2"/>
  <c r="R84" i="2"/>
  <c r="S84" i="2" s="1"/>
  <c r="Q84" i="2"/>
  <c r="N132" i="3"/>
  <c r="O132" i="3" s="1"/>
  <c r="P132" i="3" s="1"/>
  <c r="AN60" i="29"/>
  <c r="AT12" i="12"/>
  <c r="AX29" i="3" l="1"/>
  <c r="AX116" i="3" s="1"/>
  <c r="AX113" i="3" s="1"/>
  <c r="T84" i="2"/>
  <c r="R85" i="2"/>
  <c r="S85" i="2" s="1"/>
  <c r="Q85" i="2"/>
  <c r="AO44" i="3"/>
  <c r="Q132" i="3"/>
  <c r="R132" i="3" s="1"/>
  <c r="S132" i="3" s="1"/>
  <c r="T132" i="3" s="1"/>
  <c r="U132" i="3" s="1"/>
  <c r="V132" i="3" s="1"/>
  <c r="W132" i="3" s="1"/>
  <c r="X132" i="3" s="1"/>
  <c r="Y132" i="3" s="1"/>
  <c r="Z132" i="3" s="1"/>
  <c r="AA132" i="3" s="1"/>
  <c r="AB132" i="3" s="1"/>
  <c r="AC132" i="3" s="1"/>
  <c r="AD132" i="3" s="1"/>
  <c r="AE132" i="3" s="1"/>
  <c r="AF132" i="3" s="1"/>
  <c r="AG132" i="3" s="1"/>
  <c r="AH132" i="3" s="1"/>
  <c r="AI132" i="3" s="1"/>
  <c r="AJ132" i="3" s="1"/>
  <c r="AK132" i="3" s="1"/>
  <c r="AL132" i="3" s="1"/>
  <c r="AM132" i="3" s="1"/>
  <c r="AN132" i="3" s="1"/>
  <c r="AO132" i="3" s="1"/>
  <c r="AP132" i="3" s="1"/>
  <c r="AQ132" i="3" s="1"/>
  <c r="AR132" i="3" s="1"/>
  <c r="AS132" i="3" s="1"/>
  <c r="AT132" i="3" s="1"/>
  <c r="AU132" i="3" s="1"/>
  <c r="AV132" i="3" s="1"/>
  <c r="AW132" i="3" s="1"/>
  <c r="AX132" i="3" s="1"/>
  <c r="AY132" i="3" s="1"/>
  <c r="AZ132" i="3" s="1"/>
  <c r="BA132" i="3" s="1"/>
  <c r="AW45" i="29"/>
  <c r="AW25" i="3"/>
  <c r="AW156" i="3"/>
  <c r="AW116" i="3"/>
  <c r="AW113" i="3" s="1"/>
  <c r="AZ38" i="2"/>
  <c r="AZ32" i="2" s="1"/>
  <c r="AZ49" i="2"/>
  <c r="AZ11" i="3"/>
  <c r="BA48" i="2"/>
  <c r="AY140" i="3"/>
  <c r="AY20" i="3"/>
  <c r="AY30" i="29" s="1"/>
  <c r="AY15" i="29"/>
  <c r="BD98" i="12"/>
  <c r="AY55" i="3" s="1"/>
  <c r="M148" i="3"/>
  <c r="AX25" i="3" l="1"/>
  <c r="AX156" i="3"/>
  <c r="AX45" i="29"/>
  <c r="AY29" i="3"/>
  <c r="AY25" i="3" s="1"/>
  <c r="N148" i="3"/>
  <c r="O148" i="3" s="1"/>
  <c r="AO60" i="29"/>
  <c r="AU12" i="12"/>
  <c r="BA49" i="2"/>
  <c r="BA38" i="2"/>
  <c r="BA32" i="2" s="1"/>
  <c r="BA11" i="3"/>
  <c r="BB48" i="2"/>
  <c r="T85" i="2"/>
  <c r="R86" i="2"/>
  <c r="S86" i="2" s="1"/>
  <c r="Q86" i="2"/>
  <c r="AZ20" i="3"/>
  <c r="AZ30" i="29" s="1"/>
  <c r="AZ15" i="29"/>
  <c r="AZ140" i="3"/>
  <c r="BE98" i="12"/>
  <c r="AZ55" i="3" s="1"/>
  <c r="BB132" i="3"/>
  <c r="BC132" i="3" s="1"/>
  <c r="BD132" i="3" s="1"/>
  <c r="BE132" i="3" s="1"/>
  <c r="BF132" i="3" s="1"/>
  <c r="AY45" i="29" l="1"/>
  <c r="AY156" i="3"/>
  <c r="AY116" i="3"/>
  <c r="AY113" i="3" s="1"/>
  <c r="BG132" i="3"/>
  <c r="BH132" i="3" s="1"/>
  <c r="BI132" i="3" s="1"/>
  <c r="BJ132" i="3" s="1"/>
  <c r="BK132" i="3" s="1"/>
  <c r="BL132" i="3" s="1"/>
  <c r="BM132" i="3" s="1"/>
  <c r="E132" i="3" s="1"/>
  <c r="BB49" i="2"/>
  <c r="BB38" i="2"/>
  <c r="BB32" i="2" s="1"/>
  <c r="BB11" i="3"/>
  <c r="BC48" i="2"/>
  <c r="BA20" i="3"/>
  <c r="BA30" i="29" s="1"/>
  <c r="BA140" i="3"/>
  <c r="BF98" i="12"/>
  <c r="BA55" i="3" s="1"/>
  <c r="BA15" i="29"/>
  <c r="AP44" i="3"/>
  <c r="P148" i="3"/>
  <c r="AZ29" i="3"/>
  <c r="T86" i="2"/>
  <c r="Q87" i="2"/>
  <c r="R87" i="2"/>
  <c r="S87" i="2" s="1"/>
  <c r="BB15" i="29" l="1"/>
  <c r="BB20" i="3"/>
  <c r="BB30" i="29" s="1"/>
  <c r="BB140" i="3"/>
  <c r="BG98" i="12"/>
  <c r="BB55" i="3" s="1"/>
  <c r="Q148" i="3"/>
  <c r="AP60" i="29"/>
  <c r="AV12" i="12"/>
  <c r="T87" i="2"/>
  <c r="R88" i="2"/>
  <c r="S88" i="2" s="1"/>
  <c r="Q88" i="2"/>
  <c r="BC49" i="2"/>
  <c r="BC38" i="2"/>
  <c r="BC32" i="2" s="1"/>
  <c r="BC11" i="3"/>
  <c r="BD48" i="2"/>
  <c r="BA29" i="3"/>
  <c r="AZ45" i="29"/>
  <c r="AZ25" i="3"/>
  <c r="AZ156" i="3"/>
  <c r="AZ116" i="3"/>
  <c r="AZ113" i="3" s="1"/>
  <c r="BB29" i="3" l="1"/>
  <c r="BB156" i="3" s="1"/>
  <c r="R148" i="3"/>
  <c r="BD49" i="2"/>
  <c r="BD38" i="2"/>
  <c r="BD32" i="2" s="1"/>
  <c r="BD11" i="3"/>
  <c r="BE48" i="2"/>
  <c r="T88" i="2"/>
  <c r="Q89" i="2"/>
  <c r="R89" i="2"/>
  <c r="S89" i="2" s="1"/>
  <c r="BC20" i="3"/>
  <c r="BC30" i="29" s="1"/>
  <c r="BC15" i="29"/>
  <c r="BC140" i="3"/>
  <c r="BH98" i="12"/>
  <c r="BC55" i="3" s="1"/>
  <c r="BA45" i="29"/>
  <c r="BA156" i="3"/>
  <c r="BA25" i="3"/>
  <c r="BA116" i="3"/>
  <c r="BA113" i="3" s="1"/>
  <c r="AQ44" i="3"/>
  <c r="BB116" i="3" l="1"/>
  <c r="BB113" i="3" s="1"/>
  <c r="BB25" i="3"/>
  <c r="BB45" i="29"/>
  <c r="BC29" i="3"/>
  <c r="BC25" i="3" s="1"/>
  <c r="T89" i="2"/>
  <c r="Q90" i="2"/>
  <c r="R90" i="2"/>
  <c r="S90" i="2" s="1"/>
  <c r="BE49" i="2"/>
  <c r="BE38" i="2"/>
  <c r="BE32" i="2" s="1"/>
  <c r="BE11" i="3"/>
  <c r="BF48" i="2"/>
  <c r="BD15" i="29"/>
  <c r="BD20" i="3"/>
  <c r="BD30" i="29" s="1"/>
  <c r="BD140" i="3"/>
  <c r="BI98" i="12"/>
  <c r="BD55" i="3" s="1"/>
  <c r="AQ60" i="29"/>
  <c r="AW12" i="12"/>
  <c r="S148" i="3"/>
  <c r="BC45" i="29" l="1"/>
  <c r="BC116" i="3"/>
  <c r="BC113" i="3" s="1"/>
  <c r="BC156" i="3"/>
  <c r="BD29" i="3"/>
  <c r="BD45" i="29" s="1"/>
  <c r="BF38" i="2"/>
  <c r="BF32" i="2" s="1"/>
  <c r="BF49" i="2"/>
  <c r="BF11" i="3"/>
  <c r="BG48" i="2"/>
  <c r="BJ98" i="12"/>
  <c r="BE55" i="3" s="1"/>
  <c r="BE15" i="29"/>
  <c r="BE140" i="3"/>
  <c r="BE20" i="3"/>
  <c r="BE30" i="29" s="1"/>
  <c r="AR44" i="3"/>
  <c r="T148" i="3"/>
  <c r="T90" i="2"/>
  <c r="R91" i="2"/>
  <c r="S91" i="2" s="1"/>
  <c r="Q91" i="2"/>
  <c r="BD25" i="3" l="1"/>
  <c r="BD156" i="3"/>
  <c r="BD116" i="3"/>
  <c r="BD113" i="3" s="1"/>
  <c r="BE29" i="3"/>
  <c r="BE25" i="3" s="1"/>
  <c r="AR60" i="29"/>
  <c r="AX12" i="12"/>
  <c r="T91" i="2"/>
  <c r="R92" i="2"/>
  <c r="S92" i="2" s="1"/>
  <c r="Q92" i="2"/>
  <c r="BF15" i="29"/>
  <c r="BF140" i="3"/>
  <c r="BK98" i="12"/>
  <c r="BF55" i="3" s="1"/>
  <c r="BF20" i="3"/>
  <c r="BF30" i="29" s="1"/>
  <c r="BG49" i="2"/>
  <c r="BG38" i="2"/>
  <c r="BG32" i="2" s="1"/>
  <c r="BG11" i="3"/>
  <c r="BH48" i="2"/>
  <c r="U148" i="3"/>
  <c r="BE156" i="3" l="1"/>
  <c r="BE116" i="3"/>
  <c r="BE113" i="3" s="1"/>
  <c r="BE45" i="29"/>
  <c r="BF29" i="3"/>
  <c r="BF45" i="29" s="1"/>
  <c r="BH38" i="2"/>
  <c r="BH32" i="2" s="1"/>
  <c r="BH49" i="2"/>
  <c r="BH11" i="3"/>
  <c r="BI48" i="2"/>
  <c r="V148" i="3"/>
  <c r="AS44" i="3"/>
  <c r="BG140" i="3"/>
  <c r="BG15" i="29"/>
  <c r="BG20" i="3"/>
  <c r="BG30" i="29" s="1"/>
  <c r="BL98" i="12"/>
  <c r="BG55" i="3" s="1"/>
  <c r="T92" i="2"/>
  <c r="Q93" i="2"/>
  <c r="R93" i="2"/>
  <c r="S93" i="2" s="1"/>
  <c r="BF116" i="3" l="1"/>
  <c r="BF113" i="3" s="1"/>
  <c r="BF25" i="3"/>
  <c r="BF156" i="3"/>
  <c r="BG29" i="3"/>
  <c r="BG156" i="3" s="1"/>
  <c r="W148" i="3"/>
  <c r="T93" i="2"/>
  <c r="R94" i="2"/>
  <c r="S94" i="2" s="1"/>
  <c r="Q94" i="2"/>
  <c r="AS60" i="29"/>
  <c r="AY12" i="12"/>
  <c r="BI49" i="2"/>
  <c r="BI38" i="2"/>
  <c r="BI32" i="2" s="1"/>
  <c r="BI11" i="3"/>
  <c r="BJ48" i="2"/>
  <c r="BH15" i="29"/>
  <c r="BH20" i="3"/>
  <c r="BH30" i="29" s="1"/>
  <c r="BM98" i="12"/>
  <c r="BH55" i="3" s="1"/>
  <c r="BH140" i="3"/>
  <c r="BG25" i="3" l="1"/>
  <c r="BG45" i="29"/>
  <c r="BG116" i="3"/>
  <c r="BG113" i="3" s="1"/>
  <c r="BH29" i="3"/>
  <c r="BH45" i="29" s="1"/>
  <c r="AT44" i="3"/>
  <c r="BI20" i="3"/>
  <c r="BI30" i="29" s="1"/>
  <c r="BI15" i="29"/>
  <c r="BI140" i="3"/>
  <c r="BN98" i="12"/>
  <c r="BI55" i="3" s="1"/>
  <c r="T94" i="2"/>
  <c r="R95" i="2"/>
  <c r="S95" i="2" s="1"/>
  <c r="Q95" i="2"/>
  <c r="X148" i="3"/>
  <c r="BJ49" i="2"/>
  <c r="BJ38" i="2"/>
  <c r="BJ32" i="2" s="1"/>
  <c r="BJ11" i="3"/>
  <c r="BK48" i="2"/>
  <c r="BH25" i="3" l="1"/>
  <c r="BH116" i="3"/>
  <c r="BH113" i="3" s="1"/>
  <c r="BH156" i="3"/>
  <c r="AT60" i="29"/>
  <c r="AZ12" i="12"/>
  <c r="BJ15" i="29"/>
  <c r="BJ140" i="3"/>
  <c r="BJ20" i="3"/>
  <c r="BJ30" i="29" s="1"/>
  <c r="BO98" i="12"/>
  <c r="BJ55" i="3" s="1"/>
  <c r="Y148" i="3"/>
  <c r="BI29" i="3"/>
  <c r="T95" i="2"/>
  <c r="Q96" i="2"/>
  <c r="R96" i="2"/>
  <c r="S96" i="2" s="1"/>
  <c r="BK49" i="2"/>
  <c r="BK38" i="2"/>
  <c r="BK32" i="2" s="1"/>
  <c r="BK11" i="3"/>
  <c r="BL48" i="2"/>
  <c r="BI45" i="29" l="1"/>
  <c r="BI116" i="3"/>
  <c r="BI113" i="3" s="1"/>
  <c r="BI25" i="3"/>
  <c r="BI156" i="3"/>
  <c r="BL49" i="2"/>
  <c r="BL38" i="2"/>
  <c r="BL32" i="2" s="1"/>
  <c r="BL11" i="3"/>
  <c r="BM48" i="2"/>
  <c r="BK15" i="29"/>
  <c r="BK20" i="3"/>
  <c r="BK30" i="29" s="1"/>
  <c r="BK140" i="3"/>
  <c r="BP98" i="12"/>
  <c r="BK55" i="3" s="1"/>
  <c r="AU44" i="3"/>
  <c r="Z148" i="3"/>
  <c r="T96" i="2"/>
  <c r="R97" i="2"/>
  <c r="S97" i="2" s="1"/>
  <c r="Q97" i="2"/>
  <c r="BJ29" i="3"/>
  <c r="BK29" i="3" l="1"/>
  <c r="BK25" i="3" s="1"/>
  <c r="BL20" i="3"/>
  <c r="BL30" i="29" s="1"/>
  <c r="BL15" i="29"/>
  <c r="BL140" i="3"/>
  <c r="BQ98" i="12"/>
  <c r="BL55" i="3" s="1"/>
  <c r="BJ45" i="29"/>
  <c r="BJ25" i="3"/>
  <c r="BJ156" i="3"/>
  <c r="BJ116" i="3"/>
  <c r="BJ113" i="3" s="1"/>
  <c r="T97" i="2"/>
  <c r="Q98" i="2"/>
  <c r="R98" i="2"/>
  <c r="S98" i="2" s="1"/>
  <c r="AU60" i="29"/>
  <c r="BA12" i="12"/>
  <c r="AA148" i="3"/>
  <c r="BM38" i="2"/>
  <c r="BM32" i="2" s="1"/>
  <c r="BM49" i="2"/>
  <c r="BM11" i="3"/>
  <c r="AJ98" i="12" s="1"/>
  <c r="AE55" i="3" s="1"/>
  <c r="BK45" i="29" l="1"/>
  <c r="BK116" i="3"/>
  <c r="BK113" i="3" s="1"/>
  <c r="BK156" i="3"/>
  <c r="BL29" i="3"/>
  <c r="BL25" i="3" s="1"/>
  <c r="D32" i="2"/>
  <c r="I47" i="12" s="1"/>
  <c r="BP47" i="12" s="1"/>
  <c r="T98" i="2"/>
  <c r="R99" i="2"/>
  <c r="S99" i="2" s="1"/>
  <c r="Q99" i="2"/>
  <c r="AV44" i="3"/>
  <c r="AB148" i="3"/>
  <c r="BM15" i="29"/>
  <c r="BM140" i="3"/>
  <c r="E140" i="3" s="1"/>
  <c r="BM20" i="3"/>
  <c r="BM30" i="29" s="1"/>
  <c r="BR98" i="12"/>
  <c r="BM55" i="3" s="1"/>
  <c r="AS66" i="2"/>
  <c r="AI98" i="12"/>
  <c r="E11" i="3"/>
  <c r="BL116" i="3" l="1"/>
  <c r="BL113" i="3" s="1"/>
  <c r="BL45" i="29"/>
  <c r="BL156" i="3"/>
  <c r="AY47" i="12"/>
  <c r="AT56" i="3" s="1"/>
  <c r="AG47" i="12"/>
  <c r="AB56" i="3" s="1"/>
  <c r="AK47" i="12"/>
  <c r="AF56" i="3" s="1"/>
  <c r="AO47" i="12"/>
  <c r="AJ56" i="3" s="1"/>
  <c r="AX47" i="12"/>
  <c r="AS56" i="3" s="1"/>
  <c r="Y47" i="12"/>
  <c r="T56" i="3" s="1"/>
  <c r="BD47" i="12"/>
  <c r="AY56" i="3" s="1"/>
  <c r="BO47" i="12"/>
  <c r="BJ56" i="3" s="1"/>
  <c r="BH47" i="12"/>
  <c r="BC56" i="3" s="1"/>
  <c r="BE47" i="12"/>
  <c r="AZ56" i="3" s="1"/>
  <c r="X47" i="12"/>
  <c r="S56" i="3" s="1"/>
  <c r="AT47" i="12"/>
  <c r="AO56" i="3" s="1"/>
  <c r="AV47" i="12"/>
  <c r="AQ56" i="3" s="1"/>
  <c r="AL47" i="12"/>
  <c r="AG56" i="3" s="1"/>
  <c r="BK47" i="12"/>
  <c r="BF56" i="3" s="1"/>
  <c r="BB47" i="12"/>
  <c r="AW56" i="3" s="1"/>
  <c r="V47" i="12"/>
  <c r="Q56" i="3" s="1"/>
  <c r="BC47" i="12"/>
  <c r="AX56" i="3" s="1"/>
  <c r="AM47" i="12"/>
  <c r="AH56" i="3" s="1"/>
  <c r="S47" i="12"/>
  <c r="N56" i="3" s="1"/>
  <c r="BM47" i="12"/>
  <c r="BH56" i="3" s="1"/>
  <c r="AB47" i="12"/>
  <c r="W56" i="3" s="1"/>
  <c r="AI47" i="12"/>
  <c r="AD56" i="3" s="1"/>
  <c r="AF47" i="12"/>
  <c r="AA56" i="3" s="1"/>
  <c r="AU47" i="12"/>
  <c r="AP56" i="3" s="1"/>
  <c r="T47" i="12"/>
  <c r="O56" i="3" s="1"/>
  <c r="BG47" i="12"/>
  <c r="BB56" i="3" s="1"/>
  <c r="AW47" i="12"/>
  <c r="AR56" i="3" s="1"/>
  <c r="AS47" i="12"/>
  <c r="AN56" i="3" s="1"/>
  <c r="AD47" i="12"/>
  <c r="Y56" i="3" s="1"/>
  <c r="U47" i="12"/>
  <c r="P56" i="3" s="1"/>
  <c r="BI47" i="12"/>
  <c r="BD56" i="3" s="1"/>
  <c r="AZ47" i="12"/>
  <c r="AU56" i="3" s="1"/>
  <c r="AE47" i="12"/>
  <c r="Z56" i="3" s="1"/>
  <c r="BJ47" i="12"/>
  <c r="BE56" i="3" s="1"/>
  <c r="AQ47" i="12"/>
  <c r="AL56" i="3" s="1"/>
  <c r="W47" i="12"/>
  <c r="R56" i="3" s="1"/>
  <c r="AJ47" i="12"/>
  <c r="AE56" i="3" s="1"/>
  <c r="BQ47" i="12"/>
  <c r="BL56" i="3" s="1"/>
  <c r="BN47" i="12"/>
  <c r="BI56" i="3" s="1"/>
  <c r="AP47" i="12"/>
  <c r="AK56" i="3" s="1"/>
  <c r="BA47" i="12"/>
  <c r="AV56" i="3" s="1"/>
  <c r="AC47" i="12"/>
  <c r="X56" i="3" s="1"/>
  <c r="AN47" i="12"/>
  <c r="AI56" i="3" s="1"/>
  <c r="BR47" i="12"/>
  <c r="BM56" i="3" s="1"/>
  <c r="BL47" i="12"/>
  <c r="BG56" i="3" s="1"/>
  <c r="BF47" i="12"/>
  <c r="BA56" i="3" s="1"/>
  <c r="AR47" i="12"/>
  <c r="AM56" i="3" s="1"/>
  <c r="AH47" i="12"/>
  <c r="AC56" i="3" s="1"/>
  <c r="Z47" i="12"/>
  <c r="U56" i="3" s="1"/>
  <c r="AA47" i="12"/>
  <c r="V56" i="3" s="1"/>
  <c r="AN42" i="2"/>
  <c r="AN17" i="3" s="1"/>
  <c r="BK42" i="2"/>
  <c r="AU42" i="2"/>
  <c r="BM42" i="2"/>
  <c r="AJ42" i="2"/>
  <c r="AJ17" i="3" s="1"/>
  <c r="AO42" i="2"/>
  <c r="AO17" i="3" s="1"/>
  <c r="AW42" i="2"/>
  <c r="BA42" i="2"/>
  <c r="AM42" i="2"/>
  <c r="AM17" i="3" s="1"/>
  <c r="AX42" i="2"/>
  <c r="AG42" i="2"/>
  <c r="AG17" i="3" s="1"/>
  <c r="BH42" i="2"/>
  <c r="AV42" i="2"/>
  <c r="BC42" i="2"/>
  <c r="AQ42" i="2"/>
  <c r="AQ17" i="3" s="1"/>
  <c r="AT42" i="2"/>
  <c r="BE42" i="2"/>
  <c r="AY42" i="2"/>
  <c r="AL42" i="2"/>
  <c r="AL17" i="3" s="1"/>
  <c r="BB42" i="2"/>
  <c r="AK42" i="2"/>
  <c r="AK17" i="3" s="1"/>
  <c r="AZ42" i="2"/>
  <c r="AI42" i="2"/>
  <c r="AI17" i="3" s="1"/>
  <c r="BF42" i="2"/>
  <c r="BG42" i="2"/>
  <c r="BL42" i="2"/>
  <c r="BJ42" i="2"/>
  <c r="BD42" i="2"/>
  <c r="AR42" i="2"/>
  <c r="AR17" i="3" s="1"/>
  <c r="AS42" i="2"/>
  <c r="AF17" i="3"/>
  <c r="AP42" i="2"/>
  <c r="AP17" i="3" s="1"/>
  <c r="AH42" i="2"/>
  <c r="AH17" i="3" s="1"/>
  <c r="BI42" i="2"/>
  <c r="AT66" i="2"/>
  <c r="AU66" i="2" s="1"/>
  <c r="E15" i="29"/>
  <c r="AC148" i="3"/>
  <c r="I98" i="12"/>
  <c r="A98" i="12" s="1"/>
  <c r="AD55" i="3"/>
  <c r="AV60" i="29"/>
  <c r="BB12" i="12"/>
  <c r="T99" i="2"/>
  <c r="Q100" i="2"/>
  <c r="R100" i="2"/>
  <c r="S100" i="2" s="1"/>
  <c r="BK56" i="3"/>
  <c r="BM29" i="3"/>
  <c r="AN25" i="29" l="1"/>
  <c r="AN26" i="3"/>
  <c r="AP25" i="29"/>
  <c r="AP26" i="3"/>
  <c r="AQ25" i="29"/>
  <c r="AQ26" i="3"/>
  <c r="AR25" i="29"/>
  <c r="AR26" i="3"/>
  <c r="AO25" i="29"/>
  <c r="AO26" i="3"/>
  <c r="AJ25" i="29"/>
  <c r="AJ26" i="3"/>
  <c r="AI25" i="29"/>
  <c r="AI26" i="3"/>
  <c r="AK26" i="3"/>
  <c r="AK25" i="29"/>
  <c r="AL26" i="3"/>
  <c r="AL25" i="29"/>
  <c r="AG25" i="29"/>
  <c r="AG26" i="3"/>
  <c r="P8" i="1"/>
  <c r="AF26" i="3"/>
  <c r="AF25" i="29"/>
  <c r="Q8" i="1"/>
  <c r="AH25" i="29"/>
  <c r="AH26" i="3"/>
  <c r="AM26" i="3"/>
  <c r="AM25" i="29"/>
  <c r="E55" i="3"/>
  <c r="J51" i="1" s="1"/>
  <c r="AD148" i="3"/>
  <c r="AW44" i="3"/>
  <c r="T100" i="2"/>
  <c r="R101" i="2"/>
  <c r="S101" i="2" s="1"/>
  <c r="Q101" i="2"/>
  <c r="BM45" i="29"/>
  <c r="BM116" i="3"/>
  <c r="BM25" i="3"/>
  <c r="BM156" i="3"/>
  <c r="E156" i="3" s="1"/>
  <c r="E29" i="3"/>
  <c r="AQ153" i="3" l="1"/>
  <c r="AQ40" i="29"/>
  <c r="AQ25" i="3"/>
  <c r="AP40" i="29"/>
  <c r="AP153" i="3"/>
  <c r="AP25" i="3"/>
  <c r="AR40" i="29"/>
  <c r="AR153" i="3"/>
  <c r="AR25" i="3"/>
  <c r="AO153" i="3"/>
  <c r="AO40" i="29"/>
  <c r="AO25" i="3"/>
  <c r="AN153" i="3"/>
  <c r="AN40" i="29"/>
  <c r="AN25" i="3"/>
  <c r="AH37" i="3"/>
  <c r="AH25" i="3"/>
  <c r="AH153" i="3"/>
  <c r="AH40" i="29"/>
  <c r="AL25" i="3"/>
  <c r="AL40" i="29"/>
  <c r="AL153" i="3"/>
  <c r="AI25" i="3"/>
  <c r="AI153" i="3"/>
  <c r="AI40" i="29"/>
  <c r="AG153" i="3"/>
  <c r="AG25" i="3"/>
  <c r="AG37" i="3"/>
  <c r="AG40" i="29"/>
  <c r="AJ153" i="3"/>
  <c r="AJ40" i="29"/>
  <c r="AJ25" i="3"/>
  <c r="AK40" i="29"/>
  <c r="AK153" i="3"/>
  <c r="AK25" i="3"/>
  <c r="E26" i="3"/>
  <c r="AF40" i="29"/>
  <c r="AF153" i="3"/>
  <c r="AF37" i="3"/>
  <c r="AF25" i="3"/>
  <c r="AF35" i="3"/>
  <c r="AG35" i="3" s="1"/>
  <c r="AH35" i="3" s="1"/>
  <c r="G145" i="3"/>
  <c r="H145" i="3" s="1"/>
  <c r="AM25" i="3"/>
  <c r="AM153" i="3"/>
  <c r="AM40" i="29"/>
  <c r="BM113" i="3"/>
  <c r="E113" i="3" s="1"/>
  <c r="E116" i="3"/>
  <c r="AW60" i="29"/>
  <c r="BC12" i="12"/>
  <c r="E45" i="29"/>
  <c r="E30" i="29" s="1"/>
  <c r="T101" i="2"/>
  <c r="Q102" i="2"/>
  <c r="R102" i="2"/>
  <c r="S102" i="2" s="1"/>
  <c r="AE148" i="3"/>
  <c r="I51" i="1"/>
  <c r="H51" i="1"/>
  <c r="E20" i="3"/>
  <c r="S11" i="1"/>
  <c r="I145" i="3" l="1"/>
  <c r="J145" i="3" s="1"/>
  <c r="K145" i="3" s="1"/>
  <c r="E25" i="3"/>
  <c r="E153" i="3"/>
  <c r="AG55" i="29"/>
  <c r="AL11" i="12"/>
  <c r="AM11" i="12"/>
  <c r="AH55" i="29"/>
  <c r="E40" i="29"/>
  <c r="E25" i="29" s="1"/>
  <c r="S8" i="1"/>
  <c r="S18" i="1" s="1"/>
  <c r="E17" i="3"/>
  <c r="S53" i="10" s="1"/>
  <c r="AI35" i="3"/>
  <c r="AJ35" i="3" s="1"/>
  <c r="AK35" i="3" s="1"/>
  <c r="AF34" i="3"/>
  <c r="AF53" i="29" s="1"/>
  <c r="AF189" i="3"/>
  <c r="AG189" i="3"/>
  <c r="AK11" i="12"/>
  <c r="AH189" i="3"/>
  <c r="AF55" i="29"/>
  <c r="T102" i="2"/>
  <c r="R103" i="2"/>
  <c r="S103" i="2" s="1"/>
  <c r="Q103" i="2"/>
  <c r="A116" i="3"/>
  <c r="AF148" i="3"/>
  <c r="AX44" i="3"/>
  <c r="AJ189" i="3" l="1"/>
  <c r="L145" i="3"/>
  <c r="M145" i="3" s="1"/>
  <c r="AM95" i="12"/>
  <c r="AH51" i="3" s="1"/>
  <c r="AM96" i="12"/>
  <c r="AH52" i="3" s="1"/>
  <c r="S52" i="10"/>
  <c r="AN95" i="12"/>
  <c r="AI51" i="3" s="1"/>
  <c r="AN96" i="12"/>
  <c r="AI52" i="3" s="1"/>
  <c r="AJ55" i="29"/>
  <c r="AO11" i="12"/>
  <c r="AG34" i="3"/>
  <c r="AL96" i="12"/>
  <c r="AG52" i="3" s="1"/>
  <c r="AL95" i="12"/>
  <c r="AG51" i="3" s="1"/>
  <c r="AL35" i="3"/>
  <c r="AM35" i="3" s="1"/>
  <c r="AP11" i="12"/>
  <c r="AK55" i="29"/>
  <c r="AK189" i="3"/>
  <c r="AI189" i="3"/>
  <c r="AI55" i="29"/>
  <c r="AN11" i="12"/>
  <c r="AX60" i="29"/>
  <c r="BD12" i="12"/>
  <c r="T103" i="2"/>
  <c r="R104" i="2"/>
  <c r="S104" i="2" s="1"/>
  <c r="Q104" i="2"/>
  <c r="AG148" i="3"/>
  <c r="T12" i="1"/>
  <c r="T9" i="1"/>
  <c r="T16" i="1"/>
  <c r="T8" i="1"/>
  <c r="T10" i="1"/>
  <c r="T17" i="1"/>
  <c r="T11" i="1"/>
  <c r="N145" i="3" l="1"/>
  <c r="O145" i="3" s="1"/>
  <c r="P145" i="3" s="1"/>
  <c r="Q145" i="3" s="1"/>
  <c r="R145" i="3" s="1"/>
  <c r="S145" i="3" s="1"/>
  <c r="T145" i="3" s="1"/>
  <c r="U145" i="3" s="1"/>
  <c r="V145" i="3" s="1"/>
  <c r="W145" i="3" s="1"/>
  <c r="X145" i="3" s="1"/>
  <c r="Y145" i="3" s="1"/>
  <c r="Z145" i="3" s="1"/>
  <c r="AA145" i="3" s="1"/>
  <c r="AB145" i="3" s="1"/>
  <c r="AC145" i="3" s="1"/>
  <c r="AD145" i="3" s="1"/>
  <c r="AE145" i="3" s="1"/>
  <c r="AF145" i="3" s="1"/>
  <c r="AG145" i="3" s="1"/>
  <c r="AH145" i="3" s="1"/>
  <c r="AI145" i="3" s="1"/>
  <c r="AJ145" i="3" s="1"/>
  <c r="AK145" i="3" s="1"/>
  <c r="AL145" i="3" s="1"/>
  <c r="AM145" i="3" s="1"/>
  <c r="AN145" i="3" s="1"/>
  <c r="AO145" i="3" s="1"/>
  <c r="AP145" i="3" s="1"/>
  <c r="AQ145" i="3" s="1"/>
  <c r="AR145" i="3" s="1"/>
  <c r="AS145" i="3" s="1"/>
  <c r="AT145" i="3" s="1"/>
  <c r="AU145" i="3" s="1"/>
  <c r="AV145" i="3" s="1"/>
  <c r="AW145" i="3" s="1"/>
  <c r="AX145" i="3" s="1"/>
  <c r="AY145" i="3" s="1"/>
  <c r="AZ145" i="3" s="1"/>
  <c r="BA145" i="3" s="1"/>
  <c r="BB145" i="3" s="1"/>
  <c r="BC145" i="3" s="1"/>
  <c r="BD145" i="3" s="1"/>
  <c r="BE145" i="3" s="1"/>
  <c r="BF145" i="3" s="1"/>
  <c r="BG145" i="3" s="1"/>
  <c r="BH145" i="3" s="1"/>
  <c r="BI145" i="3" s="1"/>
  <c r="BJ145" i="3" s="1"/>
  <c r="BK145" i="3" s="1"/>
  <c r="BL145" i="3" s="1"/>
  <c r="BM145" i="3" s="1"/>
  <c r="E145" i="3" s="1"/>
  <c r="AM55" i="29"/>
  <c r="AR11" i="12"/>
  <c r="AO95" i="12"/>
  <c r="AJ51" i="3" s="1"/>
  <c r="AO96" i="12"/>
  <c r="AJ52" i="3" s="1"/>
  <c r="AQ95" i="12"/>
  <c r="AL51" i="3" s="1"/>
  <c r="AQ96" i="12"/>
  <c r="AL52" i="3" s="1"/>
  <c r="AQ11" i="12"/>
  <c r="AL55" i="29"/>
  <c r="AL189" i="3"/>
  <c r="AG53" i="29"/>
  <c r="AH34" i="3"/>
  <c r="AH53" i="29" s="1"/>
  <c r="AN35" i="3"/>
  <c r="AO35" i="3" s="1"/>
  <c r="AM189" i="3"/>
  <c r="AP96" i="12"/>
  <c r="AK52" i="3" s="1"/>
  <c r="AP95" i="12"/>
  <c r="AK51" i="3" s="1"/>
  <c r="T104" i="2"/>
  <c r="Q105" i="2"/>
  <c r="R105" i="2"/>
  <c r="S105" i="2" s="1"/>
  <c r="AY44" i="3"/>
  <c r="AH148" i="3"/>
  <c r="AI34" i="3" l="1"/>
  <c r="AJ34" i="3" s="1"/>
  <c r="AK34" i="3" s="1"/>
  <c r="AN189" i="3"/>
  <c r="AR96" i="12"/>
  <c r="AM52" i="3" s="1"/>
  <c r="AR95" i="12"/>
  <c r="AM51" i="3" s="1"/>
  <c r="AS95" i="12"/>
  <c r="AN51" i="3" s="1"/>
  <c r="AS96" i="12"/>
  <c r="AN52" i="3" s="1"/>
  <c r="AO55" i="29"/>
  <c r="AT11" i="12"/>
  <c r="AN55" i="29"/>
  <c r="AS11" i="12"/>
  <c r="AP35" i="3"/>
  <c r="AO189" i="3"/>
  <c r="AY60" i="29"/>
  <c r="BE12" i="12"/>
  <c r="AI148" i="3"/>
  <c r="T105" i="2"/>
  <c r="R106" i="2"/>
  <c r="S106" i="2" s="1"/>
  <c r="Q106" i="2"/>
  <c r="AP55" i="29" l="1"/>
  <c r="AU11" i="12"/>
  <c r="AQ35" i="3"/>
  <c r="AQ189" i="3" s="1"/>
  <c r="AT95" i="12"/>
  <c r="AO51" i="3" s="1"/>
  <c r="AT96" i="12"/>
  <c r="AO52" i="3" s="1"/>
  <c r="AP189" i="3"/>
  <c r="AL34" i="3"/>
  <c r="AM34" i="3" s="1"/>
  <c r="AN34" i="3" s="1"/>
  <c r="AO34" i="3" s="1"/>
  <c r="AU96" i="12"/>
  <c r="AP52" i="3" s="1"/>
  <c r="AU95" i="12"/>
  <c r="AP51" i="3" s="1"/>
  <c r="AZ44" i="3"/>
  <c r="T106" i="2"/>
  <c r="Q107" i="2"/>
  <c r="R107" i="2"/>
  <c r="S107" i="2" s="1"/>
  <c r="AJ148" i="3"/>
  <c r="AP34" i="3" l="1"/>
  <c r="AQ34" i="3" s="1"/>
  <c r="AQ55" i="29"/>
  <c r="AV11" i="12"/>
  <c r="AV96" i="12"/>
  <c r="AQ52" i="3" s="1"/>
  <c r="AV95" i="12"/>
  <c r="AQ51" i="3" s="1"/>
  <c r="AR35" i="3"/>
  <c r="AK148" i="3"/>
  <c r="AZ60" i="29"/>
  <c r="BF12" i="12"/>
  <c r="T107" i="2"/>
  <c r="Q108" i="2"/>
  <c r="R108" i="2"/>
  <c r="S108" i="2" s="1"/>
  <c r="AR189" i="3" l="1"/>
  <c r="AW96" i="12"/>
  <c r="AR52" i="3" s="1"/>
  <c r="AW95" i="12"/>
  <c r="AR51" i="3" s="1"/>
  <c r="AW11" i="12"/>
  <c r="AR55" i="29"/>
  <c r="AR34" i="3"/>
  <c r="AS35" i="3"/>
  <c r="T108" i="2"/>
  <c r="Q109" i="2"/>
  <c r="R109" i="2"/>
  <c r="S109" i="2" s="1"/>
  <c r="AL148" i="3"/>
  <c r="BA44" i="3"/>
  <c r="AX11" i="12" l="1"/>
  <c r="AS55" i="29"/>
  <c r="AT35" i="3"/>
  <c r="AS189" i="3"/>
  <c r="AS34" i="3"/>
  <c r="AX95" i="12"/>
  <c r="AS51" i="3" s="1"/>
  <c r="AX96" i="12"/>
  <c r="AS52" i="3" s="1"/>
  <c r="BA60" i="29"/>
  <c r="BG12" i="12"/>
  <c r="T109" i="2"/>
  <c r="R110" i="2"/>
  <c r="S110" i="2" s="1"/>
  <c r="Q110" i="2"/>
  <c r="AM148" i="3"/>
  <c r="AT55" i="29" l="1"/>
  <c r="AY11" i="12"/>
  <c r="AU35" i="3"/>
  <c r="AT189" i="3"/>
  <c r="AT34" i="3"/>
  <c r="AY96" i="12"/>
  <c r="AT52" i="3" s="1"/>
  <c r="AY95" i="12"/>
  <c r="AT51" i="3" s="1"/>
  <c r="AN148" i="3"/>
  <c r="T110" i="2"/>
  <c r="R111" i="2"/>
  <c r="S111" i="2" s="1"/>
  <c r="Q111" i="2"/>
  <c r="BB44" i="3"/>
  <c r="AZ11" i="12" l="1"/>
  <c r="AU55" i="29"/>
  <c r="AV35" i="3"/>
  <c r="AU189" i="3"/>
  <c r="AU34" i="3"/>
  <c r="AZ96" i="12"/>
  <c r="AU52" i="3" s="1"/>
  <c r="AZ95" i="12"/>
  <c r="AU51" i="3" s="1"/>
  <c r="T111" i="2"/>
  <c r="R112" i="2"/>
  <c r="Q112" i="2"/>
  <c r="AO148" i="3"/>
  <c r="BB60" i="29"/>
  <c r="BH12" i="12"/>
  <c r="AV55" i="29" l="1"/>
  <c r="BA11" i="12"/>
  <c r="AW35" i="3"/>
  <c r="AV34" i="3"/>
  <c r="AV189" i="3"/>
  <c r="BA96" i="12"/>
  <c r="AV52" i="3" s="1"/>
  <c r="BA95" i="12"/>
  <c r="AV51" i="3" s="1"/>
  <c r="AP148" i="3"/>
  <c r="BC44" i="3"/>
  <c r="S112" i="2"/>
  <c r="S113" i="2" s="1"/>
  <c r="R113" i="2"/>
  <c r="Q113" i="2"/>
  <c r="N67" i="2" s="1"/>
  <c r="J28" i="1" s="1"/>
  <c r="BB11" i="12" l="1"/>
  <c r="AW55" i="29"/>
  <c r="AX35" i="3"/>
  <c r="AW189" i="3"/>
  <c r="AW34" i="3"/>
  <c r="BB96" i="12"/>
  <c r="AW52" i="3" s="1"/>
  <c r="BB95" i="12"/>
  <c r="AW51" i="3" s="1"/>
  <c r="AQ148" i="3"/>
  <c r="H28" i="1"/>
  <c r="I28" i="1"/>
  <c r="J24" i="1"/>
  <c r="T112" i="2"/>
  <c r="T113" i="2" s="1"/>
  <c r="BC60" i="29"/>
  <c r="BI12" i="12"/>
  <c r="BC11" i="12" l="1"/>
  <c r="AX55" i="29"/>
  <c r="AY35" i="3"/>
  <c r="AX189" i="3"/>
  <c r="AX34" i="3"/>
  <c r="BC96" i="12"/>
  <c r="AX52" i="3" s="1"/>
  <c r="BC95" i="12"/>
  <c r="AX51" i="3" s="1"/>
  <c r="BD44" i="3"/>
  <c r="AR148" i="3"/>
  <c r="I24" i="1"/>
  <c r="H24" i="1"/>
  <c r="BD11" i="12" l="1"/>
  <c r="AY55" i="29"/>
  <c r="AZ35" i="3"/>
  <c r="AY189" i="3"/>
  <c r="AY34" i="3"/>
  <c r="BD96" i="12"/>
  <c r="AY52" i="3" s="1"/>
  <c r="BD95" i="12"/>
  <c r="AY51" i="3" s="1"/>
  <c r="AS148" i="3"/>
  <c r="BD60" i="29"/>
  <c r="BJ12" i="12"/>
  <c r="AZ55" i="29" l="1"/>
  <c r="BE11" i="12"/>
  <c r="BA35" i="3"/>
  <c r="AZ189" i="3"/>
  <c r="AZ34" i="3"/>
  <c r="BE95" i="12"/>
  <c r="AZ51" i="3" s="1"/>
  <c r="BE96" i="12"/>
  <c r="AZ52" i="3" s="1"/>
  <c r="BE44" i="3"/>
  <c r="AT148" i="3"/>
  <c r="BF11" i="12" l="1"/>
  <c r="BA55" i="29"/>
  <c r="BB35" i="3"/>
  <c r="BB189" i="3" s="1"/>
  <c r="BA189" i="3"/>
  <c r="BA34" i="3"/>
  <c r="BF96" i="12"/>
  <c r="BA52" i="3" s="1"/>
  <c r="BF95" i="12"/>
  <c r="BA51" i="3" s="1"/>
  <c r="BE60" i="29"/>
  <c r="BK12" i="12"/>
  <c r="AU148" i="3"/>
  <c r="BG11" i="12" l="1"/>
  <c r="BB55" i="29"/>
  <c r="BC35" i="3"/>
  <c r="BB34" i="3"/>
  <c r="BG95" i="12"/>
  <c r="BB51" i="3" s="1"/>
  <c r="BG96" i="12"/>
  <c r="BB52" i="3" s="1"/>
  <c r="BF44" i="3"/>
  <c r="AV148" i="3"/>
  <c r="BC34" i="3" l="1"/>
  <c r="BC55" i="29"/>
  <c r="BH11" i="12"/>
  <c r="BD35" i="3"/>
  <c r="BD189" i="3" s="1"/>
  <c r="BC189" i="3"/>
  <c r="BH96" i="12"/>
  <c r="BC52" i="3" s="1"/>
  <c r="BH95" i="12"/>
  <c r="BC51" i="3" s="1"/>
  <c r="BF60" i="29"/>
  <c r="BL12" i="12"/>
  <c r="AW148" i="3"/>
  <c r="BD55" i="29" l="1"/>
  <c r="BI11" i="12"/>
  <c r="BE35" i="3"/>
  <c r="BD34" i="3"/>
  <c r="BI95" i="12"/>
  <c r="BD51" i="3" s="1"/>
  <c r="BI96" i="12"/>
  <c r="BD52" i="3" s="1"/>
  <c r="BG44" i="3"/>
  <c r="AX148" i="3"/>
  <c r="BJ11" i="12" l="1"/>
  <c r="BE55" i="29"/>
  <c r="BF35" i="3"/>
  <c r="BF189" i="3" s="1"/>
  <c r="BE189" i="3"/>
  <c r="BE34" i="3"/>
  <c r="BJ95" i="12"/>
  <c r="BE51" i="3" s="1"/>
  <c r="BJ96" i="12"/>
  <c r="BE52" i="3" s="1"/>
  <c r="BG60" i="29"/>
  <c r="BM12" i="12"/>
  <c r="AY148" i="3"/>
  <c r="BF34" i="3" l="1"/>
  <c r="BF55" i="29"/>
  <c r="BK11" i="12"/>
  <c r="BG35" i="3"/>
  <c r="BK95" i="12"/>
  <c r="BF51" i="3" s="1"/>
  <c r="BK96" i="12"/>
  <c r="BF52" i="3" s="1"/>
  <c r="BH44" i="3"/>
  <c r="AZ148" i="3"/>
  <c r="BL11" i="12" l="1"/>
  <c r="BG55" i="29"/>
  <c r="BH35" i="3"/>
  <c r="BG34" i="3"/>
  <c r="BG189" i="3"/>
  <c r="BL96" i="12"/>
  <c r="BG52" i="3" s="1"/>
  <c r="BL95" i="12"/>
  <c r="BG51" i="3" s="1"/>
  <c r="BH60" i="29"/>
  <c r="BN12" i="12"/>
  <c r="BA148" i="3"/>
  <c r="BH55" i="29" l="1"/>
  <c r="BM11" i="12"/>
  <c r="BI35" i="3"/>
  <c r="BH34" i="3"/>
  <c r="BH189" i="3"/>
  <c r="BM95" i="12"/>
  <c r="BH51" i="3" s="1"/>
  <c r="BM96" i="12"/>
  <c r="BH52" i="3" s="1"/>
  <c r="BB148" i="3"/>
  <c r="BI44" i="3"/>
  <c r="BI55" i="29" l="1"/>
  <c r="BN11" i="12"/>
  <c r="BJ35" i="3"/>
  <c r="BN95" i="12"/>
  <c r="BI51" i="3" s="1"/>
  <c r="BN96" i="12"/>
  <c r="BI52" i="3" s="1"/>
  <c r="BI60" i="29"/>
  <c r="BI189" i="3"/>
  <c r="BI34" i="3"/>
  <c r="BO12" i="12"/>
  <c r="BC148" i="3"/>
  <c r="BJ55" i="29" l="1"/>
  <c r="BO11" i="12"/>
  <c r="BP96" i="12" s="1"/>
  <c r="BK52" i="3" s="1"/>
  <c r="BK35" i="3"/>
  <c r="BO96" i="12"/>
  <c r="BJ52" i="3" s="1"/>
  <c r="BO95" i="12"/>
  <c r="BJ51" i="3" s="1"/>
  <c r="BJ44" i="3"/>
  <c r="BD148" i="3"/>
  <c r="BP95" i="12" l="1"/>
  <c r="BK51" i="3" s="1"/>
  <c r="BP11" i="12"/>
  <c r="BK55" i="29"/>
  <c r="BL35" i="3"/>
  <c r="BE148" i="3"/>
  <c r="BJ60" i="29"/>
  <c r="BJ34" i="3"/>
  <c r="BJ189" i="3"/>
  <c r="BP12" i="12"/>
  <c r="BQ11" i="12" l="1"/>
  <c r="BL55" i="29"/>
  <c r="BM35" i="3"/>
  <c r="BF148" i="3"/>
  <c r="BK44" i="3"/>
  <c r="BQ96" i="12"/>
  <c r="BL52" i="3" s="1"/>
  <c r="BQ95" i="12"/>
  <c r="BM55" i="29" l="1"/>
  <c r="E55" i="29" s="1"/>
  <c r="BR11" i="12"/>
  <c r="I11" i="12" s="1"/>
  <c r="A11" i="12" s="1"/>
  <c r="E35" i="3"/>
  <c r="S72" i="10" s="1"/>
  <c r="BL51" i="3"/>
  <c r="BG148" i="3"/>
  <c r="BK60" i="29"/>
  <c r="BK189" i="3"/>
  <c r="BK34" i="3"/>
  <c r="BQ12" i="12"/>
  <c r="BL44" i="3" l="1"/>
  <c r="BR96" i="12"/>
  <c r="BR95" i="12"/>
  <c r="BH148" i="3"/>
  <c r="BM52" i="3" l="1"/>
  <c r="I96" i="12"/>
  <c r="A96" i="12" s="1"/>
  <c r="BM51" i="3"/>
  <c r="I95" i="12"/>
  <c r="BI148" i="3"/>
  <c r="BL60" i="29"/>
  <c r="BL34" i="3"/>
  <c r="BL189" i="3"/>
  <c r="BR12" i="12"/>
  <c r="BJ148" i="3" l="1"/>
  <c r="E52" i="3"/>
  <c r="J50" i="1" s="1"/>
  <c r="A95" i="12"/>
  <c r="BM44" i="3"/>
  <c r="I12" i="12"/>
  <c r="E51" i="3"/>
  <c r="A12" i="12" l="1"/>
  <c r="I107" i="12"/>
  <c r="BM60" i="29"/>
  <c r="BM189" i="3"/>
  <c r="E44" i="3"/>
  <c r="S75" i="10" s="1"/>
  <c r="BM34" i="3"/>
  <c r="BK148" i="3"/>
  <c r="J49" i="1"/>
  <c r="S80" i="10"/>
  <c r="I50" i="1"/>
  <c r="H50" i="1"/>
  <c r="U49" i="1"/>
  <c r="E34" i="3" l="1"/>
  <c r="U33" i="1" s="1"/>
  <c r="S71" i="10"/>
  <c r="I49" i="1"/>
  <c r="H49" i="1"/>
  <c r="E60" i="29"/>
  <c r="BG107" i="12"/>
  <c r="AS107" i="12"/>
  <c r="AL107" i="12"/>
  <c r="AV107" i="12"/>
  <c r="BP107" i="12"/>
  <c r="AP107" i="12"/>
  <c r="AQ107" i="12"/>
  <c r="AU107" i="12"/>
  <c r="AT107" i="12"/>
  <c r="AO107" i="12"/>
  <c r="BJ107" i="12"/>
  <c r="BE107" i="12"/>
  <c r="AK107" i="12"/>
  <c r="BC107" i="12"/>
  <c r="W107" i="12"/>
  <c r="AJ107" i="12"/>
  <c r="V107" i="12"/>
  <c r="AZ107" i="12"/>
  <c r="BM107" i="12"/>
  <c r="BR107" i="12"/>
  <c r="BO107" i="12"/>
  <c r="AY107" i="12"/>
  <c r="BD107" i="12"/>
  <c r="Y107" i="12"/>
  <c r="BQ107" i="12"/>
  <c r="BA107" i="12"/>
  <c r="BF107" i="12"/>
  <c r="BI107" i="12"/>
  <c r="T107" i="12"/>
  <c r="BK107" i="12"/>
  <c r="AX107" i="12"/>
  <c r="X107" i="12"/>
  <c r="BL107" i="12"/>
  <c r="AN107" i="12"/>
  <c r="AW107" i="12"/>
  <c r="AM107" i="12"/>
  <c r="BH107" i="12"/>
  <c r="BB107" i="12"/>
  <c r="AR107" i="12"/>
  <c r="BN107" i="12"/>
  <c r="AE107" i="12"/>
  <c r="AI107" i="12"/>
  <c r="AB107" i="12"/>
  <c r="AA107" i="12"/>
  <c r="U107" i="12"/>
  <c r="Z107" i="12"/>
  <c r="AC107" i="12"/>
  <c r="AG107" i="12"/>
  <c r="AD107" i="12"/>
  <c r="AF107" i="12"/>
  <c r="AH107" i="12"/>
  <c r="S107" i="12"/>
  <c r="BL148" i="3"/>
  <c r="A107" i="12" l="1"/>
  <c r="AD53" i="3"/>
  <c r="AQ53" i="3"/>
  <c r="AA53" i="3"/>
  <c r="AR53" i="3"/>
  <c r="BM53" i="3"/>
  <c r="Z53" i="3"/>
  <c r="BA53" i="3"/>
  <c r="AN53" i="3"/>
  <c r="AZ53" i="3"/>
  <c r="BE53" i="3"/>
  <c r="BG53" i="3"/>
  <c r="AO53" i="3"/>
  <c r="BB53" i="3"/>
  <c r="U53" i="3"/>
  <c r="T53" i="3"/>
  <c r="AE53" i="3"/>
  <c r="AP53" i="3"/>
  <c r="BD53" i="3"/>
  <c r="Y53" i="3"/>
  <c r="AI53" i="3"/>
  <c r="BH53" i="3"/>
  <c r="AG53" i="3"/>
  <c r="AB53" i="3"/>
  <c r="AV53" i="3"/>
  <c r="AJ53" i="3"/>
  <c r="X53" i="3"/>
  <c r="S53" i="3"/>
  <c r="Q53" i="3"/>
  <c r="S70" i="10"/>
  <c r="P53" i="3"/>
  <c r="AW53" i="3"/>
  <c r="AS53" i="3"/>
  <c r="AY53" i="3"/>
  <c r="R53" i="3"/>
  <c r="AL53" i="3"/>
  <c r="BI53" i="3"/>
  <c r="AU53" i="3"/>
  <c r="AM53" i="3"/>
  <c r="BL53" i="3"/>
  <c r="BM148" i="3"/>
  <c r="V53" i="3"/>
  <c r="BC53" i="3"/>
  <c r="BF53" i="3"/>
  <c r="AT53" i="3"/>
  <c r="AX53" i="3"/>
  <c r="AK53" i="3"/>
  <c r="N53" i="3"/>
  <c r="AC53" i="3"/>
  <c r="W53" i="3"/>
  <c r="AH53" i="3"/>
  <c r="O53" i="3"/>
  <c r="BJ53" i="3"/>
  <c r="AF53" i="3"/>
  <c r="BK53" i="3"/>
  <c r="BA50" i="3" l="1"/>
  <c r="O50" i="3"/>
  <c r="W50" i="3"/>
  <c r="AF50" i="3"/>
  <c r="AU50" i="3"/>
  <c r="AL50" i="3"/>
  <c r="AW50" i="3"/>
  <c r="S50" i="3"/>
  <c r="AB50" i="3"/>
  <c r="Y50" i="3"/>
  <c r="AE50" i="3"/>
  <c r="BE50" i="3"/>
  <c r="BJ50" i="3"/>
  <c r="AC50" i="3"/>
  <c r="BB50" i="3"/>
  <c r="Z50" i="3"/>
  <c r="AK50" i="3"/>
  <c r="BC50" i="3"/>
  <c r="BL50" i="3"/>
  <c r="BI50" i="3"/>
  <c r="P50" i="3"/>
  <c r="X50" i="3"/>
  <c r="AG50" i="3"/>
  <c r="T50" i="3"/>
  <c r="AZ50" i="3"/>
  <c r="V50" i="3"/>
  <c r="R50" i="3"/>
  <c r="BD50" i="3"/>
  <c r="AO50" i="3"/>
  <c r="BM50" i="3"/>
  <c r="S77" i="10"/>
  <c r="AJ50" i="3"/>
  <c r="AY50" i="3"/>
  <c r="BH50" i="3"/>
  <c r="AN50" i="3"/>
  <c r="AR50" i="3"/>
  <c r="AQ50" i="3"/>
  <c r="AX50" i="3"/>
  <c r="AM50" i="3"/>
  <c r="AH50" i="3"/>
  <c r="E53" i="3"/>
  <c r="N50" i="3"/>
  <c r="AT50" i="3"/>
  <c r="BK50" i="3"/>
  <c r="Q50" i="3"/>
  <c r="AP50" i="3"/>
  <c r="U50" i="3"/>
  <c r="AD50" i="3"/>
  <c r="BF50" i="3"/>
  <c r="E148" i="3"/>
  <c r="AS50" i="3"/>
  <c r="AV50" i="3"/>
  <c r="AI50" i="3"/>
  <c r="BG50" i="3"/>
  <c r="AA50" i="3"/>
  <c r="AY161" i="3" l="1"/>
  <c r="AG161" i="3"/>
  <c r="Y161" i="3"/>
  <c r="AL161" i="3"/>
  <c r="W161" i="3"/>
  <c r="AI161" i="3"/>
  <c r="N161" i="3"/>
  <c r="AN161" i="3"/>
  <c r="BM161" i="3"/>
  <c r="BL161" i="3"/>
  <c r="Z161" i="3"/>
  <c r="BJ161" i="3"/>
  <c r="AA161" i="3"/>
  <c r="AV161" i="3"/>
  <c r="BF161" i="3"/>
  <c r="Q161" i="3"/>
  <c r="J48" i="1"/>
  <c r="S83" i="10"/>
  <c r="X161" i="3"/>
  <c r="AB161" i="3"/>
  <c r="AU161" i="3"/>
  <c r="AZ161" i="3"/>
  <c r="U161" i="3"/>
  <c r="AH161" i="3"/>
  <c r="AX161" i="3"/>
  <c r="BH161" i="3"/>
  <c r="BC161" i="3"/>
  <c r="BE161" i="3"/>
  <c r="O161" i="3"/>
  <c r="BG161" i="3"/>
  <c r="BK161" i="3"/>
  <c r="AJ161" i="3"/>
  <c r="AO161" i="3"/>
  <c r="R161" i="3"/>
  <c r="P161" i="3"/>
  <c r="BB161" i="3"/>
  <c r="S161" i="3"/>
  <c r="AT161" i="3"/>
  <c r="AS161" i="3"/>
  <c r="AP161" i="3"/>
  <c r="AQ161" i="3"/>
  <c r="T161" i="3"/>
  <c r="AK161" i="3"/>
  <c r="AD161" i="3"/>
  <c r="AM161" i="3"/>
  <c r="AE161" i="3"/>
  <c r="AW161" i="3"/>
  <c r="BA161" i="3"/>
  <c r="AR161" i="3"/>
  <c r="BD161" i="3"/>
  <c r="V161" i="3"/>
  <c r="BI161" i="3"/>
  <c r="AC161" i="3"/>
  <c r="AF161" i="3"/>
  <c r="I48" i="1" l="1"/>
  <c r="H48" i="1"/>
  <c r="K171" i="24" l="1"/>
  <c r="K79" i="24"/>
  <c r="K184" i="24"/>
  <c r="K185" i="24" s="1"/>
  <c r="K186" i="24" s="1"/>
  <c r="J184" i="24"/>
  <c r="J185" i="24" s="1"/>
  <c r="J186" i="24" s="1"/>
  <c r="I79" i="24"/>
  <c r="I184" i="24"/>
  <c r="I185" i="24" s="1"/>
  <c r="I186" i="24" s="1"/>
  <c r="H184" i="24"/>
  <c r="H185" i="24" s="1"/>
  <c r="H186" i="24" s="1"/>
  <c r="T10" i="10"/>
  <c r="F62" i="25"/>
  <c r="F8" i="21"/>
  <c r="G8" i="23"/>
  <c r="G8" i="21" s="1"/>
  <c r="R10" i="10" l="1"/>
  <c r="C34" i="31"/>
  <c r="H8" i="23"/>
  <c r="R19" i="10"/>
  <c r="T19" i="10"/>
  <c r="J19" i="10" l="1"/>
  <c r="K19" i="10"/>
  <c r="J10" i="10"/>
  <c r="K10" i="10"/>
  <c r="L19" i="10"/>
  <c r="L10" i="10"/>
  <c r="H8" i="21"/>
  <c r="T29" i="10"/>
  <c r="J37" i="23"/>
  <c r="E40" i="25"/>
  <c r="W40" i="25" s="1"/>
  <c r="W8" i="24" s="1"/>
  <c r="W11" i="29" s="1"/>
  <c r="J8" i="23"/>
  <c r="J16" i="23" s="1"/>
  <c r="C16" i="23" s="1"/>
  <c r="T49" i="10" s="1"/>
  <c r="L49" i="10" s="1"/>
  <c r="M49" i="10" s="1"/>
  <c r="M19" i="10" l="1"/>
  <c r="M10" i="10"/>
  <c r="D13" i="21"/>
  <c r="X40" i="25"/>
  <c r="Y40" i="25" s="1"/>
  <c r="Z40" i="25" s="1"/>
  <c r="AA40" i="25" s="1"/>
  <c r="AB40" i="25" s="1"/>
  <c r="AC40" i="25" s="1"/>
  <c r="AD40" i="25" s="1"/>
  <c r="W41" i="25"/>
  <c r="D14" i="21"/>
  <c r="T28" i="10"/>
  <c r="J37" i="21"/>
  <c r="H37" i="23"/>
  <c r="I37" i="23"/>
  <c r="J8" i="21"/>
  <c r="T43" i="10"/>
  <c r="C8" i="23"/>
  <c r="R29" i="10"/>
  <c r="X56" i="25"/>
  <c r="W43" i="25"/>
  <c r="J43" i="25"/>
  <c r="N43" i="25"/>
  <c r="F43" i="25"/>
  <c r="R43" i="25"/>
  <c r="S43" i="25"/>
  <c r="T43" i="25"/>
  <c r="Q43" i="25"/>
  <c r="M43" i="25"/>
  <c r="G43" i="25"/>
  <c r="L43" i="25"/>
  <c r="K43" i="25"/>
  <c r="V43" i="25"/>
  <c r="O43" i="25"/>
  <c r="U43" i="25"/>
  <c r="P43" i="25"/>
  <c r="H43" i="25"/>
  <c r="I43" i="25"/>
  <c r="E35" i="31" l="1"/>
  <c r="R43" i="10"/>
  <c r="K43" i="10" s="1"/>
  <c r="J29" i="10"/>
  <c r="K29" i="10"/>
  <c r="L29" i="10"/>
  <c r="W42" i="25"/>
  <c r="W17" i="24" s="1"/>
  <c r="W26" i="29" s="1"/>
  <c r="AE40" i="25"/>
  <c r="AF40" i="25" s="1"/>
  <c r="AG40" i="25" s="1"/>
  <c r="AH40" i="25" s="1"/>
  <c r="AI40" i="25" s="1"/>
  <c r="Y56" i="25"/>
  <c r="Z56" i="25" s="1"/>
  <c r="AA56" i="25" s="1"/>
  <c r="F43" i="10"/>
  <c r="AA43" i="25"/>
  <c r="I37" i="21"/>
  <c r="F37" i="21" s="1"/>
  <c r="H37" i="21"/>
  <c r="T47" i="10"/>
  <c r="J16" i="21"/>
  <c r="E52" i="25"/>
  <c r="H16" i="23"/>
  <c r="G16" i="23"/>
  <c r="R28" i="10"/>
  <c r="W137" i="24"/>
  <c r="Z8" i="24"/>
  <c r="Z43" i="25"/>
  <c r="Y8" i="24"/>
  <c r="Y43" i="25"/>
  <c r="X43" i="25"/>
  <c r="X8" i="24"/>
  <c r="R47" i="10" l="1"/>
  <c r="J47" i="10" s="1"/>
  <c r="C16" i="21"/>
  <c r="R49" i="10" s="1"/>
  <c r="J49" i="10" s="1"/>
  <c r="J43" i="10"/>
  <c r="L43" i="10"/>
  <c r="M43" i="10" s="1"/>
  <c r="E34" i="31"/>
  <c r="K47" i="10"/>
  <c r="J28" i="10"/>
  <c r="K28" i="10"/>
  <c r="M29" i="10"/>
  <c r="L47" i="10"/>
  <c r="L28" i="10"/>
  <c r="AJ40" i="25"/>
  <c r="AB56" i="25"/>
  <c r="AC56" i="25" s="1"/>
  <c r="AA8" i="24"/>
  <c r="AA137" i="24" s="1"/>
  <c r="X11" i="29"/>
  <c r="X9" i="29" s="1"/>
  <c r="X156" i="29" s="1"/>
  <c r="X137" i="24"/>
  <c r="T24" i="10"/>
  <c r="G16" i="21"/>
  <c r="G15" i="23"/>
  <c r="H16" i="21"/>
  <c r="H15" i="21" s="1"/>
  <c r="H15" i="23"/>
  <c r="W26" i="24"/>
  <c r="F53" i="25"/>
  <c r="G52" i="25"/>
  <c r="Z11" i="29"/>
  <c r="Z9" i="29" s="1"/>
  <c r="Z156" i="29" s="1"/>
  <c r="Z137" i="24"/>
  <c r="Y11" i="29"/>
  <c r="Y9" i="29" s="1"/>
  <c r="Y156" i="29" s="1"/>
  <c r="Y137" i="24"/>
  <c r="W9" i="29"/>
  <c r="T46" i="10"/>
  <c r="R46" i="10" l="1"/>
  <c r="C41" i="31"/>
  <c r="D51" i="31" s="1"/>
  <c r="F51" i="31" s="1"/>
  <c r="D58" i="31" s="1"/>
  <c r="C40" i="31"/>
  <c r="C50" i="31" s="1"/>
  <c r="C39" i="31"/>
  <c r="M28" i="10"/>
  <c r="J46" i="10"/>
  <c r="K46" i="10"/>
  <c r="M47" i="10"/>
  <c r="L46" i="10"/>
  <c r="AK40" i="25"/>
  <c r="AL40" i="25" s="1"/>
  <c r="AM40" i="25" s="1"/>
  <c r="AN40" i="25" s="1"/>
  <c r="AO40" i="25" s="1"/>
  <c r="AP40" i="25" s="1"/>
  <c r="AP8" i="24" s="1"/>
  <c r="AP11" i="29" s="1"/>
  <c r="AB8" i="24"/>
  <c r="AB11" i="29" s="1"/>
  <c r="AB9" i="29" s="1"/>
  <c r="AB156" i="29" s="1"/>
  <c r="AC43" i="25"/>
  <c r="AD56" i="25"/>
  <c r="AA11" i="29"/>
  <c r="AA9" i="29" s="1"/>
  <c r="AA156" i="29" s="1"/>
  <c r="AB43" i="25"/>
  <c r="W153" i="24"/>
  <c r="W41" i="29"/>
  <c r="W37" i="24"/>
  <c r="G15" i="21"/>
  <c r="R24" i="10"/>
  <c r="T23" i="10"/>
  <c r="AC8" i="24"/>
  <c r="W156" i="29"/>
  <c r="G53" i="25"/>
  <c r="G38" i="25"/>
  <c r="G13" i="24"/>
  <c r="H52" i="25"/>
  <c r="I52" i="25" s="1"/>
  <c r="E41" i="31" l="1"/>
  <c r="C58" i="31" s="1"/>
  <c r="E58" i="31" s="1"/>
  <c r="E40" i="31"/>
  <c r="C57" i="31" s="1"/>
  <c r="C8" i="31"/>
  <c r="C9" i="31" s="1"/>
  <c r="D50" i="31"/>
  <c r="F50" i="31" s="1"/>
  <c r="D57" i="31" s="1"/>
  <c r="E39" i="31"/>
  <c r="C56" i="31" s="1"/>
  <c r="C49" i="31"/>
  <c r="M46" i="10"/>
  <c r="J24" i="10"/>
  <c r="K24" i="10"/>
  <c r="AB137" i="24"/>
  <c r="L24" i="10"/>
  <c r="AQ40" i="25"/>
  <c r="AQ8" i="24" s="1"/>
  <c r="AD43" i="25"/>
  <c r="AE56" i="25"/>
  <c r="AF56" i="25" s="1"/>
  <c r="AD8" i="24"/>
  <c r="AD11" i="29" s="1"/>
  <c r="AD9" i="29" s="1"/>
  <c r="AD156" i="29" s="1"/>
  <c r="W39" i="29"/>
  <c r="G32" i="25"/>
  <c r="G142" i="24"/>
  <c r="G20" i="29"/>
  <c r="G22" i="24"/>
  <c r="G35" i="29" s="1"/>
  <c r="I38" i="25"/>
  <c r="I32" i="25" s="1"/>
  <c r="N47" i="12" s="1"/>
  <c r="I13" i="24"/>
  <c r="I53" i="25"/>
  <c r="AC11" i="29"/>
  <c r="AC9" i="29" s="1"/>
  <c r="AC137" i="24"/>
  <c r="R23" i="10"/>
  <c r="W39" i="24"/>
  <c r="AE43" i="25"/>
  <c r="AE8" i="24"/>
  <c r="J52" i="25"/>
  <c r="H53" i="25"/>
  <c r="H38" i="25"/>
  <c r="H32" i="25" s="1"/>
  <c r="M47" i="12" s="1"/>
  <c r="H13" i="24"/>
  <c r="Q68" i="3"/>
  <c r="E9" i="31" l="1"/>
  <c r="E12" i="31" s="1"/>
  <c r="E42" i="31"/>
  <c r="D49" i="31"/>
  <c r="F49" i="31" s="1"/>
  <c r="E57" i="31"/>
  <c r="M24" i="10"/>
  <c r="J23" i="10"/>
  <c r="K23" i="10"/>
  <c r="L23" i="10"/>
  <c r="AD137" i="24"/>
  <c r="AQ17" i="24"/>
  <c r="AQ26" i="29" s="1"/>
  <c r="AF43" i="25"/>
  <c r="AF8" i="24"/>
  <c r="M46" i="12"/>
  <c r="M45" i="12" s="1"/>
  <c r="H56" i="3"/>
  <c r="I20" i="29"/>
  <c r="I18" i="29" s="1"/>
  <c r="I161" i="29" s="1"/>
  <c r="I142" i="24"/>
  <c r="I22" i="24"/>
  <c r="I35" i="29" s="1"/>
  <c r="W172" i="29"/>
  <c r="W24" i="29"/>
  <c r="I140" i="32" s="1"/>
  <c r="J38" i="25"/>
  <c r="J32" i="25" s="1"/>
  <c r="O47" i="12" s="1"/>
  <c r="J53" i="25"/>
  <c r="J13" i="24"/>
  <c r="H20" i="29"/>
  <c r="H18" i="29" s="1"/>
  <c r="H161" i="29" s="1"/>
  <c r="H22" i="24"/>
  <c r="H35" i="29" s="1"/>
  <c r="H142" i="24"/>
  <c r="AC156" i="29"/>
  <c r="N46" i="12"/>
  <c r="N45" i="12" s="1"/>
  <c r="I56" i="3"/>
  <c r="G31" i="24"/>
  <c r="G18" i="29"/>
  <c r="Q74" i="3"/>
  <c r="K52" i="25"/>
  <c r="AG56" i="25"/>
  <c r="W40" i="24"/>
  <c r="W41" i="24" s="1"/>
  <c r="AE11" i="29"/>
  <c r="AE137" i="24"/>
  <c r="L47" i="12"/>
  <c r="D56" i="31" l="1"/>
  <c r="E56" i="31" s="1"/>
  <c r="E13" i="31" s="1"/>
  <c r="F52" i="31"/>
  <c r="M23" i="10"/>
  <c r="H31" i="24"/>
  <c r="H25" i="24" s="1"/>
  <c r="AE9" i="29"/>
  <c r="G158" i="24"/>
  <c r="L19" i="12"/>
  <c r="G65" i="29"/>
  <c r="G25" i="24"/>
  <c r="G50" i="29"/>
  <c r="G118" i="24"/>
  <c r="AF11" i="29"/>
  <c r="AF9" i="29" s="1"/>
  <c r="AF156" i="29" s="1"/>
  <c r="AF137" i="24"/>
  <c r="G56" i="3"/>
  <c r="L46" i="12"/>
  <c r="L45" i="12" s="1"/>
  <c r="L52" i="25"/>
  <c r="AH56" i="25"/>
  <c r="W35" i="24"/>
  <c r="K38" i="25"/>
  <c r="K13" i="24"/>
  <c r="K53" i="25"/>
  <c r="J20" i="29"/>
  <c r="J18" i="29" s="1"/>
  <c r="J161" i="29" s="1"/>
  <c r="J22" i="24"/>
  <c r="J35" i="29" s="1"/>
  <c r="J142" i="24"/>
  <c r="G161" i="29"/>
  <c r="O46" i="12"/>
  <c r="O45" i="12" s="1"/>
  <c r="J56" i="3"/>
  <c r="I31" i="24"/>
  <c r="I50" i="3"/>
  <c r="I75" i="29"/>
  <c r="I69" i="29" s="1"/>
  <c r="AG43" i="25"/>
  <c r="AG8" i="24"/>
  <c r="H50" i="3"/>
  <c r="H75" i="29"/>
  <c r="H69" i="29" s="1"/>
  <c r="E59" i="31" l="1"/>
  <c r="E14" i="31"/>
  <c r="E60" i="31"/>
  <c r="B64" i="31" s="1"/>
  <c r="D64" i="31" s="1"/>
  <c r="C19" i="31"/>
  <c r="C22" i="31" s="1"/>
  <c r="D20" i="31" s="1"/>
  <c r="E20" i="31" s="1"/>
  <c r="H65" i="29"/>
  <c r="H63" i="29" s="1"/>
  <c r="H118" i="24"/>
  <c r="H113" i="24" s="1"/>
  <c r="H50" i="29"/>
  <c r="H48" i="29" s="1"/>
  <c r="H33" i="29" s="1"/>
  <c r="H158" i="24"/>
  <c r="AI56" i="25"/>
  <c r="J31" i="24"/>
  <c r="J50" i="29" s="1"/>
  <c r="J48" i="29" s="1"/>
  <c r="J75" i="29"/>
  <c r="J69" i="29" s="1"/>
  <c r="J50" i="3"/>
  <c r="H76" i="3"/>
  <c r="H161" i="3"/>
  <c r="AH43" i="25"/>
  <c r="AH8" i="24"/>
  <c r="K20" i="29"/>
  <c r="K22" i="24"/>
  <c r="K35" i="29" s="1"/>
  <c r="K142" i="24"/>
  <c r="G113" i="24"/>
  <c r="K32" i="25"/>
  <c r="W56" i="29"/>
  <c r="AB16" i="12"/>
  <c r="L38" i="25"/>
  <c r="L32" i="25" s="1"/>
  <c r="Q47" i="12" s="1"/>
  <c r="L13" i="24"/>
  <c r="L53" i="25"/>
  <c r="M52" i="25"/>
  <c r="AG11" i="29"/>
  <c r="AG9" i="29" s="1"/>
  <c r="AG156" i="29" s="1"/>
  <c r="AG137" i="24"/>
  <c r="I50" i="29"/>
  <c r="I48" i="29" s="1"/>
  <c r="I65" i="29"/>
  <c r="I63" i="29" s="1"/>
  <c r="I118" i="24"/>
  <c r="I113" i="24" s="1"/>
  <c r="I158" i="24"/>
  <c r="I25" i="24"/>
  <c r="G48" i="29"/>
  <c r="AE156" i="29"/>
  <c r="I180" i="29"/>
  <c r="I95" i="29"/>
  <c r="G63" i="29"/>
  <c r="G50" i="3"/>
  <c r="G75" i="29"/>
  <c r="G46" i="24"/>
  <c r="L10" i="12"/>
  <c r="H95" i="29"/>
  <c r="H180" i="29"/>
  <c r="I76" i="3"/>
  <c r="I161" i="3"/>
  <c r="E15" i="31" l="1"/>
  <c r="I318" i="12" s="1"/>
  <c r="X318" i="12" s="1"/>
  <c r="S68" i="3" s="1"/>
  <c r="E64" i="31"/>
  <c r="C64" i="31"/>
  <c r="D21" i="31"/>
  <c r="E21" i="31" s="1"/>
  <c r="I320" i="12" s="1"/>
  <c r="D19" i="31"/>
  <c r="E19" i="31" s="1"/>
  <c r="F29" i="31" s="1"/>
  <c r="H177" i="29"/>
  <c r="H137" i="29"/>
  <c r="H132" i="29" s="1"/>
  <c r="H38" i="29"/>
  <c r="J158" i="24"/>
  <c r="J25" i="24"/>
  <c r="J65" i="29"/>
  <c r="J63" i="29" s="1"/>
  <c r="J118" i="24"/>
  <c r="J113" i="24" s="1"/>
  <c r="I177" i="29"/>
  <c r="I137" i="29"/>
  <c r="I132" i="29" s="1"/>
  <c r="I33" i="29"/>
  <c r="I38" i="29"/>
  <c r="G189" i="24"/>
  <c r="M19" i="12"/>
  <c r="G69" i="29"/>
  <c r="AI8" i="24"/>
  <c r="AI43" i="25"/>
  <c r="AJ8" i="24"/>
  <c r="K18" i="29"/>
  <c r="G161" i="3"/>
  <c r="G76" i="3"/>
  <c r="L20" i="29"/>
  <c r="L18" i="29" s="1"/>
  <c r="L161" i="29" s="1"/>
  <c r="L142" i="24"/>
  <c r="L22" i="24"/>
  <c r="L35" i="29" s="1"/>
  <c r="AJ56" i="25"/>
  <c r="AH11" i="29"/>
  <c r="AH9" i="29" s="1"/>
  <c r="AH137" i="24"/>
  <c r="J76" i="3"/>
  <c r="J161" i="3"/>
  <c r="G177" i="29"/>
  <c r="G38" i="29"/>
  <c r="G137" i="29"/>
  <c r="G33" i="29"/>
  <c r="M38" i="25"/>
  <c r="M32" i="25" s="1"/>
  <c r="R47" i="12" s="1"/>
  <c r="M13" i="24"/>
  <c r="M53" i="25"/>
  <c r="N52" i="25"/>
  <c r="J38" i="29"/>
  <c r="J33" i="29"/>
  <c r="J177" i="29"/>
  <c r="J137" i="29"/>
  <c r="J132" i="29" s="1"/>
  <c r="J95" i="29"/>
  <c r="J180" i="29"/>
  <c r="L56" i="3"/>
  <c r="Q46" i="12"/>
  <c r="Q45" i="12" s="1"/>
  <c r="P47" i="12"/>
  <c r="W54" i="29"/>
  <c r="K31" i="24"/>
  <c r="S74" i="3" l="1"/>
  <c r="E74" i="3" s="1"/>
  <c r="S98" i="10" s="1"/>
  <c r="E68" i="3"/>
  <c r="A318" i="12"/>
  <c r="F64" i="31"/>
  <c r="I140" i="12"/>
  <c r="Y140" i="12" s="1"/>
  <c r="BK320" i="12"/>
  <c r="BF68" i="24" s="1"/>
  <c r="BF87" i="29" s="1"/>
  <c r="AB320" i="12"/>
  <c r="W68" i="24" s="1"/>
  <c r="W87" i="29" s="1"/>
  <c r="E22" i="31"/>
  <c r="BA320" i="12"/>
  <c r="AV68" i="24" s="1"/>
  <c r="AV87" i="29" s="1"/>
  <c r="T320" i="12"/>
  <c r="O68" i="24" s="1"/>
  <c r="O87" i="29" s="1"/>
  <c r="AZ320" i="12"/>
  <c r="AU68" i="24" s="1"/>
  <c r="AU87" i="29" s="1"/>
  <c r="AH320" i="12"/>
  <c r="AC68" i="24" s="1"/>
  <c r="AC87" i="29" s="1"/>
  <c r="AC320" i="12"/>
  <c r="X68" i="24" s="1"/>
  <c r="X87" i="29" s="1"/>
  <c r="BQ320" i="12"/>
  <c r="BL68" i="24" s="1"/>
  <c r="BL87" i="29" s="1"/>
  <c r="AU320" i="12"/>
  <c r="AP68" i="24" s="1"/>
  <c r="AP87" i="29" s="1"/>
  <c r="BB320" i="12"/>
  <c r="AW68" i="24" s="1"/>
  <c r="AW87" i="29" s="1"/>
  <c r="BF320" i="12"/>
  <c r="BA68" i="24" s="1"/>
  <c r="BA87" i="29" s="1"/>
  <c r="V320" i="12"/>
  <c r="Q68" i="24" s="1"/>
  <c r="Q87" i="29" s="1"/>
  <c r="U320" i="12"/>
  <c r="P68" i="24" s="1"/>
  <c r="P87" i="29" s="1"/>
  <c r="AE320" i="12"/>
  <c r="Z68" i="24" s="1"/>
  <c r="Z87" i="29" s="1"/>
  <c r="Z320" i="12"/>
  <c r="U68" i="24" s="1"/>
  <c r="U87" i="29" s="1"/>
  <c r="AK320" i="12"/>
  <c r="AF68" i="24" s="1"/>
  <c r="AF87" i="29" s="1"/>
  <c r="BP320" i="12"/>
  <c r="BK68" i="24" s="1"/>
  <c r="BK87" i="29" s="1"/>
  <c r="BR320" i="12"/>
  <c r="BM68" i="24" s="1"/>
  <c r="BM87" i="29" s="1"/>
  <c r="BE320" i="12"/>
  <c r="AZ68" i="24" s="1"/>
  <c r="AZ87" i="29" s="1"/>
  <c r="W320" i="12"/>
  <c r="R68" i="24" s="1"/>
  <c r="R87" i="29" s="1"/>
  <c r="BO320" i="12"/>
  <c r="BJ68" i="24" s="1"/>
  <c r="BJ87" i="29" s="1"/>
  <c r="AP320" i="12"/>
  <c r="AK68" i="24" s="1"/>
  <c r="AK87" i="29" s="1"/>
  <c r="BC320" i="12"/>
  <c r="AX68" i="24" s="1"/>
  <c r="AX87" i="29" s="1"/>
  <c r="AA320" i="12"/>
  <c r="V68" i="24" s="1"/>
  <c r="V87" i="29" s="1"/>
  <c r="BD320" i="12"/>
  <c r="AY68" i="24" s="1"/>
  <c r="AY87" i="29" s="1"/>
  <c r="BI320" i="12"/>
  <c r="BD68" i="24" s="1"/>
  <c r="BD87" i="29" s="1"/>
  <c r="BJ320" i="12"/>
  <c r="BE68" i="24" s="1"/>
  <c r="BE87" i="29" s="1"/>
  <c r="AF320" i="12"/>
  <c r="AA68" i="24" s="1"/>
  <c r="AA87" i="29" s="1"/>
  <c r="AI320" i="12"/>
  <c r="AD68" i="24" s="1"/>
  <c r="AD87" i="29" s="1"/>
  <c r="BM320" i="12"/>
  <c r="BH68" i="24" s="1"/>
  <c r="BH87" i="29" s="1"/>
  <c r="AS320" i="12"/>
  <c r="AN68" i="24" s="1"/>
  <c r="AN87" i="29" s="1"/>
  <c r="Y320" i="12"/>
  <c r="T68" i="24" s="1"/>
  <c r="T87" i="29" s="1"/>
  <c r="AM320" i="12"/>
  <c r="AH68" i="24" s="1"/>
  <c r="AH87" i="29" s="1"/>
  <c r="AY320" i="12"/>
  <c r="AT68" i="24" s="1"/>
  <c r="AT87" i="29" s="1"/>
  <c r="AL320" i="12"/>
  <c r="AG68" i="24" s="1"/>
  <c r="AG87" i="29" s="1"/>
  <c r="AT320" i="12"/>
  <c r="AO68" i="24" s="1"/>
  <c r="AO87" i="29" s="1"/>
  <c r="AO320" i="12"/>
  <c r="AJ68" i="24" s="1"/>
  <c r="AJ87" i="29" s="1"/>
  <c r="BN320" i="12"/>
  <c r="BI68" i="24" s="1"/>
  <c r="BI87" i="29" s="1"/>
  <c r="AG320" i="12"/>
  <c r="AB68" i="24" s="1"/>
  <c r="AB87" i="29" s="1"/>
  <c r="AD320" i="12"/>
  <c r="Y68" i="24" s="1"/>
  <c r="Y87" i="29" s="1"/>
  <c r="S320" i="12"/>
  <c r="N68" i="24" s="1"/>
  <c r="N87" i="29" s="1"/>
  <c r="BH320" i="12"/>
  <c r="BC68" i="24" s="1"/>
  <c r="BC87" i="29" s="1"/>
  <c r="BG320" i="12"/>
  <c r="BB68" i="24" s="1"/>
  <c r="BB87" i="29" s="1"/>
  <c r="AX320" i="12"/>
  <c r="AS68" i="24" s="1"/>
  <c r="AS87" i="29" s="1"/>
  <c r="AV320" i="12"/>
  <c r="AQ68" i="24" s="1"/>
  <c r="AQ87" i="29" s="1"/>
  <c r="AN320" i="12"/>
  <c r="AI68" i="24" s="1"/>
  <c r="AI87" i="29" s="1"/>
  <c r="AQ320" i="12"/>
  <c r="AL68" i="24" s="1"/>
  <c r="AL87" i="29" s="1"/>
  <c r="BL320" i="12"/>
  <c r="BG68" i="24" s="1"/>
  <c r="BG87" i="29" s="1"/>
  <c r="AR320" i="12"/>
  <c r="AM68" i="24" s="1"/>
  <c r="AM87" i="29" s="1"/>
  <c r="AJ320" i="12"/>
  <c r="AE68" i="24" s="1"/>
  <c r="AE87" i="29" s="1"/>
  <c r="X320" i="12"/>
  <c r="S68" i="24" s="1"/>
  <c r="S87" i="29" s="1"/>
  <c r="AW320" i="12"/>
  <c r="AR68" i="24" s="1"/>
  <c r="AR87" i="29" s="1"/>
  <c r="AI11" i="29"/>
  <c r="AI9" i="29" s="1"/>
  <c r="AI137" i="24"/>
  <c r="K65" i="29"/>
  <c r="K50" i="29"/>
  <c r="K158" i="24"/>
  <c r="K25" i="24"/>
  <c r="K118" i="24"/>
  <c r="G95" i="29"/>
  <c r="G180" i="29"/>
  <c r="M56" i="3"/>
  <c r="R46" i="12"/>
  <c r="R45" i="12" s="1"/>
  <c r="P46" i="12"/>
  <c r="P45" i="12" s="1"/>
  <c r="K56" i="3"/>
  <c r="A47" i="12"/>
  <c r="L31" i="24"/>
  <c r="N13" i="24"/>
  <c r="N38" i="25"/>
  <c r="N32" i="25" s="1"/>
  <c r="N53" i="25"/>
  <c r="O52" i="25"/>
  <c r="M10" i="12"/>
  <c r="H46" i="24"/>
  <c r="G132" i="29"/>
  <c r="AJ43" i="25"/>
  <c r="AK8" i="24"/>
  <c r="G208" i="29"/>
  <c r="G198" i="24"/>
  <c r="G193" i="24"/>
  <c r="G192" i="24" s="1"/>
  <c r="G191" i="24"/>
  <c r="AH156" i="29"/>
  <c r="K161" i="29"/>
  <c r="L75" i="29"/>
  <c r="L69" i="29" s="1"/>
  <c r="L50" i="3"/>
  <c r="M20" i="29"/>
  <c r="M142" i="24"/>
  <c r="M22" i="24"/>
  <c r="M35" i="29" s="1"/>
  <c r="AK56" i="25"/>
  <c r="S93" i="10" l="1"/>
  <c r="J36" i="1"/>
  <c r="E87" i="29"/>
  <c r="R93" i="10" s="1"/>
  <c r="J93" i="10" s="1"/>
  <c r="E68" i="24"/>
  <c r="J36" i="23" s="1"/>
  <c r="A320" i="12"/>
  <c r="M31" i="24"/>
  <c r="M65" i="29" s="1"/>
  <c r="M63" i="29" s="1"/>
  <c r="K48" i="29"/>
  <c r="K63" i="29"/>
  <c r="M18" i="29"/>
  <c r="L50" i="29"/>
  <c r="L48" i="29" s="1"/>
  <c r="L65" i="29"/>
  <c r="L63" i="29" s="1"/>
  <c r="L118" i="24"/>
  <c r="L113" i="24" s="1"/>
  <c r="L158" i="24"/>
  <c r="L25" i="24"/>
  <c r="M50" i="3"/>
  <c r="M75" i="29"/>
  <c r="M69" i="29" s="1"/>
  <c r="AK43" i="25"/>
  <c r="AL8" i="24"/>
  <c r="AI156" i="29"/>
  <c r="K113" i="24"/>
  <c r="L76" i="3"/>
  <c r="L161" i="3"/>
  <c r="O38" i="25"/>
  <c r="O32" i="25" s="1"/>
  <c r="O13" i="24"/>
  <c r="O53" i="25"/>
  <c r="P52" i="25"/>
  <c r="L180" i="29"/>
  <c r="L95" i="29"/>
  <c r="AL56" i="25"/>
  <c r="N19" i="12"/>
  <c r="H189" i="24"/>
  <c r="K75" i="29"/>
  <c r="K50" i="3"/>
  <c r="E56" i="3"/>
  <c r="AJ11" i="29"/>
  <c r="AJ9" i="29" s="1"/>
  <c r="AJ137" i="24"/>
  <c r="N20" i="29"/>
  <c r="N18" i="29" s="1"/>
  <c r="N161" i="29" s="1"/>
  <c r="S104" i="12"/>
  <c r="N142" i="24"/>
  <c r="N22" i="24"/>
  <c r="N35" i="29" s="1"/>
  <c r="J36" i="21" l="1"/>
  <c r="J42" i="1"/>
  <c r="H36" i="1"/>
  <c r="I36" i="1"/>
  <c r="K93" i="10"/>
  <c r="T93" i="10"/>
  <c r="L93" i="10" s="1"/>
  <c r="M118" i="24"/>
  <c r="M113" i="24" s="1"/>
  <c r="M25" i="24"/>
  <c r="M158" i="24"/>
  <c r="M50" i="29"/>
  <c r="M48" i="29" s="1"/>
  <c r="M137" i="29" s="1"/>
  <c r="M132" i="29" s="1"/>
  <c r="AM56" i="25"/>
  <c r="K76" i="3"/>
  <c r="K161" i="3"/>
  <c r="E50" i="3"/>
  <c r="U34" i="1" s="1"/>
  <c r="AJ156" i="29"/>
  <c r="H208" i="29"/>
  <c r="H198" i="24"/>
  <c r="H193" i="24"/>
  <c r="H192" i="24" s="1"/>
  <c r="H191" i="24"/>
  <c r="N31" i="24"/>
  <c r="I46" i="24"/>
  <c r="N10" i="12"/>
  <c r="AL43" i="25"/>
  <c r="S79" i="10"/>
  <c r="J47" i="1"/>
  <c r="O20" i="29"/>
  <c r="O18" i="29" s="1"/>
  <c r="O161" i="29" s="1"/>
  <c r="T104" i="12"/>
  <c r="O55" i="24" s="1"/>
  <c r="O74" i="29" s="1"/>
  <c r="O142" i="24"/>
  <c r="O22" i="24"/>
  <c r="O35" i="29" s="1"/>
  <c r="K69" i="29"/>
  <c r="AK11" i="29"/>
  <c r="AK9" i="29" s="1"/>
  <c r="AK156" i="29" s="1"/>
  <c r="AK137" i="24"/>
  <c r="K177" i="29"/>
  <c r="K38" i="29"/>
  <c r="K33" i="29"/>
  <c r="K137" i="29"/>
  <c r="L177" i="29"/>
  <c r="L137" i="29"/>
  <c r="L132" i="29" s="1"/>
  <c r="L38" i="29"/>
  <c r="L33" i="29"/>
  <c r="N55" i="24"/>
  <c r="M95" i="29"/>
  <c r="M180" i="29"/>
  <c r="M161" i="29"/>
  <c r="P38" i="25"/>
  <c r="P32" i="25" s="1"/>
  <c r="P53" i="25"/>
  <c r="P13" i="24"/>
  <c r="Q52" i="25"/>
  <c r="M76" i="3"/>
  <c r="M161" i="3"/>
  <c r="J41" i="1" l="1"/>
  <c r="H42" i="1"/>
  <c r="I42" i="1"/>
  <c r="M93" i="10"/>
  <c r="M33" i="29"/>
  <c r="M177" i="29"/>
  <c r="M38" i="29"/>
  <c r="AN56" i="25"/>
  <c r="AM8" i="24"/>
  <c r="O31" i="24"/>
  <c r="O118" i="24" s="1"/>
  <c r="O113" i="24" s="1"/>
  <c r="Q53" i="25"/>
  <c r="Q13" i="24"/>
  <c r="Q38" i="25"/>
  <c r="Q32" i="25" s="1"/>
  <c r="R52" i="25"/>
  <c r="P20" i="29"/>
  <c r="P18" i="29" s="1"/>
  <c r="U104" i="12"/>
  <c r="P22" i="24"/>
  <c r="P35" i="29" s="1"/>
  <c r="P142" i="24"/>
  <c r="K95" i="29"/>
  <c r="K180" i="29"/>
  <c r="J53" i="1"/>
  <c r="I47" i="1"/>
  <c r="H47" i="1"/>
  <c r="N118" i="24"/>
  <c r="N65" i="29"/>
  <c r="N50" i="29"/>
  <c r="N158" i="24"/>
  <c r="N25" i="24"/>
  <c r="E161" i="3"/>
  <c r="AM43" i="25"/>
  <c r="O19" i="12"/>
  <c r="I189" i="24"/>
  <c r="N74" i="29"/>
  <c r="K132" i="29"/>
  <c r="AL11" i="29"/>
  <c r="AL9" i="29" s="1"/>
  <c r="AL156" i="29" s="1"/>
  <c r="AL137" i="24"/>
  <c r="U48" i="1" l="1"/>
  <c r="D41" i="1"/>
  <c r="H41" i="1"/>
  <c r="I41" i="1"/>
  <c r="I362" i="12"/>
  <c r="J30" i="1"/>
  <c r="O25" i="24"/>
  <c r="O158" i="24"/>
  <c r="O50" i="29"/>
  <c r="O48" i="29" s="1"/>
  <c r="O177" i="29" s="1"/>
  <c r="AO56" i="25"/>
  <c r="AN8" i="24"/>
  <c r="O65" i="29"/>
  <c r="O63" i="29" s="1"/>
  <c r="R38" i="25"/>
  <c r="R32" i="25" s="1"/>
  <c r="R13" i="24"/>
  <c r="R53" i="25"/>
  <c r="S52" i="25"/>
  <c r="AN43" i="25"/>
  <c r="AO8" i="24"/>
  <c r="AO11" i="29" s="1"/>
  <c r="P55" i="24"/>
  <c r="Q20" i="29"/>
  <c r="Q18" i="29" s="1"/>
  <c r="Q161" i="29" s="1"/>
  <c r="V104" i="12"/>
  <c r="Q55" i="24" s="1"/>
  <c r="Q74" i="29" s="1"/>
  <c r="Q22" i="24"/>
  <c r="Q35" i="29" s="1"/>
  <c r="Q142" i="24"/>
  <c r="P161" i="29"/>
  <c r="O10" i="12"/>
  <c r="J46" i="24"/>
  <c r="N48" i="29"/>
  <c r="AM11" i="29"/>
  <c r="AM9" i="29" s="1"/>
  <c r="AM156" i="29" s="1"/>
  <c r="AM137" i="24"/>
  <c r="I53" i="1"/>
  <c r="H53" i="1"/>
  <c r="N63" i="29"/>
  <c r="I208" i="29"/>
  <c r="I198" i="24"/>
  <c r="I193" i="24"/>
  <c r="I192" i="24" s="1"/>
  <c r="I191" i="24"/>
  <c r="N113" i="24"/>
  <c r="P31" i="24"/>
  <c r="H30" i="1" l="1"/>
  <c r="I30" i="1"/>
  <c r="BP362" i="12"/>
  <c r="BK73" i="3" s="1"/>
  <c r="AU362" i="12"/>
  <c r="AP73" i="3" s="1"/>
  <c r="BE362" i="12"/>
  <c r="AZ73" i="3" s="1"/>
  <c r="AI362" i="12"/>
  <c r="AD73" i="3" s="1"/>
  <c r="BN362" i="12"/>
  <c r="BI73" i="3" s="1"/>
  <c r="AO362" i="12"/>
  <c r="AJ73" i="3" s="1"/>
  <c r="AZ362" i="12"/>
  <c r="AU73" i="3" s="1"/>
  <c r="BK362" i="12"/>
  <c r="BF73" i="3" s="1"/>
  <c r="S362" i="12"/>
  <c r="N73" i="3" s="1"/>
  <c r="AY362" i="12"/>
  <c r="AT73" i="3" s="1"/>
  <c r="AL362" i="12"/>
  <c r="AG73" i="3" s="1"/>
  <c r="AH362" i="12"/>
  <c r="AC73" i="3" s="1"/>
  <c r="BJ362" i="12"/>
  <c r="BE73" i="3" s="1"/>
  <c r="AV362" i="12"/>
  <c r="AQ73" i="3" s="1"/>
  <c r="BO362" i="12"/>
  <c r="BJ73" i="3" s="1"/>
  <c r="AD362" i="12"/>
  <c r="Y73" i="3" s="1"/>
  <c r="AS362" i="12"/>
  <c r="AN73" i="3" s="1"/>
  <c r="AQ362" i="12"/>
  <c r="AL73" i="3" s="1"/>
  <c r="BB362" i="12"/>
  <c r="AW73" i="3" s="1"/>
  <c r="AP362" i="12"/>
  <c r="AK73" i="3" s="1"/>
  <c r="BR362" i="12"/>
  <c r="BM73" i="3" s="1"/>
  <c r="AK362" i="12"/>
  <c r="AF73" i="3" s="1"/>
  <c r="T362" i="12"/>
  <c r="O73" i="3" s="1"/>
  <c r="V362" i="12"/>
  <c r="Q73" i="3" s="1"/>
  <c r="BD362" i="12"/>
  <c r="AY73" i="3" s="1"/>
  <c r="BG362" i="12"/>
  <c r="BB73" i="3" s="1"/>
  <c r="AW362" i="12"/>
  <c r="AR73" i="3" s="1"/>
  <c r="BL362" i="12"/>
  <c r="BG73" i="3" s="1"/>
  <c r="BC362" i="12"/>
  <c r="AX73" i="3" s="1"/>
  <c r="AN362" i="12"/>
  <c r="AI73" i="3" s="1"/>
  <c r="AC362" i="12"/>
  <c r="X73" i="3" s="1"/>
  <c r="W362" i="12"/>
  <c r="R73" i="3" s="1"/>
  <c r="AB362" i="12"/>
  <c r="W73" i="3" s="1"/>
  <c r="AX362" i="12"/>
  <c r="AS73" i="3" s="1"/>
  <c r="AJ362" i="12"/>
  <c r="AE73" i="3" s="1"/>
  <c r="Z362" i="12"/>
  <c r="U73" i="3" s="1"/>
  <c r="X362" i="12"/>
  <c r="S73" i="3" s="1"/>
  <c r="AM362" i="12"/>
  <c r="AH73" i="3" s="1"/>
  <c r="BH362" i="12"/>
  <c r="BC73" i="3" s="1"/>
  <c r="AT362" i="12"/>
  <c r="AO73" i="3" s="1"/>
  <c r="U362" i="12"/>
  <c r="P73" i="3" s="1"/>
  <c r="AR362" i="12"/>
  <c r="AM73" i="3" s="1"/>
  <c r="BA362" i="12"/>
  <c r="AV73" i="3" s="1"/>
  <c r="BF362" i="12"/>
  <c r="BA73" i="3" s="1"/>
  <c r="AA362" i="12"/>
  <c r="V73" i="3" s="1"/>
  <c r="AE362" i="12"/>
  <c r="Z73" i="3" s="1"/>
  <c r="BM362" i="12"/>
  <c r="BH73" i="3" s="1"/>
  <c r="Y362" i="12"/>
  <c r="T73" i="3" s="1"/>
  <c r="AF362" i="12"/>
  <c r="AA73" i="3" s="1"/>
  <c r="BI362" i="12"/>
  <c r="BD73" i="3" s="1"/>
  <c r="BQ362" i="12"/>
  <c r="BL73" i="3" s="1"/>
  <c r="AG362" i="12"/>
  <c r="AB73" i="3" s="1"/>
  <c r="O33" i="29"/>
  <c r="O137" i="29"/>
  <c r="O132" i="29" s="1"/>
  <c r="O38" i="29"/>
  <c r="AP56" i="25"/>
  <c r="AN11" i="29"/>
  <c r="AN9" i="29" s="1"/>
  <c r="AN156" i="29" s="1"/>
  <c r="AN137" i="24"/>
  <c r="J189" i="24"/>
  <c r="P19" i="12"/>
  <c r="P74" i="29"/>
  <c r="P118" i="24"/>
  <c r="P65" i="29"/>
  <c r="P50" i="29"/>
  <c r="P158" i="24"/>
  <c r="P25" i="24"/>
  <c r="N137" i="29"/>
  <c r="N38" i="29"/>
  <c r="N177" i="29"/>
  <c r="N33" i="29"/>
  <c r="S13" i="24"/>
  <c r="S38" i="25"/>
  <c r="S32" i="25" s="1"/>
  <c r="S53" i="25"/>
  <c r="T52" i="25"/>
  <c r="Q31" i="24"/>
  <c r="AO43" i="25"/>
  <c r="R20" i="29"/>
  <c r="R18" i="29" s="1"/>
  <c r="W104" i="12"/>
  <c r="R22" i="24"/>
  <c r="R35" i="29" s="1"/>
  <c r="R142" i="24"/>
  <c r="A362" i="12" l="1"/>
  <c r="E73" i="3"/>
  <c r="R31" i="24"/>
  <c r="R158" i="24" s="1"/>
  <c r="Q118" i="24"/>
  <c r="Q113" i="24" s="1"/>
  <c r="Q50" i="29"/>
  <c r="Q48" i="29" s="1"/>
  <c r="Q65" i="29"/>
  <c r="Q63" i="29" s="1"/>
  <c r="Q25" i="24"/>
  <c r="Q158" i="24"/>
  <c r="X104" i="12"/>
  <c r="S55" i="24" s="1"/>
  <c r="S74" i="29" s="1"/>
  <c r="S20" i="29"/>
  <c r="S18" i="29" s="1"/>
  <c r="S142" i="24"/>
  <c r="S22" i="24"/>
  <c r="S35" i="29" s="1"/>
  <c r="J208" i="29"/>
  <c r="J198" i="24"/>
  <c r="J191" i="24"/>
  <c r="J193" i="24"/>
  <c r="J192" i="24" s="1"/>
  <c r="AO137" i="24"/>
  <c r="P48" i="29"/>
  <c r="T38" i="25"/>
  <c r="T32" i="25" s="1"/>
  <c r="T13" i="24"/>
  <c r="T53" i="25"/>
  <c r="U52" i="25"/>
  <c r="AP43" i="25"/>
  <c r="AQ56" i="25"/>
  <c r="P63" i="29"/>
  <c r="R55" i="24"/>
  <c r="R161" i="29"/>
  <c r="N132" i="29"/>
  <c r="P113" i="24"/>
  <c r="P10" i="12"/>
  <c r="K46" i="24"/>
  <c r="AO9" i="29" l="1"/>
  <c r="AO156" i="29" s="1"/>
  <c r="S97" i="10"/>
  <c r="S96" i="10"/>
  <c r="AT82" i="2"/>
  <c r="AT83" i="2" s="1"/>
  <c r="R65" i="29"/>
  <c r="R63" i="29" s="1"/>
  <c r="R118" i="24"/>
  <c r="R113" i="24" s="1"/>
  <c r="R25" i="24"/>
  <c r="R50" i="29"/>
  <c r="R48" i="29" s="1"/>
  <c r="R177" i="29" s="1"/>
  <c r="S31" i="24"/>
  <c r="S65" i="29" s="1"/>
  <c r="S63" i="29" s="1"/>
  <c r="P137" i="29"/>
  <c r="P33" i="29"/>
  <c r="P38" i="29"/>
  <c r="P177" i="29"/>
  <c r="Q177" i="29"/>
  <c r="Q33" i="29"/>
  <c r="Q38" i="29"/>
  <c r="Q137" i="29"/>
  <c r="Q132" i="29" s="1"/>
  <c r="S161" i="29"/>
  <c r="AP9" i="29"/>
  <c r="AP137" i="24"/>
  <c r="Y104" i="12"/>
  <c r="T20" i="29"/>
  <c r="T18" i="29" s="1"/>
  <c r="T161" i="29" s="1"/>
  <c r="T142" i="24"/>
  <c r="T22" i="24"/>
  <c r="T35" i="29" s="1"/>
  <c r="Q19" i="12"/>
  <c r="K189" i="24"/>
  <c r="U38" i="25"/>
  <c r="U32" i="25" s="1"/>
  <c r="U53" i="25"/>
  <c r="U13" i="24"/>
  <c r="V52" i="25"/>
  <c r="R74" i="29"/>
  <c r="AS88" i="2" l="1"/>
  <c r="AS89" i="2"/>
  <c r="AT89" i="2"/>
  <c r="AS90" i="2"/>
  <c r="AT88" i="2"/>
  <c r="AT91" i="2"/>
  <c r="AT87" i="2"/>
  <c r="AS87" i="2"/>
  <c r="AS91" i="2"/>
  <c r="AT90" i="2"/>
  <c r="R33" i="29"/>
  <c r="R38" i="29"/>
  <c r="R137" i="29"/>
  <c r="R132" i="29" s="1"/>
  <c r="S25" i="24"/>
  <c r="S118" i="24"/>
  <c r="S113" i="24" s="1"/>
  <c r="S158" i="24"/>
  <c r="S50" i="29"/>
  <c r="S48" i="29" s="1"/>
  <c r="S137" i="29" s="1"/>
  <c r="S132" i="29" s="1"/>
  <c r="T31" i="24"/>
  <c r="T65" i="29" s="1"/>
  <c r="T63" i="29" s="1"/>
  <c r="Z104" i="12"/>
  <c r="U55" i="24" s="1"/>
  <c r="U74" i="29" s="1"/>
  <c r="U22" i="24"/>
  <c r="U35" i="29" s="1"/>
  <c r="U20" i="29"/>
  <c r="U18" i="29" s="1"/>
  <c r="U161" i="29" s="1"/>
  <c r="U142" i="24"/>
  <c r="K208" i="29"/>
  <c r="K193" i="24"/>
  <c r="K192" i="24" s="1"/>
  <c r="K191" i="24"/>
  <c r="K198" i="24"/>
  <c r="AQ43" i="25"/>
  <c r="AR40" i="25"/>
  <c r="AR56" i="25"/>
  <c r="P132" i="29"/>
  <c r="L46" i="24"/>
  <c r="Q10" i="12"/>
  <c r="AP156" i="29"/>
  <c r="U8" i="21"/>
  <c r="V13" i="24"/>
  <c r="V38" i="25"/>
  <c r="V32" i="25" s="1"/>
  <c r="V53" i="25"/>
  <c r="W52" i="25"/>
  <c r="T55" i="24"/>
  <c r="K143" i="29" l="1"/>
  <c r="AM124" i="3"/>
  <c r="F143" i="29"/>
  <c r="AE143" i="29"/>
  <c r="BG143" i="29"/>
  <c r="AG143" i="29"/>
  <c r="BB124" i="3"/>
  <c r="AX143" i="29"/>
  <c r="BB143" i="29"/>
  <c r="Q143" i="29"/>
  <c r="N124" i="3"/>
  <c r="Y143" i="29"/>
  <c r="BH143" i="29"/>
  <c r="V143" i="29"/>
  <c r="AW124" i="3"/>
  <c r="M143" i="29"/>
  <c r="BE143" i="29"/>
  <c r="AB124" i="3"/>
  <c r="P143" i="29"/>
  <c r="AB143" i="29"/>
  <c r="AT143" i="29"/>
  <c r="AS124" i="3"/>
  <c r="R143" i="29"/>
  <c r="H143" i="29"/>
  <c r="Q124" i="3"/>
  <c r="BD124" i="3"/>
  <c r="J124" i="3"/>
  <c r="AJ143" i="29"/>
  <c r="M124" i="3"/>
  <c r="L124" i="3"/>
  <c r="AZ143" i="29"/>
  <c r="V124" i="3"/>
  <c r="H124" i="3"/>
  <c r="BC124" i="3"/>
  <c r="BK124" i="3"/>
  <c r="X143" i="29"/>
  <c r="AE124" i="3"/>
  <c r="BJ143" i="29"/>
  <c r="BA143" i="29"/>
  <c r="W124" i="3"/>
  <c r="BH124" i="3"/>
  <c r="F124" i="3"/>
  <c r="G143" i="29"/>
  <c r="AP143" i="29"/>
  <c r="I143" i="29"/>
  <c r="I124" i="3"/>
  <c r="AD124" i="3"/>
  <c r="AW143" i="29"/>
  <c r="BD143" i="29"/>
  <c r="G124" i="3"/>
  <c r="Z124" i="3"/>
  <c r="AA143" i="29"/>
  <c r="AC124" i="3"/>
  <c r="U143" i="29"/>
  <c r="AZ124" i="3"/>
  <c r="AP124" i="3"/>
  <c r="W143" i="29"/>
  <c r="O143" i="29"/>
  <c r="AH143" i="29"/>
  <c r="AD143" i="29"/>
  <c r="BJ124" i="3"/>
  <c r="AN124" i="3"/>
  <c r="BF124" i="3"/>
  <c r="L143" i="29"/>
  <c r="BM124" i="3"/>
  <c r="AK124" i="3"/>
  <c r="AO124" i="3"/>
  <c r="R124" i="3"/>
  <c r="AU143" i="29"/>
  <c r="AJ124" i="3"/>
  <c r="AY124" i="3"/>
  <c r="S124" i="3"/>
  <c r="X124" i="3"/>
  <c r="AH124" i="3"/>
  <c r="BE124" i="3"/>
  <c r="P124" i="3"/>
  <c r="AY143" i="29"/>
  <c r="AR124" i="3"/>
  <c r="BL124" i="3"/>
  <c r="Z143" i="29"/>
  <c r="AN143" i="29"/>
  <c r="AQ124" i="3"/>
  <c r="T143" i="29"/>
  <c r="AC143" i="29"/>
  <c r="AR143" i="29"/>
  <c r="AO143" i="29"/>
  <c r="AL124" i="3"/>
  <c r="AI124" i="3"/>
  <c r="AS143" i="29"/>
  <c r="AT124" i="3"/>
  <c r="AI143" i="29"/>
  <c r="BG124" i="3"/>
  <c r="T124" i="3"/>
  <c r="O124" i="3"/>
  <c r="AV143" i="29"/>
  <c r="AL143" i="29"/>
  <c r="U124" i="3"/>
  <c r="AA124" i="3"/>
  <c r="AU124" i="3"/>
  <c r="BM143" i="29"/>
  <c r="AX124" i="3"/>
  <c r="AG124" i="3"/>
  <c r="BI124" i="3"/>
  <c r="K124" i="3"/>
  <c r="AQ143" i="29"/>
  <c r="J143" i="29"/>
  <c r="BK143" i="29"/>
  <c r="BA124" i="3"/>
  <c r="Y124" i="3"/>
  <c r="N143" i="29"/>
  <c r="BI143" i="29"/>
  <c r="BF143" i="29"/>
  <c r="AF143" i="29"/>
  <c r="AK143" i="29"/>
  <c r="AV124" i="3"/>
  <c r="AM143" i="29"/>
  <c r="AF124" i="3"/>
  <c r="BC143" i="29"/>
  <c r="S143" i="29"/>
  <c r="BL143" i="29"/>
  <c r="AF140" i="29"/>
  <c r="M121" i="3"/>
  <c r="AY140" i="29"/>
  <c r="AP121" i="3"/>
  <c r="AQ121" i="3"/>
  <c r="AU121" i="3"/>
  <c r="BD121" i="3"/>
  <c r="BE140" i="29"/>
  <c r="BB121" i="3"/>
  <c r="AJ140" i="29"/>
  <c r="AX121" i="3"/>
  <c r="Y121" i="3"/>
  <c r="BM121" i="3"/>
  <c r="R121" i="3"/>
  <c r="AV140" i="29"/>
  <c r="AE121" i="3"/>
  <c r="AO140" i="29"/>
  <c r="AK121" i="3"/>
  <c r="H121" i="3"/>
  <c r="V121" i="3"/>
  <c r="BD140" i="29"/>
  <c r="BI140" i="29"/>
  <c r="AN121" i="3"/>
  <c r="O140" i="29"/>
  <c r="T140" i="29"/>
  <c r="AI121" i="3"/>
  <c r="AT121" i="3"/>
  <c r="X121" i="3"/>
  <c r="V140" i="29"/>
  <c r="BM140" i="29"/>
  <c r="U140" i="29"/>
  <c r="AL121" i="3"/>
  <c r="L121" i="3"/>
  <c r="AZ140" i="29"/>
  <c r="AM140" i="29"/>
  <c r="AE140" i="29"/>
  <c r="AJ121" i="3"/>
  <c r="AC140" i="29"/>
  <c r="AR121" i="3"/>
  <c r="AG140" i="29"/>
  <c r="F140" i="29"/>
  <c r="M140" i="29"/>
  <c r="N140" i="29"/>
  <c r="BB140" i="29"/>
  <c r="G121" i="3"/>
  <c r="AB140" i="29"/>
  <c r="AB121" i="3"/>
  <c r="BA140" i="29"/>
  <c r="AW121" i="3"/>
  <c r="I140" i="29"/>
  <c r="BH121" i="3"/>
  <c r="S121" i="3"/>
  <c r="BA121" i="3"/>
  <c r="Q140" i="29"/>
  <c r="P121" i="3"/>
  <c r="BG121" i="3"/>
  <c r="U121" i="3"/>
  <c r="J140" i="29"/>
  <c r="AZ121" i="3"/>
  <c r="AD121" i="3"/>
  <c r="AU140" i="29"/>
  <c r="AT140" i="29"/>
  <c r="AN140" i="29"/>
  <c r="AC121" i="3"/>
  <c r="K121" i="3"/>
  <c r="AY121" i="3"/>
  <c r="AK140" i="29"/>
  <c r="AX140" i="29"/>
  <c r="X140" i="29"/>
  <c r="AV121" i="3"/>
  <c r="G140" i="29"/>
  <c r="L140" i="29"/>
  <c r="H140" i="29"/>
  <c r="AM121" i="3"/>
  <c r="AR140" i="29"/>
  <c r="BI121" i="3"/>
  <c r="J121" i="3"/>
  <c r="BL121" i="3"/>
  <c r="S140" i="29"/>
  <c r="AP140" i="29"/>
  <c r="Z140" i="29"/>
  <c r="AH140" i="29"/>
  <c r="I121" i="3"/>
  <c r="Y140" i="29"/>
  <c r="BK121" i="3"/>
  <c r="AH121" i="3"/>
  <c r="AD140" i="29"/>
  <c r="O121" i="3"/>
  <c r="AA121" i="3"/>
  <c r="W140" i="29"/>
  <c r="BG140" i="29"/>
  <c r="R140" i="29"/>
  <c r="BF140" i="29"/>
  <c r="BK140" i="29"/>
  <c r="P140" i="29"/>
  <c r="BJ121" i="3"/>
  <c r="AS140" i="29"/>
  <c r="BL140" i="29"/>
  <c r="K140" i="29"/>
  <c r="BC121" i="3"/>
  <c r="AA140" i="29"/>
  <c r="AI140" i="29"/>
  <c r="AW140" i="29"/>
  <c r="AG121" i="3"/>
  <c r="AQ140" i="29"/>
  <c r="BF121" i="3"/>
  <c r="AO121" i="3"/>
  <c r="BE121" i="3"/>
  <c r="T121" i="3"/>
  <c r="BC140" i="29"/>
  <c r="AF121" i="3"/>
  <c r="N121" i="3"/>
  <c r="BH140" i="29"/>
  <c r="AL140" i="29"/>
  <c r="BJ140" i="29"/>
  <c r="Q121" i="3"/>
  <c r="Z121" i="3"/>
  <c r="F121" i="3"/>
  <c r="W121" i="3"/>
  <c r="AS121" i="3"/>
  <c r="BA122" i="3"/>
  <c r="P141" i="29"/>
  <c r="R122" i="3"/>
  <c r="BF122" i="3"/>
  <c r="AU141" i="29"/>
  <c r="AH122" i="3"/>
  <c r="AR141" i="29"/>
  <c r="BE141" i="29"/>
  <c r="AN122" i="3"/>
  <c r="AR122" i="3"/>
  <c r="AO141" i="29"/>
  <c r="BH122" i="3"/>
  <c r="BE122" i="3"/>
  <c r="T141" i="29"/>
  <c r="BD122" i="3"/>
  <c r="F122" i="3"/>
  <c r="Q141" i="29"/>
  <c r="BF141" i="29"/>
  <c r="AL122" i="3"/>
  <c r="K122" i="3"/>
  <c r="AD122" i="3"/>
  <c r="BB141" i="29"/>
  <c r="AP122" i="3"/>
  <c r="AW141" i="29"/>
  <c r="AX141" i="29"/>
  <c r="AW122" i="3"/>
  <c r="H122" i="3"/>
  <c r="G122" i="3"/>
  <c r="W122" i="3"/>
  <c r="BC141" i="29"/>
  <c r="AX122" i="3"/>
  <c r="BC122" i="3"/>
  <c r="AJ122" i="3"/>
  <c r="J141" i="29"/>
  <c r="S122" i="3"/>
  <c r="AM122" i="3"/>
  <c r="AB141" i="29"/>
  <c r="O141" i="29"/>
  <c r="AY141" i="29"/>
  <c r="AV141" i="29"/>
  <c r="AD141" i="29"/>
  <c r="M141" i="29"/>
  <c r="BA141" i="29"/>
  <c r="AG122" i="3"/>
  <c r="BK141" i="29"/>
  <c r="AC122" i="3"/>
  <c r="AS122" i="3"/>
  <c r="AQ141" i="29"/>
  <c r="AQ122" i="3"/>
  <c r="U141" i="29"/>
  <c r="AC141" i="29"/>
  <c r="AF122" i="3"/>
  <c r="Q122" i="3"/>
  <c r="AS141" i="29"/>
  <c r="AZ122" i="3"/>
  <c r="AT141" i="29"/>
  <c r="AA141" i="29"/>
  <c r="V141" i="29"/>
  <c r="S141" i="29"/>
  <c r="V122" i="3"/>
  <c r="L122" i="3"/>
  <c r="BD141" i="29"/>
  <c r="N122" i="3"/>
  <c r="F141" i="29"/>
  <c r="BI141" i="29"/>
  <c r="AG141" i="29"/>
  <c r="AJ141" i="29"/>
  <c r="BH141" i="29"/>
  <c r="W141" i="29"/>
  <c r="BL122" i="3"/>
  <c r="I122" i="3"/>
  <c r="AE122" i="3"/>
  <c r="I141" i="29"/>
  <c r="AF141" i="29"/>
  <c r="G141" i="29"/>
  <c r="AT122" i="3"/>
  <c r="H141" i="29"/>
  <c r="Y122" i="3"/>
  <c r="AL141" i="29"/>
  <c r="M122" i="3"/>
  <c r="AV122" i="3"/>
  <c r="BM141" i="29"/>
  <c r="AP141" i="29"/>
  <c r="AN141" i="29"/>
  <c r="X122" i="3"/>
  <c r="BL141" i="29"/>
  <c r="AZ141" i="29"/>
  <c r="BK122" i="3"/>
  <c r="P122" i="3"/>
  <c r="AE141" i="29"/>
  <c r="O122" i="3"/>
  <c r="BM122" i="3"/>
  <c r="AK122" i="3"/>
  <c r="AO122" i="3"/>
  <c r="AI122" i="3"/>
  <c r="U122" i="3"/>
  <c r="Z122" i="3"/>
  <c r="BJ141" i="29"/>
  <c r="BI122" i="3"/>
  <c r="Z141" i="29"/>
  <c r="AU122" i="3"/>
  <c r="BB122" i="3"/>
  <c r="AY122" i="3"/>
  <c r="AB122" i="3"/>
  <c r="L141" i="29"/>
  <c r="BG122" i="3"/>
  <c r="R141" i="29"/>
  <c r="AH141" i="29"/>
  <c r="BJ122" i="3"/>
  <c r="AM141" i="29"/>
  <c r="X141" i="29"/>
  <c r="Y141" i="29"/>
  <c r="AK141" i="29"/>
  <c r="J122" i="3"/>
  <c r="AI141" i="29"/>
  <c r="T122" i="3"/>
  <c r="K141" i="29"/>
  <c r="BG141" i="29"/>
  <c r="AA122" i="3"/>
  <c r="N141" i="29"/>
  <c r="AF123" i="3"/>
  <c r="S123" i="3"/>
  <c r="T123" i="3"/>
  <c r="BI123" i="3"/>
  <c r="AA123" i="3"/>
  <c r="Z123" i="3"/>
  <c r="AZ123" i="3"/>
  <c r="V123" i="3"/>
  <c r="AW123" i="3"/>
  <c r="BE123" i="3"/>
  <c r="AT123" i="3"/>
  <c r="AY123" i="3"/>
  <c r="K123" i="3"/>
  <c r="AJ123" i="3"/>
  <c r="X123" i="3"/>
  <c r="BF123" i="3"/>
  <c r="AK123" i="3"/>
  <c r="BD123" i="3"/>
  <c r="BC123" i="3"/>
  <c r="AD123" i="3"/>
  <c r="AC123" i="3"/>
  <c r="N123" i="3"/>
  <c r="AS123" i="3"/>
  <c r="BJ123" i="3"/>
  <c r="AO123" i="3"/>
  <c r="Y123" i="3"/>
  <c r="BG123" i="3"/>
  <c r="J123" i="3"/>
  <c r="BA123" i="3"/>
  <c r="AQ123" i="3"/>
  <c r="F123" i="3"/>
  <c r="AX123" i="3"/>
  <c r="AU123" i="3"/>
  <c r="BK123" i="3"/>
  <c r="M123" i="3"/>
  <c r="BB123" i="3"/>
  <c r="AE123" i="3"/>
  <c r="AV123" i="3"/>
  <c r="U123" i="3"/>
  <c r="AP123" i="3"/>
  <c r="W123" i="3"/>
  <c r="AM123" i="3"/>
  <c r="AL123" i="3"/>
  <c r="G123" i="3"/>
  <c r="R123" i="3"/>
  <c r="I123" i="3"/>
  <c r="H123" i="3"/>
  <c r="AG123" i="3"/>
  <c r="BH123" i="3"/>
  <c r="BL123" i="3"/>
  <c r="AH123" i="3"/>
  <c r="AR123" i="3"/>
  <c r="AI123" i="3"/>
  <c r="AB123" i="3"/>
  <c r="BM123" i="3"/>
  <c r="L123" i="3"/>
  <c r="Q123" i="3"/>
  <c r="O123" i="3"/>
  <c r="AN123" i="3"/>
  <c r="P123" i="3"/>
  <c r="T25" i="24"/>
  <c r="T158" i="24"/>
  <c r="T50" i="29"/>
  <c r="T48" i="29" s="1"/>
  <c r="T33" i="29" s="1"/>
  <c r="T118" i="24"/>
  <c r="T113" i="24" s="1"/>
  <c r="S38" i="29"/>
  <c r="S33" i="29"/>
  <c r="S177" i="29"/>
  <c r="AS56" i="25"/>
  <c r="T74" i="29"/>
  <c r="AQ11" i="29"/>
  <c r="AQ9" i="29" s="1"/>
  <c r="AQ156" i="29" s="1"/>
  <c r="AQ137" i="24"/>
  <c r="U31" i="24"/>
  <c r="W53" i="25"/>
  <c r="W13" i="24"/>
  <c r="W38" i="25"/>
  <c r="W32" i="25" s="1"/>
  <c r="X52" i="25"/>
  <c r="L189" i="24"/>
  <c r="R19" i="12"/>
  <c r="AA104" i="12"/>
  <c r="V20" i="29"/>
  <c r="V18" i="29" s="1"/>
  <c r="V161" i="29" s="1"/>
  <c r="V142" i="24"/>
  <c r="V22" i="24"/>
  <c r="V35" i="29" s="1"/>
  <c r="AR8" i="24"/>
  <c r="AR43" i="25"/>
  <c r="AS40" i="25"/>
  <c r="W120" i="3" l="1"/>
  <c r="X112" i="3" s="1"/>
  <c r="Z130" i="12" s="1"/>
  <c r="AF120" i="3"/>
  <c r="AG112" i="3" s="1"/>
  <c r="AI130" i="12" s="1"/>
  <c r="P120" i="3"/>
  <c r="Q112" i="3" s="1"/>
  <c r="S130" i="12" s="1"/>
  <c r="BE120" i="3"/>
  <c r="BF112" i="3" s="1"/>
  <c r="BH130" i="12" s="1"/>
  <c r="AB120" i="3"/>
  <c r="AC112" i="3" s="1"/>
  <c r="AE130" i="12" s="1"/>
  <c r="BC120" i="3"/>
  <c r="BD112" i="3" s="1"/>
  <c r="BD131" i="29" s="1"/>
  <c r="AN120" i="3"/>
  <c r="AO112" i="3" s="1"/>
  <c r="AQ130" i="12" s="1"/>
  <c r="E123" i="3"/>
  <c r="AZ120" i="3"/>
  <c r="BA112" i="3" s="1"/>
  <c r="BC130" i="12" s="1"/>
  <c r="BH120" i="3"/>
  <c r="BI112" i="3" s="1"/>
  <c r="AT120" i="3"/>
  <c r="AU112" i="3" s="1"/>
  <c r="AW130" i="12" s="1"/>
  <c r="AA120" i="3"/>
  <c r="AB112" i="3" s="1"/>
  <c r="AD130" i="12" s="1"/>
  <c r="U120" i="3"/>
  <c r="V112" i="3" s="1"/>
  <c r="X130" i="12" s="1"/>
  <c r="AW120" i="3"/>
  <c r="AX112" i="3" s="1"/>
  <c r="AZ130" i="12" s="1"/>
  <c r="E140" i="29"/>
  <c r="BB120" i="3"/>
  <c r="BC112" i="3" s="1"/>
  <c r="BE130" i="12" s="1"/>
  <c r="E141" i="29"/>
  <c r="E122" i="3"/>
  <c r="AS120" i="3"/>
  <c r="AT112" i="3" s="1"/>
  <c r="AV130" i="12" s="1"/>
  <c r="N120" i="3"/>
  <c r="O112" i="3" s="1"/>
  <c r="AG120" i="3"/>
  <c r="AH112" i="3" s="1"/>
  <c r="AJ130" i="12" s="1"/>
  <c r="BJ120" i="3"/>
  <c r="BK112" i="3" s="1"/>
  <c r="O120" i="3"/>
  <c r="P112" i="3" s="1"/>
  <c r="AC120" i="3"/>
  <c r="AD112" i="3" s="1"/>
  <c r="AF130" i="12" s="1"/>
  <c r="BG120" i="3"/>
  <c r="BH112" i="3" s="1"/>
  <c r="AL120" i="3"/>
  <c r="AM112" i="3" s="1"/>
  <c r="AO130" i="12" s="1"/>
  <c r="AE120" i="3"/>
  <c r="AF112" i="3" s="1"/>
  <c r="AH130" i="12" s="1"/>
  <c r="BD120" i="3"/>
  <c r="BE112" i="3" s="1"/>
  <c r="AR120" i="3"/>
  <c r="AS112" i="3" s="1"/>
  <c r="AU130" i="12" s="1"/>
  <c r="E121" i="3"/>
  <c r="F120" i="3"/>
  <c r="AH120" i="3"/>
  <c r="AI112" i="3" s="1"/>
  <c r="AK130" i="12" s="1"/>
  <c r="BL120" i="3"/>
  <c r="BM112" i="3" s="1"/>
  <c r="AV120" i="3"/>
  <c r="AW112" i="3" s="1"/>
  <c r="AY130" i="12" s="1"/>
  <c r="R120" i="3"/>
  <c r="S112" i="3" s="1"/>
  <c r="U130" i="12" s="1"/>
  <c r="AU120" i="3"/>
  <c r="AV112" i="3" s="1"/>
  <c r="AX130" i="12" s="1"/>
  <c r="Z120" i="3"/>
  <c r="AA112" i="3" s="1"/>
  <c r="AC130" i="12" s="1"/>
  <c r="T120" i="3"/>
  <c r="U112" i="3" s="1"/>
  <c r="W130" i="12" s="1"/>
  <c r="BK120" i="3"/>
  <c r="BL112" i="3" s="1"/>
  <c r="J120" i="3"/>
  <c r="K112" i="3" s="1"/>
  <c r="BA120" i="3"/>
  <c r="BB112" i="3" s="1"/>
  <c r="BD130" i="12" s="1"/>
  <c r="G120" i="3"/>
  <c r="H112" i="3" s="1"/>
  <c r="AJ120" i="3"/>
  <c r="AK112" i="3" s="1"/>
  <c r="AM130" i="12" s="1"/>
  <c r="BM120" i="3"/>
  <c r="AQ120" i="3"/>
  <c r="AR112" i="3" s="1"/>
  <c r="AT130" i="12" s="1"/>
  <c r="BI120" i="3"/>
  <c r="BJ112" i="3" s="1"/>
  <c r="AD120" i="3"/>
  <c r="AE112" i="3" s="1"/>
  <c r="AG130" i="12" s="1"/>
  <c r="S120" i="3"/>
  <c r="T112" i="3" s="1"/>
  <c r="V130" i="12" s="1"/>
  <c r="X120" i="3"/>
  <c r="Y112" i="3" s="1"/>
  <c r="AA130" i="12" s="1"/>
  <c r="V120" i="3"/>
  <c r="W112" i="3" s="1"/>
  <c r="Y130" i="12" s="1"/>
  <c r="Y120" i="3"/>
  <c r="Z112" i="3" s="1"/>
  <c r="AB130" i="12" s="1"/>
  <c r="AP120" i="3"/>
  <c r="AQ112" i="3" s="1"/>
  <c r="AS130" i="12" s="1"/>
  <c r="Q120" i="3"/>
  <c r="R112" i="3" s="1"/>
  <c r="T130" i="12" s="1"/>
  <c r="BF131" i="29"/>
  <c r="E143" i="29"/>
  <c r="AO120" i="3"/>
  <c r="AP112" i="3" s="1"/>
  <c r="AR130" i="12" s="1"/>
  <c r="BF120" i="3"/>
  <c r="BG112" i="3" s="1"/>
  <c r="AM120" i="3"/>
  <c r="AN112" i="3" s="1"/>
  <c r="AP130" i="12" s="1"/>
  <c r="AY120" i="3"/>
  <c r="AZ112" i="3" s="1"/>
  <c r="BB130" i="12" s="1"/>
  <c r="AI120" i="3"/>
  <c r="AJ112" i="3" s="1"/>
  <c r="AL130" i="12" s="1"/>
  <c r="AK120" i="3"/>
  <c r="AL112" i="3" s="1"/>
  <c r="AN130" i="12" s="1"/>
  <c r="M120" i="3"/>
  <c r="N112" i="3" s="1"/>
  <c r="E124" i="3"/>
  <c r="I120" i="3"/>
  <c r="J112" i="3" s="1"/>
  <c r="H120" i="3"/>
  <c r="I112" i="3" s="1"/>
  <c r="AX120" i="3"/>
  <c r="AY112" i="3" s="1"/>
  <c r="BA130" i="12" s="1"/>
  <c r="K120" i="3"/>
  <c r="L112" i="3" s="1"/>
  <c r="L120" i="3"/>
  <c r="M112" i="3" s="1"/>
  <c r="T177" i="29"/>
  <c r="T137" i="29"/>
  <c r="T132" i="29" s="1"/>
  <c r="T38" i="29"/>
  <c r="X53" i="25"/>
  <c r="X13" i="24"/>
  <c r="X38" i="25"/>
  <c r="X32" i="25" s="1"/>
  <c r="Y52" i="25"/>
  <c r="L208" i="29"/>
  <c r="L193" i="24"/>
  <c r="L192" i="24" s="1"/>
  <c r="L191" i="24"/>
  <c r="L198" i="24"/>
  <c r="AS8" i="24"/>
  <c r="AS43" i="25"/>
  <c r="D40" i="25"/>
  <c r="AT40" i="25"/>
  <c r="AT56" i="25"/>
  <c r="V31" i="24"/>
  <c r="AR11" i="29"/>
  <c r="AR9" i="29" s="1"/>
  <c r="AR156" i="29" s="1"/>
  <c r="AR137" i="24"/>
  <c r="V55" i="24"/>
  <c r="W20" i="29"/>
  <c r="W18" i="29" s="1"/>
  <c r="W161" i="29" s="1"/>
  <c r="W142" i="24"/>
  <c r="W22" i="24"/>
  <c r="W35" i="29" s="1"/>
  <c r="AB104" i="12"/>
  <c r="W55" i="24" s="1"/>
  <c r="W74" i="29" s="1"/>
  <c r="U118" i="24"/>
  <c r="U113" i="24" s="1"/>
  <c r="U65" i="29"/>
  <c r="U63" i="29" s="1"/>
  <c r="U50" i="29"/>
  <c r="U48" i="29" s="1"/>
  <c r="U158" i="24"/>
  <c r="U25" i="24"/>
  <c r="S102" i="12"/>
  <c r="S101" i="12"/>
  <c r="R10" i="12"/>
  <c r="M46" i="24"/>
  <c r="BF130" i="12" l="1"/>
  <c r="BL131" i="29"/>
  <c r="BN130" i="12"/>
  <c r="E120" i="3"/>
  <c r="AU87" i="2" s="1"/>
  <c r="G112" i="3"/>
  <c r="E112" i="3" s="1"/>
  <c r="BK131" i="29"/>
  <c r="BM130" i="12"/>
  <c r="BI130" i="12"/>
  <c r="BG131" i="29"/>
  <c r="BE131" i="29"/>
  <c r="BG130" i="12"/>
  <c r="BI131" i="29"/>
  <c r="BK130" i="12"/>
  <c r="BM131" i="29"/>
  <c r="BO130" i="12"/>
  <c r="BH131" i="29"/>
  <c r="BJ130" i="12"/>
  <c r="BJ131" i="29"/>
  <c r="BL130" i="12"/>
  <c r="AU56" i="25"/>
  <c r="Y13" i="24"/>
  <c r="Y53" i="25"/>
  <c r="Y38" i="25"/>
  <c r="Y32" i="25" s="1"/>
  <c r="Z52" i="25"/>
  <c r="V118" i="24"/>
  <c r="V113" i="24" s="1"/>
  <c r="V65" i="29"/>
  <c r="V63" i="29" s="1"/>
  <c r="V50" i="29"/>
  <c r="V48" i="29" s="1"/>
  <c r="V25" i="24"/>
  <c r="V158" i="24"/>
  <c r="X20" i="29"/>
  <c r="X18" i="29" s="1"/>
  <c r="X161" i="29" s="1"/>
  <c r="X142" i="24"/>
  <c r="AC104" i="12"/>
  <c r="X55" i="24" s="1"/>
  <c r="X74" i="29" s="1"/>
  <c r="U177" i="29"/>
  <c r="U137" i="29"/>
  <c r="U132" i="29" s="1"/>
  <c r="U38" i="29"/>
  <c r="U33" i="29"/>
  <c r="W31" i="24"/>
  <c r="AS11" i="29"/>
  <c r="AS9" i="29" s="1"/>
  <c r="AS137" i="24"/>
  <c r="G129" i="24"/>
  <c r="M189" i="24"/>
  <c r="S19" i="12"/>
  <c r="V74" i="29"/>
  <c r="AT8" i="24"/>
  <c r="AT43" i="25"/>
  <c r="AU40" i="25"/>
  <c r="N51" i="24"/>
  <c r="S94" i="12"/>
  <c r="N52" i="24"/>
  <c r="I130" i="12" l="1"/>
  <c r="A130" i="12" s="1"/>
  <c r="AT11" i="29"/>
  <c r="AT9" i="29" s="1"/>
  <c r="AT156" i="29" s="1"/>
  <c r="AT137" i="24"/>
  <c r="N70" i="29"/>
  <c r="M208" i="29"/>
  <c r="M193" i="24"/>
  <c r="M192" i="24" s="1"/>
  <c r="M191" i="24"/>
  <c r="M198" i="24"/>
  <c r="W118" i="24"/>
  <c r="W113" i="24" s="1"/>
  <c r="W50" i="29"/>
  <c r="W48" i="29" s="1"/>
  <c r="W65" i="29"/>
  <c r="W63" i="29" s="1"/>
  <c r="W158" i="24"/>
  <c r="W25" i="24"/>
  <c r="T102" i="12"/>
  <c r="T101" i="12"/>
  <c r="N46" i="24"/>
  <c r="S10" i="12"/>
  <c r="H129" i="24"/>
  <c r="I129" i="24" s="1"/>
  <c r="AS156" i="29"/>
  <c r="G148" i="29"/>
  <c r="H148" i="29" s="1"/>
  <c r="AU8" i="24"/>
  <c r="AU43" i="25"/>
  <c r="AV40" i="25"/>
  <c r="V33" i="29"/>
  <c r="V38" i="29"/>
  <c r="V137" i="29"/>
  <c r="V132" i="29" s="1"/>
  <c r="V177" i="29"/>
  <c r="Z53" i="25"/>
  <c r="Z13" i="24"/>
  <c r="Z38" i="25"/>
  <c r="Z32" i="25" s="1"/>
  <c r="AA52" i="25"/>
  <c r="N71" i="29"/>
  <c r="AV56" i="25"/>
  <c r="Y20" i="29"/>
  <c r="Y18" i="29" s="1"/>
  <c r="Y161" i="29" s="1"/>
  <c r="Y142" i="24"/>
  <c r="AD104" i="12"/>
  <c r="Y55" i="24" s="1"/>
  <c r="Y74" i="29" s="1"/>
  <c r="AW56" i="25" l="1"/>
  <c r="W137" i="29"/>
  <c r="W132" i="29" s="1"/>
  <c r="W33" i="29"/>
  <c r="W177" i="29"/>
  <c r="W38" i="29"/>
  <c r="O52" i="24"/>
  <c r="N189" i="24"/>
  <c r="T19" i="12"/>
  <c r="AA13" i="24"/>
  <c r="AA53" i="25"/>
  <c r="AA38" i="25"/>
  <c r="AA32" i="25" s="1"/>
  <c r="AB52" i="25"/>
  <c r="AU137" i="24"/>
  <c r="AU11" i="29"/>
  <c r="AU9" i="29" s="1"/>
  <c r="AU156" i="29" s="1"/>
  <c r="Z20" i="29"/>
  <c r="Z18" i="29" s="1"/>
  <c r="Z161" i="29" s="1"/>
  <c r="Z142" i="24"/>
  <c r="AE104" i="12"/>
  <c r="Z55" i="24" s="1"/>
  <c r="Z74" i="29" s="1"/>
  <c r="AV43" i="25"/>
  <c r="AV8" i="24"/>
  <c r="AW40" i="25"/>
  <c r="I148" i="29"/>
  <c r="T94" i="12"/>
  <c r="O51" i="24"/>
  <c r="J129" i="24"/>
  <c r="AX56" i="25" l="1"/>
  <c r="AW43" i="25"/>
  <c r="AW8" i="24"/>
  <c r="AX40" i="25"/>
  <c r="AX41" i="25" s="1"/>
  <c r="O71" i="29"/>
  <c r="O70" i="29"/>
  <c r="AB53" i="25"/>
  <c r="AB13" i="24"/>
  <c r="AB38" i="25"/>
  <c r="AB32" i="25" s="1"/>
  <c r="AC52" i="25"/>
  <c r="AV11" i="29"/>
  <c r="AV9" i="29" s="1"/>
  <c r="AV156" i="29" s="1"/>
  <c r="AV137" i="24"/>
  <c r="J148" i="29"/>
  <c r="AA20" i="29"/>
  <c r="AA18" i="29" s="1"/>
  <c r="AA161" i="29" s="1"/>
  <c r="AA142" i="24"/>
  <c r="AF104" i="12"/>
  <c r="AA55" i="24" s="1"/>
  <c r="AA74" i="29" s="1"/>
  <c r="N208" i="29"/>
  <c r="K129" i="24"/>
  <c r="L129" i="24" s="1"/>
  <c r="U102" i="12"/>
  <c r="O46" i="24"/>
  <c r="T10" i="12"/>
  <c r="U101" i="12"/>
  <c r="O189" i="24" l="1"/>
  <c r="U19" i="12"/>
  <c r="P51" i="24"/>
  <c r="U94" i="12"/>
  <c r="AB20" i="29"/>
  <c r="AB18" i="29" s="1"/>
  <c r="AB161" i="29" s="1"/>
  <c r="AB142" i="24"/>
  <c r="AG104" i="12"/>
  <c r="AB55" i="24" s="1"/>
  <c r="AB74" i="29" s="1"/>
  <c r="AW11" i="29"/>
  <c r="AW9" i="29" s="1"/>
  <c r="AW156" i="29" s="1"/>
  <c r="AW137" i="24"/>
  <c r="K148" i="29"/>
  <c r="L148" i="29" s="1"/>
  <c r="AX8" i="24"/>
  <c r="AX17" i="24" s="1"/>
  <c r="AX43" i="25"/>
  <c r="AY40" i="25"/>
  <c r="AY41" i="25" s="1"/>
  <c r="P52" i="24"/>
  <c r="AC13" i="24"/>
  <c r="AC53" i="25"/>
  <c r="AC38" i="25"/>
  <c r="AC32" i="25" s="1"/>
  <c r="AD52" i="25"/>
  <c r="M129" i="24"/>
  <c r="AY56" i="25"/>
  <c r="AZ56" i="25" l="1"/>
  <c r="AD13" i="24"/>
  <c r="AD53" i="25"/>
  <c r="AD38" i="25"/>
  <c r="AD32" i="25" s="1"/>
  <c r="AE52" i="25"/>
  <c r="M148" i="29"/>
  <c r="P71" i="29"/>
  <c r="AY43" i="25"/>
  <c r="AY8" i="24"/>
  <c r="AY17" i="24" s="1"/>
  <c r="AZ40" i="25"/>
  <c r="AC20" i="29"/>
  <c r="AC18" i="29" s="1"/>
  <c r="AC161" i="29" s="1"/>
  <c r="AC142" i="24"/>
  <c r="AH104" i="12"/>
  <c r="AC55" i="24" s="1"/>
  <c r="AC74" i="29" s="1"/>
  <c r="P70" i="29"/>
  <c r="V102" i="12"/>
  <c r="U10" i="12"/>
  <c r="P46" i="24"/>
  <c r="V101" i="12"/>
  <c r="N129" i="24"/>
  <c r="O208" i="29"/>
  <c r="AX11" i="29"/>
  <c r="AX9" i="29" s="1"/>
  <c r="AX156" i="29" s="1"/>
  <c r="AX26" i="29"/>
  <c r="AX137" i="24"/>
  <c r="BA56" i="25" l="1"/>
  <c r="AZ41" i="25"/>
  <c r="AX26" i="24"/>
  <c r="AX153" i="24" s="1"/>
  <c r="O129" i="24"/>
  <c r="AY11" i="29"/>
  <c r="AY9" i="29" s="1"/>
  <c r="AY156" i="29" s="1"/>
  <c r="AY26" i="29"/>
  <c r="AY137" i="24"/>
  <c r="AE53" i="25"/>
  <c r="AE13" i="24"/>
  <c r="AE38" i="25"/>
  <c r="AE32" i="25" s="1"/>
  <c r="AF52" i="25"/>
  <c r="Q51" i="24"/>
  <c r="V94" i="12"/>
  <c r="P189" i="24"/>
  <c r="V19" i="12"/>
  <c r="AD20" i="29"/>
  <c r="AD18" i="29" s="1"/>
  <c r="AD161" i="29" s="1"/>
  <c r="AD142" i="24"/>
  <c r="AI104" i="12"/>
  <c r="AD55" i="24" s="1"/>
  <c r="AD74" i="29" s="1"/>
  <c r="Q52" i="24"/>
  <c r="AZ8" i="24"/>
  <c r="AZ17" i="24" s="1"/>
  <c r="AZ43" i="25"/>
  <c r="BA40" i="25"/>
  <c r="N148" i="29"/>
  <c r="AX41" i="29" l="1"/>
  <c r="AX39" i="29" s="1"/>
  <c r="AX172" i="29" s="1"/>
  <c r="AX37" i="24"/>
  <c r="AX39" i="24" s="1"/>
  <c r="AX40" i="24" s="1"/>
  <c r="AX41" i="24" s="1"/>
  <c r="BB56" i="25"/>
  <c r="BA41" i="25"/>
  <c r="AY26" i="24"/>
  <c r="AY37" i="24" s="1"/>
  <c r="Q71" i="29"/>
  <c r="Q70" i="29"/>
  <c r="AZ11" i="29"/>
  <c r="AZ9" i="29" s="1"/>
  <c r="AZ156" i="29" s="1"/>
  <c r="AZ26" i="29"/>
  <c r="AZ137" i="24"/>
  <c r="AF53" i="25"/>
  <c r="AF13" i="24"/>
  <c r="AF38" i="25"/>
  <c r="AF32" i="25" s="1"/>
  <c r="AG52" i="25"/>
  <c r="P129" i="24"/>
  <c r="P208" i="29"/>
  <c r="O148" i="29"/>
  <c r="AE20" i="29"/>
  <c r="AE18" i="29" s="1"/>
  <c r="AE161" i="29" s="1"/>
  <c r="AE142" i="24"/>
  <c r="AJ104" i="12"/>
  <c r="AE55" i="24" s="1"/>
  <c r="AE74" i="29" s="1"/>
  <c r="BA8" i="24"/>
  <c r="BA17" i="24" s="1"/>
  <c r="BA43" i="25"/>
  <c r="BB40" i="25"/>
  <c r="W102" i="12"/>
  <c r="W101" i="12"/>
  <c r="Q46" i="24"/>
  <c r="V10" i="12"/>
  <c r="AX24" i="29" l="1"/>
  <c r="AJ140" i="32" s="1"/>
  <c r="AY41" i="29"/>
  <c r="AY39" i="29" s="1"/>
  <c r="AY24" i="29" s="1"/>
  <c r="AK140" i="32" s="1"/>
  <c r="AY153" i="24"/>
  <c r="BC56" i="25"/>
  <c r="BB41" i="25"/>
  <c r="Q129" i="24"/>
  <c r="AZ26" i="24"/>
  <c r="AY39" i="24"/>
  <c r="AY40" i="24" s="1"/>
  <c r="AY41" i="24" s="1"/>
  <c r="AG53" i="25"/>
  <c r="AG13" i="24"/>
  <c r="AH52" i="25"/>
  <c r="AG38" i="25"/>
  <c r="AG32" i="25" s="1"/>
  <c r="BA11" i="29"/>
  <c r="BA9" i="29" s="1"/>
  <c r="BA156" i="29" s="1"/>
  <c r="BA137" i="24"/>
  <c r="BA26" i="29"/>
  <c r="Q189" i="24"/>
  <c r="W19" i="12"/>
  <c r="R51" i="24"/>
  <c r="W94" i="12"/>
  <c r="AX35" i="24"/>
  <c r="R52" i="24"/>
  <c r="BB8" i="24"/>
  <c r="BB17" i="24" s="1"/>
  <c r="BB43" i="25"/>
  <c r="BC40" i="25"/>
  <c r="AF20" i="29"/>
  <c r="AF18" i="29" s="1"/>
  <c r="AF161" i="29" s="1"/>
  <c r="AF142" i="24"/>
  <c r="AK104" i="12"/>
  <c r="AF55" i="24" s="1"/>
  <c r="AF74" i="29" s="1"/>
  <c r="P148" i="29"/>
  <c r="AY172" i="29" l="1"/>
  <c r="BD56" i="25"/>
  <c r="BC41" i="25"/>
  <c r="Q148" i="29"/>
  <c r="R71" i="29"/>
  <c r="AX56" i="29"/>
  <c r="AX54" i="29" s="1"/>
  <c r="BC16" i="12"/>
  <c r="BC8" i="24"/>
  <c r="BC17" i="24" s="1"/>
  <c r="BC43" i="25"/>
  <c r="BD40" i="25"/>
  <c r="BA26" i="24"/>
  <c r="R70" i="29"/>
  <c r="AH13" i="24"/>
  <c r="AH53" i="25"/>
  <c r="AH38" i="25"/>
  <c r="AH32" i="25" s="1"/>
  <c r="AI52" i="25"/>
  <c r="R129" i="24"/>
  <c r="AG20" i="29"/>
  <c r="AG18" i="29" s="1"/>
  <c r="AG161" i="29" s="1"/>
  <c r="AG142" i="24"/>
  <c r="AL104" i="12"/>
  <c r="AG55" i="24" s="1"/>
  <c r="AG74" i="29" s="1"/>
  <c r="BB11" i="29"/>
  <c r="BB9" i="29" s="1"/>
  <c r="BB156" i="29" s="1"/>
  <c r="BB26" i="29"/>
  <c r="BB137" i="24"/>
  <c r="AZ41" i="29"/>
  <c r="AZ39" i="29" s="1"/>
  <c r="AZ153" i="24"/>
  <c r="AZ37" i="24"/>
  <c r="X102" i="12"/>
  <c r="S52" i="24" s="1"/>
  <c r="S71" i="29" s="1"/>
  <c r="X101" i="12"/>
  <c r="R46" i="24"/>
  <c r="W10" i="12"/>
  <c r="Q208" i="29"/>
  <c r="AY35" i="24"/>
  <c r="BE56" i="25" l="1"/>
  <c r="BD41" i="25"/>
  <c r="BB26" i="24"/>
  <c r="BB153" i="24" s="1"/>
  <c r="AZ172" i="29"/>
  <c r="AZ24" i="29"/>
  <c r="AL140" i="32" s="1"/>
  <c r="S51" i="24"/>
  <c r="X94" i="12"/>
  <c r="S129" i="24"/>
  <c r="BA41" i="29"/>
  <c r="BA39" i="29" s="1"/>
  <c r="BA153" i="24"/>
  <c r="BA37" i="24"/>
  <c r="AI53" i="25"/>
  <c r="AI13" i="24"/>
  <c r="AI38" i="25"/>
  <c r="AI32" i="25" s="1"/>
  <c r="AJ52" i="25"/>
  <c r="AZ39" i="24"/>
  <c r="AZ40" i="24" s="1"/>
  <c r="AZ41" i="24" s="1"/>
  <c r="BD8" i="24"/>
  <c r="BD17" i="24" s="1"/>
  <c r="BD43" i="25"/>
  <c r="BE40" i="25"/>
  <c r="AY56" i="29"/>
  <c r="AY54" i="29" s="1"/>
  <c r="BD16" i="12"/>
  <c r="R148" i="29"/>
  <c r="R189" i="24"/>
  <c r="X19" i="12"/>
  <c r="AH20" i="29"/>
  <c r="AH18" i="29" s="1"/>
  <c r="AH161" i="29" s="1"/>
  <c r="AH142" i="24"/>
  <c r="BC137" i="24"/>
  <c r="BC11" i="29"/>
  <c r="BC9" i="29" s="1"/>
  <c r="BC156" i="29" s="1"/>
  <c r="BC26" i="29"/>
  <c r="BB37" i="24" l="1"/>
  <c r="BB39" i="24" s="1"/>
  <c r="BF56" i="25"/>
  <c r="BE41" i="25"/>
  <c r="BB41" i="29"/>
  <c r="BB39" i="29" s="1"/>
  <c r="BB172" i="29" s="1"/>
  <c r="BC26" i="24"/>
  <c r="BC41" i="29" s="1"/>
  <c r="BC39" i="29" s="1"/>
  <c r="AJ13" i="24"/>
  <c r="AJ53" i="25"/>
  <c r="AK52" i="25"/>
  <c r="BA172" i="29"/>
  <c r="BA24" i="29"/>
  <c r="AM140" i="32" s="1"/>
  <c r="Y102" i="12"/>
  <c r="T52" i="24" s="1"/>
  <c r="T71" i="29" s="1"/>
  <c r="Y101" i="12"/>
  <c r="X10" i="12"/>
  <c r="S46" i="24"/>
  <c r="AI20" i="29"/>
  <c r="AI18" i="29" s="1"/>
  <c r="AI161" i="29" s="1"/>
  <c r="AI142" i="24"/>
  <c r="T129" i="24"/>
  <c r="R208" i="29"/>
  <c r="AZ35" i="24"/>
  <c r="BE8" i="24"/>
  <c r="BE17" i="24" s="1"/>
  <c r="BE43" i="25"/>
  <c r="BF40" i="25"/>
  <c r="BF41" i="25" s="1"/>
  <c r="S70" i="29"/>
  <c r="S148" i="29"/>
  <c r="BD11" i="29"/>
  <c r="BD9" i="29" s="1"/>
  <c r="BD156" i="29" s="1"/>
  <c r="BD26" i="29"/>
  <c r="BD137" i="24"/>
  <c r="BA39" i="24"/>
  <c r="BA40" i="24" s="1"/>
  <c r="BA41" i="24" s="1"/>
  <c r="BB24" i="29" l="1"/>
  <c r="AN140" i="32" s="1"/>
  <c r="BC37" i="24"/>
  <c r="BC39" i="24" s="1"/>
  <c r="BC40" i="24" s="1"/>
  <c r="BC41" i="24" s="1"/>
  <c r="BC153" i="24"/>
  <c r="BD26" i="24"/>
  <c r="BD37" i="24" s="1"/>
  <c r="BC172" i="29"/>
  <c r="BC24" i="29"/>
  <c r="AO140" i="32" s="1"/>
  <c r="BE11" i="29"/>
  <c r="BE9" i="29" s="1"/>
  <c r="BE156" i="29" s="1"/>
  <c r="BE26" i="29"/>
  <c r="BE137" i="24"/>
  <c r="T51" i="24"/>
  <c r="Y94" i="12"/>
  <c r="AZ56" i="29"/>
  <c r="AZ54" i="29" s="1"/>
  <c r="BE16" i="12"/>
  <c r="BF43" i="25"/>
  <c r="BF8" i="24"/>
  <c r="BF17" i="24" s="1"/>
  <c r="BG40" i="25"/>
  <c r="BG41" i="25" s="1"/>
  <c r="AK53" i="25"/>
  <c r="AK13" i="24"/>
  <c r="AL52" i="25"/>
  <c r="BA35" i="24"/>
  <c r="AJ20" i="29"/>
  <c r="AJ18" i="29" s="1"/>
  <c r="AJ161" i="29" s="1"/>
  <c r="AJ142" i="24"/>
  <c r="T148" i="29"/>
  <c r="BG56" i="25"/>
  <c r="S189" i="24"/>
  <c r="Y19" i="12"/>
  <c r="U129" i="24"/>
  <c r="BB40" i="24"/>
  <c r="BB41" i="24" s="1"/>
  <c r="BB35" i="24" s="1"/>
  <c r="BD153" i="24" l="1"/>
  <c r="BD41" i="29"/>
  <c r="BD39" i="29" s="1"/>
  <c r="BD172" i="29" s="1"/>
  <c r="BH56" i="25"/>
  <c r="BB56" i="29"/>
  <c r="BB54" i="29" s="1"/>
  <c r="BG16" i="12"/>
  <c r="Z102" i="12"/>
  <c r="U52" i="24" s="1"/>
  <c r="U71" i="29" s="1"/>
  <c r="Z101" i="12"/>
  <c r="T46" i="24"/>
  <c r="Y10" i="12"/>
  <c r="BD39" i="24"/>
  <c r="S208" i="29"/>
  <c r="AL13" i="24"/>
  <c r="AL53" i="25"/>
  <c r="AM52" i="25"/>
  <c r="BA56" i="29"/>
  <c r="BA54" i="29" s="1"/>
  <c r="BF16" i="12"/>
  <c r="BF11" i="29"/>
  <c r="BF9" i="29" s="1"/>
  <c r="BF156" i="29" s="1"/>
  <c r="BF137" i="24"/>
  <c r="BF26" i="29"/>
  <c r="T70" i="29"/>
  <c r="U148" i="29"/>
  <c r="AK20" i="29"/>
  <c r="AK18" i="29" s="1"/>
  <c r="AK161" i="29" s="1"/>
  <c r="AK142" i="24"/>
  <c r="V129" i="24"/>
  <c r="BC35" i="24"/>
  <c r="BG43" i="25"/>
  <c r="BG8" i="24"/>
  <c r="BH40" i="25"/>
  <c r="BH41" i="25" s="1"/>
  <c r="BE26" i="24"/>
  <c r="BG17" i="24" l="1"/>
  <c r="BG26" i="29" s="1"/>
  <c r="BD24" i="29"/>
  <c r="AP140" i="32" s="1"/>
  <c r="BF26" i="24"/>
  <c r="BF37" i="24" s="1"/>
  <c r="U51" i="24"/>
  <c r="Z94" i="12"/>
  <c r="BH8" i="24"/>
  <c r="BH17" i="24" s="1"/>
  <c r="BH43" i="25"/>
  <c r="BI40" i="25"/>
  <c r="BI41" i="25" s="1"/>
  <c r="BG11" i="29"/>
  <c r="BG9" i="29" s="1"/>
  <c r="BG156" i="29" s="1"/>
  <c r="BG137" i="24"/>
  <c r="V148" i="29"/>
  <c r="BC56" i="29"/>
  <c r="BC54" i="29" s="1"/>
  <c r="BH16" i="12"/>
  <c r="BD40" i="24"/>
  <c r="BD41" i="24" s="1"/>
  <c r="BD35" i="24" s="1"/>
  <c r="AL20" i="29"/>
  <c r="AL18" i="29" s="1"/>
  <c r="AL161" i="29" s="1"/>
  <c r="AL142" i="24"/>
  <c r="BI56" i="25"/>
  <c r="BE153" i="24"/>
  <c r="BE41" i="29"/>
  <c r="BE39" i="29" s="1"/>
  <c r="BE37" i="24"/>
  <c r="W129" i="24"/>
  <c r="AM53" i="25"/>
  <c r="AM13" i="24"/>
  <c r="AN52" i="25"/>
  <c r="T189" i="24"/>
  <c r="Z19" i="12"/>
  <c r="BF41" i="29" l="1"/>
  <c r="BF39" i="29" s="1"/>
  <c r="BF172" i="29" s="1"/>
  <c r="BF153" i="24"/>
  <c r="BG26" i="24"/>
  <c r="BG41" i="29" s="1"/>
  <c r="BG39" i="29" s="1"/>
  <c r="BD56" i="29"/>
  <c r="BD54" i="29" s="1"/>
  <c r="BI16" i="12"/>
  <c r="BI8" i="24"/>
  <c r="BI17" i="24" s="1"/>
  <c r="BI43" i="25"/>
  <c r="BJ40" i="25"/>
  <c r="BJ41" i="25" s="1"/>
  <c r="X129" i="24"/>
  <c r="AA102" i="12"/>
  <c r="V52" i="24" s="1"/>
  <c r="V71" i="29" s="1"/>
  <c r="Z10" i="12"/>
  <c r="U46" i="24"/>
  <c r="AA101" i="12"/>
  <c r="T208" i="29"/>
  <c r="BE39" i="24"/>
  <c r="BE40" i="24" s="1"/>
  <c r="BE41" i="24" s="1"/>
  <c r="W148" i="29"/>
  <c r="U70" i="29"/>
  <c r="BJ56" i="25"/>
  <c r="AN13" i="24"/>
  <c r="AN53" i="25"/>
  <c r="AO52" i="25"/>
  <c r="BE24" i="29"/>
  <c r="AQ140" i="32" s="1"/>
  <c r="BE172" i="29"/>
  <c r="AM20" i="29"/>
  <c r="AM18" i="29" s="1"/>
  <c r="AM161" i="29" s="1"/>
  <c r="AM142" i="24"/>
  <c r="BH11" i="29"/>
  <c r="BH9" i="29" s="1"/>
  <c r="BH156" i="29" s="1"/>
  <c r="BH137" i="24"/>
  <c r="BH26" i="29"/>
  <c r="BF39" i="24"/>
  <c r="BG153" i="24" l="1"/>
  <c r="BF24" i="29"/>
  <c r="AR140" i="32" s="1"/>
  <c r="BG37" i="24"/>
  <c r="BG39" i="24" s="1"/>
  <c r="BG172" i="29"/>
  <c r="BG24" i="29"/>
  <c r="AS140" i="32" s="1"/>
  <c r="BI137" i="24"/>
  <c r="BI11" i="29"/>
  <c r="BI9" i="29" s="1"/>
  <c r="BI156" i="29" s="1"/>
  <c r="BI26" i="29"/>
  <c r="U189" i="24"/>
  <c r="AA19" i="12"/>
  <c r="AO53" i="25"/>
  <c r="AO13" i="24"/>
  <c r="AP52" i="25"/>
  <c r="V51" i="24"/>
  <c r="AA94" i="12"/>
  <c r="BE35" i="24"/>
  <c r="Y129" i="24"/>
  <c r="BH26" i="24"/>
  <c r="X148" i="29"/>
  <c r="BJ8" i="24"/>
  <c r="BJ17" i="24" s="1"/>
  <c r="BJ43" i="25"/>
  <c r="BK40" i="25"/>
  <c r="BK41" i="25" s="1"/>
  <c r="BF40" i="24"/>
  <c r="BF41" i="24" s="1"/>
  <c r="BF35" i="24" s="1"/>
  <c r="AN20" i="29"/>
  <c r="AN18" i="29" s="1"/>
  <c r="AN161" i="29" s="1"/>
  <c r="AN142" i="24"/>
  <c r="BK56" i="25"/>
  <c r="BI26" i="24" l="1"/>
  <c r="BI37" i="24" s="1"/>
  <c r="BF56" i="29"/>
  <c r="BF54" i="29" s="1"/>
  <c r="BK16" i="12"/>
  <c r="BK43" i="25"/>
  <c r="BK8" i="24"/>
  <c r="BK17" i="24" s="1"/>
  <c r="BL40" i="25"/>
  <c r="BL41" i="25" s="1"/>
  <c r="AB102" i="12"/>
  <c r="W52" i="24" s="1"/>
  <c r="W71" i="29" s="1"/>
  <c r="AA10" i="12"/>
  <c r="AB101" i="12"/>
  <c r="V46" i="24"/>
  <c r="V70" i="29"/>
  <c r="BH41" i="29"/>
  <c r="BH39" i="29" s="1"/>
  <c r="BH153" i="24"/>
  <c r="BH37" i="24"/>
  <c r="BL56" i="25"/>
  <c r="AP13" i="24"/>
  <c r="AP53" i="25"/>
  <c r="AQ52" i="25"/>
  <c r="Z129" i="24"/>
  <c r="AO20" i="29"/>
  <c r="AO18" i="29" s="1"/>
  <c r="AO161" i="29" s="1"/>
  <c r="AO142" i="24"/>
  <c r="Y148" i="29"/>
  <c r="U208" i="29"/>
  <c r="BJ11" i="29"/>
  <c r="BJ9" i="29" s="1"/>
  <c r="BJ156" i="29" s="1"/>
  <c r="BJ137" i="24"/>
  <c r="BJ26" i="29"/>
  <c r="BG40" i="24"/>
  <c r="BG41" i="24" s="1"/>
  <c r="BG35" i="24" s="1"/>
  <c r="BE56" i="29"/>
  <c r="BE54" i="29" s="1"/>
  <c r="BJ16" i="12"/>
  <c r="BI41" i="29" l="1"/>
  <c r="BI39" i="29" s="1"/>
  <c r="BI24" i="29" s="1"/>
  <c r="AU140" i="32" s="1"/>
  <c r="BI153" i="24"/>
  <c r="BJ26" i="24"/>
  <c r="BJ41" i="29" s="1"/>
  <c r="BJ39" i="29" s="1"/>
  <c r="BM56" i="25"/>
  <c r="AA129" i="24"/>
  <c r="BI39" i="24"/>
  <c r="BI40" i="24" s="1"/>
  <c r="BI41" i="24" s="1"/>
  <c r="W51" i="24"/>
  <c r="AB94" i="12"/>
  <c r="BG56" i="29"/>
  <c r="BG54" i="29" s="1"/>
  <c r="BL16" i="12"/>
  <c r="BK11" i="29"/>
  <c r="BK9" i="29" s="1"/>
  <c r="BK156" i="29" s="1"/>
  <c r="BK26" i="29"/>
  <c r="BK137" i="24"/>
  <c r="BH39" i="24"/>
  <c r="BH40" i="24" s="1"/>
  <c r="BH41" i="24" s="1"/>
  <c r="Z148" i="29"/>
  <c r="BH24" i="29"/>
  <c r="AT140" i="32" s="1"/>
  <c r="BH172" i="29"/>
  <c r="V189" i="24"/>
  <c r="AB19" i="12"/>
  <c r="AQ13" i="24"/>
  <c r="AQ53" i="25"/>
  <c r="AR52" i="25"/>
  <c r="AP20" i="29"/>
  <c r="AP18" i="29" s="1"/>
  <c r="AP161" i="29" s="1"/>
  <c r="AP142" i="24"/>
  <c r="BL43" i="25"/>
  <c r="BL8" i="24"/>
  <c r="BL17" i="24" s="1"/>
  <c r="BM40" i="25"/>
  <c r="BM41" i="25" s="1"/>
  <c r="BI172" i="29" l="1"/>
  <c r="BJ37" i="24"/>
  <c r="BJ39" i="24" s="1"/>
  <c r="BJ40" i="24" s="1"/>
  <c r="BJ41" i="24" s="1"/>
  <c r="BJ153" i="24"/>
  <c r="BK26" i="24"/>
  <c r="BK153" i="24" s="1"/>
  <c r="W46" i="24"/>
  <c r="W189" i="24" s="1"/>
  <c r="AC101" i="12"/>
  <c r="AC102" i="12"/>
  <c r="X52" i="24" s="1"/>
  <c r="X71" i="29" s="1"/>
  <c r="AB10" i="12"/>
  <c r="BH35" i="24"/>
  <c r="BJ172" i="29"/>
  <c r="BJ24" i="29"/>
  <c r="AV140" i="32" s="1"/>
  <c r="BI35" i="24"/>
  <c r="BM43" i="25"/>
  <c r="X41" i="25" s="1"/>
  <c r="BM8" i="24"/>
  <c r="AQ20" i="29"/>
  <c r="AQ18" i="29" s="1"/>
  <c r="AQ161" i="29" s="1"/>
  <c r="AQ142" i="24"/>
  <c r="BL137" i="24"/>
  <c r="BL11" i="29"/>
  <c r="BL9" i="29" s="1"/>
  <c r="BL156" i="29" s="1"/>
  <c r="BL26" i="29"/>
  <c r="W70" i="29"/>
  <c r="V208" i="29"/>
  <c r="AA148" i="29"/>
  <c r="AB129" i="24"/>
  <c r="AR53" i="25"/>
  <c r="AR13" i="24"/>
  <c r="AS52" i="25"/>
  <c r="BM17" i="24" l="1"/>
  <c r="BM26" i="29" s="1"/>
  <c r="Y41" i="25"/>
  <c r="X42" i="25"/>
  <c r="X17" i="24" s="1"/>
  <c r="X26" i="29" s="1"/>
  <c r="BK37" i="24"/>
  <c r="BK39" i="24" s="1"/>
  <c r="BK41" i="29"/>
  <c r="BK39" i="29" s="1"/>
  <c r="BK24" i="29" s="1"/>
  <c r="AW140" i="32" s="1"/>
  <c r="BL26" i="24"/>
  <c r="BM11" i="29"/>
  <c r="BM137" i="24"/>
  <c r="E137" i="24" s="1"/>
  <c r="AS63" i="25"/>
  <c r="E8" i="24"/>
  <c r="BI56" i="29"/>
  <c r="BI54" i="29" s="1"/>
  <c r="BN16" i="12"/>
  <c r="BH56" i="29"/>
  <c r="BH54" i="29" s="1"/>
  <c r="BM16" i="12"/>
  <c r="X51" i="24"/>
  <c r="AC94" i="12"/>
  <c r="AC129" i="24"/>
  <c r="AS53" i="25"/>
  <c r="AS13" i="24"/>
  <c r="D52" i="25"/>
  <c r="C52" i="25"/>
  <c r="AT52" i="25"/>
  <c r="AB148" i="29"/>
  <c r="AR20" i="29"/>
  <c r="AR18" i="29" s="1"/>
  <c r="AR161" i="29" s="1"/>
  <c r="AR142" i="24"/>
  <c r="BJ35" i="24"/>
  <c r="W208" i="29"/>
  <c r="X26" i="24" l="1"/>
  <c r="X41" i="29" s="1"/>
  <c r="Z41" i="25"/>
  <c r="Y42" i="25"/>
  <c r="Y17" i="24" s="1"/>
  <c r="Y26" i="29" s="1"/>
  <c r="BK172" i="29"/>
  <c r="AT63" i="25"/>
  <c r="BM26" i="24"/>
  <c r="BM9" i="29"/>
  <c r="U28" i="21" s="1"/>
  <c r="E11" i="29"/>
  <c r="AS20" i="29"/>
  <c r="AS18" i="29" s="1"/>
  <c r="AS142" i="24"/>
  <c r="G134" i="24"/>
  <c r="H134" i="24" s="1"/>
  <c r="I134" i="24" s="1"/>
  <c r="AD129" i="24"/>
  <c r="BK40" i="24"/>
  <c r="BK41" i="24" s="1"/>
  <c r="BK35" i="24" s="1"/>
  <c r="X70" i="29"/>
  <c r="AC148" i="29"/>
  <c r="BJ56" i="29"/>
  <c r="BJ54" i="29" s="1"/>
  <c r="BO16" i="12"/>
  <c r="AT53" i="25"/>
  <c r="AT13" i="24"/>
  <c r="AU52" i="25"/>
  <c r="BL41" i="29"/>
  <c r="BL39" i="29" s="1"/>
  <c r="BL37" i="24"/>
  <c r="BL153" i="24"/>
  <c r="X37" i="24" l="1"/>
  <c r="X39" i="24" s="1"/>
  <c r="X40" i="24" s="1"/>
  <c r="X41" i="24" s="1"/>
  <c r="X153" i="24"/>
  <c r="Y26" i="24"/>
  <c r="Y41" i="29" s="1"/>
  <c r="Y39" i="29" s="1"/>
  <c r="AA41" i="25"/>
  <c r="Z42" i="25"/>
  <c r="Z17" i="24" s="1"/>
  <c r="Z26" i="24" s="1"/>
  <c r="BK56" i="29"/>
  <c r="BK54" i="29" s="1"/>
  <c r="BP16" i="12"/>
  <c r="BL39" i="24"/>
  <c r="J134" i="24"/>
  <c r="K134" i="24" s="1"/>
  <c r="L134" i="24" s="1"/>
  <c r="BM41" i="29"/>
  <c r="BM39" i="29" s="1"/>
  <c r="BM37" i="24"/>
  <c r="BM153" i="24"/>
  <c r="AS161" i="29"/>
  <c r="G153" i="29"/>
  <c r="X39" i="29"/>
  <c r="AU53" i="25"/>
  <c r="AU13" i="24"/>
  <c r="AV52" i="25"/>
  <c r="AD148" i="29"/>
  <c r="BL24" i="29"/>
  <c r="AX140" i="32" s="1"/>
  <c r="BL172" i="29"/>
  <c r="BM156" i="29"/>
  <c r="E156" i="29" s="1"/>
  <c r="E9" i="29"/>
  <c r="AT20" i="29"/>
  <c r="AT18" i="29" s="1"/>
  <c r="AT161" i="29" s="1"/>
  <c r="AT142" i="24"/>
  <c r="AE129" i="24"/>
  <c r="Y37" i="24" l="1"/>
  <c r="Y39" i="24" s="1"/>
  <c r="Y40" i="24" s="1"/>
  <c r="Y41" i="24" s="1"/>
  <c r="Y153" i="24"/>
  <c r="Z26" i="29"/>
  <c r="AB41" i="25"/>
  <c r="AA42" i="25"/>
  <c r="AA17" i="24" s="1"/>
  <c r="AA26" i="24" s="1"/>
  <c r="M134" i="24"/>
  <c r="N134" i="24" s="1"/>
  <c r="O134" i="24" s="1"/>
  <c r="Z41" i="29"/>
  <c r="Z153" i="24"/>
  <c r="Z37" i="24"/>
  <c r="BM172" i="29"/>
  <c r="BM24" i="29"/>
  <c r="AY140" i="32" s="1"/>
  <c r="X35" i="24"/>
  <c r="AU20" i="29"/>
  <c r="AU18" i="29" s="1"/>
  <c r="AU161" i="29" s="1"/>
  <c r="AU142" i="24"/>
  <c r="Y172" i="29"/>
  <c r="Y24" i="29"/>
  <c r="K140" i="32" s="1"/>
  <c r="AV53" i="25"/>
  <c r="AV13" i="24"/>
  <c r="AW52" i="25"/>
  <c r="H153" i="29"/>
  <c r="AF129" i="24"/>
  <c r="AE148" i="29"/>
  <c r="X24" i="29"/>
  <c r="J140" i="32" s="1"/>
  <c r="X172" i="29"/>
  <c r="BM39" i="24"/>
  <c r="BM40" i="24" s="1"/>
  <c r="BM41" i="24" s="1"/>
  <c r="BL40" i="24"/>
  <c r="BL41" i="24" s="1"/>
  <c r="BL35" i="24" s="1"/>
  <c r="AA26" i="29" l="1"/>
  <c r="AC41" i="25"/>
  <c r="AB42" i="25"/>
  <c r="AB17" i="24" s="1"/>
  <c r="AB26" i="29" s="1"/>
  <c r="BL56" i="29"/>
  <c r="BL54" i="29" s="1"/>
  <c r="BQ16" i="12"/>
  <c r="AW53" i="25"/>
  <c r="AW13" i="24"/>
  <c r="AX52" i="25"/>
  <c r="Y35" i="24"/>
  <c r="AF148" i="29"/>
  <c r="AV20" i="29"/>
  <c r="AV18" i="29" s="1"/>
  <c r="AV161" i="29" s="1"/>
  <c r="AV142" i="24"/>
  <c r="X56" i="29"/>
  <c r="AC16" i="12"/>
  <c r="I153" i="29"/>
  <c r="Z39" i="24"/>
  <c r="Z40" i="24" s="1"/>
  <c r="Z41" i="24" s="1"/>
  <c r="BM35" i="24"/>
  <c r="P134" i="24"/>
  <c r="Q134" i="24" s="1"/>
  <c r="AG129" i="24"/>
  <c r="AA41" i="29"/>
  <c r="AA39" i="29" s="1"/>
  <c r="AA153" i="24"/>
  <c r="AA37" i="24"/>
  <c r="Z39" i="29"/>
  <c r="AB26" i="24" l="1"/>
  <c r="AB41" i="29" s="1"/>
  <c r="AD41" i="25"/>
  <c r="AC42" i="25"/>
  <c r="AC17" i="24" s="1"/>
  <c r="AC26" i="29" s="1"/>
  <c r="AH129" i="24"/>
  <c r="AG148" i="29"/>
  <c r="J153" i="29"/>
  <c r="K153" i="29" s="1"/>
  <c r="AA39" i="24"/>
  <c r="AA40" i="24" s="1"/>
  <c r="AA41" i="24" s="1"/>
  <c r="Z35" i="24"/>
  <c r="X54" i="29"/>
  <c r="BR16" i="12"/>
  <c r="BM56" i="29"/>
  <c r="BM54" i="29" s="1"/>
  <c r="R134" i="24"/>
  <c r="AA24" i="29"/>
  <c r="M140" i="32" s="1"/>
  <c r="AA172" i="29"/>
  <c r="Y56" i="29"/>
  <c r="Y54" i="29" s="1"/>
  <c r="AD16" i="12"/>
  <c r="AX53" i="25"/>
  <c r="AX13" i="24"/>
  <c r="AY52" i="25"/>
  <c r="Z172" i="29"/>
  <c r="Z24" i="29"/>
  <c r="L140" i="32" s="1"/>
  <c r="AW20" i="29"/>
  <c r="AW18" i="29" s="1"/>
  <c r="AW161" i="29" s="1"/>
  <c r="AW142" i="24"/>
  <c r="AB37" i="24" l="1"/>
  <c r="AB39" i="24" s="1"/>
  <c r="AB153" i="24"/>
  <c r="AC26" i="24"/>
  <c r="AC37" i="24" s="1"/>
  <c r="AE41" i="25"/>
  <c r="AD42" i="25"/>
  <c r="AD17" i="24" s="1"/>
  <c r="AD26" i="24" s="1"/>
  <c r="AH148" i="29"/>
  <c r="AY53" i="25"/>
  <c r="AY13" i="24"/>
  <c r="AZ52" i="25"/>
  <c r="S134" i="24"/>
  <c r="T134" i="24" s="1"/>
  <c r="U134" i="24" s="1"/>
  <c r="V134" i="24" s="1"/>
  <c r="W134" i="24" s="1"/>
  <c r="X134" i="24" s="1"/>
  <c r="AI129" i="24"/>
  <c r="AX20" i="29"/>
  <c r="AX18" i="29" s="1"/>
  <c r="AX161" i="29" s="1"/>
  <c r="AX142" i="24"/>
  <c r="AX22" i="24"/>
  <c r="AX35" i="29" s="1"/>
  <c r="Z56" i="29"/>
  <c r="Z54" i="29" s="1"/>
  <c r="AE16" i="12"/>
  <c r="AB39" i="29"/>
  <c r="AA35" i="24"/>
  <c r="L153" i="29"/>
  <c r="AC41" i="29" l="1"/>
  <c r="AC39" i="29" s="1"/>
  <c r="AC172" i="29" s="1"/>
  <c r="AC153" i="24"/>
  <c r="AD26" i="29"/>
  <c r="AF41" i="25"/>
  <c r="AE42" i="25"/>
  <c r="AE17" i="24" s="1"/>
  <c r="AE26" i="24" s="1"/>
  <c r="AA56" i="29"/>
  <c r="AA54" i="29" s="1"/>
  <c r="AF16" i="12"/>
  <c r="AZ13" i="24"/>
  <c r="AZ53" i="25"/>
  <c r="BA52" i="25"/>
  <c r="AY20" i="29"/>
  <c r="AY18" i="29" s="1"/>
  <c r="AY161" i="29" s="1"/>
  <c r="AY22" i="24"/>
  <c r="AY35" i="29" s="1"/>
  <c r="AY142" i="24"/>
  <c r="AI148" i="29"/>
  <c r="AD41" i="29"/>
  <c r="AD37" i="24"/>
  <c r="AD153" i="24"/>
  <c r="AB24" i="29"/>
  <c r="N140" i="32" s="1"/>
  <c r="AB172" i="29"/>
  <c r="M153" i="29"/>
  <c r="AC39" i="24"/>
  <c r="AC40" i="24" s="1"/>
  <c r="AJ129" i="24"/>
  <c r="AB40" i="24"/>
  <c r="AB41" i="24" s="1"/>
  <c r="AX31" i="24"/>
  <c r="Y134" i="24"/>
  <c r="Z134" i="24" s="1"/>
  <c r="AA134" i="24" s="1"/>
  <c r="AB134" i="24" s="1"/>
  <c r="AC134" i="24" s="1"/>
  <c r="AD134" i="24" s="1"/>
  <c r="AE134" i="24" s="1"/>
  <c r="AF134" i="24" s="1"/>
  <c r="AG134" i="24" s="1"/>
  <c r="AH134" i="24" s="1"/>
  <c r="AI134" i="24" s="1"/>
  <c r="AJ134" i="24" s="1"/>
  <c r="AK134" i="24" s="1"/>
  <c r="AL134" i="24" s="1"/>
  <c r="AM134" i="24" s="1"/>
  <c r="AN134" i="24" s="1"/>
  <c r="AO134" i="24" s="1"/>
  <c r="AP134" i="24" s="1"/>
  <c r="AQ134" i="24" s="1"/>
  <c r="AR134" i="24" s="1"/>
  <c r="AS134" i="24" s="1"/>
  <c r="AT134" i="24" s="1"/>
  <c r="AU134" i="24" s="1"/>
  <c r="AV134" i="24" s="1"/>
  <c r="AW134" i="24" s="1"/>
  <c r="AX134" i="24" s="1"/>
  <c r="AY134" i="24" s="1"/>
  <c r="AZ134" i="24" s="1"/>
  <c r="BA134" i="24" s="1"/>
  <c r="BB134" i="24" s="1"/>
  <c r="BC134" i="24" s="1"/>
  <c r="BD134" i="24" s="1"/>
  <c r="BE134" i="24" s="1"/>
  <c r="BF134" i="24" s="1"/>
  <c r="BG134" i="24" s="1"/>
  <c r="BH134" i="24" s="1"/>
  <c r="BI134" i="24" s="1"/>
  <c r="BJ134" i="24" s="1"/>
  <c r="BK134" i="24" s="1"/>
  <c r="BL134" i="24" s="1"/>
  <c r="BM134" i="24" s="1"/>
  <c r="E134" i="24" s="1"/>
  <c r="AC24" i="29" l="1"/>
  <c r="O140" i="32" s="1"/>
  <c r="AY31" i="24"/>
  <c r="AY158" i="24" s="1"/>
  <c r="AE26" i="29"/>
  <c r="AG41" i="25"/>
  <c r="AF42" i="25"/>
  <c r="AF17" i="24" s="1"/>
  <c r="AF26" i="29" s="1"/>
  <c r="AC41" i="24"/>
  <c r="AC35" i="24" s="1"/>
  <c r="AB35" i="24"/>
  <c r="AX65" i="29"/>
  <c r="AX63" i="29" s="1"/>
  <c r="AX50" i="29"/>
  <c r="AX48" i="29" s="1"/>
  <c r="AX158" i="24"/>
  <c r="AX118" i="24"/>
  <c r="AY50" i="29"/>
  <c r="AY48" i="29" s="1"/>
  <c r="AK129" i="24"/>
  <c r="AE41" i="29"/>
  <c r="AE39" i="29" s="1"/>
  <c r="AE37" i="24"/>
  <c r="AE153" i="24"/>
  <c r="BA53" i="25"/>
  <c r="BA13" i="24"/>
  <c r="BB52" i="25"/>
  <c r="AD39" i="24"/>
  <c r="AD40" i="24" s="1"/>
  <c r="AD39" i="29"/>
  <c r="AZ20" i="29"/>
  <c r="AZ18" i="29" s="1"/>
  <c r="AZ161" i="29" s="1"/>
  <c r="AZ142" i="24"/>
  <c r="AZ22" i="24"/>
  <c r="AZ35" i="29" s="1"/>
  <c r="AJ148" i="29"/>
  <c r="N153" i="29"/>
  <c r="AY65" i="29" l="1"/>
  <c r="AY63" i="29" s="1"/>
  <c r="AY118" i="24"/>
  <c r="AF26" i="24"/>
  <c r="AF37" i="24" s="1"/>
  <c r="AH41" i="25"/>
  <c r="AG42" i="25"/>
  <c r="AG17" i="24" s="1"/>
  <c r="AG26" i="24" s="1"/>
  <c r="AL129" i="24"/>
  <c r="AC56" i="29"/>
  <c r="AC54" i="29" s="1"/>
  <c r="AH16" i="12"/>
  <c r="AD24" i="29"/>
  <c r="P140" i="32" s="1"/>
  <c r="AD172" i="29"/>
  <c r="AB56" i="29"/>
  <c r="AG16" i="12"/>
  <c r="AD41" i="24"/>
  <c r="AZ31" i="24"/>
  <c r="AE39" i="24"/>
  <c r="AE40" i="24" s="1"/>
  <c r="AY137" i="29"/>
  <c r="AY33" i="29"/>
  <c r="AY177" i="29"/>
  <c r="O153" i="29"/>
  <c r="P153" i="29" s="1"/>
  <c r="Q153" i="29" s="1"/>
  <c r="R153" i="29" s="1"/>
  <c r="S153" i="29" s="1"/>
  <c r="T153" i="29" s="1"/>
  <c r="U153" i="29" s="1"/>
  <c r="V153" i="29" s="1"/>
  <c r="W153" i="29" s="1"/>
  <c r="X153" i="29" s="1"/>
  <c r="Y153" i="29" s="1"/>
  <c r="Z153" i="29" s="1"/>
  <c r="AA153" i="29" s="1"/>
  <c r="AB153" i="29" s="1"/>
  <c r="AC153" i="29" s="1"/>
  <c r="AD153" i="29" s="1"/>
  <c r="AE153" i="29" s="1"/>
  <c r="AF153" i="29" s="1"/>
  <c r="AG153" i="29" s="1"/>
  <c r="AH153" i="29" s="1"/>
  <c r="AI153" i="29" s="1"/>
  <c r="AJ153" i="29" s="1"/>
  <c r="AK153" i="29" s="1"/>
  <c r="AL153" i="29" s="1"/>
  <c r="AM153" i="29" s="1"/>
  <c r="AN153" i="29" s="1"/>
  <c r="AO153" i="29" s="1"/>
  <c r="AP153" i="29" s="1"/>
  <c r="AQ153" i="29" s="1"/>
  <c r="AR153" i="29" s="1"/>
  <c r="AS153" i="29" s="1"/>
  <c r="AT153" i="29" s="1"/>
  <c r="AU153" i="29" s="1"/>
  <c r="AV153" i="29" s="1"/>
  <c r="AW153" i="29" s="1"/>
  <c r="AX153" i="29" s="1"/>
  <c r="AY153" i="29" s="1"/>
  <c r="AZ153" i="29" s="1"/>
  <c r="BA153" i="29" s="1"/>
  <c r="BB153" i="29" s="1"/>
  <c r="BC153" i="29" s="1"/>
  <c r="BD153" i="29" s="1"/>
  <c r="BE153" i="29" s="1"/>
  <c r="BF153" i="29" s="1"/>
  <c r="BG153" i="29" s="1"/>
  <c r="BH153" i="29" s="1"/>
  <c r="BI153" i="29" s="1"/>
  <c r="BJ153" i="29" s="1"/>
  <c r="BK153" i="29" s="1"/>
  <c r="BL153" i="29" s="1"/>
  <c r="BM153" i="29" s="1"/>
  <c r="E153" i="29" s="1"/>
  <c r="BB53" i="25"/>
  <c r="BB13" i="24"/>
  <c r="BC52" i="25"/>
  <c r="BA20" i="29"/>
  <c r="BA18" i="29" s="1"/>
  <c r="BA161" i="29" s="1"/>
  <c r="BA22" i="24"/>
  <c r="BA35" i="29" s="1"/>
  <c r="BA142" i="24"/>
  <c r="AK148" i="29"/>
  <c r="AE172" i="29"/>
  <c r="AE24" i="29"/>
  <c r="Q140" i="32" s="1"/>
  <c r="AX137" i="29"/>
  <c r="AX177" i="29"/>
  <c r="AX33" i="29"/>
  <c r="AG26" i="29" l="1"/>
  <c r="AF153" i="24"/>
  <c r="AF41" i="29"/>
  <c r="AF39" i="29" s="1"/>
  <c r="AF172" i="29" s="1"/>
  <c r="AI41" i="25"/>
  <c r="AI42" i="25" s="1"/>
  <c r="AH42" i="25"/>
  <c r="AH17" i="24" s="1"/>
  <c r="AH26" i="29" s="1"/>
  <c r="BA31" i="24"/>
  <c r="AF39" i="24"/>
  <c r="AB54" i="29"/>
  <c r="BC13" i="24"/>
  <c r="BC53" i="25"/>
  <c r="BD52" i="25"/>
  <c r="AE41" i="24"/>
  <c r="AE35" i="24" s="1"/>
  <c r="AM129" i="24"/>
  <c r="AG41" i="29"/>
  <c r="AG39" i="29" s="1"/>
  <c r="AG153" i="24"/>
  <c r="AG37" i="24"/>
  <c r="AZ50" i="29"/>
  <c r="AZ48" i="29" s="1"/>
  <c r="AZ65" i="29"/>
  <c r="AZ63" i="29" s="1"/>
  <c r="AZ158" i="24"/>
  <c r="AZ118" i="24"/>
  <c r="AL148" i="29"/>
  <c r="AD35" i="24"/>
  <c r="BB20" i="29"/>
  <c r="BB18" i="29" s="1"/>
  <c r="BB161" i="29" s="1"/>
  <c r="BB22" i="24"/>
  <c r="BB35" i="29" s="1"/>
  <c r="BB142" i="24"/>
  <c r="AJ41" i="25" l="1"/>
  <c r="AF24" i="29"/>
  <c r="R140" i="32" s="1"/>
  <c r="AH26" i="24"/>
  <c r="AH37" i="24" s="1"/>
  <c r="BB31" i="24"/>
  <c r="BB158" i="24" s="1"/>
  <c r="AK41" i="25"/>
  <c r="AL41" i="25" s="1"/>
  <c r="AM41" i="25" s="1"/>
  <c r="AN41" i="25" s="1"/>
  <c r="AO41" i="25" s="1"/>
  <c r="AZ33" i="29"/>
  <c r="AZ177" i="29"/>
  <c r="AZ137" i="29"/>
  <c r="BD53" i="25"/>
  <c r="BD13" i="24"/>
  <c r="BE52" i="25"/>
  <c r="BC20" i="29"/>
  <c r="BC18" i="29" s="1"/>
  <c r="BC161" i="29" s="1"/>
  <c r="BC142" i="24"/>
  <c r="BC22" i="24"/>
  <c r="BC35" i="29" s="1"/>
  <c r="AD56" i="29"/>
  <c r="AD54" i="29" s="1"/>
  <c r="AI16" i="12"/>
  <c r="AG39" i="24"/>
  <c r="AN129" i="24"/>
  <c r="AG24" i="29"/>
  <c r="S140" i="32" s="1"/>
  <c r="AG172" i="29"/>
  <c r="AE56" i="29"/>
  <c r="AE54" i="29" s="1"/>
  <c r="AJ16" i="12"/>
  <c r="AF40" i="24"/>
  <c r="AF41" i="24" s="1"/>
  <c r="AM148" i="29"/>
  <c r="BA50" i="29"/>
  <c r="BA48" i="29" s="1"/>
  <c r="BA65" i="29"/>
  <c r="BA63" i="29" s="1"/>
  <c r="BA118" i="24"/>
  <c r="BA158" i="24"/>
  <c r="BB50" i="29" l="1"/>
  <c r="BB48" i="29" s="1"/>
  <c r="BB177" i="29" s="1"/>
  <c r="BB118" i="24"/>
  <c r="BB65" i="29"/>
  <c r="BB63" i="29" s="1"/>
  <c r="AH153" i="24"/>
  <c r="AH41" i="29"/>
  <c r="AH39" i="29" s="1"/>
  <c r="AH172" i="29" s="1"/>
  <c r="AP41" i="25"/>
  <c r="AQ41" i="25" s="1"/>
  <c r="AR41" i="25" s="1"/>
  <c r="AS41" i="25" s="1"/>
  <c r="AT41" i="25" s="1"/>
  <c r="AU41" i="25" s="1"/>
  <c r="BE13" i="24"/>
  <c r="BE53" i="25"/>
  <c r="BF52" i="25"/>
  <c r="BD20" i="29"/>
  <c r="BD18" i="29" s="1"/>
  <c r="BD161" i="29" s="1"/>
  <c r="BD142" i="24"/>
  <c r="BD22" i="24"/>
  <c r="BD35" i="29" s="1"/>
  <c r="AN148" i="29"/>
  <c r="AG40" i="24"/>
  <c r="AG41" i="24" s="1"/>
  <c r="AO129" i="24"/>
  <c r="AH39" i="24"/>
  <c r="BA33" i="29"/>
  <c r="BA137" i="29"/>
  <c r="BA177" i="29"/>
  <c r="AF35" i="24"/>
  <c r="BC31" i="24"/>
  <c r="BB137" i="29" l="1"/>
  <c r="BB33" i="29"/>
  <c r="AV41" i="25"/>
  <c r="AH24" i="29"/>
  <c r="T140" i="32" s="1"/>
  <c r="BD31" i="24"/>
  <c r="BD65" i="29" s="1"/>
  <c r="BD63" i="29" s="1"/>
  <c r="AG35" i="24"/>
  <c r="BE20" i="29"/>
  <c r="BE18" i="29" s="1"/>
  <c r="BE161" i="29" s="1"/>
  <c r="BE22" i="24"/>
  <c r="BE35" i="29" s="1"/>
  <c r="BE142" i="24"/>
  <c r="AH40" i="24"/>
  <c r="AH41" i="24" s="1"/>
  <c r="AH35" i="24" s="1"/>
  <c r="BC65" i="29"/>
  <c r="BC63" i="29" s="1"/>
  <c r="BC50" i="29"/>
  <c r="BC48" i="29" s="1"/>
  <c r="BC158" i="24"/>
  <c r="BC118" i="24"/>
  <c r="AP129" i="24"/>
  <c r="AO148" i="29"/>
  <c r="BF13" i="24"/>
  <c r="BF53" i="25"/>
  <c r="BG52" i="25"/>
  <c r="AK16" i="12"/>
  <c r="AF56" i="29"/>
  <c r="AF54" i="29" s="1"/>
  <c r="AW41" i="25" l="1"/>
  <c r="AJ42" i="25" s="1"/>
  <c r="BD118" i="24"/>
  <c r="BD158" i="24"/>
  <c r="BD50" i="29"/>
  <c r="BD48" i="29" s="1"/>
  <c r="BD33" i="29" s="1"/>
  <c r="AH56" i="29"/>
  <c r="AH54" i="29" s="1"/>
  <c r="AM16" i="12"/>
  <c r="BG13" i="24"/>
  <c r="BG53" i="25"/>
  <c r="BH52" i="25"/>
  <c r="BC137" i="29"/>
  <c r="BC177" i="29"/>
  <c r="BC33" i="29"/>
  <c r="BF20" i="29"/>
  <c r="BF18" i="29" s="1"/>
  <c r="BF161" i="29" s="1"/>
  <c r="BF142" i="24"/>
  <c r="BF22" i="24"/>
  <c r="BF35" i="29" s="1"/>
  <c r="AQ129" i="24"/>
  <c r="BE31" i="24"/>
  <c r="AG56" i="29"/>
  <c r="AG54" i="29" s="1"/>
  <c r="AL16" i="12"/>
  <c r="AP148" i="29"/>
  <c r="BL42" i="25" l="1"/>
  <c r="AT42" i="25"/>
  <c r="BG42" i="25"/>
  <c r="AU42" i="25"/>
  <c r="BI42" i="25"/>
  <c r="AQ42" i="25"/>
  <c r="AX42" i="25"/>
  <c r="AO42" i="25"/>
  <c r="AO17" i="24" s="1"/>
  <c r="AO26" i="29" s="1"/>
  <c r="AY42" i="25"/>
  <c r="BD42" i="25"/>
  <c r="BC42" i="25"/>
  <c r="BM42" i="25"/>
  <c r="BE42" i="25"/>
  <c r="AV42" i="25"/>
  <c r="BH42" i="25"/>
  <c r="AW42" i="25"/>
  <c r="AN42" i="25"/>
  <c r="AN17" i="24" s="1"/>
  <c r="BJ42" i="25"/>
  <c r="AP42" i="25"/>
  <c r="AP17" i="24" s="1"/>
  <c r="AP26" i="29" s="1"/>
  <c r="AM42" i="25"/>
  <c r="AM17" i="24" s="1"/>
  <c r="AM26" i="24" s="1"/>
  <c r="AZ42" i="25"/>
  <c r="BB42" i="25"/>
  <c r="BA42" i="25"/>
  <c r="BK42" i="25"/>
  <c r="AS42" i="25"/>
  <c r="AL42" i="25"/>
  <c r="AL17" i="24" s="1"/>
  <c r="AL26" i="24" s="1"/>
  <c r="AL153" i="24" s="1"/>
  <c r="BF42" i="25"/>
  <c r="AK42" i="25"/>
  <c r="AK17" i="24" s="1"/>
  <c r="AK26" i="24" s="1"/>
  <c r="AK41" i="29" s="1"/>
  <c r="AK39" i="29" s="1"/>
  <c r="AK172" i="29" s="1"/>
  <c r="AR42" i="25"/>
  <c r="AR17" i="24"/>
  <c r="AR26" i="29" s="1"/>
  <c r="AW17" i="24"/>
  <c r="AW26" i="24" s="1"/>
  <c r="AI17" i="24"/>
  <c r="AI26" i="29" s="1"/>
  <c r="AS17" i="24"/>
  <c r="AT17" i="24"/>
  <c r="AT26" i="24" s="1"/>
  <c r="AT153" i="24" s="1"/>
  <c r="AV17" i="24"/>
  <c r="AV26" i="29" s="1"/>
  <c r="AJ17" i="24"/>
  <c r="AJ26" i="29" s="1"/>
  <c r="AU17" i="24"/>
  <c r="AU26" i="29" s="1"/>
  <c r="BD137" i="29"/>
  <c r="BD177" i="29"/>
  <c r="BF31" i="24"/>
  <c r="BH53" i="25"/>
  <c r="BH13" i="24"/>
  <c r="BI52" i="25"/>
  <c r="BG20" i="29"/>
  <c r="BG18" i="29" s="1"/>
  <c r="BG161" i="29" s="1"/>
  <c r="BG22" i="24"/>
  <c r="BG35" i="29" s="1"/>
  <c r="BG142" i="24"/>
  <c r="BE50" i="29"/>
  <c r="BE48" i="29" s="1"/>
  <c r="BE65" i="29"/>
  <c r="BE63" i="29" s="1"/>
  <c r="BE158" i="24"/>
  <c r="BE118" i="24"/>
  <c r="AQ148" i="29"/>
  <c r="AR129" i="24"/>
  <c r="AW26" i="29" l="1"/>
  <c r="AI26" i="24"/>
  <c r="AI37" i="24" s="1"/>
  <c r="AI39" i="24" s="1"/>
  <c r="AI35" i="24" s="1"/>
  <c r="AN16" i="12" s="1"/>
  <c r="AT41" i="29"/>
  <c r="AT39" i="29" s="1"/>
  <c r="AT24" i="29" s="1"/>
  <c r="AF140" i="32" s="1"/>
  <c r="AT26" i="29"/>
  <c r="AT37" i="24"/>
  <c r="AT39" i="24" s="1"/>
  <c r="AK153" i="24"/>
  <c r="AK26" i="29"/>
  <c r="AK24" i="29"/>
  <c r="W140" i="32" s="1"/>
  <c r="AV26" i="24"/>
  <c r="AV153" i="24" s="1"/>
  <c r="AK37" i="24"/>
  <c r="AK39" i="24" s="1"/>
  <c r="AK40" i="24" s="1"/>
  <c r="AK41" i="24" s="1"/>
  <c r="AM26" i="29"/>
  <c r="AJ26" i="24"/>
  <c r="AJ41" i="29" s="1"/>
  <c r="AJ39" i="29" s="1"/>
  <c r="AJ24" i="29" s="1"/>
  <c r="V140" i="32" s="1"/>
  <c r="AL26" i="29"/>
  <c r="AL41" i="29"/>
  <c r="AL39" i="29" s="1"/>
  <c r="AL172" i="29" s="1"/>
  <c r="AL37" i="24"/>
  <c r="AL39" i="24" s="1"/>
  <c r="AL40" i="24" s="1"/>
  <c r="AL41" i="24" s="1"/>
  <c r="AU26" i="24"/>
  <c r="AU41" i="29" s="1"/>
  <c r="AU39" i="29" s="1"/>
  <c r="AU172" i="29" s="1"/>
  <c r="AW153" i="24"/>
  <c r="AW41" i="29"/>
  <c r="AW39" i="29" s="1"/>
  <c r="AW37" i="24"/>
  <c r="BI13" i="24"/>
  <c r="BI53" i="25"/>
  <c r="BJ52" i="25"/>
  <c r="BE137" i="29"/>
  <c r="BE177" i="29"/>
  <c r="BE33" i="29"/>
  <c r="BH20" i="29"/>
  <c r="BH18" i="29" s="1"/>
  <c r="BH161" i="29" s="1"/>
  <c r="BH22" i="24"/>
  <c r="BH35" i="29" s="1"/>
  <c r="BH142" i="24"/>
  <c r="AR148" i="29"/>
  <c r="BG31" i="24"/>
  <c r="AS129" i="24"/>
  <c r="AM37" i="24"/>
  <c r="AM153" i="24"/>
  <c r="AM41" i="29"/>
  <c r="AM39" i="29" s="1"/>
  <c r="AN26" i="29"/>
  <c r="AN26" i="24"/>
  <c r="BF65" i="29"/>
  <c r="BF63" i="29" s="1"/>
  <c r="BF158" i="24"/>
  <c r="BF50" i="29"/>
  <c r="BF48" i="29" s="1"/>
  <c r="BF118" i="24"/>
  <c r="AI40" i="24" l="1"/>
  <c r="AI56" i="29"/>
  <c r="AI54" i="29" s="1"/>
  <c r="AI153" i="24"/>
  <c r="AI41" i="29"/>
  <c r="AI39" i="29" s="1"/>
  <c r="AI24" i="29" s="1"/>
  <c r="U140" i="32" s="1"/>
  <c r="AT172" i="29"/>
  <c r="AT40" i="24"/>
  <c r="AT41" i="24" s="1"/>
  <c r="AT35" i="24" s="1"/>
  <c r="AY16" i="12" s="1"/>
  <c r="AV37" i="24"/>
  <c r="AV39" i="24" s="1"/>
  <c r="AV40" i="24" s="1"/>
  <c r="AV41" i="24" s="1"/>
  <c r="AV35" i="24" s="1"/>
  <c r="AV56" i="29" s="1"/>
  <c r="AV54" i="29" s="1"/>
  <c r="AK35" i="24"/>
  <c r="AK56" i="29" s="1"/>
  <c r="AK54" i="29" s="1"/>
  <c r="AV41" i="29"/>
  <c r="AV39" i="29" s="1"/>
  <c r="AV172" i="29" s="1"/>
  <c r="AJ153" i="24"/>
  <c r="AJ37" i="24"/>
  <c r="AJ39" i="24" s="1"/>
  <c r="AJ40" i="24" s="1"/>
  <c r="AJ41" i="24" s="1"/>
  <c r="AJ172" i="29"/>
  <c r="AU24" i="29"/>
  <c r="AG140" i="32" s="1"/>
  <c r="AL24" i="29"/>
  <c r="X140" i="32" s="1"/>
  <c r="AW39" i="24"/>
  <c r="AW40" i="24" s="1"/>
  <c r="AW41" i="24" s="1"/>
  <c r="AW35" i="24" s="1"/>
  <c r="AW24" i="29"/>
  <c r="AI140" i="32" s="1"/>
  <c r="AW172" i="29"/>
  <c r="AU153" i="24"/>
  <c r="AU37" i="24"/>
  <c r="AU39" i="24" s="1"/>
  <c r="AU40" i="24" s="1"/>
  <c r="AU41" i="24" s="1"/>
  <c r="AU35" i="24" s="1"/>
  <c r="AU56" i="29" s="1"/>
  <c r="AU54" i="29" s="1"/>
  <c r="BF177" i="29"/>
  <c r="BF137" i="29"/>
  <c r="BF33" i="29"/>
  <c r="AM24" i="29"/>
  <c r="Y140" i="32" s="1"/>
  <c r="AM172" i="29"/>
  <c r="AL35" i="24"/>
  <c r="AS148" i="29"/>
  <c r="BJ13" i="24"/>
  <c r="BJ53" i="25"/>
  <c r="BK52" i="25"/>
  <c r="AO26" i="24"/>
  <c r="AM39" i="24"/>
  <c r="AM40" i="24" s="1"/>
  <c r="AM41" i="24" s="1"/>
  <c r="BG50" i="29"/>
  <c r="BG48" i="29" s="1"/>
  <c r="BG65" i="29"/>
  <c r="BG63" i="29" s="1"/>
  <c r="BG118" i="24"/>
  <c r="BG158" i="24"/>
  <c r="AN41" i="29"/>
  <c r="AN39" i="29" s="1"/>
  <c r="AN153" i="24"/>
  <c r="AN37" i="24"/>
  <c r="AT129" i="24"/>
  <c r="BH31" i="24"/>
  <c r="BI20" i="29"/>
  <c r="BI18" i="29" s="1"/>
  <c r="BI161" i="29" s="1"/>
  <c r="BI142" i="24"/>
  <c r="BI22" i="24"/>
  <c r="BI35" i="29" s="1"/>
  <c r="AI172" i="29" l="1"/>
  <c r="AT56" i="29"/>
  <c r="AT54" i="29" s="1"/>
  <c r="AV24" i="29"/>
  <c r="AH140" i="32" s="1"/>
  <c r="BA16" i="12"/>
  <c r="AP16" i="12"/>
  <c r="AJ35" i="24"/>
  <c r="AJ56" i="29" s="1"/>
  <c r="AJ54" i="29" s="1"/>
  <c r="AZ16" i="12"/>
  <c r="AW56" i="29"/>
  <c r="AW54" i="29" s="1"/>
  <c r="BB16" i="12"/>
  <c r="AM35" i="24"/>
  <c r="AT148" i="29"/>
  <c r="AU129" i="24"/>
  <c r="AO41" i="29"/>
  <c r="AO39" i="29" s="1"/>
  <c r="AO24" i="29" s="1"/>
  <c r="AO37" i="24"/>
  <c r="AO153" i="24"/>
  <c r="AN172" i="29"/>
  <c r="AN24" i="29"/>
  <c r="Z140" i="32" s="1"/>
  <c r="BI31" i="24"/>
  <c r="AN39" i="24"/>
  <c r="AN40" i="24" s="1"/>
  <c r="AN41" i="24" s="1"/>
  <c r="AP26" i="24"/>
  <c r="AL56" i="29"/>
  <c r="AL54" i="29" s="1"/>
  <c r="AQ16" i="12"/>
  <c r="BK53" i="25"/>
  <c r="BK13" i="24"/>
  <c r="BL52" i="25"/>
  <c r="BH65" i="29"/>
  <c r="BH63" i="29" s="1"/>
  <c r="BH50" i="29"/>
  <c r="BH48" i="29" s="1"/>
  <c r="BH158" i="24"/>
  <c r="BH118" i="24"/>
  <c r="BG137" i="29"/>
  <c r="BG33" i="29"/>
  <c r="BG177" i="29"/>
  <c r="BJ20" i="29"/>
  <c r="BJ18" i="29" s="1"/>
  <c r="BJ161" i="29" s="1"/>
  <c r="BJ22" i="24"/>
  <c r="BJ35" i="29" s="1"/>
  <c r="BJ142" i="24"/>
  <c r="AO16" i="12" l="1"/>
  <c r="BJ31" i="24"/>
  <c r="BJ118" i="24" s="1"/>
  <c r="AO39" i="24"/>
  <c r="BI65" i="29"/>
  <c r="BI63" i="29" s="1"/>
  <c r="BI118" i="24"/>
  <c r="BI50" i="29"/>
  <c r="BI48" i="29" s="1"/>
  <c r="BI158" i="24"/>
  <c r="AN35" i="24"/>
  <c r="AA140" i="32"/>
  <c r="AO172" i="29"/>
  <c r="AV129" i="24"/>
  <c r="BH137" i="29"/>
  <c r="BH177" i="29"/>
  <c r="BH33" i="29"/>
  <c r="BL53" i="25"/>
  <c r="BL13" i="24"/>
  <c r="BM52" i="25"/>
  <c r="AP41" i="29"/>
  <c r="AP39" i="29" s="1"/>
  <c r="AP24" i="29" s="1"/>
  <c r="AP153" i="24"/>
  <c r="AP37" i="24"/>
  <c r="AU148" i="29"/>
  <c r="BK20" i="29"/>
  <c r="BK18" i="29" s="1"/>
  <c r="BK161" i="29" s="1"/>
  <c r="BK22" i="24"/>
  <c r="BK35" i="29" s="1"/>
  <c r="BK142" i="24"/>
  <c r="AQ26" i="24"/>
  <c r="AM56" i="29"/>
  <c r="AM54" i="29" s="1"/>
  <c r="AR16" i="12"/>
  <c r="BJ50" i="29" l="1"/>
  <c r="BJ48" i="29" s="1"/>
  <c r="BJ177" i="29" s="1"/>
  <c r="BJ65" i="29"/>
  <c r="BJ63" i="29" s="1"/>
  <c r="BJ158" i="24"/>
  <c r="AV148" i="29"/>
  <c r="BI137" i="29"/>
  <c r="BI177" i="29"/>
  <c r="BI33" i="29"/>
  <c r="AP172" i="29"/>
  <c r="AB140" i="32"/>
  <c r="AN56" i="29"/>
  <c r="AN54" i="29" s="1"/>
  <c r="AS16" i="12"/>
  <c r="BK31" i="24"/>
  <c r="BM53" i="25"/>
  <c r="X22" i="24" s="1"/>
  <c r="BM13" i="24"/>
  <c r="AP39" i="24"/>
  <c r="AP40" i="24" s="1"/>
  <c r="AP41" i="24" s="1"/>
  <c r="BL20" i="29"/>
  <c r="BL18" i="29" s="1"/>
  <c r="BL161" i="29" s="1"/>
  <c r="BL22" i="24"/>
  <c r="BL35" i="29" s="1"/>
  <c r="BL142" i="24"/>
  <c r="AQ37" i="24"/>
  <c r="AQ41" i="29"/>
  <c r="AQ39" i="29" s="1"/>
  <c r="AQ153" i="24"/>
  <c r="AR26" i="24"/>
  <c r="AW129" i="24"/>
  <c r="AO40" i="24"/>
  <c r="AO41" i="24" s="1"/>
  <c r="AO35" i="24" s="1"/>
  <c r="BJ33" i="29" l="1"/>
  <c r="BJ137" i="29"/>
  <c r="BL31" i="24"/>
  <c r="BL158" i="24" s="1"/>
  <c r="AO56" i="29"/>
  <c r="AO54" i="29" s="1"/>
  <c r="AT16" i="12"/>
  <c r="AQ24" i="29"/>
  <c r="AC140" i="32" s="1"/>
  <c r="AQ172" i="29"/>
  <c r="AX129" i="24"/>
  <c r="AQ39" i="24"/>
  <c r="AQ40" i="24" s="1"/>
  <c r="AQ41" i="24" s="1"/>
  <c r="AP35" i="24"/>
  <c r="BM20" i="29"/>
  <c r="BM22" i="24"/>
  <c r="BM35" i="29" s="1"/>
  <c r="BM142" i="24"/>
  <c r="E142" i="24" s="1"/>
  <c r="E13" i="24"/>
  <c r="AS68" i="25"/>
  <c r="AW148" i="29"/>
  <c r="AS26" i="29"/>
  <c r="AS26" i="24"/>
  <c r="P8" i="23"/>
  <c r="Q8" i="23"/>
  <c r="AR41" i="29"/>
  <c r="AR39" i="29" s="1"/>
  <c r="AR153" i="24"/>
  <c r="AR37" i="24"/>
  <c r="X35" i="29"/>
  <c r="X31" i="24"/>
  <c r="Y22" i="24"/>
  <c r="BK50" i="29"/>
  <c r="BK48" i="29" s="1"/>
  <c r="BK65" i="29"/>
  <c r="BK63" i="29" s="1"/>
  <c r="BK158" i="24"/>
  <c r="BK118" i="24"/>
  <c r="Q8" i="21"/>
  <c r="P8" i="21"/>
  <c r="F52" i="10" s="1"/>
  <c r="BL50" i="29" l="1"/>
  <c r="BL48" i="29" s="1"/>
  <c r="BL177" i="29" s="1"/>
  <c r="BL65" i="29"/>
  <c r="BL63" i="29" s="1"/>
  <c r="BL118" i="24"/>
  <c r="AR39" i="24"/>
  <c r="AR40" i="24" s="1"/>
  <c r="AR41" i="24" s="1"/>
  <c r="BM31" i="24"/>
  <c r="Y35" i="29"/>
  <c r="Y31" i="24"/>
  <c r="Z22" i="24"/>
  <c r="AX148" i="29"/>
  <c r="O8" i="21"/>
  <c r="G52" i="10"/>
  <c r="AP56" i="29"/>
  <c r="AP54" i="29" s="1"/>
  <c r="AU16" i="12"/>
  <c r="BK177" i="29"/>
  <c r="BK137" i="29"/>
  <c r="BK33" i="29"/>
  <c r="AQ35" i="24"/>
  <c r="X118" i="24"/>
  <c r="X113" i="24" s="1"/>
  <c r="X50" i="29"/>
  <c r="X48" i="29" s="1"/>
  <c r="X65" i="29"/>
  <c r="X63" i="29" s="1"/>
  <c r="X158" i="24"/>
  <c r="AC19" i="12"/>
  <c r="X25" i="24"/>
  <c r="BM18" i="29"/>
  <c r="E20" i="29"/>
  <c r="AR172" i="29"/>
  <c r="AR24" i="29"/>
  <c r="AD140" i="32" s="1"/>
  <c r="AS41" i="29"/>
  <c r="AS153" i="24"/>
  <c r="E153" i="24" s="1"/>
  <c r="AS37" i="24"/>
  <c r="G145" i="24"/>
  <c r="H145" i="24" s="1"/>
  <c r="E26" i="24"/>
  <c r="AT68" i="25"/>
  <c r="AY129" i="24"/>
  <c r="BL137" i="29" l="1"/>
  <c r="BL33" i="29"/>
  <c r="I145" i="24"/>
  <c r="BM161" i="29"/>
  <c r="E161" i="29" s="1"/>
  <c r="E18" i="29"/>
  <c r="AZ129" i="24"/>
  <c r="Z35" i="29"/>
  <c r="Z31" i="24"/>
  <c r="AA22" i="24"/>
  <c r="X46" i="24"/>
  <c r="AD19" i="12" s="1"/>
  <c r="AD102" i="12"/>
  <c r="Y52" i="24" s="1"/>
  <c r="Y71" i="29" s="1"/>
  <c r="AC10" i="12"/>
  <c r="AD101" i="12"/>
  <c r="AQ56" i="29"/>
  <c r="AQ54" i="29" s="1"/>
  <c r="AV16" i="12"/>
  <c r="Y118" i="24"/>
  <c r="Y113" i="24" s="1"/>
  <c r="Y65" i="29"/>
  <c r="Y63" i="29" s="1"/>
  <c r="Y50" i="29"/>
  <c r="Y48" i="29" s="1"/>
  <c r="Y158" i="24"/>
  <c r="Y25" i="24"/>
  <c r="AU68" i="25"/>
  <c r="AS39" i="29"/>
  <c r="E41" i="29"/>
  <c r="E26" i="29" s="1"/>
  <c r="E17" i="24"/>
  <c r="T53" i="10" s="1"/>
  <c r="S8" i="23"/>
  <c r="BM65" i="29"/>
  <c r="BM50" i="29"/>
  <c r="BM158" i="24"/>
  <c r="BM118" i="24"/>
  <c r="X137" i="29"/>
  <c r="X132" i="29" s="1"/>
  <c r="X177" i="29"/>
  <c r="X33" i="29"/>
  <c r="X38" i="29"/>
  <c r="AR35" i="24"/>
  <c r="AY148" i="29"/>
  <c r="AS39" i="24"/>
  <c r="AS40" i="24" s="1"/>
  <c r="AS41" i="24" s="1"/>
  <c r="T52" i="10" l="1"/>
  <c r="Y46" i="24"/>
  <c r="AE19" i="12" s="1"/>
  <c r="AE102" i="12"/>
  <c r="Z52" i="24" s="1"/>
  <c r="Z71" i="29" s="1"/>
  <c r="AD10" i="12"/>
  <c r="AE101" i="12"/>
  <c r="BM63" i="29"/>
  <c r="AA35" i="29"/>
  <c r="AA31" i="24"/>
  <c r="AB22" i="24"/>
  <c r="S8" i="21"/>
  <c r="AR56" i="29"/>
  <c r="AR54" i="29" s="1"/>
  <c r="AW16" i="12"/>
  <c r="Y137" i="29"/>
  <c r="Y132" i="29" s="1"/>
  <c r="Y33" i="29"/>
  <c r="Y177" i="29"/>
  <c r="Y38" i="29"/>
  <c r="BA129" i="24"/>
  <c r="AZ148" i="29"/>
  <c r="Z118" i="24"/>
  <c r="Z113" i="24" s="1"/>
  <c r="Z50" i="29"/>
  <c r="Z48" i="29" s="1"/>
  <c r="Z65" i="29"/>
  <c r="Z63" i="29" s="1"/>
  <c r="Z158" i="24"/>
  <c r="Z25" i="24"/>
  <c r="J145" i="24"/>
  <c r="K145" i="24" s="1"/>
  <c r="AS35" i="24"/>
  <c r="AS172" i="29"/>
  <c r="E172" i="29" s="1"/>
  <c r="AS24" i="29"/>
  <c r="AE140" i="32" s="1"/>
  <c r="G164" i="29"/>
  <c r="H164" i="29" s="1"/>
  <c r="E39" i="29"/>
  <c r="E24" i="29" s="1"/>
  <c r="X189" i="24"/>
  <c r="BM48" i="29"/>
  <c r="AD94" i="12"/>
  <c r="Y51" i="24"/>
  <c r="Y189" i="24" l="1"/>
  <c r="Y208" i="29" s="1"/>
  <c r="X208" i="29"/>
  <c r="Z46" i="24"/>
  <c r="AF19" i="12" s="1"/>
  <c r="AE10" i="12"/>
  <c r="AF101" i="12"/>
  <c r="AF102" i="12"/>
  <c r="AA52" i="24" s="1"/>
  <c r="AA71" i="29" s="1"/>
  <c r="BM137" i="29"/>
  <c r="BM33" i="29"/>
  <c r="BM177" i="29"/>
  <c r="I164" i="29"/>
  <c r="L145" i="24"/>
  <c r="Z33" i="29"/>
  <c r="Z137" i="29"/>
  <c r="Z132" i="29" s="1"/>
  <c r="Z177" i="29"/>
  <c r="Z38" i="29"/>
  <c r="BA148" i="29"/>
  <c r="R53" i="10"/>
  <c r="K53" i="10" s="1"/>
  <c r="Z51" i="24"/>
  <c r="AE94" i="12"/>
  <c r="Y70" i="29"/>
  <c r="BB129" i="24"/>
  <c r="AB35" i="29"/>
  <c r="AB31" i="24"/>
  <c r="AC22" i="24"/>
  <c r="AA118" i="24"/>
  <c r="AA113" i="24" s="1"/>
  <c r="AA65" i="29"/>
  <c r="AA63" i="29" s="1"/>
  <c r="AA50" i="29"/>
  <c r="AA48" i="29" s="1"/>
  <c r="AA158" i="24"/>
  <c r="AA25" i="24"/>
  <c r="AS56" i="29"/>
  <c r="AX16" i="12"/>
  <c r="E35" i="24"/>
  <c r="T72" i="10" s="1"/>
  <c r="J53" i="10" l="1"/>
  <c r="L53" i="10"/>
  <c r="M53" i="10" s="1"/>
  <c r="AS54" i="29"/>
  <c r="E54" i="29" s="1"/>
  <c r="R72" i="10" s="1"/>
  <c r="E56" i="29"/>
  <c r="AC35" i="29"/>
  <c r="AC31" i="24"/>
  <c r="AD22" i="24"/>
  <c r="R52" i="10"/>
  <c r="K52" i="10" s="1"/>
  <c r="AA51" i="24"/>
  <c r="AF94" i="12"/>
  <c r="M145" i="24"/>
  <c r="N145" i="24" s="1"/>
  <c r="BB148" i="29"/>
  <c r="AA137" i="29"/>
  <c r="AA132" i="29" s="1"/>
  <c r="AA177" i="29"/>
  <c r="AA33" i="29"/>
  <c r="AA38" i="29"/>
  <c r="Z70" i="29"/>
  <c r="AB118" i="24"/>
  <c r="AB65" i="29"/>
  <c r="AB63" i="29" s="1"/>
  <c r="AB50" i="29"/>
  <c r="AB48" i="29" s="1"/>
  <c r="AB158" i="24"/>
  <c r="AB25" i="24"/>
  <c r="BC129" i="24"/>
  <c r="J164" i="29"/>
  <c r="Z189" i="24"/>
  <c r="I16" i="12"/>
  <c r="AA46" i="24"/>
  <c r="AA189" i="24" s="1"/>
  <c r="AG101" i="12"/>
  <c r="AF10" i="12"/>
  <c r="AG102" i="12"/>
  <c r="AB52" i="24" s="1"/>
  <c r="AB71" i="29" s="1"/>
  <c r="J72" i="10" l="1"/>
  <c r="K72" i="10"/>
  <c r="J52" i="10"/>
  <c r="L52" i="10"/>
  <c r="M52" i="10" s="1"/>
  <c r="L72" i="10"/>
  <c r="AG19" i="12"/>
  <c r="AH101" i="12" s="1"/>
  <c r="A16" i="12"/>
  <c r="BD129" i="24"/>
  <c r="AG94" i="12"/>
  <c r="AB51" i="24"/>
  <c r="AD35" i="29"/>
  <c r="AD31" i="24"/>
  <c r="AE22" i="24"/>
  <c r="BC148" i="29"/>
  <c r="AC118" i="24"/>
  <c r="AC113" i="24" s="1"/>
  <c r="AC65" i="29"/>
  <c r="AC158" i="24"/>
  <c r="AC50" i="29"/>
  <c r="AC48" i="29" s="1"/>
  <c r="AC25" i="24"/>
  <c r="Z208" i="29"/>
  <c r="AB33" i="29"/>
  <c r="AB137" i="29"/>
  <c r="AB177" i="29"/>
  <c r="AB38" i="29"/>
  <c r="AA70" i="29"/>
  <c r="AA208" i="29"/>
  <c r="K164" i="29"/>
  <c r="L164" i="29" s="1"/>
  <c r="M164" i="29" s="1"/>
  <c r="AB113" i="24"/>
  <c r="O145" i="24"/>
  <c r="P145" i="24" s="1"/>
  <c r="M72" i="10" l="1"/>
  <c r="AG10" i="12"/>
  <c r="AB46" i="24"/>
  <c r="AH19" i="12" s="1"/>
  <c r="AI101" i="12" s="1"/>
  <c r="AH102" i="12"/>
  <c r="AC52" i="24" s="1"/>
  <c r="AC71" i="29" s="1"/>
  <c r="AB132" i="29"/>
  <c r="AC63" i="29"/>
  <c r="Q145" i="24"/>
  <c r="AB70" i="29"/>
  <c r="BD148" i="29"/>
  <c r="AC51" i="24"/>
  <c r="AE35" i="29"/>
  <c r="AE31" i="24"/>
  <c r="AF22" i="24"/>
  <c r="AD118" i="24"/>
  <c r="AD65" i="29"/>
  <c r="AD63" i="29" s="1"/>
  <c r="AD50" i="29"/>
  <c r="AD48" i="29" s="1"/>
  <c r="AD158" i="24"/>
  <c r="AD25" i="24"/>
  <c r="AC137" i="29"/>
  <c r="AC132" i="29" s="1"/>
  <c r="AC33" i="29"/>
  <c r="AC177" i="29"/>
  <c r="AC38" i="29"/>
  <c r="N164" i="29"/>
  <c r="BE129" i="24"/>
  <c r="AB189" i="24" l="1"/>
  <c r="AB208" i="29" s="1"/>
  <c r="AH10" i="12"/>
  <c r="AC46" i="24"/>
  <c r="AI19" i="12" s="1"/>
  <c r="AJ102" i="12" s="1"/>
  <c r="AE52" i="24" s="1"/>
  <c r="AE71" i="29" s="1"/>
  <c r="AI102" i="12"/>
  <c r="AD52" i="24" s="1"/>
  <c r="AD71" i="29" s="1"/>
  <c r="AH94" i="12"/>
  <c r="AD51" i="24"/>
  <c r="O164" i="29"/>
  <c r="AF35" i="29"/>
  <c r="AF31" i="24"/>
  <c r="AG22" i="24"/>
  <c r="AE118" i="24"/>
  <c r="AE113" i="24" s="1"/>
  <c r="AE65" i="29"/>
  <c r="AE63" i="29" s="1"/>
  <c r="AE50" i="29"/>
  <c r="AE48" i="29" s="1"/>
  <c r="AE158" i="24"/>
  <c r="AE25" i="24"/>
  <c r="AC70" i="29"/>
  <c r="AD33" i="29"/>
  <c r="AD137" i="29"/>
  <c r="AD177" i="29"/>
  <c r="AD38" i="29"/>
  <c r="R145" i="24"/>
  <c r="BF129" i="24"/>
  <c r="AD113" i="24"/>
  <c r="BE148" i="29"/>
  <c r="AC189" i="24" l="1"/>
  <c r="AC208" i="29" s="1"/>
  <c r="AJ101" i="12"/>
  <c r="AE51" i="24" s="1"/>
  <c r="AI10" i="12"/>
  <c r="AD46" i="24"/>
  <c r="AJ19" i="12" s="1"/>
  <c r="AI94" i="12"/>
  <c r="BG129" i="24"/>
  <c r="AD70" i="29"/>
  <c r="BF148" i="29"/>
  <c r="AD132" i="29"/>
  <c r="AG35" i="29"/>
  <c r="AG31" i="24"/>
  <c r="AH22" i="24"/>
  <c r="AF118" i="24"/>
  <c r="AF113" i="24" s="1"/>
  <c r="AF50" i="29"/>
  <c r="AF48" i="29" s="1"/>
  <c r="AF65" i="29"/>
  <c r="AF63" i="29" s="1"/>
  <c r="AF158" i="24"/>
  <c r="AF25" i="24"/>
  <c r="AE137" i="29"/>
  <c r="AE132" i="29" s="1"/>
  <c r="AE177" i="29"/>
  <c r="AE33" i="29"/>
  <c r="AE38" i="29"/>
  <c r="S145" i="24"/>
  <c r="P164" i="29"/>
  <c r="AJ94" i="12" l="1"/>
  <c r="AD189" i="24"/>
  <c r="AD208" i="29" s="1"/>
  <c r="T145" i="24"/>
  <c r="AF137" i="29"/>
  <c r="AF132" i="29" s="1"/>
  <c r="AF177" i="29"/>
  <c r="AF33" i="29"/>
  <c r="AF38" i="29"/>
  <c r="AE46" i="24"/>
  <c r="AJ10" i="12"/>
  <c r="AK102" i="12"/>
  <c r="AF52" i="24" s="1"/>
  <c r="AF71" i="29" s="1"/>
  <c r="AK101" i="12"/>
  <c r="BG148" i="29"/>
  <c r="AH35" i="29"/>
  <c r="AH31" i="24"/>
  <c r="AI22" i="24"/>
  <c r="BH129" i="24"/>
  <c r="Q164" i="29"/>
  <c r="AE70" i="29"/>
  <c r="AG118" i="24"/>
  <c r="AG113" i="24" s="1"/>
  <c r="AG65" i="29"/>
  <c r="AG63" i="29" s="1"/>
  <c r="AG158" i="24"/>
  <c r="AG50" i="29"/>
  <c r="AG48" i="29" s="1"/>
  <c r="AG25" i="24"/>
  <c r="R164" i="29" l="1"/>
  <c r="AI35" i="29"/>
  <c r="AI31" i="24"/>
  <c r="AJ22" i="24"/>
  <c r="BH148" i="29"/>
  <c r="AH118" i="24"/>
  <c r="AH113" i="24" s="1"/>
  <c r="AH65" i="29"/>
  <c r="AH63" i="29" s="1"/>
  <c r="AH50" i="29"/>
  <c r="AH48" i="29" s="1"/>
  <c r="AH158" i="24"/>
  <c r="AH25" i="24"/>
  <c r="AG137" i="29"/>
  <c r="AG132" i="29" s="1"/>
  <c r="AG33" i="29"/>
  <c r="AG177" i="29"/>
  <c r="AG38" i="29"/>
  <c r="AF51" i="24"/>
  <c r="AK94" i="12"/>
  <c r="U145" i="24"/>
  <c r="AE189" i="24"/>
  <c r="AK19" i="12"/>
  <c r="BI129" i="24"/>
  <c r="AJ35" i="29" l="1"/>
  <c r="AJ31" i="24"/>
  <c r="AK22" i="24"/>
  <c r="AE208" i="29"/>
  <c r="AI118" i="24"/>
  <c r="AI113" i="24" s="1"/>
  <c r="AI65" i="29"/>
  <c r="AI63" i="29" s="1"/>
  <c r="AI50" i="29"/>
  <c r="AI48" i="29" s="1"/>
  <c r="AI158" i="24"/>
  <c r="AI25" i="24"/>
  <c r="AF70" i="29"/>
  <c r="AF46" i="24"/>
  <c r="AL102" i="12"/>
  <c r="AG52" i="24" s="1"/>
  <c r="AG71" i="29" s="1"/>
  <c r="AL101" i="12"/>
  <c r="AK10" i="12"/>
  <c r="BJ129" i="24"/>
  <c r="AH137" i="29"/>
  <c r="AH132" i="29" s="1"/>
  <c r="AH33" i="29"/>
  <c r="AH177" i="29"/>
  <c r="AH38" i="29"/>
  <c r="S164" i="29"/>
  <c r="BI148" i="29"/>
  <c r="V145" i="24"/>
  <c r="W145" i="24" l="1"/>
  <c r="AF189" i="24"/>
  <c r="AL19" i="12"/>
  <c r="T164" i="29"/>
  <c r="AK35" i="29"/>
  <c r="AK31" i="24"/>
  <c r="AL22" i="24"/>
  <c r="BK129" i="24"/>
  <c r="BJ148" i="29"/>
  <c r="AJ65" i="29"/>
  <c r="AJ63" i="29" s="1"/>
  <c r="AJ158" i="24"/>
  <c r="AJ50" i="29"/>
  <c r="AJ48" i="29" s="1"/>
  <c r="AJ118" i="24"/>
  <c r="AL94" i="12"/>
  <c r="AG51" i="24"/>
  <c r="AI137" i="29"/>
  <c r="AI132" i="29" s="1"/>
  <c r="AI177" i="29"/>
  <c r="AI33" i="29"/>
  <c r="AI38" i="29"/>
  <c r="BK148" i="29" l="1"/>
  <c r="U164" i="29"/>
  <c r="BL129" i="24"/>
  <c r="AG46" i="24"/>
  <c r="AM101" i="12"/>
  <c r="AL10" i="12"/>
  <c r="AM102" i="12"/>
  <c r="AH52" i="24" s="1"/>
  <c r="AH71" i="29" s="1"/>
  <c r="AJ137" i="29"/>
  <c r="AJ33" i="29"/>
  <c r="AJ177" i="29"/>
  <c r="AK50" i="29"/>
  <c r="AK48" i="29" s="1"/>
  <c r="AK158" i="24"/>
  <c r="AK65" i="29"/>
  <c r="AK63" i="29" s="1"/>
  <c r="AK118" i="24"/>
  <c r="AF208" i="29"/>
  <c r="AG70" i="29"/>
  <c r="X145" i="24"/>
  <c r="AL35" i="29"/>
  <c r="AL31" i="24"/>
  <c r="AM22" i="24"/>
  <c r="AM35" i="29" l="1"/>
  <c r="AM31" i="24"/>
  <c r="AN22" i="24"/>
  <c r="V164" i="29"/>
  <c r="AH51" i="24"/>
  <c r="AK137" i="29"/>
  <c r="AK177" i="29"/>
  <c r="AK33" i="29"/>
  <c r="Y145" i="24"/>
  <c r="AL50" i="29"/>
  <c r="AL48" i="29" s="1"/>
  <c r="AL65" i="29"/>
  <c r="AL63" i="29" s="1"/>
  <c r="AL118" i="24"/>
  <c r="AL158" i="24"/>
  <c r="BL148" i="29"/>
  <c r="AG189" i="24"/>
  <c r="AM19" i="12"/>
  <c r="BM129" i="24"/>
  <c r="BM148" i="29" l="1"/>
  <c r="E129" i="24"/>
  <c r="AU63" i="25" s="1"/>
  <c r="W164" i="29"/>
  <c r="AH70" i="29"/>
  <c r="AH46" i="24"/>
  <c r="AN102" i="12"/>
  <c r="AI52" i="24" s="1"/>
  <c r="AI71" i="29" s="1"/>
  <c r="AM10" i="12"/>
  <c r="AN101" i="12"/>
  <c r="AM65" i="29"/>
  <c r="AM63" i="29" s="1"/>
  <c r="AM50" i="29"/>
  <c r="AM48" i="29" s="1"/>
  <c r="AM118" i="24"/>
  <c r="AM158" i="24"/>
  <c r="AN35" i="29"/>
  <c r="AN31" i="24"/>
  <c r="AO22" i="24"/>
  <c r="AL137" i="29"/>
  <c r="AL177" i="29"/>
  <c r="AL33" i="29"/>
  <c r="AG208" i="29"/>
  <c r="Z145" i="24"/>
  <c r="AH189" i="24" l="1"/>
  <c r="AN19" i="12"/>
  <c r="X164" i="29"/>
  <c r="AN50" i="29"/>
  <c r="AN48" i="29" s="1"/>
  <c r="AN65" i="29"/>
  <c r="AN63" i="29" s="1"/>
  <c r="AN158" i="24"/>
  <c r="AN118" i="24"/>
  <c r="AM177" i="29"/>
  <c r="AM137" i="29"/>
  <c r="AM33" i="29"/>
  <c r="E148" i="29"/>
  <c r="AA145" i="24"/>
  <c r="AO35" i="29"/>
  <c r="AO31" i="24"/>
  <c r="AP22" i="24"/>
  <c r="AI51" i="24"/>
  <c r="AB145" i="24" l="1"/>
  <c r="AI46" i="24"/>
  <c r="AO102" i="12"/>
  <c r="AJ52" i="24" s="1"/>
  <c r="AJ71" i="29" s="1"/>
  <c r="AO101" i="12"/>
  <c r="AN10" i="12"/>
  <c r="AH208" i="29"/>
  <c r="AI70" i="29"/>
  <c r="AO65" i="29"/>
  <c r="AO63" i="29" s="1"/>
  <c r="AO50" i="29"/>
  <c r="AO48" i="29" s="1"/>
  <c r="AO118" i="24"/>
  <c r="AO158" i="24"/>
  <c r="AN137" i="29"/>
  <c r="AN33" i="29"/>
  <c r="AN177" i="29"/>
  <c r="Y164" i="29"/>
  <c r="AP35" i="29"/>
  <c r="AP31" i="24"/>
  <c r="AQ22" i="24"/>
  <c r="AP50" i="29" l="1"/>
  <c r="AP48" i="29" s="1"/>
  <c r="AP65" i="29"/>
  <c r="AP63" i="29" s="1"/>
  <c r="AP118" i="24"/>
  <c r="AP158" i="24"/>
  <c r="Z164" i="29"/>
  <c r="AJ51" i="24"/>
  <c r="AQ35" i="29"/>
  <c r="AQ31" i="24"/>
  <c r="AR22" i="24"/>
  <c r="AI189" i="24"/>
  <c r="AI34" i="24"/>
  <c r="AO19" i="12"/>
  <c r="AJ46" i="24" s="1"/>
  <c r="AP19" i="12" s="1"/>
  <c r="AK46" i="24" s="1"/>
  <c r="AO177" i="29"/>
  <c r="AO137" i="29"/>
  <c r="AO33" i="29"/>
  <c r="AC145" i="24"/>
  <c r="AP177" i="29" l="1"/>
  <c r="AP33" i="29"/>
  <c r="AP137" i="29"/>
  <c r="AA164" i="29"/>
  <c r="AD145" i="24"/>
  <c r="AI53" i="29"/>
  <c r="AR35" i="29"/>
  <c r="AR31" i="24"/>
  <c r="AS22" i="24"/>
  <c r="AT22" i="24" s="1"/>
  <c r="AJ70" i="29"/>
  <c r="AQ19" i="12"/>
  <c r="AL46" i="24" s="1"/>
  <c r="AR19" i="12" s="1"/>
  <c r="AM46" i="24" s="1"/>
  <c r="AI208" i="29"/>
  <c r="AQ65" i="29"/>
  <c r="AQ63" i="29" s="1"/>
  <c r="AQ50" i="29"/>
  <c r="AQ48" i="29" s="1"/>
  <c r="AQ158" i="24"/>
  <c r="AQ118" i="24"/>
  <c r="AT35" i="29" l="1"/>
  <c r="AU22" i="24"/>
  <c r="AV22" i="24" s="1"/>
  <c r="AW22" i="24" s="1"/>
  <c r="AT31" i="24"/>
  <c r="AR50" i="29"/>
  <c r="AR48" i="29" s="1"/>
  <c r="AR65" i="29"/>
  <c r="AR63" i="29" s="1"/>
  <c r="AR118" i="24"/>
  <c r="AR158" i="24"/>
  <c r="AS19" i="12"/>
  <c r="AN46" i="24" s="1"/>
  <c r="AT19" i="12" s="1"/>
  <c r="AO46" i="24" s="1"/>
  <c r="Q16" i="21"/>
  <c r="G59" i="10" s="1"/>
  <c r="P16" i="21"/>
  <c r="F59" i="10" s="1"/>
  <c r="AQ177" i="29"/>
  <c r="AQ33" i="29"/>
  <c r="AQ137" i="29"/>
  <c r="AE145" i="24"/>
  <c r="AS35" i="29"/>
  <c r="AS31" i="24"/>
  <c r="P16" i="23"/>
  <c r="Q16" i="23"/>
  <c r="AB164" i="29"/>
  <c r="AW35" i="29" l="1"/>
  <c r="AW31" i="24"/>
  <c r="AV35" i="29"/>
  <c r="AV31" i="24"/>
  <c r="AT65" i="29"/>
  <c r="AT63" i="29" s="1"/>
  <c r="AT158" i="24"/>
  <c r="AT118" i="24"/>
  <c r="AT50" i="29"/>
  <c r="AT48" i="29" s="1"/>
  <c r="AU35" i="29"/>
  <c r="AU31" i="24"/>
  <c r="AC164" i="29"/>
  <c r="AR33" i="29"/>
  <c r="AR137" i="29"/>
  <c r="AR177" i="29"/>
  <c r="AF145" i="24"/>
  <c r="AS65" i="29"/>
  <c r="AS50" i="29"/>
  <c r="AS118" i="24"/>
  <c r="AS158" i="24"/>
  <c r="G150" i="24"/>
  <c r="AU19" i="12"/>
  <c r="AP46" i="24" s="1"/>
  <c r="AW158" i="24" l="1"/>
  <c r="AW65" i="29"/>
  <c r="AW63" i="29" s="1"/>
  <c r="AW118" i="24"/>
  <c r="AW50" i="29"/>
  <c r="AW48" i="29" s="1"/>
  <c r="AV158" i="24"/>
  <c r="AV65" i="29"/>
  <c r="AV63" i="29" s="1"/>
  <c r="AV50" i="29"/>
  <c r="AV48" i="29" s="1"/>
  <c r="AV118" i="24"/>
  <c r="AU158" i="24"/>
  <c r="AU50" i="29"/>
  <c r="AU48" i="29" s="1"/>
  <c r="AU65" i="29"/>
  <c r="AU63" i="29" s="1"/>
  <c r="AU118" i="24"/>
  <c r="AT33" i="29"/>
  <c r="AT137" i="29"/>
  <c r="AT177" i="29"/>
  <c r="AS80" i="25"/>
  <c r="AS92" i="25" s="1"/>
  <c r="E31" i="24"/>
  <c r="S16" i="23" s="1"/>
  <c r="AS63" i="29"/>
  <c r="AG145" i="24"/>
  <c r="AV19" i="12"/>
  <c r="AQ46" i="24" s="1"/>
  <c r="AW19" i="12" s="1"/>
  <c r="AR46" i="24" s="1"/>
  <c r="AD164" i="29"/>
  <c r="H150" i="24"/>
  <c r="I150" i="24" s="1"/>
  <c r="AS48" i="29"/>
  <c r="AW177" i="29" l="1"/>
  <c r="AW33" i="29"/>
  <c r="AW137" i="29"/>
  <c r="E158" i="24"/>
  <c r="E22" i="24"/>
  <c r="E118" i="24"/>
  <c r="A118" i="24" s="1"/>
  <c r="AV33" i="29"/>
  <c r="AV177" i="29"/>
  <c r="AV137" i="29"/>
  <c r="E50" i="29"/>
  <c r="E35" i="29" s="1"/>
  <c r="E65" i="29"/>
  <c r="E63" i="29"/>
  <c r="R76" i="10" s="1"/>
  <c r="AU137" i="29"/>
  <c r="AU177" i="29"/>
  <c r="AU33" i="29"/>
  <c r="AS108" i="25"/>
  <c r="AS116" i="25" s="1"/>
  <c r="AS177" i="29"/>
  <c r="AS33" i="29"/>
  <c r="AS137" i="29"/>
  <c r="G169" i="29"/>
  <c r="E48" i="29"/>
  <c r="E33" i="29" s="1"/>
  <c r="J150" i="24"/>
  <c r="AX19" i="12"/>
  <c r="AS46" i="24" s="1"/>
  <c r="AY19" i="12" s="1"/>
  <c r="AT46" i="24" s="1"/>
  <c r="AE164" i="29"/>
  <c r="AH145" i="24"/>
  <c r="S16" i="21"/>
  <c r="J76" i="10" l="1"/>
  <c r="K76" i="10"/>
  <c r="E177" i="29"/>
  <c r="E137" i="29"/>
  <c r="AZ144" i="29" s="1"/>
  <c r="R16" i="21"/>
  <c r="R59" i="10" s="1"/>
  <c r="K59" i="10" s="1"/>
  <c r="AI145" i="24"/>
  <c r="AZ19" i="12"/>
  <c r="AU46" i="24" s="1"/>
  <c r="BA19" i="12" s="1"/>
  <c r="AV46" i="24" s="1"/>
  <c r="K150" i="24"/>
  <c r="L150" i="24" s="1"/>
  <c r="H169" i="29"/>
  <c r="I169" i="29" s="1"/>
  <c r="AF164" i="29"/>
  <c r="V144" i="29" l="1"/>
  <c r="J144" i="29"/>
  <c r="AI144" i="29"/>
  <c r="AC144" i="29"/>
  <c r="AX144" i="29"/>
  <c r="K144" i="29"/>
  <c r="AH144" i="29"/>
  <c r="AL144" i="29"/>
  <c r="BG144" i="29"/>
  <c r="AF144" i="29"/>
  <c r="P144" i="29"/>
  <c r="AD144" i="29"/>
  <c r="AV144" i="29"/>
  <c r="T144" i="29"/>
  <c r="G144" i="29"/>
  <c r="U144" i="29"/>
  <c r="AB144" i="29"/>
  <c r="L144" i="29"/>
  <c r="BK144" i="29"/>
  <c r="O144" i="29"/>
  <c r="AY144" i="29"/>
  <c r="BF144" i="29"/>
  <c r="Y144" i="29"/>
  <c r="BJ144" i="29"/>
  <c r="BC144" i="29"/>
  <c r="AP144" i="29"/>
  <c r="H144" i="29"/>
  <c r="AT144" i="29"/>
  <c r="Z144" i="29"/>
  <c r="AR144" i="29"/>
  <c r="BI144" i="29"/>
  <c r="BA144" i="29"/>
  <c r="AG144" i="29"/>
  <c r="BH144" i="29"/>
  <c r="AJ144" i="29"/>
  <c r="AQ144" i="29"/>
  <c r="S144" i="29"/>
  <c r="X144" i="29"/>
  <c r="BD144" i="29"/>
  <c r="F144" i="29"/>
  <c r="BL144" i="29"/>
  <c r="AM144" i="29"/>
  <c r="AU144" i="29"/>
  <c r="R144" i="29"/>
  <c r="AS144" i="29"/>
  <c r="A137" i="29"/>
  <c r="Q144" i="29"/>
  <c r="AO144" i="29"/>
  <c r="BB144" i="29"/>
  <c r="W144" i="29"/>
  <c r="N144" i="29"/>
  <c r="M144" i="29"/>
  <c r="I144" i="29"/>
  <c r="AE144" i="29"/>
  <c r="AW144" i="29"/>
  <c r="BE144" i="29"/>
  <c r="AN144" i="29"/>
  <c r="AA144" i="29"/>
  <c r="AK144" i="29"/>
  <c r="BM144" i="29"/>
  <c r="J59" i="10"/>
  <c r="L59" i="10"/>
  <c r="M59" i="10" s="1"/>
  <c r="J169" i="29"/>
  <c r="K169" i="29" s="1"/>
  <c r="AJ145" i="24"/>
  <c r="M150" i="24"/>
  <c r="N150" i="24" s="1"/>
  <c r="AG164" i="29"/>
  <c r="BB19" i="12"/>
  <c r="AW46" i="24" s="1"/>
  <c r="E144" i="29" l="1"/>
  <c r="BC19" i="12"/>
  <c r="AX46" i="24" s="1"/>
  <c r="BD19" i="12" s="1"/>
  <c r="AY46" i="24" s="1"/>
  <c r="BE19" i="12" s="1"/>
  <c r="AZ46" i="24" s="1"/>
  <c r="BF19" i="12" s="1"/>
  <c r="BA46" i="24" s="1"/>
  <c r="BG19" i="12" s="1"/>
  <c r="BB46" i="24" s="1"/>
  <c r="BH19" i="12" s="1"/>
  <c r="BC46" i="24" s="1"/>
  <c r="BI19" i="12" s="1"/>
  <c r="BD46" i="24" s="1"/>
  <c r="BJ19" i="12" s="1"/>
  <c r="BE46" i="24" s="1"/>
  <c r="BK19" i="12" s="1"/>
  <c r="BF46" i="24" s="1"/>
  <c r="BL19" i="12" s="1"/>
  <c r="BG46" i="24" s="1"/>
  <c r="BM19" i="12" s="1"/>
  <c r="BH46" i="24" s="1"/>
  <c r="BN19" i="12" s="1"/>
  <c r="BI46" i="24" s="1"/>
  <c r="BO19" i="12" s="1"/>
  <c r="BJ46" i="24" s="1"/>
  <c r="BP19" i="12" s="1"/>
  <c r="BK46" i="24" s="1"/>
  <c r="BQ19" i="12" s="1"/>
  <c r="BL46" i="24" s="1"/>
  <c r="BR19" i="12" s="1"/>
  <c r="AH164" i="29"/>
  <c r="L169" i="29"/>
  <c r="M169" i="29" s="1"/>
  <c r="O150" i="24"/>
  <c r="AK145" i="24"/>
  <c r="N169" i="29" l="1"/>
  <c r="O169" i="29" s="1"/>
  <c r="P169" i="29" s="1"/>
  <c r="Q169" i="29" s="1"/>
  <c r="BM46" i="24"/>
  <c r="E46" i="24" s="1"/>
  <c r="I19" i="12"/>
  <c r="A19" i="12" s="1"/>
  <c r="AL145" i="24"/>
  <c r="AI164" i="29"/>
  <c r="P150" i="24"/>
  <c r="Q150" i="24" s="1"/>
  <c r="R169" i="29" l="1"/>
  <c r="S169" i="29" s="1"/>
  <c r="T169" i="29" s="1"/>
  <c r="AM145" i="24"/>
  <c r="AJ164" i="29"/>
  <c r="T76" i="10"/>
  <c r="L76" i="10" s="1"/>
  <c r="AT80" i="25"/>
  <c r="R150" i="24"/>
  <c r="S150" i="24" s="1"/>
  <c r="T150" i="24" s="1"/>
  <c r="U150" i="24" s="1"/>
  <c r="V150" i="24" s="1"/>
  <c r="W150" i="24" s="1"/>
  <c r="X150" i="24" s="1"/>
  <c r="Y150" i="24" s="1"/>
  <c r="Z150" i="24" s="1"/>
  <c r="AA150" i="24" s="1"/>
  <c r="AB150" i="24" s="1"/>
  <c r="AC150" i="24" s="1"/>
  <c r="AD150" i="24" s="1"/>
  <c r="AE150" i="24" s="1"/>
  <c r="AF150" i="24" s="1"/>
  <c r="AG150" i="24" s="1"/>
  <c r="AH150" i="24" s="1"/>
  <c r="AI150" i="24" s="1"/>
  <c r="AJ150" i="24" s="1"/>
  <c r="AK150" i="24" s="1"/>
  <c r="AL150" i="24" s="1"/>
  <c r="AM150" i="24" s="1"/>
  <c r="AN150" i="24" s="1"/>
  <c r="AO150" i="24" s="1"/>
  <c r="AP150" i="24" s="1"/>
  <c r="AQ150" i="24" s="1"/>
  <c r="AR150" i="24" s="1"/>
  <c r="AS150" i="24" s="1"/>
  <c r="AT150" i="24" s="1"/>
  <c r="AU150" i="24" s="1"/>
  <c r="AV150" i="24" s="1"/>
  <c r="AW150" i="24" s="1"/>
  <c r="AX150" i="24" s="1"/>
  <c r="AY150" i="24" s="1"/>
  <c r="AZ150" i="24" s="1"/>
  <c r="BA150" i="24" s="1"/>
  <c r="BB150" i="24" s="1"/>
  <c r="BC150" i="24" s="1"/>
  <c r="BD150" i="24" s="1"/>
  <c r="BE150" i="24" s="1"/>
  <c r="BF150" i="24" s="1"/>
  <c r="BG150" i="24" s="1"/>
  <c r="BH150" i="24" s="1"/>
  <c r="BI150" i="24" s="1"/>
  <c r="BJ150" i="24" s="1"/>
  <c r="BK150" i="24" s="1"/>
  <c r="BL150" i="24" s="1"/>
  <c r="BM150" i="24" s="1"/>
  <c r="E150" i="24" s="1"/>
  <c r="AN145" i="24" l="1"/>
  <c r="AT92" i="25"/>
  <c r="M76" i="10"/>
  <c r="AK164" i="29"/>
  <c r="U169" i="29"/>
  <c r="V169" i="29" s="1"/>
  <c r="W169" i="29" s="1"/>
  <c r="X169" i="29" s="1"/>
  <c r="Y169" i="29" s="1"/>
  <c r="Z169" i="29" s="1"/>
  <c r="AA169" i="29" s="1"/>
  <c r="AB169" i="29" s="1"/>
  <c r="AC169" i="29" s="1"/>
  <c r="AD169" i="29" s="1"/>
  <c r="AE169" i="29" s="1"/>
  <c r="AF169" i="29" s="1"/>
  <c r="AG169" i="29" s="1"/>
  <c r="AH169" i="29" s="1"/>
  <c r="AI169" i="29" s="1"/>
  <c r="AJ169" i="29" s="1"/>
  <c r="AK169" i="29" s="1"/>
  <c r="AL169" i="29" s="1"/>
  <c r="AM169" i="29" s="1"/>
  <c r="AN169" i="29" s="1"/>
  <c r="AO169" i="29" s="1"/>
  <c r="AP169" i="29" s="1"/>
  <c r="AQ169" i="29" s="1"/>
  <c r="AR169" i="29" s="1"/>
  <c r="AS169" i="29" s="1"/>
  <c r="AT169" i="29" s="1"/>
  <c r="AU169" i="29" s="1"/>
  <c r="AV169" i="29" s="1"/>
  <c r="AW169" i="29" s="1"/>
  <c r="AX169" i="29" s="1"/>
  <c r="AY169" i="29" s="1"/>
  <c r="AZ169" i="29" s="1"/>
  <c r="BA169" i="29" s="1"/>
  <c r="BB169" i="29" s="1"/>
  <c r="BC169" i="29" s="1"/>
  <c r="BD169" i="29" s="1"/>
  <c r="BE169" i="29" s="1"/>
  <c r="BF169" i="29" s="1"/>
  <c r="BG169" i="29" s="1"/>
  <c r="BH169" i="29" s="1"/>
  <c r="BI169" i="29" s="1"/>
  <c r="BJ169" i="29" s="1"/>
  <c r="BK169" i="29" s="1"/>
  <c r="BL169" i="29" s="1"/>
  <c r="BM169" i="29" s="1"/>
  <c r="E169" i="29" s="1"/>
  <c r="AO145" i="24" l="1"/>
  <c r="BE125" i="24"/>
  <c r="AA125" i="24"/>
  <c r="Y125" i="24"/>
  <c r="BJ125" i="24"/>
  <c r="AC125" i="24"/>
  <c r="BG125" i="24"/>
  <c r="S125" i="24"/>
  <c r="BF125" i="24"/>
  <c r="R125" i="24"/>
  <c r="AE125" i="24"/>
  <c r="AH125" i="24"/>
  <c r="BH125" i="24"/>
  <c r="BC125" i="24"/>
  <c r="AI125" i="24"/>
  <c r="AP125" i="24"/>
  <c r="BA125" i="24"/>
  <c r="AN125" i="24"/>
  <c r="N125" i="24"/>
  <c r="G125" i="24"/>
  <c r="AQ125" i="24"/>
  <c r="BB125" i="24"/>
  <c r="F125" i="24"/>
  <c r="AY125" i="24"/>
  <c r="Q125" i="24"/>
  <c r="AZ125" i="24"/>
  <c r="V125" i="24"/>
  <c r="AR125" i="24"/>
  <c r="W125" i="24"/>
  <c r="L125" i="24"/>
  <c r="AM125" i="24"/>
  <c r="AW125" i="24"/>
  <c r="BD125" i="24"/>
  <c r="O125" i="24"/>
  <c r="I125" i="24"/>
  <c r="AK125" i="24"/>
  <c r="AO125" i="24"/>
  <c r="BK125" i="24"/>
  <c r="AU125" i="24"/>
  <c r="BI125" i="24"/>
  <c r="M125" i="24"/>
  <c r="AX125" i="24"/>
  <c r="AL125" i="24"/>
  <c r="AD125" i="24"/>
  <c r="AB125" i="24"/>
  <c r="BL125" i="24"/>
  <c r="K125" i="24"/>
  <c r="AF125" i="24"/>
  <c r="AV125" i="24"/>
  <c r="AG125" i="24"/>
  <c r="AJ125" i="24"/>
  <c r="AS125" i="24"/>
  <c r="BM125" i="24"/>
  <c r="Z125" i="24"/>
  <c r="H125" i="24"/>
  <c r="P125" i="24"/>
  <c r="U125" i="24"/>
  <c r="T125" i="24"/>
  <c r="AT125" i="24"/>
  <c r="X125" i="24"/>
  <c r="J125" i="24"/>
  <c r="AT108" i="25"/>
  <c r="AT116" i="25" s="1"/>
  <c r="AL164" i="29"/>
  <c r="AM164" i="29" l="1"/>
  <c r="E125" i="24"/>
  <c r="AP145" i="24"/>
  <c r="AN164" i="29" l="1"/>
  <c r="AQ145" i="24"/>
  <c r="AR145" i="24" l="1"/>
  <c r="AO164" i="29"/>
  <c r="AP164" i="29" l="1"/>
  <c r="AS145" i="24"/>
  <c r="AT145" i="24" l="1"/>
  <c r="AQ164" i="29"/>
  <c r="AR164" i="29" l="1"/>
  <c r="AU145" i="24"/>
  <c r="AS164" i="29" l="1"/>
  <c r="AV145" i="24"/>
  <c r="AT164" i="29" l="1"/>
  <c r="AW145" i="24"/>
  <c r="AX145" i="24" l="1"/>
  <c r="AU164" i="29"/>
  <c r="AV164" i="29" l="1"/>
  <c r="AY145" i="24"/>
  <c r="AZ145" i="24" l="1"/>
  <c r="AW164" i="29"/>
  <c r="AX164" i="29" l="1"/>
  <c r="BA145" i="24"/>
  <c r="BB145" i="24" l="1"/>
  <c r="AY164" i="29"/>
  <c r="AZ164" i="29" l="1"/>
  <c r="BC145" i="24"/>
  <c r="BD145" i="24" l="1"/>
  <c r="BA164" i="29"/>
  <c r="BB164" i="29" l="1"/>
  <c r="BE145" i="24"/>
  <c r="BF145" i="24" l="1"/>
  <c r="BC164" i="29"/>
  <c r="BD164" i="29" l="1"/>
  <c r="BG145" i="24"/>
  <c r="BH145" i="24" l="1"/>
  <c r="BE164" i="29"/>
  <c r="BI145" i="24" l="1"/>
  <c r="BF164" i="29"/>
  <c r="BG164" i="29" l="1"/>
  <c r="BJ145" i="24"/>
  <c r="BK145" i="24" l="1"/>
  <c r="BH164" i="29"/>
  <c r="BL145" i="24" l="1"/>
  <c r="BI164" i="29"/>
  <c r="BJ164" i="29" l="1"/>
  <c r="BM145" i="24"/>
  <c r="E145" i="24" l="1"/>
  <c r="BK164" i="29"/>
  <c r="BL164" i="29" l="1"/>
  <c r="BM164" i="29" l="1"/>
  <c r="E164" i="29" l="1"/>
  <c r="T12" i="10"/>
  <c r="E64" i="25"/>
  <c r="E69" i="25" s="1"/>
  <c r="F11" i="21"/>
  <c r="G11" i="23"/>
  <c r="H11" i="23" s="1"/>
  <c r="F7" i="21" l="1"/>
  <c r="D8" i="21" s="1"/>
  <c r="I36" i="23"/>
  <c r="H7" i="23"/>
  <c r="J11" i="23"/>
  <c r="T33" i="10"/>
  <c r="H11" i="21"/>
  <c r="T21" i="10"/>
  <c r="G11" i="21"/>
  <c r="J33" i="23"/>
  <c r="R12" i="10"/>
  <c r="E48" i="25"/>
  <c r="G7" i="23"/>
  <c r="F64" i="25"/>
  <c r="F69" i="25" s="1"/>
  <c r="E87" i="25" s="1"/>
  <c r="F18" i="21" l="1"/>
  <c r="J12" i="10"/>
  <c r="K12" i="10"/>
  <c r="L12" i="10"/>
  <c r="E75" i="25"/>
  <c r="E77" i="25" s="1"/>
  <c r="C81" i="25" s="1"/>
  <c r="AB63" i="25" s="1"/>
  <c r="T27" i="10"/>
  <c r="T45" i="10"/>
  <c r="J11" i="21"/>
  <c r="R45" i="10" s="1"/>
  <c r="I33" i="23"/>
  <c r="H33" i="23"/>
  <c r="J33" i="21"/>
  <c r="I308" i="12"/>
  <c r="G7" i="21"/>
  <c r="G18" i="21" s="1"/>
  <c r="R21" i="10"/>
  <c r="T18" i="10"/>
  <c r="I7" i="21"/>
  <c r="I18" i="21"/>
  <c r="R37" i="10" s="1"/>
  <c r="H7" i="21"/>
  <c r="H18" i="21" s="1"/>
  <c r="R33" i="10"/>
  <c r="H36" i="23"/>
  <c r="G18" i="23"/>
  <c r="R8" i="10"/>
  <c r="K8" i="10" s="1"/>
  <c r="R9" i="10"/>
  <c r="K9" i="10" s="1"/>
  <c r="D11" i="21"/>
  <c r="H18" i="23"/>
  <c r="I7" i="23"/>
  <c r="I18" i="23" s="1"/>
  <c r="T37" i="10" s="1"/>
  <c r="M49" i="25"/>
  <c r="N49" i="25"/>
  <c r="Y49" i="25"/>
  <c r="R49" i="25"/>
  <c r="AC49" i="25"/>
  <c r="V49" i="25"/>
  <c r="J49" i="25"/>
  <c r="Z49" i="25"/>
  <c r="W49" i="25"/>
  <c r="X49" i="25"/>
  <c r="AH49" i="25"/>
  <c r="AE49" i="25"/>
  <c r="AF49" i="25"/>
  <c r="AA49" i="25"/>
  <c r="S49" i="25"/>
  <c r="F49" i="25"/>
  <c r="T49" i="25"/>
  <c r="AI49" i="25"/>
  <c r="L49" i="25"/>
  <c r="AD49" i="25"/>
  <c r="I49" i="25"/>
  <c r="G49" i="25"/>
  <c r="H49" i="25"/>
  <c r="AG49" i="25"/>
  <c r="O49" i="25"/>
  <c r="P49" i="25"/>
  <c r="K49" i="25"/>
  <c r="AB49" i="25"/>
  <c r="U49" i="25"/>
  <c r="Q49" i="25"/>
  <c r="AJ48" i="25"/>
  <c r="X63" i="25" l="1"/>
  <c r="AA63" i="25" s="1"/>
  <c r="I138" i="12"/>
  <c r="I143" i="12"/>
  <c r="M12" i="10"/>
  <c r="J37" i="10"/>
  <c r="K37" i="10"/>
  <c r="J45" i="10"/>
  <c r="K45" i="10"/>
  <c r="J21" i="10"/>
  <c r="K21" i="10"/>
  <c r="J33" i="10"/>
  <c r="K33" i="10"/>
  <c r="L45" i="10"/>
  <c r="J8" i="10"/>
  <c r="L8" i="10"/>
  <c r="M8" i="10" s="1"/>
  <c r="L33" i="10"/>
  <c r="J9" i="10"/>
  <c r="L9" i="10"/>
  <c r="M9" i="10" s="1"/>
  <c r="L21" i="10"/>
  <c r="L37" i="10"/>
  <c r="E11" i="21"/>
  <c r="B10" i="10"/>
  <c r="T42" i="10"/>
  <c r="R18" i="10"/>
  <c r="T26" i="10"/>
  <c r="T17" i="10"/>
  <c r="G195" i="12"/>
  <c r="H29" i="23"/>
  <c r="G311" i="12"/>
  <c r="H52" i="23"/>
  <c r="G310" i="12"/>
  <c r="I218" i="12"/>
  <c r="J32" i="23"/>
  <c r="J38" i="23"/>
  <c r="I249" i="12"/>
  <c r="J39" i="23"/>
  <c r="J40" i="23"/>
  <c r="J31" i="23"/>
  <c r="AJ49" i="25"/>
  <c r="AK48" i="25"/>
  <c r="AJ11" i="24"/>
  <c r="AJ38" i="25"/>
  <c r="I29" i="23"/>
  <c r="I52" i="23"/>
  <c r="R27" i="10"/>
  <c r="H52" i="21"/>
  <c r="H29" i="21"/>
  <c r="H36" i="21"/>
  <c r="F36" i="21" s="1"/>
  <c r="J25" i="23"/>
  <c r="R42" i="10"/>
  <c r="I52" i="21"/>
  <c r="I36" i="21"/>
  <c r="I29" i="21"/>
  <c r="G308" i="12"/>
  <c r="E33" i="23" s="1"/>
  <c r="I287" i="12"/>
  <c r="BP308" i="12"/>
  <c r="BO308" i="12"/>
  <c r="BN308" i="12"/>
  <c r="AH308" i="12"/>
  <c r="U308" i="12"/>
  <c r="AE308" i="12"/>
  <c r="W308" i="12"/>
  <c r="BI308" i="12"/>
  <c r="AR308" i="12"/>
  <c r="AM308" i="12"/>
  <c r="BE308" i="12"/>
  <c r="AG308" i="12"/>
  <c r="BD308" i="12"/>
  <c r="BG308" i="12"/>
  <c r="BM308" i="12"/>
  <c r="T308" i="12"/>
  <c r="AK308" i="12"/>
  <c r="BQ308" i="12"/>
  <c r="AX308" i="12"/>
  <c r="BA308" i="12"/>
  <c r="AO308" i="12"/>
  <c r="Y308" i="12"/>
  <c r="AD308" i="12"/>
  <c r="AT308" i="12"/>
  <c r="AZ308" i="12"/>
  <c r="AB308" i="12"/>
  <c r="BL308" i="12"/>
  <c r="AU308" i="12"/>
  <c r="AS308" i="12"/>
  <c r="AQ308" i="12"/>
  <c r="AL308" i="12"/>
  <c r="AN308" i="12"/>
  <c r="BC308" i="12"/>
  <c r="AI308" i="12"/>
  <c r="AP308" i="12"/>
  <c r="Z308" i="12"/>
  <c r="AJ308" i="12"/>
  <c r="V308" i="12"/>
  <c r="AV308" i="12"/>
  <c r="AC308" i="12"/>
  <c r="BJ308" i="12"/>
  <c r="S308" i="12"/>
  <c r="AF308" i="12"/>
  <c r="X308" i="12"/>
  <c r="BF308" i="12"/>
  <c r="BK308" i="12"/>
  <c r="BH308" i="12"/>
  <c r="AW308" i="12"/>
  <c r="AY308" i="12"/>
  <c r="BB308" i="12"/>
  <c r="AA308" i="12"/>
  <c r="BR308" i="12"/>
  <c r="H33" i="21"/>
  <c r="I33" i="21"/>
  <c r="S138" i="12" l="1"/>
  <c r="S139" i="12"/>
  <c r="A139" i="12" s="1"/>
  <c r="S140" i="12"/>
  <c r="A140" i="12" s="1"/>
  <c r="T138" i="12"/>
  <c r="O60" i="3" s="1"/>
  <c r="U138" i="12"/>
  <c r="P60" i="3" s="1"/>
  <c r="V138" i="12"/>
  <c r="Q60" i="3" s="1"/>
  <c r="W138" i="12"/>
  <c r="R60" i="3" s="1"/>
  <c r="X138" i="12"/>
  <c r="S60" i="3" s="1"/>
  <c r="Y138" i="12"/>
  <c r="T60" i="3" s="1"/>
  <c r="Z138" i="12"/>
  <c r="U60" i="3" s="1"/>
  <c r="AA138" i="12"/>
  <c r="V60" i="3" s="1"/>
  <c r="AB138" i="12"/>
  <c r="W60" i="3" s="1"/>
  <c r="AC138" i="12"/>
  <c r="X60" i="3" s="1"/>
  <c r="AD138" i="12"/>
  <c r="Y60" i="3" s="1"/>
  <c r="AE138" i="12"/>
  <c r="Z60" i="3" s="1"/>
  <c r="AF138" i="12"/>
  <c r="AA60" i="3" s="1"/>
  <c r="AG138" i="12"/>
  <c r="AB60" i="3" s="1"/>
  <c r="AI138" i="12"/>
  <c r="AD60" i="3" s="1"/>
  <c r="AH138" i="12"/>
  <c r="AC60" i="3" s="1"/>
  <c r="AJ138" i="12"/>
  <c r="AE60" i="3" s="1"/>
  <c r="AK138" i="12"/>
  <c r="AF60" i="3" s="1"/>
  <c r="AL138" i="12"/>
  <c r="AG60" i="3" s="1"/>
  <c r="AM138" i="12"/>
  <c r="AH60" i="3" s="1"/>
  <c r="AN138" i="12"/>
  <c r="AI60" i="3" s="1"/>
  <c r="AO138" i="12"/>
  <c r="AJ60" i="3" s="1"/>
  <c r="AP138" i="12"/>
  <c r="AK60" i="3" s="1"/>
  <c r="AQ138" i="12"/>
  <c r="AL60" i="3" s="1"/>
  <c r="AR138" i="12"/>
  <c r="AM60" i="3" s="1"/>
  <c r="AS138" i="12"/>
  <c r="AN60" i="3" s="1"/>
  <c r="AT138" i="12"/>
  <c r="AO60" i="3" s="1"/>
  <c r="AU138" i="12"/>
  <c r="AP60" i="3" s="1"/>
  <c r="AV138" i="12"/>
  <c r="AQ60" i="3" s="1"/>
  <c r="AW138" i="12"/>
  <c r="AR60" i="3" s="1"/>
  <c r="AX138" i="12"/>
  <c r="AS60" i="3" s="1"/>
  <c r="AY138" i="12"/>
  <c r="AT60" i="3" s="1"/>
  <c r="AZ138" i="12"/>
  <c r="AU60" i="3" s="1"/>
  <c r="BA138" i="12"/>
  <c r="AV60" i="3" s="1"/>
  <c r="BB138" i="12"/>
  <c r="AW60" i="3" s="1"/>
  <c r="BC138" i="12"/>
  <c r="AX60" i="3" s="1"/>
  <c r="BD138" i="12"/>
  <c r="AY60" i="3" s="1"/>
  <c r="BE138" i="12"/>
  <c r="AZ60" i="3" s="1"/>
  <c r="BF138" i="12"/>
  <c r="BA60" i="3" s="1"/>
  <c r="BG138" i="12"/>
  <c r="BB60" i="3" s="1"/>
  <c r="BH138" i="12"/>
  <c r="BC60" i="3" s="1"/>
  <c r="BI138" i="12"/>
  <c r="BD60" i="3" s="1"/>
  <c r="BJ138" i="12"/>
  <c r="BE60" i="3" s="1"/>
  <c r="BK138" i="12"/>
  <c r="BF60" i="3" s="1"/>
  <c r="BL138" i="12"/>
  <c r="BG60" i="3" s="1"/>
  <c r="BM138" i="12"/>
  <c r="BH60" i="3" s="1"/>
  <c r="BN138" i="12"/>
  <c r="BI60" i="3" s="1"/>
  <c r="BO138" i="12"/>
  <c r="BJ60" i="3" s="1"/>
  <c r="BP138" i="12"/>
  <c r="BK60" i="3" s="1"/>
  <c r="BQ138" i="12"/>
  <c r="BL60" i="3" s="1"/>
  <c r="BR138" i="12"/>
  <c r="BM60" i="3" s="1"/>
  <c r="J22" i="1"/>
  <c r="M45" i="10"/>
  <c r="M37" i="10"/>
  <c r="M21" i="10"/>
  <c r="J42" i="10"/>
  <c r="K42" i="10"/>
  <c r="J18" i="10"/>
  <c r="K18" i="10"/>
  <c r="M33" i="10"/>
  <c r="J27" i="10"/>
  <c r="K27" i="10"/>
  <c r="L42" i="10"/>
  <c r="L27" i="10"/>
  <c r="L18" i="10"/>
  <c r="BF65" i="24"/>
  <c r="BF84" i="29" s="1"/>
  <c r="BK287" i="12"/>
  <c r="AQ287" i="12"/>
  <c r="AL65" i="24"/>
  <c r="AL84" i="29" s="1"/>
  <c r="T65" i="24"/>
  <c r="T84" i="29" s="1"/>
  <c r="Y287" i="12"/>
  <c r="BG287" i="12"/>
  <c r="BB65" i="24"/>
  <c r="BB84" i="29" s="1"/>
  <c r="Z65" i="24"/>
  <c r="Z84" i="29" s="1"/>
  <c r="AE287" i="12"/>
  <c r="I25" i="23"/>
  <c r="H25" i="23"/>
  <c r="J25" i="21"/>
  <c r="AJ287" i="12"/>
  <c r="AE65" i="24"/>
  <c r="AE84" i="29" s="1"/>
  <c r="AS287" i="12"/>
  <c r="AN65" i="24"/>
  <c r="AN84" i="29" s="1"/>
  <c r="P65" i="24"/>
  <c r="P84" i="29" s="1"/>
  <c r="U287" i="12"/>
  <c r="AB70" i="25"/>
  <c r="AC70" i="25" s="1"/>
  <c r="AB64" i="25"/>
  <c r="AC64" i="25" s="1"/>
  <c r="AB66" i="25"/>
  <c r="AC66" i="25" s="1"/>
  <c r="AB73" i="25"/>
  <c r="AC73" i="25" s="1"/>
  <c r="AC63" i="25"/>
  <c r="AB75" i="25"/>
  <c r="AC75" i="25" s="1"/>
  <c r="AB72" i="25"/>
  <c r="AC72" i="25" s="1"/>
  <c r="AB67" i="25"/>
  <c r="AC67" i="25" s="1"/>
  <c r="AB69" i="25"/>
  <c r="AC69" i="25" s="1"/>
  <c r="E88" i="25"/>
  <c r="E89" i="25" s="1"/>
  <c r="AB74" i="25"/>
  <c r="AC74" i="25" s="1"/>
  <c r="AB71" i="25"/>
  <c r="AC71" i="25" s="1"/>
  <c r="AB65" i="25"/>
  <c r="AC65" i="25" s="1"/>
  <c r="AB68" i="25"/>
  <c r="AC68" i="25" s="1"/>
  <c r="J26" i="23"/>
  <c r="AB77" i="25"/>
  <c r="AC77" i="25" s="1"/>
  <c r="AB76" i="25"/>
  <c r="AC76" i="25" s="1"/>
  <c r="AB78" i="25"/>
  <c r="AC78" i="25" s="1"/>
  <c r="I40" i="23"/>
  <c r="H40" i="23"/>
  <c r="J40" i="21"/>
  <c r="I384" i="12"/>
  <c r="BF287" i="12"/>
  <c r="BA65" i="24"/>
  <c r="BA84" i="29" s="1"/>
  <c r="AY65" i="24"/>
  <c r="AY84" i="29" s="1"/>
  <c r="BD287" i="12"/>
  <c r="R17" i="10"/>
  <c r="V287" i="12"/>
  <c r="Q65" i="24"/>
  <c r="Q84" i="29" s="1"/>
  <c r="A308" i="12"/>
  <c r="H31" i="23"/>
  <c r="I31" i="23"/>
  <c r="J31" i="21"/>
  <c r="J42" i="23"/>
  <c r="AJ65" i="24"/>
  <c r="AJ84" i="29" s="1"/>
  <c r="AO287" i="12"/>
  <c r="BR287" i="12"/>
  <c r="BM65" i="24"/>
  <c r="BM84" i="29" s="1"/>
  <c r="S65" i="24"/>
  <c r="S84" i="29" s="1"/>
  <c r="X287" i="12"/>
  <c r="Z287" i="12"/>
  <c r="U65" i="24"/>
  <c r="U84" i="29" s="1"/>
  <c r="AU287" i="12"/>
  <c r="AP65" i="24"/>
  <c r="AP84" i="29" s="1"/>
  <c r="BA287" i="12"/>
  <c r="AV65" i="24"/>
  <c r="AV84" i="29" s="1"/>
  <c r="AB65" i="24"/>
  <c r="AB84" i="29" s="1"/>
  <c r="AG287" i="12"/>
  <c r="BL287" i="12"/>
  <c r="BG65" i="24"/>
  <c r="BG84" i="29" s="1"/>
  <c r="I223" i="12"/>
  <c r="S249" i="12"/>
  <c r="BR249" i="12"/>
  <c r="AE249" i="12"/>
  <c r="T249" i="12"/>
  <c r="BD249" i="12"/>
  <c r="V249" i="12"/>
  <c r="AW249" i="12"/>
  <c r="AD249" i="12"/>
  <c r="AC249" i="12"/>
  <c r="AU249" i="12"/>
  <c r="BG249" i="12"/>
  <c r="AX249" i="12"/>
  <c r="BI249" i="12"/>
  <c r="BA249" i="12"/>
  <c r="Z249" i="12"/>
  <c r="BK249" i="12"/>
  <c r="BJ249" i="12"/>
  <c r="BL249" i="12"/>
  <c r="Y249" i="12"/>
  <c r="AF249" i="12"/>
  <c r="BH249" i="12"/>
  <c r="AP249" i="12"/>
  <c r="AA249" i="12"/>
  <c r="BF249" i="12"/>
  <c r="AZ249" i="12"/>
  <c r="AS249" i="12"/>
  <c r="AO249" i="12"/>
  <c r="BC249" i="12"/>
  <c r="X249" i="12"/>
  <c r="BQ249" i="12"/>
  <c r="AM249" i="12"/>
  <c r="BE249" i="12"/>
  <c r="AJ249" i="12"/>
  <c r="BN249" i="12"/>
  <c r="AI249" i="12"/>
  <c r="AT249" i="12"/>
  <c r="BM249" i="12"/>
  <c r="AN249" i="12"/>
  <c r="BP249" i="12"/>
  <c r="AG249" i="12"/>
  <c r="W249" i="12"/>
  <c r="AH249" i="12"/>
  <c r="BO249" i="12"/>
  <c r="BB249" i="12"/>
  <c r="AB249" i="12"/>
  <c r="AY249" i="12"/>
  <c r="AL249" i="12"/>
  <c r="AV249" i="12"/>
  <c r="AR249" i="12"/>
  <c r="AK249" i="12"/>
  <c r="AQ249" i="12"/>
  <c r="U249" i="12"/>
  <c r="AC65" i="24"/>
  <c r="AC84" i="29" s="1"/>
  <c r="AH287" i="12"/>
  <c r="J38" i="21"/>
  <c r="I39" i="23"/>
  <c r="H39" i="23"/>
  <c r="I353" i="12"/>
  <c r="V65" i="24"/>
  <c r="V84" i="29" s="1"/>
  <c r="AA287" i="12"/>
  <c r="AA65" i="24"/>
  <c r="AA84" i="29" s="1"/>
  <c r="AF287" i="12"/>
  <c r="AP287" i="12"/>
  <c r="AK65" i="24"/>
  <c r="AK84" i="29" s="1"/>
  <c r="AX287" i="12"/>
  <c r="AS65" i="24"/>
  <c r="AS84" i="29" s="1"/>
  <c r="BI65" i="24"/>
  <c r="BI84" i="29" s="1"/>
  <c r="BN287" i="12"/>
  <c r="BB287" i="12"/>
  <c r="AW65" i="24"/>
  <c r="AW84" i="29" s="1"/>
  <c r="S287" i="12"/>
  <c r="N65" i="24"/>
  <c r="AI287" i="12"/>
  <c r="AD65" i="24"/>
  <c r="AD84" i="29" s="1"/>
  <c r="AB287" i="12"/>
  <c r="W65" i="24"/>
  <c r="W84" i="29" s="1"/>
  <c r="BQ287" i="12"/>
  <c r="BL65" i="24"/>
  <c r="BL84" i="29" s="1"/>
  <c r="AM287" i="12"/>
  <c r="AH65" i="24"/>
  <c r="AH84" i="29" s="1"/>
  <c r="BJ65" i="24"/>
  <c r="BJ84" i="29" s="1"/>
  <c r="BO287" i="12"/>
  <c r="AK49" i="25"/>
  <c r="AK38" i="25"/>
  <c r="AK32" i="25" s="1"/>
  <c r="AK11" i="24"/>
  <c r="H38" i="23"/>
  <c r="I38" i="23"/>
  <c r="J39" i="21"/>
  <c r="I333" i="12"/>
  <c r="T41" i="10"/>
  <c r="BE287" i="12"/>
  <c r="AZ65" i="24"/>
  <c r="AZ84" i="29" s="1"/>
  <c r="AY287" i="12"/>
  <c r="AT65" i="24"/>
  <c r="AT84" i="29" s="1"/>
  <c r="BE65" i="24"/>
  <c r="BE84" i="29" s="1"/>
  <c r="BJ287" i="12"/>
  <c r="BC287" i="12"/>
  <c r="AX65" i="24"/>
  <c r="AX84" i="29" s="1"/>
  <c r="AZ287" i="12"/>
  <c r="AU65" i="24"/>
  <c r="AU84" i="29" s="1"/>
  <c r="AK287" i="12"/>
  <c r="AF65" i="24"/>
  <c r="AF84" i="29" s="1"/>
  <c r="BP287" i="12"/>
  <c r="BK65" i="24"/>
  <c r="BK84" i="29" s="1"/>
  <c r="AJ32" i="25"/>
  <c r="J32" i="21"/>
  <c r="H32" i="23"/>
  <c r="I32" i="23"/>
  <c r="AE218" i="12"/>
  <c r="S218" i="12"/>
  <c r="AL218" i="12"/>
  <c r="BH218" i="12"/>
  <c r="T218" i="12"/>
  <c r="AP218" i="12"/>
  <c r="AS218" i="12"/>
  <c r="BQ218" i="12"/>
  <c r="AJ218" i="12"/>
  <c r="AK218" i="12"/>
  <c r="AF218" i="12"/>
  <c r="BE218" i="12"/>
  <c r="BC218" i="12"/>
  <c r="I212" i="12"/>
  <c r="BF218" i="12"/>
  <c r="AM218" i="12"/>
  <c r="BJ218" i="12"/>
  <c r="BP218" i="12"/>
  <c r="BO218" i="12"/>
  <c r="Z218" i="12"/>
  <c r="BA218" i="12"/>
  <c r="BL218" i="12"/>
  <c r="AA218" i="12"/>
  <c r="G218" i="12"/>
  <c r="AG218" i="12"/>
  <c r="AD218" i="12"/>
  <c r="U218" i="12"/>
  <c r="BR218" i="12"/>
  <c r="AQ218" i="12"/>
  <c r="BG218" i="12"/>
  <c r="V218" i="12"/>
  <c r="AB218" i="12"/>
  <c r="AX218" i="12"/>
  <c r="AV218" i="12"/>
  <c r="BM218" i="12"/>
  <c r="Y218" i="12"/>
  <c r="X218" i="12"/>
  <c r="AN218" i="12"/>
  <c r="AZ218" i="12"/>
  <c r="AW218" i="12"/>
  <c r="AH218" i="12"/>
  <c r="AC218" i="12"/>
  <c r="BI218" i="12"/>
  <c r="AI218" i="12"/>
  <c r="AT218" i="12"/>
  <c r="BK218" i="12"/>
  <c r="AU218" i="12"/>
  <c r="AR218" i="12"/>
  <c r="BB218" i="12"/>
  <c r="AY218" i="12"/>
  <c r="BN218" i="12"/>
  <c r="BD218" i="12"/>
  <c r="W218" i="12"/>
  <c r="AO218" i="12"/>
  <c r="AM65" i="24"/>
  <c r="AM84" i="29" s="1"/>
  <c r="AR287" i="12"/>
  <c r="AW287" i="12"/>
  <c r="AR65" i="24"/>
  <c r="AR84" i="29" s="1"/>
  <c r="AC287" i="12"/>
  <c r="X65" i="24"/>
  <c r="X84" i="29" s="1"/>
  <c r="AN287" i="12"/>
  <c r="AI65" i="24"/>
  <c r="AI84" i="29" s="1"/>
  <c r="AO65" i="24"/>
  <c r="AO84" i="29" s="1"/>
  <c r="AT287" i="12"/>
  <c r="T287" i="12"/>
  <c r="O65" i="24"/>
  <c r="O84" i="29" s="1"/>
  <c r="BI287" i="12"/>
  <c r="BD65" i="24"/>
  <c r="BD84" i="29" s="1"/>
  <c r="R41" i="10"/>
  <c r="AJ140" i="24"/>
  <c r="AJ20" i="24"/>
  <c r="AJ31" i="29" s="1"/>
  <c r="AJ16" i="29"/>
  <c r="AO104" i="12"/>
  <c r="AL48" i="25"/>
  <c r="BC65" i="24"/>
  <c r="BC84" i="29" s="1"/>
  <c r="BH287" i="12"/>
  <c r="AQ65" i="24"/>
  <c r="AQ84" i="29" s="1"/>
  <c r="AV287" i="12"/>
  <c r="AL287" i="12"/>
  <c r="AG65" i="24"/>
  <c r="AG84" i="29" s="1"/>
  <c r="Y65" i="24"/>
  <c r="Y84" i="29" s="1"/>
  <c r="AD287" i="12"/>
  <c r="BH65" i="24"/>
  <c r="BH84" i="29" s="1"/>
  <c r="BM287" i="12"/>
  <c r="R65" i="24"/>
  <c r="R84" i="29" s="1"/>
  <c r="W287" i="12"/>
  <c r="R26" i="10"/>
  <c r="AE279" i="12" l="1"/>
  <c r="AM279" i="12"/>
  <c r="AO279" i="12"/>
  <c r="AJ61" i="24" s="1"/>
  <c r="AF279" i="12"/>
  <c r="AI279" i="12"/>
  <c r="AC279" i="12"/>
  <c r="AL279" i="12"/>
  <c r="AD279" i="12"/>
  <c r="AJ279" i="12"/>
  <c r="AK279" i="12"/>
  <c r="AP279" i="12"/>
  <c r="AK61" i="24" s="1"/>
  <c r="AQ279" i="12"/>
  <c r="AB279" i="12"/>
  <c r="AN279" i="12"/>
  <c r="AG279" i="12"/>
  <c r="AH279" i="12"/>
  <c r="F22" i="1"/>
  <c r="I22" i="1"/>
  <c r="H22" i="1"/>
  <c r="J23" i="1"/>
  <c r="J43" i="1"/>
  <c r="BG81" i="3"/>
  <c r="BG103" i="3"/>
  <c r="BG104" i="3" s="1"/>
  <c r="BG59" i="3"/>
  <c r="BG76" i="3" s="1"/>
  <c r="AY103" i="3"/>
  <c r="AY104" i="3" s="1"/>
  <c r="AY81" i="3"/>
  <c r="AY59" i="3"/>
  <c r="AY76" i="3" s="1"/>
  <c r="AQ81" i="3"/>
  <c r="AQ103" i="3"/>
  <c r="AQ104" i="3" s="1"/>
  <c r="AQ59" i="3"/>
  <c r="AQ76" i="3" s="1"/>
  <c r="AI81" i="3"/>
  <c r="AI103" i="3"/>
  <c r="AI104" i="3" s="1"/>
  <c r="AI59" i="3"/>
  <c r="AI76" i="3" s="1"/>
  <c r="AA81" i="3"/>
  <c r="AA103" i="3"/>
  <c r="AA104" i="3" s="1"/>
  <c r="AA59" i="3"/>
  <c r="AA76" i="3" s="1"/>
  <c r="S81" i="3"/>
  <c r="S59" i="3"/>
  <c r="S76" i="3" s="1"/>
  <c r="A138" i="12"/>
  <c r="BF81" i="3"/>
  <c r="BF103" i="3"/>
  <c r="BF104" i="3" s="1"/>
  <c r="BF59" i="3"/>
  <c r="BF76" i="3" s="1"/>
  <c r="AX103" i="3"/>
  <c r="AX104" i="3" s="1"/>
  <c r="AX81" i="3"/>
  <c r="AX59" i="3"/>
  <c r="AX76" i="3" s="1"/>
  <c r="AP81" i="3"/>
  <c r="AP103" i="3"/>
  <c r="AP104" i="3" s="1"/>
  <c r="AP59" i="3"/>
  <c r="AP76" i="3" s="1"/>
  <c r="AH81" i="3"/>
  <c r="AH103" i="3"/>
  <c r="AH104" i="3" s="1"/>
  <c r="AH59" i="3"/>
  <c r="AH76" i="3" s="1"/>
  <c r="Z81" i="3"/>
  <c r="Z103" i="3"/>
  <c r="Z104" i="3" s="1"/>
  <c r="Z59" i="3"/>
  <c r="Z76" i="3" s="1"/>
  <c r="R81" i="3"/>
  <c r="R59" i="3"/>
  <c r="R76" i="3" s="1"/>
  <c r="R103" i="3"/>
  <c r="R104" i="3" s="1"/>
  <c r="BM103" i="3"/>
  <c r="BM104" i="3" s="1"/>
  <c r="BM81" i="3"/>
  <c r="BM59" i="3"/>
  <c r="BM76" i="3" s="1"/>
  <c r="BE103" i="3"/>
  <c r="BE104" i="3" s="1"/>
  <c r="BE81" i="3"/>
  <c r="BE59" i="3"/>
  <c r="BE76" i="3" s="1"/>
  <c r="AW81" i="3"/>
  <c r="AW103" i="3"/>
  <c r="AW104" i="3" s="1"/>
  <c r="AW59" i="3"/>
  <c r="AW76" i="3" s="1"/>
  <c r="AO81" i="3"/>
  <c r="AO103" i="3"/>
  <c r="AO104" i="3" s="1"/>
  <c r="AO59" i="3"/>
  <c r="AO76" i="3" s="1"/>
  <c r="AG81" i="3"/>
  <c r="AG103" i="3"/>
  <c r="AG104" i="3" s="1"/>
  <c r="AG59" i="3"/>
  <c r="AG76" i="3" s="1"/>
  <c r="Y81" i="3"/>
  <c r="Y103" i="3"/>
  <c r="Y104" i="3" s="1"/>
  <c r="Y59" i="3"/>
  <c r="Y76" i="3" s="1"/>
  <c r="Q81" i="3"/>
  <c r="Q103" i="3"/>
  <c r="Q104" i="3" s="1"/>
  <c r="Q59" i="3"/>
  <c r="Q76" i="3" s="1"/>
  <c r="BL103" i="3"/>
  <c r="BL104" i="3" s="1"/>
  <c r="BL81" i="3"/>
  <c r="BL59" i="3"/>
  <c r="BL76" i="3" s="1"/>
  <c r="BD81" i="3"/>
  <c r="BD103" i="3"/>
  <c r="BD104" i="3" s="1"/>
  <c r="BD59" i="3"/>
  <c r="BD76" i="3" s="1"/>
  <c r="AV81" i="3"/>
  <c r="AV103" i="3"/>
  <c r="AV104" i="3" s="1"/>
  <c r="AV59" i="3"/>
  <c r="AV76" i="3" s="1"/>
  <c r="AN81" i="3"/>
  <c r="AN103" i="3"/>
  <c r="AN104" i="3" s="1"/>
  <c r="AN59" i="3"/>
  <c r="AN76" i="3" s="1"/>
  <c r="AF81" i="3"/>
  <c r="AF103" i="3"/>
  <c r="AF104" i="3" s="1"/>
  <c r="AF59" i="3"/>
  <c r="AF76" i="3" s="1"/>
  <c r="X81" i="3"/>
  <c r="X103" i="3"/>
  <c r="X104" i="3" s="1"/>
  <c r="X59" i="3"/>
  <c r="X76" i="3" s="1"/>
  <c r="P59" i="3"/>
  <c r="P76" i="3" s="1"/>
  <c r="BK103" i="3"/>
  <c r="BK104" i="3" s="1"/>
  <c r="BK81" i="3"/>
  <c r="BK59" i="3"/>
  <c r="BK76" i="3" s="1"/>
  <c r="AU81" i="3"/>
  <c r="AU103" i="3"/>
  <c r="AU104" i="3" s="1"/>
  <c r="AU59" i="3"/>
  <c r="AU76" i="3" s="1"/>
  <c r="AM81" i="3"/>
  <c r="AM103" i="3"/>
  <c r="AM104" i="3" s="1"/>
  <c r="AM59" i="3"/>
  <c r="AM76" i="3" s="1"/>
  <c r="AE81" i="3"/>
  <c r="AE103" i="3"/>
  <c r="AE104" i="3" s="1"/>
  <c r="AE59" i="3"/>
  <c r="AE76" i="3" s="1"/>
  <c r="W81" i="3"/>
  <c r="W103" i="3"/>
  <c r="W104" i="3" s="1"/>
  <c r="W59" i="3"/>
  <c r="W76" i="3" s="1"/>
  <c r="O103" i="3"/>
  <c r="O104" i="3" s="1"/>
  <c r="O59" i="3"/>
  <c r="O76" i="3" s="1"/>
  <c r="BJ81" i="3"/>
  <c r="BJ103" i="3"/>
  <c r="BJ104" i="3" s="1"/>
  <c r="BJ59" i="3"/>
  <c r="BJ76" i="3" s="1"/>
  <c r="BB81" i="3"/>
  <c r="BB103" i="3"/>
  <c r="BB104" i="3" s="1"/>
  <c r="BB59" i="3"/>
  <c r="BB76" i="3" s="1"/>
  <c r="AT103" i="3"/>
  <c r="AT104" i="3" s="1"/>
  <c r="AT81" i="3"/>
  <c r="AT59" i="3"/>
  <c r="AT76" i="3" s="1"/>
  <c r="AL81" i="3"/>
  <c r="AL103" i="3"/>
  <c r="AL104" i="3" s="1"/>
  <c r="AL59" i="3"/>
  <c r="AL76" i="3" s="1"/>
  <c r="AC81" i="3"/>
  <c r="AC103" i="3"/>
  <c r="AC104" i="3" s="1"/>
  <c r="AC59" i="3"/>
  <c r="AC76" i="3" s="1"/>
  <c r="V81" i="3"/>
  <c r="V103" i="3"/>
  <c r="V104" i="3" s="1"/>
  <c r="V59" i="3"/>
  <c r="V76" i="3" s="1"/>
  <c r="AS103" i="3"/>
  <c r="AS104" i="3" s="1"/>
  <c r="AS81" i="3"/>
  <c r="AS59" i="3"/>
  <c r="AS76" i="3" s="1"/>
  <c r="AD81" i="3"/>
  <c r="AD103" i="3"/>
  <c r="AD104" i="3" s="1"/>
  <c r="AD59" i="3"/>
  <c r="AD76" i="3" s="1"/>
  <c r="U81" i="3"/>
  <c r="U103" i="3"/>
  <c r="U104" i="3" s="1"/>
  <c r="U59" i="3"/>
  <c r="U76" i="3" s="1"/>
  <c r="BC81" i="3"/>
  <c r="BC103" i="3"/>
  <c r="BC104" i="3" s="1"/>
  <c r="BC59" i="3"/>
  <c r="BC76" i="3" s="1"/>
  <c r="BI81" i="3"/>
  <c r="BI103" i="3"/>
  <c r="BI104" i="3" s="1"/>
  <c r="BI59" i="3"/>
  <c r="BI76" i="3" s="1"/>
  <c r="BA103" i="3"/>
  <c r="BA104" i="3" s="1"/>
  <c r="BA81" i="3"/>
  <c r="BA59" i="3"/>
  <c r="BA76" i="3" s="1"/>
  <c r="AK81" i="3"/>
  <c r="AK103" i="3"/>
  <c r="AK104" i="3" s="1"/>
  <c r="AK59" i="3"/>
  <c r="AK76" i="3" s="1"/>
  <c r="BH81" i="3"/>
  <c r="BH103" i="3"/>
  <c r="BH104" i="3" s="1"/>
  <c r="BH59" i="3"/>
  <c r="BH76" i="3" s="1"/>
  <c r="AZ103" i="3"/>
  <c r="AZ104" i="3" s="1"/>
  <c r="AZ81" i="3"/>
  <c r="AZ59" i="3"/>
  <c r="AZ76" i="3" s="1"/>
  <c r="AR81" i="3"/>
  <c r="AR103" i="3"/>
  <c r="AR104" i="3" s="1"/>
  <c r="AR59" i="3"/>
  <c r="AR76" i="3" s="1"/>
  <c r="AJ81" i="3"/>
  <c r="AJ103" i="3"/>
  <c r="AJ104" i="3" s="1"/>
  <c r="AJ59" i="3"/>
  <c r="AJ76" i="3" s="1"/>
  <c r="AB81" i="3"/>
  <c r="AB103" i="3"/>
  <c r="AB104" i="3" s="1"/>
  <c r="AB59" i="3"/>
  <c r="AB76" i="3" s="1"/>
  <c r="T59" i="3"/>
  <c r="T76" i="3" s="1"/>
  <c r="N60" i="3"/>
  <c r="M42" i="10"/>
  <c r="J41" i="10"/>
  <c r="K41" i="10"/>
  <c r="J26" i="10"/>
  <c r="K26" i="10"/>
  <c r="M18" i="10"/>
  <c r="J17" i="10"/>
  <c r="K17" i="10"/>
  <c r="M27" i="10"/>
  <c r="L26" i="10"/>
  <c r="L17" i="10"/>
  <c r="AJ29" i="24"/>
  <c r="AJ156" i="24" s="1"/>
  <c r="L41" i="10"/>
  <c r="A249" i="12"/>
  <c r="A287" i="12"/>
  <c r="A218" i="12"/>
  <c r="AJ14" i="29"/>
  <c r="AL38" i="25"/>
  <c r="AL49" i="25"/>
  <c r="AL11" i="24"/>
  <c r="AM48" i="25"/>
  <c r="I32" i="21"/>
  <c r="H32" i="21"/>
  <c r="F32" i="21" s="1"/>
  <c r="P64" i="24"/>
  <c r="P83" i="29" s="1"/>
  <c r="U223" i="12"/>
  <c r="BB223" i="12"/>
  <c r="AW64" i="24"/>
  <c r="AW83" i="29" s="1"/>
  <c r="AT223" i="12"/>
  <c r="AO64" i="24"/>
  <c r="AO83" i="29" s="1"/>
  <c r="BC223" i="12"/>
  <c r="AX64" i="24"/>
  <c r="AX83" i="29" s="1"/>
  <c r="AF223" i="12"/>
  <c r="AA64" i="24"/>
  <c r="AA83" i="29" s="1"/>
  <c r="AS64" i="24"/>
  <c r="AS83" i="29" s="1"/>
  <c r="AX223" i="12"/>
  <c r="H42" i="23"/>
  <c r="I42" i="23"/>
  <c r="J42" i="21"/>
  <c r="AL64" i="24"/>
  <c r="AL83" i="29" s="1"/>
  <c r="AQ223" i="12"/>
  <c r="BJ64" i="24"/>
  <c r="BJ83" i="29" s="1"/>
  <c r="BO223" i="12"/>
  <c r="AI223" i="12"/>
  <c r="AD64" i="24"/>
  <c r="AD83" i="29" s="1"/>
  <c r="AO223" i="12"/>
  <c r="AJ64" i="24"/>
  <c r="AJ83" i="29" s="1"/>
  <c r="Y223" i="12"/>
  <c r="T64" i="24"/>
  <c r="T83" i="29" s="1"/>
  <c r="BG223" i="12"/>
  <c r="BB64" i="24"/>
  <c r="BB83" i="29" s="1"/>
  <c r="T223" i="12"/>
  <c r="O64" i="24"/>
  <c r="O83" i="29" s="1"/>
  <c r="H31" i="21"/>
  <c r="F31" i="21" s="1"/>
  <c r="I31" i="21"/>
  <c r="AA65" i="25"/>
  <c r="AA64" i="25"/>
  <c r="AB278" i="12" s="1"/>
  <c r="AA66" i="25"/>
  <c r="S353" i="12"/>
  <c r="I343" i="12"/>
  <c r="AF353" i="12"/>
  <c r="AY353" i="12"/>
  <c r="BQ353" i="12"/>
  <c r="AA353" i="12"/>
  <c r="W353" i="12"/>
  <c r="BF353" i="12"/>
  <c r="AR353" i="12"/>
  <c r="BO353" i="12"/>
  <c r="Z353" i="12"/>
  <c r="AQ353" i="12"/>
  <c r="AO353" i="12"/>
  <c r="X353" i="12"/>
  <c r="AK353" i="12"/>
  <c r="AJ353" i="12"/>
  <c r="BL353" i="12"/>
  <c r="BR353" i="12"/>
  <c r="BI353" i="12"/>
  <c r="AV353" i="12"/>
  <c r="BA353" i="12"/>
  <c r="AG353" i="12"/>
  <c r="AI353" i="12"/>
  <c r="AM353" i="12"/>
  <c r="BB353" i="12"/>
  <c r="AU353" i="12"/>
  <c r="AC353" i="12"/>
  <c r="BD353" i="12"/>
  <c r="BC353" i="12"/>
  <c r="T353" i="12"/>
  <c r="BE353" i="12"/>
  <c r="AB353" i="12"/>
  <c r="BK353" i="12"/>
  <c r="AN353" i="12"/>
  <c r="AX353" i="12"/>
  <c r="AH353" i="12"/>
  <c r="AD353" i="12"/>
  <c r="AS353" i="12"/>
  <c r="Y353" i="12"/>
  <c r="AW353" i="12"/>
  <c r="AP353" i="12"/>
  <c r="BP353" i="12"/>
  <c r="V353" i="12"/>
  <c r="AL353" i="12"/>
  <c r="BH353" i="12"/>
  <c r="AZ353" i="12"/>
  <c r="BG353" i="12"/>
  <c r="BJ353" i="12"/>
  <c r="AE353" i="12"/>
  <c r="U353" i="12"/>
  <c r="BM353" i="12"/>
  <c r="AT353" i="12"/>
  <c r="BN353" i="12"/>
  <c r="AF64" i="24"/>
  <c r="AF83" i="29" s="1"/>
  <c r="AK223" i="12"/>
  <c r="AC64" i="24"/>
  <c r="AC83" i="29" s="1"/>
  <c r="AH223" i="12"/>
  <c r="BN223" i="12"/>
  <c r="BI64" i="24"/>
  <c r="BI83" i="29" s="1"/>
  <c r="AS223" i="12"/>
  <c r="AN64" i="24"/>
  <c r="AN83" i="29" s="1"/>
  <c r="BL223" i="12"/>
  <c r="BG64" i="24"/>
  <c r="BG83" i="29" s="1"/>
  <c r="AP64" i="24"/>
  <c r="AP83" i="29" s="1"/>
  <c r="AU223" i="12"/>
  <c r="AE223" i="12"/>
  <c r="Z64" i="24"/>
  <c r="Z83" i="29" s="1"/>
  <c r="N64" i="25"/>
  <c r="N63" i="25"/>
  <c r="I325" i="12"/>
  <c r="S333" i="12"/>
  <c r="BJ333" i="12"/>
  <c r="AP333" i="12"/>
  <c r="BM333" i="12"/>
  <c r="AQ333" i="12"/>
  <c r="AN333" i="12"/>
  <c r="AT333" i="12"/>
  <c r="AK333" i="12"/>
  <c r="BQ333" i="12"/>
  <c r="AG333" i="12"/>
  <c r="AL333" i="12"/>
  <c r="AA333" i="12"/>
  <c r="Z333" i="12"/>
  <c r="AF333" i="12"/>
  <c r="AB333" i="12"/>
  <c r="X333" i="12"/>
  <c r="AO333" i="12"/>
  <c r="BL333" i="12"/>
  <c r="BR333" i="12"/>
  <c r="BK333" i="12"/>
  <c r="AR333" i="12"/>
  <c r="AE333" i="12"/>
  <c r="AX333" i="12"/>
  <c r="U333" i="12"/>
  <c r="AH333" i="12"/>
  <c r="BC333" i="12"/>
  <c r="AS333" i="12"/>
  <c r="BP333" i="12"/>
  <c r="AI333" i="12"/>
  <c r="AW333" i="12"/>
  <c r="BN333" i="12"/>
  <c r="BO333" i="12"/>
  <c r="AD333" i="12"/>
  <c r="V333" i="12"/>
  <c r="AJ333" i="12"/>
  <c r="BE333" i="12"/>
  <c r="BA333" i="12"/>
  <c r="BD333" i="12"/>
  <c r="BG333" i="12"/>
  <c r="AU333" i="12"/>
  <c r="Y333" i="12"/>
  <c r="AC333" i="12"/>
  <c r="AM333" i="12"/>
  <c r="BI333" i="12"/>
  <c r="AV333" i="12"/>
  <c r="BH333" i="12"/>
  <c r="BF333" i="12"/>
  <c r="AY333" i="12"/>
  <c r="BB333" i="12"/>
  <c r="W333" i="12"/>
  <c r="T333" i="12"/>
  <c r="AZ333" i="12"/>
  <c r="AR223" i="12"/>
  <c r="AM64" i="24"/>
  <c r="AM83" i="29" s="1"/>
  <c r="W223" i="12"/>
  <c r="R64" i="24"/>
  <c r="R83" i="29" s="1"/>
  <c r="AJ223" i="12"/>
  <c r="AE64" i="24"/>
  <c r="AE83" i="29" s="1"/>
  <c r="AZ223" i="12"/>
  <c r="AU64" i="24"/>
  <c r="AU83" i="29" s="1"/>
  <c r="BJ223" i="12"/>
  <c r="BE64" i="24"/>
  <c r="BE83" i="29" s="1"/>
  <c r="X64" i="24"/>
  <c r="X83" i="29" s="1"/>
  <c r="AC223" i="12"/>
  <c r="BM64" i="24"/>
  <c r="BM83" i="29" s="1"/>
  <c r="BR223" i="12"/>
  <c r="H25" i="21"/>
  <c r="I25" i="21"/>
  <c r="AV223" i="12"/>
  <c r="AQ64" i="24"/>
  <c r="AQ83" i="29" s="1"/>
  <c r="AB64" i="24"/>
  <c r="AB83" i="29" s="1"/>
  <c r="AG223" i="12"/>
  <c r="BE223" i="12"/>
  <c r="AZ64" i="24"/>
  <c r="AZ83" i="29" s="1"/>
  <c r="BF223" i="12"/>
  <c r="BA64" i="24"/>
  <c r="BA83" i="29" s="1"/>
  <c r="BK223" i="12"/>
  <c r="BF64" i="24"/>
  <c r="BF83" i="29" s="1"/>
  <c r="AD223" i="12"/>
  <c r="Y64" i="24"/>
  <c r="Y83" i="29" s="1"/>
  <c r="S223" i="12"/>
  <c r="N64" i="24"/>
  <c r="I38" i="21"/>
  <c r="H38" i="21"/>
  <c r="F38" i="21" s="1"/>
  <c r="AG64" i="24"/>
  <c r="AG83" i="29" s="1"/>
  <c r="AL223" i="12"/>
  <c r="BP223" i="12"/>
  <c r="BK64" i="24"/>
  <c r="BK83" i="29" s="1"/>
  <c r="AM223" i="12"/>
  <c r="AH64" i="24"/>
  <c r="AH83" i="29" s="1"/>
  <c r="V64" i="24"/>
  <c r="V83" i="29" s="1"/>
  <c r="AA223" i="12"/>
  <c r="Z223" i="12"/>
  <c r="U64" i="24"/>
  <c r="U83" i="29" s="1"/>
  <c r="AW223" i="12"/>
  <c r="AR64" i="24"/>
  <c r="AR83" i="29" s="1"/>
  <c r="I372" i="12"/>
  <c r="AA384" i="12"/>
  <c r="AB384" i="12"/>
  <c r="AF384" i="12"/>
  <c r="BL384" i="12"/>
  <c r="AG384" i="12"/>
  <c r="BA384" i="12"/>
  <c r="BP384" i="12"/>
  <c r="BE384" i="12"/>
  <c r="BB384" i="12"/>
  <c r="AI384" i="12"/>
  <c r="BQ384" i="12"/>
  <c r="AM384" i="12"/>
  <c r="AX384" i="12"/>
  <c r="BG384" i="12"/>
  <c r="BI384" i="12"/>
  <c r="AP384" i="12"/>
  <c r="BN384" i="12"/>
  <c r="BF384" i="12"/>
  <c r="BH384" i="12"/>
  <c r="AH384" i="12"/>
  <c r="AJ384" i="12"/>
  <c r="AO384" i="12"/>
  <c r="BR384" i="12"/>
  <c r="Z384" i="12"/>
  <c r="T384" i="12"/>
  <c r="AU384" i="12"/>
  <c r="BC384" i="12"/>
  <c r="AD384" i="12"/>
  <c r="AE384" i="12"/>
  <c r="W384" i="12"/>
  <c r="BJ384" i="12"/>
  <c r="BD384" i="12"/>
  <c r="AL384" i="12"/>
  <c r="AK384" i="12"/>
  <c r="BM384" i="12"/>
  <c r="X384" i="12"/>
  <c r="BK384" i="12"/>
  <c r="AT384" i="12"/>
  <c r="AQ384" i="12"/>
  <c r="AS384" i="12"/>
  <c r="BO384" i="12"/>
  <c r="V384" i="12"/>
  <c r="AN384" i="12"/>
  <c r="AR384" i="12"/>
  <c r="Y384" i="12"/>
  <c r="AV384" i="12"/>
  <c r="U384" i="12"/>
  <c r="AZ384" i="12"/>
  <c r="AY384" i="12"/>
  <c r="AC384" i="12"/>
  <c r="S384" i="12"/>
  <c r="AW384" i="12"/>
  <c r="I26" i="23"/>
  <c r="H26" i="23"/>
  <c r="J26" i="21"/>
  <c r="H39" i="21"/>
  <c r="I39" i="21"/>
  <c r="N84" i="29"/>
  <c r="E84" i="29" s="1"/>
  <c r="R92" i="10" s="1"/>
  <c r="E65" i="24"/>
  <c r="AY223" i="12"/>
  <c r="AT64" i="24"/>
  <c r="AT83" i="29" s="1"/>
  <c r="AI64" i="24"/>
  <c r="AI83" i="29" s="1"/>
  <c r="AN223" i="12"/>
  <c r="BQ223" i="12"/>
  <c r="BL64" i="24"/>
  <c r="BL83" i="29" s="1"/>
  <c r="AP223" i="12"/>
  <c r="AK64" i="24"/>
  <c r="AK83" i="29" s="1"/>
  <c r="AV64" i="24"/>
  <c r="AV83" i="29" s="1"/>
  <c r="BA223" i="12"/>
  <c r="V223" i="12"/>
  <c r="Q64" i="24"/>
  <c r="Q83" i="29" s="1"/>
  <c r="J41" i="23"/>
  <c r="I40" i="21"/>
  <c r="H40" i="21"/>
  <c r="F40" i="21" s="1"/>
  <c r="AJ55" i="24"/>
  <c r="AJ74" i="29" s="1"/>
  <c r="AO94" i="12"/>
  <c r="AB212" i="12"/>
  <c r="AY212" i="12"/>
  <c r="AM212" i="12"/>
  <c r="AP212" i="12"/>
  <c r="Y212" i="12"/>
  <c r="X212" i="12"/>
  <c r="BC212" i="12"/>
  <c r="AG212" i="12"/>
  <c r="BH212" i="12"/>
  <c r="AF212" i="12"/>
  <c r="AK212" i="12"/>
  <c r="AZ212" i="12"/>
  <c r="AO212" i="12"/>
  <c r="BN212" i="12"/>
  <c r="AL212" i="12"/>
  <c r="G212" i="12"/>
  <c r="BQ212" i="12"/>
  <c r="AN212" i="12"/>
  <c r="AU212" i="12"/>
  <c r="W212" i="12"/>
  <c r="BR212" i="12"/>
  <c r="AA212" i="12"/>
  <c r="BK212" i="12"/>
  <c r="AH212" i="12"/>
  <c r="AI212" i="12"/>
  <c r="BA212" i="12"/>
  <c r="Z212" i="12"/>
  <c r="U212" i="12"/>
  <c r="BJ212" i="12"/>
  <c r="AJ212" i="12"/>
  <c r="AC212" i="12"/>
  <c r="T212" i="12"/>
  <c r="AX212" i="12"/>
  <c r="AT212" i="12"/>
  <c r="AE212" i="12"/>
  <c r="BI212" i="12"/>
  <c r="V212" i="12"/>
  <c r="BE212" i="12"/>
  <c r="BB212" i="12"/>
  <c r="BD212" i="12"/>
  <c r="AW212" i="12"/>
  <c r="AR212" i="12"/>
  <c r="BP212" i="12"/>
  <c r="AS212" i="12"/>
  <c r="AD212" i="12"/>
  <c r="AV212" i="12"/>
  <c r="BL212" i="12"/>
  <c r="BF212" i="12"/>
  <c r="BG212" i="12"/>
  <c r="AQ212" i="12"/>
  <c r="BO212" i="12"/>
  <c r="S212" i="12"/>
  <c r="BM212" i="12"/>
  <c r="I192" i="12"/>
  <c r="G192" i="12" s="1"/>
  <c r="AK20" i="24"/>
  <c r="AK16" i="29"/>
  <c r="AK14" i="29" s="1"/>
  <c r="AK159" i="29" s="1"/>
  <c r="AK140" i="24"/>
  <c r="AP104" i="12"/>
  <c r="AK55" i="24" s="1"/>
  <c r="AK74" i="29" s="1"/>
  <c r="AB223" i="12"/>
  <c r="W64" i="24"/>
  <c r="W83" i="29" s="1"/>
  <c r="BH64" i="24"/>
  <c r="BH83" i="29" s="1"/>
  <c r="BM223" i="12"/>
  <c r="X223" i="12"/>
  <c r="S64" i="24"/>
  <c r="S83" i="29" s="1"/>
  <c r="BH223" i="12"/>
  <c r="BC64" i="24"/>
  <c r="BC83" i="29" s="1"/>
  <c r="BI223" i="12"/>
  <c r="BD64" i="24"/>
  <c r="BD83" i="29" s="1"/>
  <c r="AY64" i="24"/>
  <c r="AY83" i="29" s="1"/>
  <c r="BD223" i="12"/>
  <c r="AC113" i="25"/>
  <c r="AA279" i="12"/>
  <c r="AO264" i="12" l="1"/>
  <c r="AC278" i="12"/>
  <c r="AD278" i="12"/>
  <c r="AE278" i="12"/>
  <c r="AP264" i="12"/>
  <c r="AL61" i="24"/>
  <c r="AL80" i="29" s="1"/>
  <c r="AQ264" i="12"/>
  <c r="I279" i="12"/>
  <c r="A279" i="12" s="1"/>
  <c r="N103" i="3"/>
  <c r="N59" i="3"/>
  <c r="H43" i="1"/>
  <c r="I43" i="1"/>
  <c r="I23" i="1"/>
  <c r="H23" i="1"/>
  <c r="U51" i="1"/>
  <c r="E60" i="3"/>
  <c r="M41" i="10"/>
  <c r="H139" i="10"/>
  <c r="H116" i="10"/>
  <c r="H73" i="10"/>
  <c r="H111" i="10"/>
  <c r="H118" i="10"/>
  <c r="H140" i="10"/>
  <c r="H74" i="10"/>
  <c r="H126" i="10"/>
  <c r="H138" i="10"/>
  <c r="H107" i="10"/>
  <c r="H112" i="10"/>
  <c r="H104" i="10"/>
  <c r="H115" i="10"/>
  <c r="H127" i="10"/>
  <c r="H135" i="10"/>
  <c r="H106" i="10"/>
  <c r="H85" i="10"/>
  <c r="H69" i="10"/>
  <c r="H125" i="10"/>
  <c r="H117" i="10"/>
  <c r="H136" i="10"/>
  <c r="H105" i="10"/>
  <c r="H93" i="10"/>
  <c r="H72" i="10"/>
  <c r="H76" i="10"/>
  <c r="M26" i="10"/>
  <c r="J92" i="10"/>
  <c r="K92" i="10"/>
  <c r="H92" i="10" s="1"/>
  <c r="AO17" i="12"/>
  <c r="AP102" i="12" s="1"/>
  <c r="AJ25" i="24"/>
  <c r="AJ46" i="29"/>
  <c r="AJ44" i="29" s="1"/>
  <c r="AJ116" i="24"/>
  <c r="AJ113" i="24" s="1"/>
  <c r="I85" i="10"/>
  <c r="I140" i="10"/>
  <c r="I72" i="10"/>
  <c r="I111" i="10"/>
  <c r="I105" i="10"/>
  <c r="I106" i="10"/>
  <c r="I125" i="10"/>
  <c r="I116" i="10"/>
  <c r="I138" i="10"/>
  <c r="I139" i="10"/>
  <c r="I69" i="10"/>
  <c r="I126" i="10"/>
  <c r="M17" i="10"/>
  <c r="I73" i="10"/>
  <c r="I76" i="10"/>
  <c r="I93" i="10"/>
  <c r="I118" i="10"/>
  <c r="I127" i="10"/>
  <c r="I117" i="10"/>
  <c r="I112" i="10"/>
  <c r="I104" i="10"/>
  <c r="I136" i="10"/>
  <c r="I74" i="10"/>
  <c r="I115" i="10"/>
  <c r="I107" i="10"/>
  <c r="I135" i="10"/>
  <c r="A384" i="12"/>
  <c r="A223" i="12"/>
  <c r="A212" i="12"/>
  <c r="AY72" i="24"/>
  <c r="AY91" i="29" s="1"/>
  <c r="BD372" i="12"/>
  <c r="AP372" i="12"/>
  <c r="AK72" i="24"/>
  <c r="AK91" i="29" s="1"/>
  <c r="AA372" i="12"/>
  <c r="V72" i="24"/>
  <c r="V91" i="29" s="1"/>
  <c r="AY325" i="12"/>
  <c r="AT70" i="24"/>
  <c r="AT90" i="29" s="1"/>
  <c r="AU325" i="12"/>
  <c r="AP70" i="24"/>
  <c r="AP90" i="29" s="1"/>
  <c r="BO325" i="12"/>
  <c r="BJ70" i="24"/>
  <c r="BJ90" i="29" s="1"/>
  <c r="U325" i="12"/>
  <c r="P70" i="24"/>
  <c r="P90" i="29" s="1"/>
  <c r="S70" i="24"/>
  <c r="S90" i="29" s="1"/>
  <c r="X325" i="12"/>
  <c r="AK325" i="12"/>
  <c r="AF70" i="24"/>
  <c r="AF90" i="29" s="1"/>
  <c r="N70" i="24"/>
  <c r="S325" i="12"/>
  <c r="P71" i="24"/>
  <c r="P89" i="29" s="1"/>
  <c r="U343" i="12"/>
  <c r="BK71" i="24"/>
  <c r="BK89" i="29" s="1"/>
  <c r="BP343" i="12"/>
  <c r="AN343" i="12"/>
  <c r="AI71" i="24"/>
  <c r="AI89" i="29" s="1"/>
  <c r="AP71" i="24"/>
  <c r="AP89" i="29" s="1"/>
  <c r="AU343" i="12"/>
  <c r="BR343" i="12"/>
  <c r="BM71" i="24"/>
  <c r="BM89" i="29" s="1"/>
  <c r="BJ71" i="24"/>
  <c r="BJ89" i="29" s="1"/>
  <c r="BO343" i="12"/>
  <c r="AL16" i="29"/>
  <c r="AL14" i="29" s="1"/>
  <c r="AL159" i="29" s="1"/>
  <c r="AL140" i="24"/>
  <c r="AL20" i="24"/>
  <c r="AL31" i="29" s="1"/>
  <c r="AQ104" i="12"/>
  <c r="AL55" i="24" s="1"/>
  <c r="AL74" i="29" s="1"/>
  <c r="I26" i="21"/>
  <c r="H26" i="21"/>
  <c r="P72" i="24"/>
  <c r="P91" i="29" s="1"/>
  <c r="U372" i="12"/>
  <c r="AL72" i="24"/>
  <c r="AL91" i="29" s="1"/>
  <c r="AQ372" i="12"/>
  <c r="BJ372" i="12"/>
  <c r="BE72" i="24"/>
  <c r="BE91" i="29" s="1"/>
  <c r="BR372" i="12"/>
  <c r="BM72" i="24"/>
  <c r="BM91" i="29" s="1"/>
  <c r="BI372" i="12"/>
  <c r="BD72" i="24"/>
  <c r="BD91" i="29" s="1"/>
  <c r="BE372" i="12"/>
  <c r="AZ72" i="24"/>
  <c r="AZ91" i="29" s="1"/>
  <c r="BF325" i="12"/>
  <c r="BA70" i="24"/>
  <c r="BA90" i="29" s="1"/>
  <c r="BB70" i="24"/>
  <c r="BB90" i="29" s="1"/>
  <c r="BG325" i="12"/>
  <c r="BN325" i="12"/>
  <c r="BI70" i="24"/>
  <c r="BI90" i="29" s="1"/>
  <c r="AS70" i="24"/>
  <c r="AS90" i="29" s="1"/>
  <c r="AX325" i="12"/>
  <c r="AB325" i="12"/>
  <c r="W70" i="24"/>
  <c r="W90" i="29" s="1"/>
  <c r="AO70" i="24"/>
  <c r="AO90" i="29" s="1"/>
  <c r="AT325" i="12"/>
  <c r="Z71" i="24"/>
  <c r="Z89" i="29" s="1"/>
  <c r="AE343" i="12"/>
  <c r="AK71" i="24"/>
  <c r="AK89" i="29" s="1"/>
  <c r="AP343" i="12"/>
  <c r="BF71" i="24"/>
  <c r="BF89" i="29" s="1"/>
  <c r="BK343" i="12"/>
  <c r="BB343" i="12"/>
  <c r="AW71" i="24"/>
  <c r="AW89" i="29" s="1"/>
  <c r="BL343" i="12"/>
  <c r="BG71" i="24"/>
  <c r="BG89" i="29" s="1"/>
  <c r="AR343" i="12"/>
  <c r="AM71" i="24"/>
  <c r="AM89" i="29" s="1"/>
  <c r="S343" i="12"/>
  <c r="N71" i="24"/>
  <c r="BH325" i="12"/>
  <c r="BC70" i="24"/>
  <c r="BC90" i="29" s="1"/>
  <c r="BD325" i="12"/>
  <c r="AY70" i="24"/>
  <c r="AY90" i="29" s="1"/>
  <c r="AW325" i="12"/>
  <c r="AR70" i="24"/>
  <c r="AR90" i="29" s="1"/>
  <c r="AE325" i="12"/>
  <c r="Z70" i="24"/>
  <c r="Z90" i="29" s="1"/>
  <c r="AF325" i="12"/>
  <c r="AA70" i="24"/>
  <c r="AA90" i="29" s="1"/>
  <c r="AI70" i="24"/>
  <c r="AI90" i="29" s="1"/>
  <c r="AN325" i="12"/>
  <c r="BJ343" i="12"/>
  <c r="BE71" i="24"/>
  <c r="BE89" i="29" s="1"/>
  <c r="AR71" i="24"/>
  <c r="AR89" i="29" s="1"/>
  <c r="AW343" i="12"/>
  <c r="AB343" i="12"/>
  <c r="W71" i="24"/>
  <c r="W89" i="29" s="1"/>
  <c r="AM343" i="12"/>
  <c r="AH71" i="24"/>
  <c r="AH89" i="29" s="1"/>
  <c r="AE71" i="24"/>
  <c r="AE89" i="29" s="1"/>
  <c r="AJ343" i="12"/>
  <c r="BA71" i="24"/>
  <c r="BA89" i="29" s="1"/>
  <c r="BF343" i="12"/>
  <c r="AA278" i="12"/>
  <c r="AA113" i="25"/>
  <c r="J27" i="23" s="1"/>
  <c r="AL32" i="25"/>
  <c r="AQ72" i="24"/>
  <c r="AQ91" i="29" s="1"/>
  <c r="AV372" i="12"/>
  <c r="AT372" i="12"/>
  <c r="AO72" i="24"/>
  <c r="AO91" i="29" s="1"/>
  <c r="R72" i="24"/>
  <c r="R91" i="29" s="1"/>
  <c r="W372" i="12"/>
  <c r="AO372" i="12"/>
  <c r="AJ72" i="24"/>
  <c r="AJ91" i="29" s="1"/>
  <c r="BB72" i="24"/>
  <c r="BB91" i="29" s="1"/>
  <c r="BG372" i="12"/>
  <c r="BP372" i="12"/>
  <c r="BK72" i="24"/>
  <c r="BK91" i="29" s="1"/>
  <c r="AJ80" i="29"/>
  <c r="AF192" i="12"/>
  <c r="AK192" i="12"/>
  <c r="AM192" i="12"/>
  <c r="BA192" i="12"/>
  <c r="T192" i="12"/>
  <c r="AL192" i="12"/>
  <c r="BF192" i="12"/>
  <c r="BN192" i="12"/>
  <c r="BL192" i="12"/>
  <c r="AT192" i="12"/>
  <c r="AO192" i="12"/>
  <c r="AP192" i="12"/>
  <c r="BD192" i="12"/>
  <c r="BK192" i="12"/>
  <c r="AI192" i="12"/>
  <c r="BB192" i="12"/>
  <c r="AU192" i="12"/>
  <c r="BG192" i="12"/>
  <c r="BI192" i="12"/>
  <c r="AZ192" i="12"/>
  <c r="V192" i="12"/>
  <c r="BR192" i="12"/>
  <c r="AG192" i="12"/>
  <c r="AQ192" i="12"/>
  <c r="AJ192" i="12"/>
  <c r="BE192" i="12"/>
  <c r="AD192" i="12"/>
  <c r="BJ192" i="12"/>
  <c r="U192" i="12"/>
  <c r="AR192" i="12"/>
  <c r="BM192" i="12"/>
  <c r="AY192" i="12"/>
  <c r="Y192" i="12"/>
  <c r="AC192" i="12"/>
  <c r="BQ192" i="12"/>
  <c r="AW192" i="12"/>
  <c r="AV192" i="12"/>
  <c r="W192" i="12"/>
  <c r="X192" i="12"/>
  <c r="BH192" i="12"/>
  <c r="AX192" i="12"/>
  <c r="BC192" i="12"/>
  <c r="AN192" i="12"/>
  <c r="BO192" i="12"/>
  <c r="AS192" i="12"/>
  <c r="BP192" i="12"/>
  <c r="AA192" i="12"/>
  <c r="Z192" i="12"/>
  <c r="AB192" i="12"/>
  <c r="AE192" i="12"/>
  <c r="AH192" i="12"/>
  <c r="I147" i="12"/>
  <c r="S192" i="12"/>
  <c r="Y372" i="12"/>
  <c r="T72" i="24"/>
  <c r="T91" i="29" s="1"/>
  <c r="BK372" i="12"/>
  <c r="BF72" i="24"/>
  <c r="BF91" i="29" s="1"/>
  <c r="Z72" i="24"/>
  <c r="Z91" i="29" s="1"/>
  <c r="AE372" i="12"/>
  <c r="AE72" i="24"/>
  <c r="AE91" i="29" s="1"/>
  <c r="AJ372" i="12"/>
  <c r="AX372" i="12"/>
  <c r="AS72" i="24"/>
  <c r="AS91" i="29" s="1"/>
  <c r="BA372" i="12"/>
  <c r="AV72" i="24"/>
  <c r="AV91" i="29" s="1"/>
  <c r="AV325" i="12"/>
  <c r="AQ70" i="24"/>
  <c r="AQ90" i="29" s="1"/>
  <c r="AV70" i="24"/>
  <c r="AV90" i="29" s="1"/>
  <c r="BA325" i="12"/>
  <c r="AI325" i="12"/>
  <c r="AD70" i="24"/>
  <c r="AD90" i="29" s="1"/>
  <c r="AM70" i="24"/>
  <c r="AM90" i="29" s="1"/>
  <c r="AR325" i="12"/>
  <c r="U70" i="24"/>
  <c r="U90" i="29" s="1"/>
  <c r="Z325" i="12"/>
  <c r="AQ325" i="12"/>
  <c r="AL70" i="24"/>
  <c r="AL90" i="29" s="1"/>
  <c r="N65" i="25"/>
  <c r="R63" i="25"/>
  <c r="Q63" i="25"/>
  <c r="BG343" i="12"/>
  <c r="BB71" i="24"/>
  <c r="BB89" i="29" s="1"/>
  <c r="T71" i="24"/>
  <c r="T89" i="29" s="1"/>
  <c r="Y343" i="12"/>
  <c r="BE343" i="12"/>
  <c r="AZ71" i="24"/>
  <c r="AZ89" i="29" s="1"/>
  <c r="AD71" i="24"/>
  <c r="AD89" i="29" s="1"/>
  <c r="AI343" i="12"/>
  <c r="AF71" i="24"/>
  <c r="AF89" i="29" s="1"/>
  <c r="AK343" i="12"/>
  <c r="W343" i="12"/>
  <c r="R71" i="24"/>
  <c r="R89" i="29" s="1"/>
  <c r="Z372" i="12"/>
  <c r="U72" i="24"/>
  <c r="U91" i="29" s="1"/>
  <c r="AK31" i="29"/>
  <c r="AR72" i="24"/>
  <c r="AR91" i="29" s="1"/>
  <c r="AW372" i="12"/>
  <c r="AR372" i="12"/>
  <c r="AM72" i="24"/>
  <c r="AM91" i="29" s="1"/>
  <c r="X372" i="12"/>
  <c r="S72" i="24"/>
  <c r="S91" i="29" s="1"/>
  <c r="AD372" i="12"/>
  <c r="Y72" i="24"/>
  <c r="Y91" i="29" s="1"/>
  <c r="AH372" i="12"/>
  <c r="AC72" i="24"/>
  <c r="AC91" i="29" s="1"/>
  <c r="AH72" i="24"/>
  <c r="AH91" i="29" s="1"/>
  <c r="AM372" i="12"/>
  <c r="AB72" i="24"/>
  <c r="AB91" i="29" s="1"/>
  <c r="AG372" i="12"/>
  <c r="N83" i="29"/>
  <c r="E83" i="29" s="1"/>
  <c r="R90" i="10" s="1"/>
  <c r="E64" i="24"/>
  <c r="T90" i="10" s="1"/>
  <c r="AU71" i="24"/>
  <c r="AU89" i="29" s="1"/>
  <c r="AZ343" i="12"/>
  <c r="AS343" i="12"/>
  <c r="AN71" i="24"/>
  <c r="AN89" i="29" s="1"/>
  <c r="O71" i="24"/>
  <c r="O89" i="29" s="1"/>
  <c r="T343" i="12"/>
  <c r="AB71" i="24"/>
  <c r="AB89" i="29" s="1"/>
  <c r="AG343" i="12"/>
  <c r="X343" i="12"/>
  <c r="S71" i="24"/>
  <c r="S89" i="29" s="1"/>
  <c r="AA343" i="12"/>
  <c r="V71" i="24"/>
  <c r="V89" i="29" s="1"/>
  <c r="AM49" i="25"/>
  <c r="AM38" i="25"/>
  <c r="AM32" i="25" s="1"/>
  <c r="AM11" i="24"/>
  <c r="AU72" i="24"/>
  <c r="AU91" i="29" s="1"/>
  <c r="AZ372" i="12"/>
  <c r="AZ325" i="12"/>
  <c r="AU70" i="24"/>
  <c r="AU90" i="29" s="1"/>
  <c r="BI325" i="12"/>
  <c r="BD70" i="24"/>
  <c r="BD90" i="29" s="1"/>
  <c r="BE325" i="12"/>
  <c r="AZ70" i="24"/>
  <c r="AZ90" i="29" s="1"/>
  <c r="BP325" i="12"/>
  <c r="BK70" i="24"/>
  <c r="BK90" i="29" s="1"/>
  <c r="AA325" i="12"/>
  <c r="V70" i="24"/>
  <c r="V90" i="29" s="1"/>
  <c r="BM325" i="12"/>
  <c r="BH70" i="24"/>
  <c r="BH90" i="29" s="1"/>
  <c r="AT72" i="25"/>
  <c r="AT84" i="25"/>
  <c r="T92" i="10"/>
  <c r="L92" i="10" s="1"/>
  <c r="AI72" i="24"/>
  <c r="AI91" i="29" s="1"/>
  <c r="AN372" i="12"/>
  <c r="BH372" i="12"/>
  <c r="BC72" i="24"/>
  <c r="BC91" i="29" s="1"/>
  <c r="BG72" i="24"/>
  <c r="BG91" i="29" s="1"/>
  <c r="BL372" i="12"/>
  <c r="T325" i="12"/>
  <c r="O70" i="24"/>
  <c r="O90" i="29" s="1"/>
  <c r="AH70" i="24"/>
  <c r="AH90" i="29" s="1"/>
  <c r="AM325" i="12"/>
  <c r="AJ325" i="12"/>
  <c r="AE70" i="24"/>
  <c r="AE90" i="29" s="1"/>
  <c r="AS325" i="12"/>
  <c r="AN70" i="24"/>
  <c r="AN90" i="29" s="1"/>
  <c r="BR325" i="12"/>
  <c r="BM70" i="24"/>
  <c r="BM90" i="29" s="1"/>
  <c r="AG70" i="24"/>
  <c r="AG90" i="29" s="1"/>
  <c r="AL325" i="12"/>
  <c r="AP325" i="12"/>
  <c r="AK70" i="24"/>
  <c r="AK90" i="29" s="1"/>
  <c r="AK80" i="29"/>
  <c r="BI71" i="24"/>
  <c r="BI89" i="29" s="1"/>
  <c r="BN343" i="12"/>
  <c r="BC71" i="24"/>
  <c r="BC89" i="29" s="1"/>
  <c r="BH343" i="12"/>
  <c r="AD343" i="12"/>
  <c r="Y71" i="24"/>
  <c r="Y89" i="29" s="1"/>
  <c r="AX71" i="24"/>
  <c r="AX89" i="29" s="1"/>
  <c r="BC343" i="12"/>
  <c r="BA343" i="12"/>
  <c r="AV71" i="24"/>
  <c r="AV89" i="29" s="1"/>
  <c r="AJ71" i="24"/>
  <c r="AJ89" i="29" s="1"/>
  <c r="AO343" i="12"/>
  <c r="BQ343" i="12"/>
  <c r="BL71" i="24"/>
  <c r="BL89" i="29" s="1"/>
  <c r="AJ159" i="29"/>
  <c r="AN72" i="24"/>
  <c r="AN91" i="29" s="1"/>
  <c r="AS372" i="12"/>
  <c r="BK325" i="12"/>
  <c r="BF70" i="24"/>
  <c r="BF90" i="29" s="1"/>
  <c r="S372" i="12"/>
  <c r="N72" i="24"/>
  <c r="BH72" i="24"/>
  <c r="BH91" i="29" s="1"/>
  <c r="BM372" i="12"/>
  <c r="BC372" i="12"/>
  <c r="AX72" i="24"/>
  <c r="AX91" i="29" s="1"/>
  <c r="BQ372" i="12"/>
  <c r="BL72" i="24"/>
  <c r="BL91" i="29" s="1"/>
  <c r="AK29" i="24"/>
  <c r="AC372" i="12"/>
  <c r="X72" i="24"/>
  <c r="X91" i="29" s="1"/>
  <c r="Q72" i="24"/>
  <c r="Q91" i="29" s="1"/>
  <c r="V372" i="12"/>
  <c r="AK372" i="12"/>
  <c r="AF72" i="24"/>
  <c r="AF91" i="29" s="1"/>
  <c r="AP72" i="24"/>
  <c r="AP91" i="29" s="1"/>
  <c r="AU372" i="12"/>
  <c r="BA72" i="24"/>
  <c r="BA91" i="29" s="1"/>
  <c r="BF372" i="12"/>
  <c r="AD72" i="24"/>
  <c r="AD91" i="29" s="1"/>
  <c r="AI372" i="12"/>
  <c r="AF372" i="12"/>
  <c r="AA72" i="24"/>
  <c r="AA91" i="29" s="1"/>
  <c r="W325" i="12"/>
  <c r="R70" i="24"/>
  <c r="R90" i="29" s="1"/>
  <c r="AC325" i="12"/>
  <c r="X70" i="24"/>
  <c r="X90" i="29" s="1"/>
  <c r="V325" i="12"/>
  <c r="Q70" i="24"/>
  <c r="Q90" i="29" s="1"/>
  <c r="AX70" i="24"/>
  <c r="AX90" i="29" s="1"/>
  <c r="BC325" i="12"/>
  <c r="BG70" i="24"/>
  <c r="BG90" i="29" s="1"/>
  <c r="BL325" i="12"/>
  <c r="AG325" i="12"/>
  <c r="AB70" i="24"/>
  <c r="AB90" i="29" s="1"/>
  <c r="BJ325" i="12"/>
  <c r="BE70" i="24"/>
  <c r="BE90" i="29" s="1"/>
  <c r="AO71" i="24"/>
  <c r="AO89" i="29" s="1"/>
  <c r="AT343" i="12"/>
  <c r="AG71" i="24"/>
  <c r="AG89" i="29" s="1"/>
  <c r="AL343" i="12"/>
  <c r="AH343" i="12"/>
  <c r="AC71" i="24"/>
  <c r="AC89" i="29" s="1"/>
  <c r="AY71" i="24"/>
  <c r="AY89" i="29" s="1"/>
  <c r="BD343" i="12"/>
  <c r="AV343" i="12"/>
  <c r="AQ71" i="24"/>
  <c r="AQ89" i="29" s="1"/>
  <c r="AL71" i="24"/>
  <c r="AL89" i="29" s="1"/>
  <c r="AQ343" i="12"/>
  <c r="AT71" i="24"/>
  <c r="AT89" i="29" s="1"/>
  <c r="AY343" i="12"/>
  <c r="H42" i="21"/>
  <c r="F42" i="21"/>
  <c r="I42" i="21"/>
  <c r="J41" i="21"/>
  <c r="I367" i="12"/>
  <c r="U48" i="23"/>
  <c r="H41" i="23"/>
  <c r="D41" i="23"/>
  <c r="I41" i="23"/>
  <c r="J30" i="23"/>
  <c r="AY372" i="12"/>
  <c r="AT72" i="24"/>
  <c r="AT91" i="29" s="1"/>
  <c r="BJ72" i="24"/>
  <c r="BJ91" i="29" s="1"/>
  <c r="BO372" i="12"/>
  <c r="AG72" i="24"/>
  <c r="AG91" i="29" s="1"/>
  <c r="AL372" i="12"/>
  <c r="O72" i="24"/>
  <c r="O91" i="29" s="1"/>
  <c r="T372" i="12"/>
  <c r="BI72" i="24"/>
  <c r="BI91" i="29" s="1"/>
  <c r="BN372" i="12"/>
  <c r="AW72" i="24"/>
  <c r="AW91" i="29" s="1"/>
  <c r="BB372" i="12"/>
  <c r="W72" i="24"/>
  <c r="W91" i="29" s="1"/>
  <c r="AB372" i="12"/>
  <c r="AW70" i="24"/>
  <c r="AW90" i="29" s="1"/>
  <c r="BB325" i="12"/>
  <c r="Y325" i="12"/>
  <c r="T70" i="24"/>
  <c r="T90" i="29" s="1"/>
  <c r="AD325" i="12"/>
  <c r="Y70" i="24"/>
  <c r="Y90" i="29" s="1"/>
  <c r="AH325" i="12"/>
  <c r="AC70" i="24"/>
  <c r="AC90" i="29" s="1"/>
  <c r="AO325" i="12"/>
  <c r="AJ70" i="24"/>
  <c r="AJ90" i="29" s="1"/>
  <c r="BL70" i="24"/>
  <c r="BL90" i="29" s="1"/>
  <c r="BQ325" i="12"/>
  <c r="A333" i="12"/>
  <c r="BH71" i="24"/>
  <c r="BH89" i="29" s="1"/>
  <c r="BM343" i="12"/>
  <c r="V343" i="12"/>
  <c r="Q71" i="24"/>
  <c r="Q89" i="29" s="1"/>
  <c r="AX343" i="12"/>
  <c r="AS71" i="24"/>
  <c r="AS89" i="29" s="1"/>
  <c r="AC343" i="12"/>
  <c r="X71" i="24"/>
  <c r="X89" i="29" s="1"/>
  <c r="BI343" i="12"/>
  <c r="BD71" i="24"/>
  <c r="BD89" i="29" s="1"/>
  <c r="Z343" i="12"/>
  <c r="U71" i="24"/>
  <c r="U89" i="29" s="1"/>
  <c r="AF343" i="12"/>
  <c r="AA71" i="24"/>
  <c r="AA89" i="29" s="1"/>
  <c r="AN48" i="25"/>
  <c r="I278" i="12" l="1"/>
  <c r="A278" i="12" s="1"/>
  <c r="S88" i="10"/>
  <c r="S87" i="10" s="1"/>
  <c r="P33" i="1"/>
  <c r="E59" i="3"/>
  <c r="N76" i="3"/>
  <c r="P32" i="1"/>
  <c r="N104" i="3"/>
  <c r="AO10" i="12"/>
  <c r="AP101" i="12"/>
  <c r="AP94" i="12" s="1"/>
  <c r="AJ44" i="24"/>
  <c r="AJ34" i="24" s="1"/>
  <c r="J90" i="10"/>
  <c r="K90" i="10"/>
  <c r="H90" i="10" s="1"/>
  <c r="L90" i="10"/>
  <c r="I90" i="10" s="1"/>
  <c r="AL29" i="24"/>
  <c r="AL46" i="29" s="1"/>
  <c r="AL44" i="29" s="1"/>
  <c r="A325" i="12"/>
  <c r="A343" i="12"/>
  <c r="A372" i="12"/>
  <c r="A192" i="12"/>
  <c r="AM16" i="29"/>
  <c r="AM140" i="24"/>
  <c r="AM20" i="24"/>
  <c r="AM31" i="29" s="1"/>
  <c r="AR104" i="12"/>
  <c r="AM55" i="24" s="1"/>
  <c r="AM74" i="29" s="1"/>
  <c r="AH147" i="12"/>
  <c r="AC63" i="24"/>
  <c r="AN147" i="12"/>
  <c r="AI63" i="24"/>
  <c r="BQ147" i="12"/>
  <c r="BL63" i="24"/>
  <c r="AD147" i="12"/>
  <c r="Y63" i="24"/>
  <c r="BI147" i="12"/>
  <c r="BD63" i="24"/>
  <c r="BD147" i="12"/>
  <c r="AY63" i="24"/>
  <c r="T147" i="12"/>
  <c r="O63" i="24"/>
  <c r="E71" i="24"/>
  <c r="T95" i="10" s="1"/>
  <c r="N89" i="29"/>
  <c r="E89" i="29" s="1"/>
  <c r="R95" i="10" s="1"/>
  <c r="M92" i="10"/>
  <c r="I92" i="10"/>
  <c r="R64" i="25"/>
  <c r="S64" i="25" s="1"/>
  <c r="AE147" i="12"/>
  <c r="Z63" i="24"/>
  <c r="BC147" i="12"/>
  <c r="AX63" i="24"/>
  <c r="X63" i="24"/>
  <c r="AC147" i="12"/>
  <c r="BE147" i="12"/>
  <c r="AZ63" i="24"/>
  <c r="BG147" i="12"/>
  <c r="BB63" i="24"/>
  <c r="AK63" i="24"/>
  <c r="AP147" i="12"/>
  <c r="BA147" i="12"/>
  <c r="AV63" i="24"/>
  <c r="Q64" i="25"/>
  <c r="AB147" i="12"/>
  <c r="W63" i="24"/>
  <c r="AX147" i="12"/>
  <c r="AS63" i="24"/>
  <c r="Y147" i="12"/>
  <c r="T63" i="24"/>
  <c r="AJ147" i="12"/>
  <c r="AE63" i="24"/>
  <c r="AU147" i="12"/>
  <c r="AP63" i="24"/>
  <c r="AO147" i="12"/>
  <c r="AJ63" i="24"/>
  <c r="AM147" i="12"/>
  <c r="AH63" i="24"/>
  <c r="H41" i="21"/>
  <c r="I41" i="21"/>
  <c r="H30" i="23"/>
  <c r="I30" i="23"/>
  <c r="J30" i="21"/>
  <c r="E72" i="24"/>
  <c r="N91" i="29"/>
  <c r="E91" i="29" s="1"/>
  <c r="D40" i="23"/>
  <c r="AK52" i="24"/>
  <c r="S63" i="25"/>
  <c r="T63" i="25" s="1"/>
  <c r="U63" i="24"/>
  <c r="Z147" i="12"/>
  <c r="BC63" i="24"/>
  <c r="BH147" i="12"/>
  <c r="AY147" i="12"/>
  <c r="AT63" i="24"/>
  <c r="AL63" i="24"/>
  <c r="AQ147" i="12"/>
  <c r="AT147" i="12"/>
  <c r="AO63" i="24"/>
  <c r="AK147" i="12"/>
  <c r="AF63" i="24"/>
  <c r="AN38" i="25"/>
  <c r="AN32" i="25" s="1"/>
  <c r="AN49" i="25"/>
  <c r="AN11" i="24"/>
  <c r="AO48" i="25"/>
  <c r="AA147" i="12"/>
  <c r="V63" i="24"/>
  <c r="S63" i="24"/>
  <c r="X147" i="12"/>
  <c r="BM147" i="12"/>
  <c r="BH63" i="24"/>
  <c r="AG147" i="12"/>
  <c r="AB63" i="24"/>
  <c r="BB147" i="12"/>
  <c r="AW63" i="24"/>
  <c r="BL147" i="12"/>
  <c r="BG63" i="24"/>
  <c r="AF147" i="12"/>
  <c r="AA63" i="24"/>
  <c r="N90" i="29"/>
  <c r="E90" i="29" s="1"/>
  <c r="R94" i="10" s="1"/>
  <c r="E70" i="24"/>
  <c r="T94" i="10" s="1"/>
  <c r="AJ29" i="29"/>
  <c r="AJ175" i="29"/>
  <c r="AJ38" i="29"/>
  <c r="AJ135" i="29"/>
  <c r="BP147" i="12"/>
  <c r="BK63" i="24"/>
  <c r="W147" i="12"/>
  <c r="R63" i="24"/>
  <c r="AR147" i="12"/>
  <c r="AM63" i="24"/>
  <c r="BR147" i="12"/>
  <c r="BM63" i="24"/>
  <c r="AI147" i="12"/>
  <c r="AD63" i="24"/>
  <c r="BI63" i="24"/>
  <c r="BN147" i="12"/>
  <c r="H27" i="23"/>
  <c r="I27" i="23"/>
  <c r="J27" i="21"/>
  <c r="U48" i="21"/>
  <c r="S147" i="12"/>
  <c r="N63" i="24"/>
  <c r="AS147" i="12"/>
  <c r="AN63" i="24"/>
  <c r="AV147" i="12"/>
  <c r="AQ63" i="24"/>
  <c r="U147" i="12"/>
  <c r="P63" i="24"/>
  <c r="V147" i="12"/>
  <c r="Q63" i="24"/>
  <c r="BK147" i="12"/>
  <c r="BF63" i="24"/>
  <c r="BF147" i="12"/>
  <c r="BA63" i="24"/>
  <c r="AK25" i="24"/>
  <c r="AK156" i="24"/>
  <c r="AK46" i="29"/>
  <c r="AK116" i="24"/>
  <c r="BR367" i="12"/>
  <c r="AY367" i="12"/>
  <c r="BN367" i="12"/>
  <c r="AS367" i="12"/>
  <c r="BD367" i="12"/>
  <c r="BB367" i="12"/>
  <c r="AG367" i="12"/>
  <c r="BA367" i="12"/>
  <c r="AC367" i="12"/>
  <c r="AV367" i="12"/>
  <c r="BC367" i="12"/>
  <c r="BM367" i="12"/>
  <c r="AM367" i="12"/>
  <c r="BK367" i="12"/>
  <c r="AT367" i="12"/>
  <c r="AX367" i="12"/>
  <c r="W367" i="12"/>
  <c r="BI367" i="12"/>
  <c r="BQ367" i="12"/>
  <c r="BO367" i="12"/>
  <c r="AB367" i="12"/>
  <c r="AF367" i="12"/>
  <c r="X367" i="12"/>
  <c r="BL367" i="12"/>
  <c r="AW367" i="12"/>
  <c r="AD367" i="12"/>
  <c r="AA367" i="12"/>
  <c r="AK367" i="12"/>
  <c r="AI367" i="12"/>
  <c r="AR367" i="12"/>
  <c r="BF367" i="12"/>
  <c r="V367" i="12"/>
  <c r="AL367" i="12"/>
  <c r="BE367" i="12"/>
  <c r="AJ367" i="12"/>
  <c r="AU367" i="12"/>
  <c r="BG367" i="12"/>
  <c r="AH367" i="12"/>
  <c r="AE367" i="12"/>
  <c r="BJ367" i="12"/>
  <c r="AP367" i="12"/>
  <c r="T367" i="12"/>
  <c r="I361" i="12"/>
  <c r="BH367" i="12"/>
  <c r="AQ367" i="12"/>
  <c r="U367" i="12"/>
  <c r="AO367" i="12"/>
  <c r="Y367" i="12"/>
  <c r="Z367" i="12"/>
  <c r="AZ367" i="12"/>
  <c r="BP367" i="12"/>
  <c r="AN367" i="12"/>
  <c r="S367" i="12"/>
  <c r="BO147" i="12"/>
  <c r="BJ63" i="24"/>
  <c r="AW147" i="12"/>
  <c r="AR63" i="24"/>
  <c r="BJ147" i="12"/>
  <c r="BE63" i="24"/>
  <c r="AZ147" i="12"/>
  <c r="AU63" i="24"/>
  <c r="AL147" i="12"/>
  <c r="AG63" i="24"/>
  <c r="U35" i="1" l="1"/>
  <c r="E76" i="3"/>
  <c r="U41" i="1"/>
  <c r="S148" i="10" s="1"/>
  <c r="O29" i="1"/>
  <c r="O28" i="1"/>
  <c r="O27" i="1"/>
  <c r="AK51" i="24"/>
  <c r="AK70" i="29" s="1"/>
  <c r="AJ61" i="29"/>
  <c r="AJ59" i="29" s="1"/>
  <c r="AP17" i="12"/>
  <c r="AQ102" i="12" s="1"/>
  <c r="AJ189" i="24"/>
  <c r="AJ208" i="29" s="1"/>
  <c r="M90" i="10"/>
  <c r="J94" i="10"/>
  <c r="K94" i="10"/>
  <c r="H94" i="10" s="1"/>
  <c r="J95" i="10"/>
  <c r="K95" i="10"/>
  <c r="H95" i="10" s="1"/>
  <c r="AL116" i="24"/>
  <c r="AL113" i="24" s="1"/>
  <c r="AL156" i="24"/>
  <c r="L94" i="10"/>
  <c r="I94" i="10" s="1"/>
  <c r="AL25" i="24"/>
  <c r="L95" i="10"/>
  <c r="I95" i="10" s="1"/>
  <c r="AM29" i="24"/>
  <c r="AM25" i="24" s="1"/>
  <c r="T64" i="25"/>
  <c r="U64" i="25" s="1"/>
  <c r="Q65" i="25"/>
  <c r="Q66" i="25" s="1"/>
  <c r="R65" i="25"/>
  <c r="S65" i="25" s="1"/>
  <c r="A147" i="12"/>
  <c r="BL73" i="24"/>
  <c r="BL92" i="29" s="1"/>
  <c r="BQ361" i="12"/>
  <c r="BQ360" i="12" s="1"/>
  <c r="AD82" i="29"/>
  <c r="AD74" i="24"/>
  <c r="AD93" i="29" s="1"/>
  <c r="BG82" i="29"/>
  <c r="BG74" i="24"/>
  <c r="BG93" i="29" s="1"/>
  <c r="AO49" i="25"/>
  <c r="AO38" i="25"/>
  <c r="AO32" i="25" s="1"/>
  <c r="AO11" i="24"/>
  <c r="U74" i="24"/>
  <c r="U93" i="29" s="1"/>
  <c r="U82" i="29"/>
  <c r="BD82" i="29"/>
  <c r="BD74" i="24"/>
  <c r="BD93" i="29" s="1"/>
  <c r="AC74" i="24"/>
  <c r="AC93" i="29" s="1"/>
  <c r="AC82" i="29"/>
  <c r="AR74" i="24"/>
  <c r="AR93" i="29" s="1"/>
  <c r="AR82" i="29"/>
  <c r="V73" i="24"/>
  <c r="V92" i="29" s="1"/>
  <c r="AA361" i="12"/>
  <c r="AA360" i="12" s="1"/>
  <c r="O73" i="24"/>
  <c r="O92" i="29" s="1"/>
  <c r="T361" i="12"/>
  <c r="T360" i="12" s="1"/>
  <c r="BI73" i="24"/>
  <c r="BI92" i="29" s="1"/>
  <c r="BN361" i="12"/>
  <c r="BN360" i="12" s="1"/>
  <c r="BA74" i="24"/>
  <c r="BA93" i="29" s="1"/>
  <c r="BA82" i="29"/>
  <c r="S74" i="24"/>
  <c r="S93" i="29" s="1"/>
  <c r="S82" i="29"/>
  <c r="AN140" i="24"/>
  <c r="AN20" i="24"/>
  <c r="AN31" i="29" s="1"/>
  <c r="AN16" i="29"/>
  <c r="AN14" i="29" s="1"/>
  <c r="AN159" i="29" s="1"/>
  <c r="AS104" i="12"/>
  <c r="AN55" i="24" s="1"/>
  <c r="AN74" i="29" s="1"/>
  <c r="H30" i="21"/>
  <c r="I30" i="21"/>
  <c r="AJ74" i="24"/>
  <c r="AJ93" i="29" s="1"/>
  <c r="AJ82" i="29"/>
  <c r="AS74" i="24"/>
  <c r="AS93" i="29" s="1"/>
  <c r="AS82" i="29"/>
  <c r="AZ82" i="29"/>
  <c r="AZ74" i="24"/>
  <c r="AZ93" i="29" s="1"/>
  <c r="AW74" i="24"/>
  <c r="AW93" i="29" s="1"/>
  <c r="AW82" i="29"/>
  <c r="Y74" i="24"/>
  <c r="Y93" i="29" s="1"/>
  <c r="Y82" i="29"/>
  <c r="AQ74" i="24"/>
  <c r="AQ93" i="29" s="1"/>
  <c r="AQ82" i="29"/>
  <c r="AG82" i="29"/>
  <c r="AG74" i="24"/>
  <c r="AG93" i="29" s="1"/>
  <c r="U73" i="24"/>
  <c r="U92" i="29" s="1"/>
  <c r="Z361" i="12"/>
  <c r="Z360" i="12" s="1"/>
  <c r="AK73" i="24"/>
  <c r="AK92" i="29" s="1"/>
  <c r="AP361" i="12"/>
  <c r="AP360" i="12" s="1"/>
  <c r="AR73" i="24"/>
  <c r="AR92" i="29" s="1"/>
  <c r="AW361" i="12"/>
  <c r="AW360" i="12" s="1"/>
  <c r="R73" i="24"/>
  <c r="R92" i="29" s="1"/>
  <c r="W361" i="12"/>
  <c r="W360" i="12" s="1"/>
  <c r="X73" i="24"/>
  <c r="X92" i="29" s="1"/>
  <c r="AC361" i="12"/>
  <c r="AC360" i="12" s="1"/>
  <c r="AT73" i="24"/>
  <c r="AT92" i="29" s="1"/>
  <c r="AY361" i="12"/>
  <c r="AY360" i="12" s="1"/>
  <c r="I27" i="21"/>
  <c r="H27" i="21"/>
  <c r="V74" i="24"/>
  <c r="V93" i="29" s="1"/>
  <c r="V82" i="29"/>
  <c r="T73" i="24"/>
  <c r="T92" i="29" s="1"/>
  <c r="Y361" i="12"/>
  <c r="Y360" i="12" s="1"/>
  <c r="AS73" i="24"/>
  <c r="AS92" i="29" s="1"/>
  <c r="AX361" i="12"/>
  <c r="AX360" i="12" s="1"/>
  <c r="AN82" i="29"/>
  <c r="AN74" i="24"/>
  <c r="AN93" i="29" s="1"/>
  <c r="AT82" i="29"/>
  <c r="AT74" i="24"/>
  <c r="AT93" i="29" s="1"/>
  <c r="AP74" i="24"/>
  <c r="AP93" i="29" s="1"/>
  <c r="AP82" i="29"/>
  <c r="W82" i="29"/>
  <c r="W74" i="24"/>
  <c r="W93" i="29" s="1"/>
  <c r="U63" i="25"/>
  <c r="AL29" i="29"/>
  <c r="AL38" i="29"/>
  <c r="AL135" i="29"/>
  <c r="AL132" i="29" s="1"/>
  <c r="AL175" i="29"/>
  <c r="AV74" i="24"/>
  <c r="AV93" i="29" s="1"/>
  <c r="AV82" i="29"/>
  <c r="BJ74" i="24"/>
  <c r="BJ93" i="29" s="1"/>
  <c r="BJ82" i="29"/>
  <c r="AG73" i="24"/>
  <c r="AG92" i="29" s="1"/>
  <c r="AL361" i="12"/>
  <c r="AL360" i="12" s="1"/>
  <c r="BM82" i="29"/>
  <c r="BM74" i="24"/>
  <c r="BM93" i="29" s="1"/>
  <c r="AL74" i="24"/>
  <c r="AL93" i="29" s="1"/>
  <c r="AL82" i="29"/>
  <c r="BE73" i="24"/>
  <c r="BE92" i="29" s="1"/>
  <c r="BJ361" i="12"/>
  <c r="BJ360" i="12" s="1"/>
  <c r="Q73" i="24"/>
  <c r="Q92" i="29" s="1"/>
  <c r="V361" i="12"/>
  <c r="V360" i="12" s="1"/>
  <c r="BG73" i="24"/>
  <c r="BG92" i="29" s="1"/>
  <c r="BL361" i="12"/>
  <c r="BL360" i="12" s="1"/>
  <c r="AV73" i="24"/>
  <c r="AV92" i="29" s="1"/>
  <c r="BA361" i="12"/>
  <c r="BA360" i="12" s="1"/>
  <c r="BM73" i="24"/>
  <c r="BM92" i="29" s="1"/>
  <c r="BR361" i="12"/>
  <c r="BR360" i="12" s="1"/>
  <c r="BF82" i="29"/>
  <c r="BF74" i="24"/>
  <c r="BF93" i="29" s="1"/>
  <c r="AU82" i="29"/>
  <c r="AU74" i="24"/>
  <c r="AU93" i="29" s="1"/>
  <c r="AJ73" i="24"/>
  <c r="AJ92" i="29" s="1"/>
  <c r="AO361" i="12"/>
  <c r="AO360" i="12" s="1"/>
  <c r="Z73" i="24"/>
  <c r="Z92" i="29" s="1"/>
  <c r="AE361" i="12"/>
  <c r="AE360" i="12" s="1"/>
  <c r="BA73" i="24"/>
  <c r="BA92" i="29" s="1"/>
  <c r="BF361" i="12"/>
  <c r="BF360" i="12" s="1"/>
  <c r="S73" i="24"/>
  <c r="S92" i="29" s="1"/>
  <c r="X361" i="12"/>
  <c r="X360" i="12" s="1"/>
  <c r="AO73" i="24"/>
  <c r="AO92" i="29" s="1"/>
  <c r="AT361" i="12"/>
  <c r="AT360" i="12" s="1"/>
  <c r="AB73" i="24"/>
  <c r="AB92" i="29" s="1"/>
  <c r="AG361" i="12"/>
  <c r="AG360" i="12" s="1"/>
  <c r="AP48" i="25"/>
  <c r="AQ48" i="25" s="1"/>
  <c r="AR48" i="25" s="1"/>
  <c r="AK113" i="24"/>
  <c r="AM82" i="29"/>
  <c r="AM74" i="24"/>
  <c r="AM93" i="29" s="1"/>
  <c r="AB82" i="29"/>
  <c r="AB74" i="24"/>
  <c r="AB93" i="29" s="1"/>
  <c r="AK71" i="29"/>
  <c r="X82" i="29"/>
  <c r="X74" i="24"/>
  <c r="X93" i="29" s="1"/>
  <c r="O82" i="29"/>
  <c r="O74" i="24"/>
  <c r="O93" i="29" s="1"/>
  <c r="BL74" i="24"/>
  <c r="BL93" i="29" s="1"/>
  <c r="BL82" i="29"/>
  <c r="AM14" i="29"/>
  <c r="BK73" i="24"/>
  <c r="BK92" i="29" s="1"/>
  <c r="BP361" i="12"/>
  <c r="BP360" i="12" s="1"/>
  <c r="I360" i="12"/>
  <c r="AE73" i="24"/>
  <c r="AE92" i="29" s="1"/>
  <c r="AJ361" i="12"/>
  <c r="AJ360" i="12" s="1"/>
  <c r="AN73" i="24"/>
  <c r="AN92" i="29" s="1"/>
  <c r="AS361" i="12"/>
  <c r="AS360" i="12" s="1"/>
  <c r="BD73" i="24"/>
  <c r="BD92" i="29" s="1"/>
  <c r="BI361" i="12"/>
  <c r="BI360" i="12" s="1"/>
  <c r="P73" i="24"/>
  <c r="P92" i="29" s="1"/>
  <c r="U361" i="12"/>
  <c r="U360" i="12" s="1"/>
  <c r="AC73" i="24"/>
  <c r="AC92" i="29" s="1"/>
  <c r="AH361" i="12"/>
  <c r="AH360" i="12" s="1"/>
  <c r="AM73" i="24"/>
  <c r="AM92" i="29" s="1"/>
  <c r="AR361" i="12"/>
  <c r="AR360" i="12" s="1"/>
  <c r="AA73" i="24"/>
  <c r="AA92" i="29" s="1"/>
  <c r="AF361" i="12"/>
  <c r="AF360" i="12" s="1"/>
  <c r="BF73" i="24"/>
  <c r="BF92" i="29" s="1"/>
  <c r="BK361" i="12"/>
  <c r="BK360" i="12" s="1"/>
  <c r="AW73" i="24"/>
  <c r="AW92" i="29" s="1"/>
  <c r="BB361" i="12"/>
  <c r="BB360" i="12" s="1"/>
  <c r="AK44" i="24"/>
  <c r="Q74" i="24"/>
  <c r="Q93" i="29" s="1"/>
  <c r="Q82" i="29"/>
  <c r="N74" i="24"/>
  <c r="N82" i="29"/>
  <c r="E63" i="24"/>
  <c r="AJ132" i="29"/>
  <c r="AF82" i="29"/>
  <c r="AF74" i="24"/>
  <c r="AF93" i="29" s="1"/>
  <c r="AE82" i="29"/>
  <c r="AE74" i="24"/>
  <c r="AE93" i="29" s="1"/>
  <c r="AX82" i="29"/>
  <c r="AX74" i="24"/>
  <c r="AX93" i="29" s="1"/>
  <c r="AJ53" i="29"/>
  <c r="BE82" i="29"/>
  <c r="BE74" i="24"/>
  <c r="BE93" i="29" s="1"/>
  <c r="S361" i="12"/>
  <c r="N73" i="24"/>
  <c r="AL73" i="24"/>
  <c r="AL92" i="29" s="1"/>
  <c r="AQ361" i="12"/>
  <c r="AQ360" i="12" s="1"/>
  <c r="BB73" i="24"/>
  <c r="BB92" i="29" s="1"/>
  <c r="BG361" i="12"/>
  <c r="BG360" i="12" s="1"/>
  <c r="AD73" i="24"/>
  <c r="AD92" i="29" s="1"/>
  <c r="AI361" i="12"/>
  <c r="AI360" i="12" s="1"/>
  <c r="W73" i="24"/>
  <c r="W92" i="29" s="1"/>
  <c r="AB361" i="12"/>
  <c r="AB360" i="12" s="1"/>
  <c r="AH73" i="24"/>
  <c r="AH92" i="29" s="1"/>
  <c r="AM361" i="12"/>
  <c r="AM360" i="12" s="1"/>
  <c r="AY73" i="24"/>
  <c r="AY92" i="29" s="1"/>
  <c r="BD361" i="12"/>
  <c r="BD360" i="12" s="1"/>
  <c r="AK44" i="29"/>
  <c r="R74" i="24"/>
  <c r="R93" i="29" s="1"/>
  <c r="R82" i="29"/>
  <c r="AA82" i="29"/>
  <c r="AA74" i="24"/>
  <c r="AA93" i="29" s="1"/>
  <c r="BH74" i="24"/>
  <c r="BH93" i="29" s="1"/>
  <c r="BH82" i="29"/>
  <c r="BC82" i="29"/>
  <c r="BC74" i="24"/>
  <c r="BC93" i="29" s="1"/>
  <c r="AK82" i="29"/>
  <c r="AK74" i="24"/>
  <c r="AK93" i="29" s="1"/>
  <c r="AY74" i="24"/>
  <c r="AY93" i="29" s="1"/>
  <c r="AY82" i="29"/>
  <c r="AI82" i="29"/>
  <c r="AI74" i="24"/>
  <c r="AI93" i="29" s="1"/>
  <c r="AX73" i="24"/>
  <c r="AX92" i="29" s="1"/>
  <c r="BC361" i="12"/>
  <c r="BC360" i="12" s="1"/>
  <c r="BK82" i="29"/>
  <c r="BK74" i="24"/>
  <c r="BK93" i="29" s="1"/>
  <c r="AU73" i="24"/>
  <c r="AU92" i="29" s="1"/>
  <c r="AZ361" i="12"/>
  <c r="AZ360" i="12" s="1"/>
  <c r="AZ73" i="24"/>
  <c r="AZ92" i="29" s="1"/>
  <c r="BE361" i="12"/>
  <c r="BE360" i="12" s="1"/>
  <c r="Y73" i="24"/>
  <c r="Y92" i="29" s="1"/>
  <c r="AD361" i="12"/>
  <c r="AD360" i="12" s="1"/>
  <c r="AQ73" i="24"/>
  <c r="AQ92" i="29" s="1"/>
  <c r="AV361" i="12"/>
  <c r="AV360" i="12" s="1"/>
  <c r="AI73" i="24"/>
  <c r="AI92" i="29" s="1"/>
  <c r="AN361" i="12"/>
  <c r="AN360" i="12" s="1"/>
  <c r="BC73" i="24"/>
  <c r="BC92" i="29" s="1"/>
  <c r="BH361" i="12"/>
  <c r="BH360" i="12" s="1"/>
  <c r="AP73" i="24"/>
  <c r="AP92" i="29" s="1"/>
  <c r="AU361" i="12"/>
  <c r="AU360" i="12" s="1"/>
  <c r="AF73" i="24"/>
  <c r="AF92" i="29" s="1"/>
  <c r="AK361" i="12"/>
  <c r="AK360" i="12" s="1"/>
  <c r="BJ73" i="24"/>
  <c r="BJ92" i="29" s="1"/>
  <c r="BO361" i="12"/>
  <c r="BO360" i="12" s="1"/>
  <c r="BH73" i="24"/>
  <c r="BH92" i="29" s="1"/>
  <c r="BM361" i="12"/>
  <c r="BM360" i="12" s="1"/>
  <c r="A367" i="12"/>
  <c r="P74" i="24"/>
  <c r="P93" i="29" s="1"/>
  <c r="P82" i="29"/>
  <c r="BI74" i="24"/>
  <c r="BI93" i="29" s="1"/>
  <c r="BI82" i="29"/>
  <c r="AO82" i="29"/>
  <c r="AO74" i="24"/>
  <c r="AO93" i="29" s="1"/>
  <c r="AH82" i="29"/>
  <c r="AH74" i="24"/>
  <c r="AH93" i="29" s="1"/>
  <c r="T74" i="24"/>
  <c r="T93" i="29" s="1"/>
  <c r="T82" i="29"/>
  <c r="BB82" i="29"/>
  <c r="BB74" i="24"/>
  <c r="BB93" i="29" s="1"/>
  <c r="Z82" i="29"/>
  <c r="Z74" i="24"/>
  <c r="Z93" i="29" s="1"/>
  <c r="F361" i="12" l="1"/>
  <c r="D41" i="21" s="1"/>
  <c r="AB277" i="12"/>
  <c r="W61" i="24" s="1"/>
  <c r="W80" i="29" s="1"/>
  <c r="U50" i="1"/>
  <c r="P81" i="3"/>
  <c r="P103" i="3"/>
  <c r="AP10" i="12"/>
  <c r="AQ101" i="12"/>
  <c r="AQ94" i="12" s="1"/>
  <c r="M94" i="10"/>
  <c r="R66" i="25"/>
  <c r="S66" i="25" s="1"/>
  <c r="T66" i="25" s="1"/>
  <c r="M95" i="10"/>
  <c r="AM116" i="24"/>
  <c r="AM113" i="24" s="1"/>
  <c r="AM156" i="24"/>
  <c r="AM46" i="29"/>
  <c r="AM44" i="29" s="1"/>
  <c r="AM38" i="29" s="1"/>
  <c r="AN29" i="24"/>
  <c r="AN25" i="24" s="1"/>
  <c r="T65" i="25"/>
  <c r="U65" i="25" s="1"/>
  <c r="AC277" i="12" s="1"/>
  <c r="AR49" i="25"/>
  <c r="AR38" i="25"/>
  <c r="AR32" i="25" s="1"/>
  <c r="AR11" i="24"/>
  <c r="AS48" i="25"/>
  <c r="E73" i="24"/>
  <c r="N92" i="29"/>
  <c r="E92" i="29" s="1"/>
  <c r="R67" i="25"/>
  <c r="S67" i="25" s="1"/>
  <c r="E82" i="29"/>
  <c r="R89" i="10" s="1"/>
  <c r="AL52" i="24"/>
  <c r="S360" i="12"/>
  <c r="N93" i="29"/>
  <c r="E93" i="29" s="1"/>
  <c r="R98" i="10" s="1"/>
  <c r="E74" i="24"/>
  <c r="T98" i="10" s="1"/>
  <c r="AP49" i="25"/>
  <c r="AP38" i="25"/>
  <c r="AP11" i="24"/>
  <c r="AO20" i="24"/>
  <c r="AO31" i="29" s="1"/>
  <c r="AO16" i="29"/>
  <c r="AO140" i="24"/>
  <c r="AT104" i="12"/>
  <c r="AO55" i="24" s="1"/>
  <c r="AO74" i="29" s="1"/>
  <c r="AK61" i="29"/>
  <c r="AK189" i="24"/>
  <c r="AK34" i="24"/>
  <c r="AQ17" i="12"/>
  <c r="Q67" i="25"/>
  <c r="R68" i="25" s="1"/>
  <c r="S68" i="25" s="1"/>
  <c r="AK38" i="29"/>
  <c r="AK29" i="29"/>
  <c r="AK175" i="29"/>
  <c r="AK135" i="29"/>
  <c r="AM159" i="29"/>
  <c r="AQ49" i="25"/>
  <c r="AQ38" i="25"/>
  <c r="AQ32" i="25" s="1"/>
  <c r="AQ11" i="24"/>
  <c r="AA277" i="12"/>
  <c r="T89" i="10"/>
  <c r="A361" i="12"/>
  <c r="AB264" i="12" l="1"/>
  <c r="P104" i="3"/>
  <c r="E104" i="3" s="1"/>
  <c r="S124" i="10" s="1"/>
  <c r="E103" i="3"/>
  <c r="P37" i="1" s="1"/>
  <c r="AL51" i="24"/>
  <c r="AL70" i="29" s="1"/>
  <c r="J89" i="10"/>
  <c r="K89" i="10"/>
  <c r="H89" i="10" s="1"/>
  <c r="J98" i="10"/>
  <c r="K98" i="10"/>
  <c r="H98" i="10" s="1"/>
  <c r="AM135" i="29"/>
  <c r="AM132" i="29" s="1"/>
  <c r="AM175" i="29"/>
  <c r="AN156" i="24"/>
  <c r="AN116" i="24"/>
  <c r="AN113" i="24" s="1"/>
  <c r="AN46" i="29"/>
  <c r="AN44" i="29" s="1"/>
  <c r="AM29" i="29"/>
  <c r="L98" i="10"/>
  <c r="L89" i="10"/>
  <c r="AO29" i="24"/>
  <c r="AO25" i="24" s="1"/>
  <c r="AT82" i="25"/>
  <c r="AT83" i="25" s="1"/>
  <c r="X61" i="24"/>
  <c r="AC264" i="12"/>
  <c r="AK59" i="29"/>
  <c r="AL44" i="24"/>
  <c r="AQ10" i="12"/>
  <c r="AR102" i="12"/>
  <c r="AR101" i="12"/>
  <c r="R97" i="10"/>
  <c r="R96" i="10"/>
  <c r="AS49" i="25"/>
  <c r="AS38" i="25"/>
  <c r="AS32" i="25" s="1"/>
  <c r="AS11" i="24"/>
  <c r="G132" i="24" s="1"/>
  <c r="D48" i="25"/>
  <c r="C48" i="25"/>
  <c r="T67" i="25"/>
  <c r="U67" i="25" s="1"/>
  <c r="T97" i="10"/>
  <c r="T96" i="10"/>
  <c r="AR16" i="29"/>
  <c r="AR14" i="29" s="1"/>
  <c r="AR159" i="29" s="1"/>
  <c r="AR20" i="24"/>
  <c r="AR31" i="29" s="1"/>
  <c r="AR140" i="24"/>
  <c r="AW104" i="12"/>
  <c r="AR55" i="24" s="1"/>
  <c r="AR74" i="29" s="1"/>
  <c r="AK208" i="29"/>
  <c r="AP20" i="24"/>
  <c r="AP31" i="29" s="1"/>
  <c r="AP16" i="29"/>
  <c r="AP14" i="29" s="1"/>
  <c r="AP159" i="29" s="1"/>
  <c r="AP140" i="24"/>
  <c r="AU104" i="12"/>
  <c r="AP55" i="24" s="1"/>
  <c r="AP74" i="29" s="1"/>
  <c r="AK53" i="29"/>
  <c r="AP32" i="25"/>
  <c r="Q68" i="25"/>
  <c r="Q69" i="25" s="1"/>
  <c r="AA264" i="12"/>
  <c r="V61" i="24"/>
  <c r="AQ20" i="24"/>
  <c r="AQ31" i="29" s="1"/>
  <c r="AQ140" i="24"/>
  <c r="AQ16" i="29"/>
  <c r="AQ14" i="29" s="1"/>
  <c r="AQ159" i="29" s="1"/>
  <c r="AV104" i="12"/>
  <c r="AQ55" i="24" s="1"/>
  <c r="AQ74" i="29" s="1"/>
  <c r="AK132" i="29"/>
  <c r="AT48" i="25"/>
  <c r="AO14" i="29"/>
  <c r="AL71" i="29"/>
  <c r="U66" i="25"/>
  <c r="A360" i="12"/>
  <c r="AE277" i="12" l="1"/>
  <c r="AE264" i="12" s="1"/>
  <c r="J96" i="10"/>
  <c r="K96" i="10"/>
  <c r="H96" i="10" s="1"/>
  <c r="J97" i="10"/>
  <c r="K97" i="10"/>
  <c r="H97" i="10" s="1"/>
  <c r="M98" i="10"/>
  <c r="AO156" i="24"/>
  <c r="I98" i="10"/>
  <c r="L96" i="10"/>
  <c r="I96" i="10" s="1"/>
  <c r="AO116" i="24"/>
  <c r="AO113" i="24" s="1"/>
  <c r="L97" i="10"/>
  <c r="AO46" i="29"/>
  <c r="AO44" i="29" s="1"/>
  <c r="AO175" i="29" s="1"/>
  <c r="AP29" i="24"/>
  <c r="AP25" i="24" s="1"/>
  <c r="P11" i="21"/>
  <c r="Q11" i="21"/>
  <c r="H132" i="24"/>
  <c r="I132" i="24" s="1"/>
  <c r="J132" i="24" s="1"/>
  <c r="K132" i="24" s="1"/>
  <c r="L132" i="24" s="1"/>
  <c r="U28" i="23"/>
  <c r="U29" i="23" s="1"/>
  <c r="P11" i="23"/>
  <c r="AR29" i="24"/>
  <c r="AR156" i="24" s="1"/>
  <c r="X80" i="29"/>
  <c r="M89" i="10"/>
  <c r="I89" i="10"/>
  <c r="AT49" i="25"/>
  <c r="AT38" i="25"/>
  <c r="AT32" i="25" s="1"/>
  <c r="AT11" i="24"/>
  <c r="AU48" i="25"/>
  <c r="Q70" i="25"/>
  <c r="Q71" i="25" s="1"/>
  <c r="AN38" i="29"/>
  <c r="AN29" i="29"/>
  <c r="AN175" i="29"/>
  <c r="AN135" i="29"/>
  <c r="T68" i="25"/>
  <c r="R69" i="25"/>
  <c r="V80" i="29"/>
  <c r="AS140" i="24"/>
  <c r="AS20" i="24"/>
  <c r="AS31" i="29" s="1"/>
  <c r="AS16" i="29"/>
  <c r="AS14" i="29" s="1"/>
  <c r="AS159" i="29" s="1"/>
  <c r="AX104" i="12"/>
  <c r="AS55" i="24" s="1"/>
  <c r="AS74" i="29" s="1"/>
  <c r="Q11" i="23"/>
  <c r="AM52" i="24"/>
  <c r="AR94" i="12"/>
  <c r="AM51" i="24"/>
  <c r="AD277" i="12"/>
  <c r="AQ29" i="24"/>
  <c r="AO159" i="29"/>
  <c r="R70" i="25"/>
  <c r="S70" i="25" s="1"/>
  <c r="AL61" i="29"/>
  <c r="AR17" i="12"/>
  <c r="AL34" i="24"/>
  <c r="AL189" i="24"/>
  <c r="Z61" i="24" l="1"/>
  <c r="M97" i="10"/>
  <c r="AO38" i="29"/>
  <c r="M96" i="10"/>
  <c r="AP116" i="24"/>
  <c r="AP113" i="24" s="1"/>
  <c r="AO29" i="29"/>
  <c r="I97" i="10"/>
  <c r="AP46" i="29"/>
  <c r="AP44" i="29" s="1"/>
  <c r="AP135" i="29" s="1"/>
  <c r="AP132" i="29" s="1"/>
  <c r="AO135" i="29"/>
  <c r="AO132" i="29" s="1"/>
  <c r="AP156" i="24"/>
  <c r="O11" i="21"/>
  <c r="T66" i="10"/>
  <c r="T67" i="10" s="1"/>
  <c r="R66" i="10"/>
  <c r="M132" i="24"/>
  <c r="N132" i="24" s="1"/>
  <c r="O132" i="24" s="1"/>
  <c r="P132" i="24" s="1"/>
  <c r="Q132" i="24" s="1"/>
  <c r="R132" i="24" s="1"/>
  <c r="S132" i="24" s="1"/>
  <c r="T132" i="24" s="1"/>
  <c r="AR116" i="24"/>
  <c r="AR113" i="24" s="1"/>
  <c r="AR25" i="24"/>
  <c r="O11" i="23"/>
  <c r="AR46" i="29"/>
  <c r="AR44" i="29" s="1"/>
  <c r="AR38" i="29" s="1"/>
  <c r="AS29" i="24"/>
  <c r="G148" i="24" s="1"/>
  <c r="H148" i="24" s="1"/>
  <c r="Q72" i="25"/>
  <c r="R73" i="25" s="1"/>
  <c r="S73" i="25" s="1"/>
  <c r="AT20" i="24"/>
  <c r="AT31" i="29" s="1"/>
  <c r="AT140" i="24"/>
  <c r="AT16" i="29"/>
  <c r="AT14" i="29" s="1"/>
  <c r="AT159" i="29" s="1"/>
  <c r="AY104" i="12"/>
  <c r="AT55" i="24" s="1"/>
  <c r="AT74" i="29" s="1"/>
  <c r="Z80" i="29"/>
  <c r="T70" i="25"/>
  <c r="U70" i="25" s="1"/>
  <c r="R71" i="25"/>
  <c r="S71" i="25" s="1"/>
  <c r="T71" i="25" s="1"/>
  <c r="U71" i="25" s="1"/>
  <c r="AL208" i="29"/>
  <c r="AQ25" i="24"/>
  <c r="AQ156" i="24"/>
  <c r="AQ46" i="29"/>
  <c r="AQ44" i="29" s="1"/>
  <c r="AQ116" i="24"/>
  <c r="AQ113" i="24" s="1"/>
  <c r="AM71" i="29"/>
  <c r="AN132" i="29"/>
  <c r="AD264" i="12"/>
  <c r="Y61" i="24"/>
  <c r="AL59" i="29"/>
  <c r="AM70" i="29"/>
  <c r="U68" i="25"/>
  <c r="AL53" i="29"/>
  <c r="R72" i="25"/>
  <c r="S72" i="25" s="1"/>
  <c r="AM44" i="24"/>
  <c r="AR10" i="12"/>
  <c r="AS102" i="12"/>
  <c r="AS101" i="12"/>
  <c r="G151" i="29"/>
  <c r="H151" i="29" s="1"/>
  <c r="S69" i="25"/>
  <c r="T69" i="25" s="1"/>
  <c r="U69" i="25" s="1"/>
  <c r="AU38" i="25"/>
  <c r="AU32" i="25" s="1"/>
  <c r="AU49" i="25"/>
  <c r="AU11" i="24"/>
  <c r="AV48" i="25"/>
  <c r="AG277" i="12" l="1"/>
  <c r="AG264" i="12" s="1"/>
  <c r="AI277" i="12"/>
  <c r="AI264" i="12" s="1"/>
  <c r="AH277" i="12"/>
  <c r="AC61" i="24" s="1"/>
  <c r="R64" i="10"/>
  <c r="K64" i="10" s="1"/>
  <c r="K66" i="10"/>
  <c r="J66" i="10"/>
  <c r="AP175" i="29"/>
  <c r="AP29" i="29"/>
  <c r="AP38" i="29"/>
  <c r="L66" i="10"/>
  <c r="T64" i="10"/>
  <c r="U29" i="21"/>
  <c r="U132" i="24"/>
  <c r="V132" i="24" s="1"/>
  <c r="W132" i="24" s="1"/>
  <c r="X132" i="24" s="1"/>
  <c r="Y132" i="24" s="1"/>
  <c r="Z132" i="24" s="1"/>
  <c r="AA132" i="24" s="1"/>
  <c r="AB132" i="24" s="1"/>
  <c r="AS46" i="29"/>
  <c r="AS44" i="29" s="1"/>
  <c r="AS38" i="29" s="1"/>
  <c r="AS116" i="24"/>
  <c r="AS113" i="24" s="1"/>
  <c r="AS156" i="24"/>
  <c r="AR175" i="29"/>
  <c r="AR135" i="29"/>
  <c r="AR132" i="29" s="1"/>
  <c r="AR29" i="29"/>
  <c r="T72" i="25"/>
  <c r="U72" i="25" s="1"/>
  <c r="AJ277" i="12" s="1"/>
  <c r="AJ264" i="12" s="1"/>
  <c r="AS25" i="24"/>
  <c r="Q73" i="25"/>
  <c r="AV49" i="25"/>
  <c r="AV38" i="25"/>
  <c r="AV32" i="25" s="1"/>
  <c r="AV11" i="24"/>
  <c r="AW48" i="25"/>
  <c r="I151" i="29"/>
  <c r="J151" i="29" s="1"/>
  <c r="AS94" i="12"/>
  <c r="AN51" i="24"/>
  <c r="I148" i="24"/>
  <c r="J148" i="24" s="1"/>
  <c r="R67" i="10"/>
  <c r="AM61" i="29"/>
  <c r="AM34" i="24"/>
  <c r="AM189" i="24"/>
  <c r="AS17" i="12"/>
  <c r="AU20" i="24"/>
  <c r="AU31" i="29" s="1"/>
  <c r="AU140" i="24"/>
  <c r="AU16" i="29"/>
  <c r="AU14" i="29" s="1"/>
  <c r="AZ104" i="12"/>
  <c r="AU55" i="24" s="1"/>
  <c r="AU74" i="29" s="1"/>
  <c r="AN52" i="24"/>
  <c r="Y80" i="29"/>
  <c r="AT29" i="24"/>
  <c r="AF277" i="12"/>
  <c r="AQ29" i="29"/>
  <c r="AQ38" i="29"/>
  <c r="AQ175" i="29"/>
  <c r="AQ135" i="29"/>
  <c r="AQ132" i="29" s="1"/>
  <c r="AB61" i="24" l="1"/>
  <c r="AD61" i="24"/>
  <c r="J64" i="10"/>
  <c r="AH264" i="12"/>
  <c r="M66" i="10"/>
  <c r="J67" i="10"/>
  <c r="K67" i="10"/>
  <c r="G167" i="29"/>
  <c r="H167" i="29" s="1"/>
  <c r="I167" i="29" s="1"/>
  <c r="L64" i="10"/>
  <c r="M64" i="10" s="1"/>
  <c r="AS29" i="29"/>
  <c r="AS135" i="29"/>
  <c r="AS132" i="29" s="1"/>
  <c r="AS175" i="29"/>
  <c r="AC132" i="24"/>
  <c r="AD132" i="24" s="1"/>
  <c r="AE132" i="24" s="1"/>
  <c r="AF132" i="24" s="1"/>
  <c r="AG132" i="24" s="1"/>
  <c r="L67" i="10"/>
  <c r="AE61" i="24"/>
  <c r="AE80" i="29" s="1"/>
  <c r="AU29" i="24"/>
  <c r="AU25" i="24" s="1"/>
  <c r="T73" i="25"/>
  <c r="U73" i="25" s="1"/>
  <c r="AK277" i="12" s="1"/>
  <c r="R74" i="25"/>
  <c r="S74" i="25" s="1"/>
  <c r="Q74" i="25"/>
  <c r="AS10" i="12"/>
  <c r="AN44" i="24"/>
  <c r="AT102" i="12"/>
  <c r="AT101" i="12"/>
  <c r="K151" i="29"/>
  <c r="L151" i="29" s="1"/>
  <c r="AN71" i="29"/>
  <c r="K148" i="24"/>
  <c r="L148" i="24" s="1"/>
  <c r="AM53" i="29"/>
  <c r="AU159" i="29"/>
  <c r="AD80" i="29"/>
  <c r="AB80" i="29"/>
  <c r="AM208" i="29"/>
  <c r="AF264" i="12"/>
  <c r="AA61" i="24"/>
  <c r="AT46" i="29"/>
  <c r="AT44" i="29" s="1"/>
  <c r="AT25" i="24"/>
  <c r="AT156" i="24"/>
  <c r="AT116" i="24"/>
  <c r="AM59" i="29"/>
  <c r="AN70" i="29"/>
  <c r="AC80" i="29"/>
  <c r="AW49" i="25"/>
  <c r="AW38" i="25"/>
  <c r="AW32" i="25" s="1"/>
  <c r="AW11" i="24"/>
  <c r="AX48" i="25"/>
  <c r="AV16" i="29"/>
  <c r="AV14" i="29" s="1"/>
  <c r="AV159" i="29" s="1"/>
  <c r="AV20" i="24"/>
  <c r="AV31" i="29" s="1"/>
  <c r="AV140" i="24"/>
  <c r="BA104" i="12"/>
  <c r="AV55" i="24" s="1"/>
  <c r="AV74" i="29" s="1"/>
  <c r="M67" i="10" l="1"/>
  <c r="AH132" i="24"/>
  <c r="AI132" i="24" s="1"/>
  <c r="AU156" i="24"/>
  <c r="AU116" i="24"/>
  <c r="AU113" i="24" s="1"/>
  <c r="AU46" i="29"/>
  <c r="AU44" i="29" s="1"/>
  <c r="AU135" i="29" s="1"/>
  <c r="AU132" i="29" s="1"/>
  <c r="AV29" i="24"/>
  <c r="AV25" i="24" s="1"/>
  <c r="Q75" i="25"/>
  <c r="Q76" i="25" s="1"/>
  <c r="T74" i="25"/>
  <c r="U74" i="25" s="1"/>
  <c r="AL277" i="12" s="1"/>
  <c r="R75" i="25"/>
  <c r="S75" i="25" s="1"/>
  <c r="AK264" i="12"/>
  <c r="AF61" i="24"/>
  <c r="AT113" i="24"/>
  <c r="AX49" i="25"/>
  <c r="AX38" i="25"/>
  <c r="AX32" i="25" s="1"/>
  <c r="AX11" i="24"/>
  <c r="AY48" i="25"/>
  <c r="M148" i="24"/>
  <c r="N148" i="24" s="1"/>
  <c r="AT94" i="12"/>
  <c r="AO51" i="24"/>
  <c r="AO52" i="24"/>
  <c r="AN61" i="29"/>
  <c r="AT17" i="12"/>
  <c r="AN189" i="24"/>
  <c r="AN34" i="24"/>
  <c r="AT38" i="29"/>
  <c r="AT135" i="29"/>
  <c r="AT132" i="29" s="1"/>
  <c r="AT29" i="29"/>
  <c r="AT175" i="29"/>
  <c r="AW20" i="24"/>
  <c r="AW31" i="29" s="1"/>
  <c r="AW140" i="24"/>
  <c r="AW16" i="29"/>
  <c r="AW14" i="29" s="1"/>
  <c r="AW159" i="29" s="1"/>
  <c r="BB104" i="12"/>
  <c r="AW55" i="24" s="1"/>
  <c r="AW74" i="29" s="1"/>
  <c r="M151" i="29"/>
  <c r="AA80" i="29"/>
  <c r="J167" i="29"/>
  <c r="AJ132" i="24" l="1"/>
  <c r="AK132" i="24" s="1"/>
  <c r="AL132" i="24" s="1"/>
  <c r="AM132" i="24" s="1"/>
  <c r="AN132" i="24" s="1"/>
  <c r="AO132" i="24" s="1"/>
  <c r="AP132" i="24" s="1"/>
  <c r="AQ132" i="24" s="1"/>
  <c r="AR132" i="24" s="1"/>
  <c r="AS132" i="24" s="1"/>
  <c r="AT132" i="24" s="1"/>
  <c r="AU132" i="24" s="1"/>
  <c r="AV132" i="24" s="1"/>
  <c r="AW132" i="24" s="1"/>
  <c r="AX132" i="24" s="1"/>
  <c r="AU38" i="29"/>
  <c r="AU175" i="29"/>
  <c r="AU29" i="29"/>
  <c r="AV46" i="29"/>
  <c r="AV44" i="29" s="1"/>
  <c r="AV175" i="29" s="1"/>
  <c r="AV116" i="24"/>
  <c r="AV113" i="24" s="1"/>
  <c r="R76" i="25"/>
  <c r="S76" i="25" s="1"/>
  <c r="T76" i="25" s="1"/>
  <c r="T75" i="25"/>
  <c r="AV156" i="24"/>
  <c r="AF80" i="29"/>
  <c r="AL264" i="12"/>
  <c r="AG61" i="24"/>
  <c r="R77" i="25"/>
  <c r="S77" i="25" s="1"/>
  <c r="Q77" i="25"/>
  <c r="U75" i="25"/>
  <c r="AN277" i="12" s="1"/>
  <c r="AT10" i="12"/>
  <c r="AO44" i="24"/>
  <c r="AU102" i="12"/>
  <c r="AP52" i="24" s="1"/>
  <c r="AP71" i="29" s="1"/>
  <c r="AU101" i="12"/>
  <c r="AX20" i="24"/>
  <c r="AX31" i="29" s="1"/>
  <c r="AX140" i="24"/>
  <c r="AX16" i="29"/>
  <c r="AX14" i="29" s="1"/>
  <c r="AX159" i="29" s="1"/>
  <c r="BC104" i="12"/>
  <c r="AX55" i="24" s="1"/>
  <c r="AX74" i="29" s="1"/>
  <c r="AN53" i="29"/>
  <c r="AN208" i="29"/>
  <c r="O148" i="24"/>
  <c r="AN59" i="29"/>
  <c r="AO71" i="29"/>
  <c r="N151" i="29"/>
  <c r="AW29" i="24"/>
  <c r="AO70" i="29"/>
  <c r="K167" i="29"/>
  <c r="AY38" i="25"/>
  <c r="AY32" i="25" s="1"/>
  <c r="AY49" i="25"/>
  <c r="AY11" i="24"/>
  <c r="AZ48" i="25"/>
  <c r="AN264" i="12" l="1"/>
  <c r="AI61" i="24"/>
  <c r="AI80" i="29" s="1"/>
  <c r="AV38" i="29"/>
  <c r="AV135" i="29"/>
  <c r="AV132" i="29" s="1"/>
  <c r="AV29" i="29"/>
  <c r="AX29" i="24"/>
  <c r="AX46" i="29" s="1"/>
  <c r="AX44" i="29" s="1"/>
  <c r="AY132" i="24"/>
  <c r="AZ132" i="24" s="1"/>
  <c r="BA132" i="24" s="1"/>
  <c r="BB132" i="24" s="1"/>
  <c r="BC132" i="24" s="1"/>
  <c r="BD132" i="24" s="1"/>
  <c r="BE132" i="24" s="1"/>
  <c r="BF132" i="24" s="1"/>
  <c r="BG132" i="24" s="1"/>
  <c r="BH132" i="24" s="1"/>
  <c r="BI132" i="24" s="1"/>
  <c r="T77" i="25"/>
  <c r="R78" i="25"/>
  <c r="S78" i="25" s="1"/>
  <c r="AG80" i="29"/>
  <c r="AM277" i="12"/>
  <c r="U113" i="25"/>
  <c r="Q78" i="25"/>
  <c r="P148" i="24"/>
  <c r="AZ38" i="25"/>
  <c r="AZ32" i="25" s="1"/>
  <c r="AZ49" i="25"/>
  <c r="AZ11" i="24"/>
  <c r="BA48" i="25"/>
  <c r="L167" i="29"/>
  <c r="O151" i="29"/>
  <c r="AO61" i="29"/>
  <c r="AO59" i="29" s="1"/>
  <c r="AO189" i="24"/>
  <c r="AU17" i="12"/>
  <c r="AO34" i="24"/>
  <c r="AW25" i="24"/>
  <c r="AW156" i="24"/>
  <c r="AW46" i="29"/>
  <c r="AW44" i="29" s="1"/>
  <c r="AW116" i="24"/>
  <c r="AW113" i="24" s="1"/>
  <c r="AY20" i="24"/>
  <c r="AY31" i="29" s="1"/>
  <c r="AY16" i="29"/>
  <c r="AY14" i="29" s="1"/>
  <c r="AY159" i="29" s="1"/>
  <c r="AY140" i="24"/>
  <c r="BD104" i="12"/>
  <c r="AY55" i="24" s="1"/>
  <c r="AY74" i="29" s="1"/>
  <c r="AU94" i="12"/>
  <c r="AP51" i="24"/>
  <c r="AX156" i="24" l="1"/>
  <c r="AX25" i="24"/>
  <c r="AX116" i="24"/>
  <c r="AX113" i="24" s="1"/>
  <c r="BJ132" i="24"/>
  <c r="BK132" i="24" s="1"/>
  <c r="BL132" i="24" s="1"/>
  <c r="BM132" i="24" s="1"/>
  <c r="E132" i="24" s="1"/>
  <c r="T78" i="25"/>
  <c r="R79" i="25"/>
  <c r="S79" i="25" s="1"/>
  <c r="I277" i="12"/>
  <c r="AH61" i="24"/>
  <c r="AM264" i="12"/>
  <c r="Q79" i="25"/>
  <c r="BA49" i="25"/>
  <c r="BA38" i="25"/>
  <c r="BA32" i="25" s="1"/>
  <c r="BA11" i="24"/>
  <c r="BB48" i="25"/>
  <c r="AZ20" i="24"/>
  <c r="AZ31" i="29" s="1"/>
  <c r="AZ140" i="24"/>
  <c r="AZ16" i="29"/>
  <c r="AZ14" i="29" s="1"/>
  <c r="AZ159" i="29" s="1"/>
  <c r="BE104" i="12"/>
  <c r="AZ55" i="24" s="1"/>
  <c r="AZ74" i="29" s="1"/>
  <c r="AX29" i="29"/>
  <c r="AX175" i="29"/>
  <c r="AX135" i="29"/>
  <c r="AX132" i="29" s="1"/>
  <c r="AX38" i="29"/>
  <c r="AO53" i="29"/>
  <c r="P151" i="29"/>
  <c r="AW38" i="29"/>
  <c r="AW29" i="29"/>
  <c r="AW135" i="29"/>
  <c r="AW132" i="29" s="1"/>
  <c r="AW175" i="29"/>
  <c r="M167" i="29"/>
  <c r="Q148" i="24"/>
  <c r="AP70" i="29"/>
  <c r="AU10" i="12"/>
  <c r="AP44" i="24"/>
  <c r="AV102" i="12"/>
  <c r="AQ52" i="24" s="1"/>
  <c r="AQ71" i="29" s="1"/>
  <c r="AV101" i="12"/>
  <c r="AY29" i="24"/>
  <c r="AO208" i="29"/>
  <c r="AZ29" i="24" l="1"/>
  <c r="AZ156" i="24" s="1"/>
  <c r="T79" i="25"/>
  <c r="I264" i="12"/>
  <c r="A277" i="12"/>
  <c r="R80" i="25"/>
  <c r="S80" i="25" s="1"/>
  <c r="E61" i="24"/>
  <c r="T91" i="10" s="1"/>
  <c r="AH80" i="29"/>
  <c r="Q80" i="25"/>
  <c r="R81" i="25" s="1"/>
  <c r="S81" i="25" s="1"/>
  <c r="AY156" i="24"/>
  <c r="AY25" i="24"/>
  <c r="AY46" i="29"/>
  <c r="AY44" i="29" s="1"/>
  <c r="AY116" i="24"/>
  <c r="AY113" i="24" s="1"/>
  <c r="R148" i="24"/>
  <c r="BB49" i="25"/>
  <c r="BB38" i="25"/>
  <c r="BB32" i="25" s="1"/>
  <c r="BB11" i="24"/>
  <c r="BC48" i="25"/>
  <c r="AV94" i="12"/>
  <c r="AQ51" i="24"/>
  <c r="BA20" i="24"/>
  <c r="BA31" i="29" s="1"/>
  <c r="BA140" i="24"/>
  <c r="BA16" i="29"/>
  <c r="BA14" i="29" s="1"/>
  <c r="BA159" i="29" s="1"/>
  <c r="BF104" i="12"/>
  <c r="BA55" i="24" s="1"/>
  <c r="BA74" i="29" s="1"/>
  <c r="AP61" i="29"/>
  <c r="AP59" i="29" s="1"/>
  <c r="AP189" i="24"/>
  <c r="AP34" i="24"/>
  <c r="AV17" i="12"/>
  <c r="N167" i="29"/>
  <c r="Q151" i="29"/>
  <c r="AZ25" i="24" l="1"/>
  <c r="AZ116" i="24"/>
  <c r="AZ113" i="24" s="1"/>
  <c r="AZ46" i="29"/>
  <c r="AZ44" i="29" s="1"/>
  <c r="AZ29" i="29" s="1"/>
  <c r="BA29" i="24"/>
  <c r="BA156" i="24" s="1"/>
  <c r="Q81" i="25"/>
  <c r="E80" i="29"/>
  <c r="R91" i="10" s="1"/>
  <c r="T80" i="25"/>
  <c r="A264" i="12"/>
  <c r="O167" i="29"/>
  <c r="AP53" i="29"/>
  <c r="AP208" i="29"/>
  <c r="AQ44" i="24"/>
  <c r="AV10" i="12"/>
  <c r="AW102" i="12"/>
  <c r="AR52" i="24" s="1"/>
  <c r="AR71" i="29" s="1"/>
  <c r="AW101" i="12"/>
  <c r="AQ70" i="29"/>
  <c r="AY38" i="29"/>
  <c r="AY135" i="29"/>
  <c r="AY132" i="29" s="1"/>
  <c r="AY29" i="29"/>
  <c r="AY175" i="29"/>
  <c r="BB140" i="24"/>
  <c r="BB16" i="29"/>
  <c r="BB14" i="29" s="1"/>
  <c r="BB159" i="29" s="1"/>
  <c r="BB20" i="24"/>
  <c r="BB31" i="29" s="1"/>
  <c r="BG104" i="12"/>
  <c r="BB55" i="24" s="1"/>
  <c r="BB74" i="29" s="1"/>
  <c r="BC49" i="25"/>
  <c r="BC38" i="25"/>
  <c r="BC32" i="25" s="1"/>
  <c r="BC11" i="24"/>
  <c r="BD48" i="25"/>
  <c r="R151" i="29"/>
  <c r="S148" i="24"/>
  <c r="AZ135" i="29" l="1"/>
  <c r="AZ132" i="29" s="1"/>
  <c r="AZ175" i="29"/>
  <c r="AZ38" i="29"/>
  <c r="BA46" i="29"/>
  <c r="BA44" i="29" s="1"/>
  <c r="BA29" i="29" s="1"/>
  <c r="BA25" i="24"/>
  <c r="BA116" i="24"/>
  <c r="BA113" i="24" s="1"/>
  <c r="J91" i="10"/>
  <c r="K91" i="10"/>
  <c r="H91" i="10" s="1"/>
  <c r="L91" i="10"/>
  <c r="R82" i="25"/>
  <c r="S82" i="25" s="1"/>
  <c r="Q82" i="25"/>
  <c r="R83" i="25" s="1"/>
  <c r="S83" i="25" s="1"/>
  <c r="T81" i="25"/>
  <c r="T148" i="24"/>
  <c r="S151" i="29"/>
  <c r="AQ61" i="29"/>
  <c r="AQ59" i="29" s="1"/>
  <c r="AQ189" i="24"/>
  <c r="AQ34" i="24"/>
  <c r="AW17" i="12"/>
  <c r="BD49" i="25"/>
  <c r="BD38" i="25"/>
  <c r="BD32" i="25" s="1"/>
  <c r="BD11" i="24"/>
  <c r="BE48" i="25"/>
  <c r="BC16" i="29"/>
  <c r="BC14" i="29" s="1"/>
  <c r="BC159" i="29" s="1"/>
  <c r="BC20" i="24"/>
  <c r="BC31" i="29" s="1"/>
  <c r="BC140" i="24"/>
  <c r="BH104" i="12"/>
  <c r="BC55" i="24" s="1"/>
  <c r="BC74" i="29" s="1"/>
  <c r="P167" i="29"/>
  <c r="BB29" i="24"/>
  <c r="AW94" i="12"/>
  <c r="AR51" i="24"/>
  <c r="BA135" i="29" l="1"/>
  <c r="BA132" i="29" s="1"/>
  <c r="BA175" i="29"/>
  <c r="BA38" i="29"/>
  <c r="M91" i="10"/>
  <c r="I91" i="10"/>
  <c r="BC29" i="24"/>
  <c r="BC156" i="24" s="1"/>
  <c r="Q83" i="25"/>
  <c r="T82" i="25"/>
  <c r="Q167" i="29"/>
  <c r="AR70" i="29"/>
  <c r="BB156" i="24"/>
  <c r="BB25" i="24"/>
  <c r="BB46" i="29"/>
  <c r="BB44" i="29" s="1"/>
  <c r="BB116" i="24"/>
  <c r="BB113" i="24" s="1"/>
  <c r="BE38" i="25"/>
  <c r="BE32" i="25" s="1"/>
  <c r="BE49" i="25"/>
  <c r="BE11" i="24"/>
  <c r="BF48" i="25"/>
  <c r="T151" i="29"/>
  <c r="BD20" i="24"/>
  <c r="BD31" i="29" s="1"/>
  <c r="BD16" i="29"/>
  <c r="BD14" i="29" s="1"/>
  <c r="BD159" i="29" s="1"/>
  <c r="BD140" i="24"/>
  <c r="BI104" i="12"/>
  <c r="BD55" i="24" s="1"/>
  <c r="BD74" i="29" s="1"/>
  <c r="AW10" i="12"/>
  <c r="AR44" i="24"/>
  <c r="AX102" i="12"/>
  <c r="AS52" i="24" s="1"/>
  <c r="AS71" i="29" s="1"/>
  <c r="AX101" i="12"/>
  <c r="AQ53" i="29"/>
  <c r="U148" i="24"/>
  <c r="AQ208" i="29"/>
  <c r="BC46" i="29" l="1"/>
  <c r="BC44" i="29" s="1"/>
  <c r="BC38" i="29" s="1"/>
  <c r="BC25" i="24"/>
  <c r="BC116" i="24"/>
  <c r="BC113" i="24" s="1"/>
  <c r="BD29" i="24"/>
  <c r="BD25" i="24" s="1"/>
  <c r="T83" i="25"/>
  <c r="Q84" i="25"/>
  <c r="R85" i="25" s="1"/>
  <c r="S85" i="25" s="1"/>
  <c r="R84" i="25"/>
  <c r="S84" i="25" s="1"/>
  <c r="U151" i="29"/>
  <c r="BF49" i="25"/>
  <c r="BF38" i="25"/>
  <c r="BF32" i="25" s="1"/>
  <c r="BF11" i="24"/>
  <c r="BG48" i="25"/>
  <c r="AX94" i="12"/>
  <c r="AS51" i="24"/>
  <c r="BE140" i="24"/>
  <c r="BE20" i="24"/>
  <c r="BE31" i="29" s="1"/>
  <c r="BE16" i="29"/>
  <c r="BE14" i="29" s="1"/>
  <c r="BE159" i="29" s="1"/>
  <c r="BJ104" i="12"/>
  <c r="BE55" i="24" s="1"/>
  <c r="BE74" i="29" s="1"/>
  <c r="R167" i="29"/>
  <c r="BB135" i="29"/>
  <c r="BB132" i="29" s="1"/>
  <c r="BB38" i="29"/>
  <c r="BB29" i="29"/>
  <c r="BB175" i="29"/>
  <c r="AR61" i="29"/>
  <c r="AR59" i="29" s="1"/>
  <c r="AR189" i="24"/>
  <c r="AR34" i="24"/>
  <c r="AX17" i="12"/>
  <c r="V148" i="24"/>
  <c r="BC135" i="29" l="1"/>
  <c r="BC132" i="29" s="1"/>
  <c r="BC29" i="29"/>
  <c r="BC175" i="29"/>
  <c r="BD116" i="24"/>
  <c r="BD113" i="24" s="1"/>
  <c r="BD156" i="24"/>
  <c r="BD46" i="29"/>
  <c r="BD44" i="29" s="1"/>
  <c r="BD38" i="29" s="1"/>
  <c r="BE29" i="24"/>
  <c r="BE46" i="29" s="1"/>
  <c r="BE44" i="29" s="1"/>
  <c r="T84" i="25"/>
  <c r="Q85" i="25"/>
  <c r="Q86" i="25" s="1"/>
  <c r="R87" i="25" s="1"/>
  <c r="S87" i="25" s="1"/>
  <c r="BG49" i="25"/>
  <c r="BG38" i="25"/>
  <c r="BG32" i="25" s="1"/>
  <c r="BG11" i="24"/>
  <c r="BH48" i="25"/>
  <c r="BF20" i="24"/>
  <c r="BF31" i="29" s="1"/>
  <c r="BF140" i="24"/>
  <c r="BF16" i="29"/>
  <c r="BF14" i="29" s="1"/>
  <c r="BF159" i="29" s="1"/>
  <c r="BK104" i="12"/>
  <c r="BF55" i="24" s="1"/>
  <c r="BF74" i="29" s="1"/>
  <c r="W148" i="24"/>
  <c r="V151" i="29"/>
  <c r="S167" i="29"/>
  <c r="AR53" i="29"/>
  <c r="AX10" i="12"/>
  <c r="AS44" i="24"/>
  <c r="AY102" i="12"/>
  <c r="AT52" i="24" s="1"/>
  <c r="AT71" i="29" s="1"/>
  <c r="AY101" i="12"/>
  <c r="AR208" i="29"/>
  <c r="AS70" i="29"/>
  <c r="BD135" i="29" l="1"/>
  <c r="BD132" i="29" s="1"/>
  <c r="BD175" i="29"/>
  <c r="BD29" i="29"/>
  <c r="BE156" i="24"/>
  <c r="BE25" i="24"/>
  <c r="BE116" i="24"/>
  <c r="BE113" i="24" s="1"/>
  <c r="BF29" i="24"/>
  <c r="BF116" i="24" s="1"/>
  <c r="BF113" i="24" s="1"/>
  <c r="T85" i="25"/>
  <c r="R86" i="25"/>
  <c r="S86" i="25" s="1"/>
  <c r="T86" i="25" s="1"/>
  <c r="Q87" i="25"/>
  <c r="R88" i="25" s="1"/>
  <c r="S88" i="25" s="1"/>
  <c r="X148" i="24"/>
  <c r="BG16" i="29"/>
  <c r="BG14" i="29" s="1"/>
  <c r="BG159" i="29" s="1"/>
  <c r="BG140" i="24"/>
  <c r="BG20" i="24"/>
  <c r="BG31" i="29" s="1"/>
  <c r="BL104" i="12"/>
  <c r="BG55" i="24" s="1"/>
  <c r="BG74" i="29" s="1"/>
  <c r="BE135" i="29"/>
  <c r="BE132" i="29" s="1"/>
  <c r="BE38" i="29"/>
  <c r="BE175" i="29"/>
  <c r="BE29" i="29"/>
  <c r="T167" i="29"/>
  <c r="BH49" i="25"/>
  <c r="BH38" i="25"/>
  <c r="BH32" i="25" s="1"/>
  <c r="BH11" i="24"/>
  <c r="BI48" i="25"/>
  <c r="AY94" i="12"/>
  <c r="AT51" i="24"/>
  <c r="AS61" i="29"/>
  <c r="AS59" i="29" s="1"/>
  <c r="AS189" i="24"/>
  <c r="AS34" i="24"/>
  <c r="AY17" i="12"/>
  <c r="W151" i="29"/>
  <c r="BF25" i="24" l="1"/>
  <c r="BF156" i="24"/>
  <c r="BF46" i="29"/>
  <c r="BF44" i="29" s="1"/>
  <c r="BF175" i="29" s="1"/>
  <c r="BG29" i="24"/>
  <c r="BG116" i="24" s="1"/>
  <c r="BG113" i="24" s="1"/>
  <c r="Q88" i="25"/>
  <c r="T88" i="25" s="1"/>
  <c r="T87" i="25"/>
  <c r="BH16" i="29"/>
  <c r="BH14" i="29" s="1"/>
  <c r="BH159" i="29" s="1"/>
  <c r="BH140" i="24"/>
  <c r="BH20" i="24"/>
  <c r="BH31" i="29" s="1"/>
  <c r="BM104" i="12"/>
  <c r="BH55" i="24" s="1"/>
  <c r="BH74" i="29" s="1"/>
  <c r="AS208" i="29"/>
  <c r="AT70" i="29"/>
  <c r="AT44" i="24"/>
  <c r="AY10" i="12"/>
  <c r="AZ102" i="12"/>
  <c r="AU52" i="24" s="1"/>
  <c r="AU71" i="29" s="1"/>
  <c r="AZ101" i="12"/>
  <c r="Y148" i="24"/>
  <c r="BI49" i="25"/>
  <c r="BI38" i="25"/>
  <c r="BI32" i="25" s="1"/>
  <c r="BI11" i="24"/>
  <c r="BJ48" i="25"/>
  <c r="U167" i="29"/>
  <c r="X151" i="29"/>
  <c r="AS53" i="29"/>
  <c r="BF38" i="29" l="1"/>
  <c r="BF29" i="29"/>
  <c r="BF135" i="29"/>
  <c r="BF132" i="29" s="1"/>
  <c r="Q89" i="25"/>
  <c r="R90" i="25" s="1"/>
  <c r="S90" i="25" s="1"/>
  <c r="BG25" i="24"/>
  <c r="BG46" i="29"/>
  <c r="BG44" i="29" s="1"/>
  <c r="BG29" i="29" s="1"/>
  <c r="BG156" i="24"/>
  <c r="R89" i="25"/>
  <c r="S89" i="25" s="1"/>
  <c r="BH29" i="24"/>
  <c r="BH46" i="29" s="1"/>
  <c r="BH44" i="29" s="1"/>
  <c r="AT61" i="29"/>
  <c r="AT59" i="29" s="1"/>
  <c r="AT34" i="24"/>
  <c r="AT189" i="24"/>
  <c r="AZ17" i="12"/>
  <c r="Y151" i="29"/>
  <c r="AZ94" i="12"/>
  <c r="AU51" i="24"/>
  <c r="V167" i="29"/>
  <c r="BJ49" i="25"/>
  <c r="BJ38" i="25"/>
  <c r="BJ32" i="25" s="1"/>
  <c r="BJ11" i="24"/>
  <c r="BK48" i="25"/>
  <c r="Z148" i="24"/>
  <c r="BI140" i="24"/>
  <c r="BI16" i="29"/>
  <c r="BI14" i="29" s="1"/>
  <c r="BI159" i="29" s="1"/>
  <c r="BI20" i="24"/>
  <c r="BI31" i="29" s="1"/>
  <c r="BN104" i="12"/>
  <c r="BI55" i="24" s="1"/>
  <c r="BI74" i="29" s="1"/>
  <c r="BG38" i="29" l="1"/>
  <c r="BG175" i="29"/>
  <c r="T89" i="25"/>
  <c r="BH25" i="24"/>
  <c r="BG135" i="29"/>
  <c r="BG132" i="29" s="1"/>
  <c r="Q90" i="25"/>
  <c r="Q91" i="25" s="1"/>
  <c r="BH156" i="24"/>
  <c r="BH116" i="24"/>
  <c r="BH113" i="24" s="1"/>
  <c r="BI29" i="24"/>
  <c r="BI25" i="24" s="1"/>
  <c r="BJ16" i="29"/>
  <c r="BJ14" i="29" s="1"/>
  <c r="BJ159" i="29" s="1"/>
  <c r="BJ20" i="24"/>
  <c r="BJ31" i="29" s="1"/>
  <c r="BJ140" i="24"/>
  <c r="BO104" i="12"/>
  <c r="BJ55" i="24" s="1"/>
  <c r="BJ74" i="29" s="1"/>
  <c r="AU70" i="29"/>
  <c r="BH175" i="29"/>
  <c r="BH29" i="29"/>
  <c r="BH135" i="29"/>
  <c r="BH132" i="29" s="1"/>
  <c r="BH38" i="29"/>
  <c r="AZ10" i="12"/>
  <c r="AU44" i="24"/>
  <c r="BA101" i="12"/>
  <c r="BA102" i="12"/>
  <c r="AV52" i="24" s="1"/>
  <c r="AV71" i="29" s="1"/>
  <c r="AA148" i="24"/>
  <c r="AT208" i="29"/>
  <c r="Z151" i="29"/>
  <c r="BK38" i="25"/>
  <c r="BK32" i="25" s="1"/>
  <c r="BK49" i="25"/>
  <c r="BK11" i="24"/>
  <c r="BL48" i="25"/>
  <c r="W167" i="29"/>
  <c r="AT53" i="29"/>
  <c r="T90" i="25" l="1"/>
  <c r="R91" i="25"/>
  <c r="S91" i="25" s="1"/>
  <c r="T91" i="25" s="1"/>
  <c r="BI116" i="24"/>
  <c r="BI113" i="24" s="1"/>
  <c r="BJ29" i="24"/>
  <c r="BJ116" i="24" s="1"/>
  <c r="BJ113" i="24" s="1"/>
  <c r="BI46" i="29"/>
  <c r="BI44" i="29" s="1"/>
  <c r="BI175" i="29" s="1"/>
  <c r="BI156" i="24"/>
  <c r="BL38" i="25"/>
  <c r="BL32" i="25" s="1"/>
  <c r="BL49" i="25"/>
  <c r="BL11" i="24"/>
  <c r="BM48" i="25"/>
  <c r="AB148" i="24"/>
  <c r="AA151" i="29"/>
  <c r="X167" i="29"/>
  <c r="BA94" i="12"/>
  <c r="AV51" i="24"/>
  <c r="AU61" i="29"/>
  <c r="AU59" i="29" s="1"/>
  <c r="AU189" i="24"/>
  <c r="AU34" i="24"/>
  <c r="BA17" i="12"/>
  <c r="BK20" i="24"/>
  <c r="BK31" i="29" s="1"/>
  <c r="BK140" i="24"/>
  <c r="BK16" i="29"/>
  <c r="BK14" i="29" s="1"/>
  <c r="BK159" i="29" s="1"/>
  <c r="BP104" i="12"/>
  <c r="BK55" i="24" s="1"/>
  <c r="BK74" i="29" s="1"/>
  <c r="R92" i="25"/>
  <c r="S92" i="25" s="1"/>
  <c r="Q92" i="25"/>
  <c r="BJ46" i="29" l="1"/>
  <c r="BJ44" i="29" s="1"/>
  <c r="BJ175" i="29" s="1"/>
  <c r="BI135" i="29"/>
  <c r="BI132" i="29" s="1"/>
  <c r="BI38" i="29"/>
  <c r="BJ25" i="24"/>
  <c r="BJ156" i="24"/>
  <c r="BI29" i="29"/>
  <c r="T92" i="25"/>
  <c r="R93" i="25"/>
  <c r="S93" i="25" s="1"/>
  <c r="Q93" i="25"/>
  <c r="AC148" i="24"/>
  <c r="AU53" i="29"/>
  <c r="AU208" i="29"/>
  <c r="AB151" i="29"/>
  <c r="BK29" i="24"/>
  <c r="AV70" i="29"/>
  <c r="Y167" i="29"/>
  <c r="BM49" i="25"/>
  <c r="BM38" i="25"/>
  <c r="BM32" i="25" s="1"/>
  <c r="D32" i="25" s="1"/>
  <c r="I49" i="12" s="1"/>
  <c r="BM11" i="24"/>
  <c r="AN104" i="12" s="1"/>
  <c r="AV44" i="24"/>
  <c r="BA10" i="12"/>
  <c r="BB101" i="12"/>
  <c r="BB102" i="12"/>
  <c r="AW52" i="24" s="1"/>
  <c r="AW71" i="29" s="1"/>
  <c r="BL16" i="29"/>
  <c r="BL14" i="29" s="1"/>
  <c r="BL159" i="29" s="1"/>
  <c r="BL20" i="24"/>
  <c r="BL31" i="29" s="1"/>
  <c r="BL140" i="24"/>
  <c r="BQ104" i="12"/>
  <c r="BL55" i="24" s="1"/>
  <c r="BL74" i="29" s="1"/>
  <c r="AI55" i="24" l="1"/>
  <c r="AI74" i="29" s="1"/>
  <c r="AN94" i="12"/>
  <c r="BJ135" i="29"/>
  <c r="BJ132" i="29" s="1"/>
  <c r="BJ29" i="29"/>
  <c r="BJ38" i="29"/>
  <c r="Z167" i="29"/>
  <c r="AD148" i="24"/>
  <c r="BM140" i="24"/>
  <c r="E140" i="24" s="1"/>
  <c r="BM16" i="29"/>
  <c r="BM20" i="24"/>
  <c r="BM31" i="29" s="1"/>
  <c r="BR104" i="12"/>
  <c r="BM55" i="24" s="1"/>
  <c r="BM74" i="29" s="1"/>
  <c r="E11" i="24"/>
  <c r="AS66" i="25"/>
  <c r="AM104" i="12"/>
  <c r="BP49" i="12"/>
  <c r="V49" i="12"/>
  <c r="I46" i="12"/>
  <c r="BQ49" i="12"/>
  <c r="BR49" i="12"/>
  <c r="U49" i="12"/>
  <c r="AA49" i="12"/>
  <c r="AB49" i="12"/>
  <c r="T49" i="12"/>
  <c r="AC49" i="12"/>
  <c r="AH49" i="12"/>
  <c r="Y49" i="12"/>
  <c r="AG49" i="12"/>
  <c r="AD49" i="12"/>
  <c r="AK49" i="12"/>
  <c r="X49" i="12"/>
  <c r="AF49" i="12"/>
  <c r="Z49" i="12"/>
  <c r="W49" i="12"/>
  <c r="AM49" i="12"/>
  <c r="AL49" i="12"/>
  <c r="AI49" i="12"/>
  <c r="AW49" i="12"/>
  <c r="AO49" i="12"/>
  <c r="AE49" i="12"/>
  <c r="AJ49" i="12"/>
  <c r="BD49" i="12"/>
  <c r="AU49" i="12"/>
  <c r="BA49" i="12"/>
  <c r="BB49" i="12"/>
  <c r="AX49" i="12"/>
  <c r="AS49" i="12"/>
  <c r="AT49" i="12"/>
  <c r="AP49" i="12"/>
  <c r="AQ49" i="12"/>
  <c r="AZ49" i="12"/>
  <c r="AN49" i="12"/>
  <c r="BC49" i="12"/>
  <c r="AV49" i="12"/>
  <c r="AR49" i="12"/>
  <c r="AY49" i="12"/>
  <c r="BO49" i="12"/>
  <c r="S49" i="12"/>
  <c r="BF49" i="12"/>
  <c r="BI49" i="12"/>
  <c r="BH49" i="12"/>
  <c r="BM49" i="12"/>
  <c r="BJ49" i="12"/>
  <c r="BK49" i="12"/>
  <c r="BG49" i="12"/>
  <c r="BE49" i="12"/>
  <c r="BL49" i="12"/>
  <c r="BN49" i="12"/>
  <c r="BK25" i="24"/>
  <c r="BK46" i="29"/>
  <c r="BK44" i="29" s="1"/>
  <c r="BK156" i="24"/>
  <c r="BK116" i="24"/>
  <c r="BK113" i="24" s="1"/>
  <c r="BB94" i="12"/>
  <c r="AW51" i="24"/>
  <c r="AC151" i="29"/>
  <c r="T93" i="25"/>
  <c r="Q94" i="25"/>
  <c r="R94" i="25"/>
  <c r="S94" i="25" s="1"/>
  <c r="BL29" i="24"/>
  <c r="AV61" i="29"/>
  <c r="AV59" i="29" s="1"/>
  <c r="AV189" i="24"/>
  <c r="AV34" i="24"/>
  <c r="BB17" i="12"/>
  <c r="BM29" i="24" l="1"/>
  <c r="BM46" i="29" s="1"/>
  <c r="BK38" i="29"/>
  <c r="BK135" i="29"/>
  <c r="BK132" i="29" s="1"/>
  <c r="BK175" i="29"/>
  <c r="BK29" i="29"/>
  <c r="AS56" i="24"/>
  <c r="AS75" i="29" s="1"/>
  <c r="AX46" i="12"/>
  <c r="V56" i="24"/>
  <c r="V75" i="29" s="1"/>
  <c r="AA46" i="12"/>
  <c r="AW44" i="24"/>
  <c r="BB10" i="12"/>
  <c r="BC101" i="12"/>
  <c r="BC102" i="12"/>
  <c r="AX52" i="24" s="1"/>
  <c r="AX71" i="29" s="1"/>
  <c r="BC56" i="24"/>
  <c r="BC75" i="29" s="1"/>
  <c r="BH46" i="12"/>
  <c r="AV53" i="29"/>
  <c r="BI56" i="24"/>
  <c r="BI75" i="29" s="1"/>
  <c r="BN46" i="12"/>
  <c r="T94" i="25"/>
  <c r="R95" i="25"/>
  <c r="S95" i="25" s="1"/>
  <c r="Q95" i="25"/>
  <c r="BE56" i="24"/>
  <c r="BE75" i="29" s="1"/>
  <c r="BJ46" i="12"/>
  <c r="AM56" i="24"/>
  <c r="AM75" i="29" s="1"/>
  <c r="AR46" i="12"/>
  <c r="AN56" i="24"/>
  <c r="AN75" i="29" s="1"/>
  <c r="AS46" i="12"/>
  <c r="AJ56" i="24"/>
  <c r="AJ75" i="29" s="1"/>
  <c r="AO46" i="12"/>
  <c r="S56" i="24"/>
  <c r="S75" i="29" s="1"/>
  <c r="X46" i="12"/>
  <c r="W56" i="24"/>
  <c r="W75" i="29" s="1"/>
  <c r="AB46" i="12"/>
  <c r="AE148" i="24"/>
  <c r="AQ56" i="24"/>
  <c r="AQ75" i="29" s="1"/>
  <c r="AV46" i="12"/>
  <c r="AB56" i="24"/>
  <c r="AB75" i="29" s="1"/>
  <c r="AG46" i="12"/>
  <c r="BM156" i="24"/>
  <c r="BM25" i="24"/>
  <c r="BM116" i="24"/>
  <c r="I104" i="12"/>
  <c r="A104" i="12" s="1"/>
  <c r="AM94" i="12"/>
  <c r="AH55" i="24"/>
  <c r="AW56" i="24"/>
  <c r="AW75" i="29" s="1"/>
  <c r="BB46" i="12"/>
  <c r="AD56" i="24"/>
  <c r="AD75" i="29" s="1"/>
  <c r="AI46" i="12"/>
  <c r="P56" i="24"/>
  <c r="P75" i="29" s="1"/>
  <c r="U46" i="12"/>
  <c r="T56" i="24"/>
  <c r="T75" i="29" s="1"/>
  <c r="Y46" i="12"/>
  <c r="AZ56" i="24"/>
  <c r="AZ75" i="29" s="1"/>
  <c r="BE46" i="12"/>
  <c r="S46" i="12"/>
  <c r="N56" i="24"/>
  <c r="AL56" i="24"/>
  <c r="AL75" i="29" s="1"/>
  <c r="AQ46" i="12"/>
  <c r="AY56" i="24"/>
  <c r="AY75" i="29" s="1"/>
  <c r="BD46" i="12"/>
  <c r="R56" i="24"/>
  <c r="R75" i="29" s="1"/>
  <c r="W46" i="12"/>
  <c r="AC56" i="24"/>
  <c r="AC75" i="29" s="1"/>
  <c r="AH46" i="12"/>
  <c r="BH56" i="24"/>
  <c r="BH75" i="29" s="1"/>
  <c r="BM46" i="12"/>
  <c r="AF56" i="24"/>
  <c r="AF75" i="29" s="1"/>
  <c r="AK46" i="12"/>
  <c r="AD151" i="29"/>
  <c r="AX56" i="24"/>
  <c r="AX75" i="29" s="1"/>
  <c r="BC46" i="12"/>
  <c r="Y56" i="24"/>
  <c r="Y75" i="29" s="1"/>
  <c r="AD46" i="12"/>
  <c r="BD56" i="24"/>
  <c r="BD75" i="29" s="1"/>
  <c r="BI46" i="12"/>
  <c r="AI56" i="24"/>
  <c r="AI75" i="29" s="1"/>
  <c r="AN46" i="12"/>
  <c r="AV56" i="24"/>
  <c r="AV75" i="29" s="1"/>
  <c r="BA46" i="12"/>
  <c r="AG56" i="24"/>
  <c r="AG75" i="29" s="1"/>
  <c r="AL46" i="12"/>
  <c r="BR46" i="12"/>
  <c r="BM56" i="24"/>
  <c r="BM75" i="29" s="1"/>
  <c r="AV208" i="29"/>
  <c r="BG56" i="24"/>
  <c r="BG75" i="29" s="1"/>
  <c r="BL46" i="12"/>
  <c r="AU56" i="24"/>
  <c r="AU75" i="29" s="1"/>
  <c r="AZ46" i="12"/>
  <c r="AH56" i="24"/>
  <c r="AH75" i="29" s="1"/>
  <c r="AM46" i="12"/>
  <c r="BJ56" i="24"/>
  <c r="BJ75" i="29" s="1"/>
  <c r="BO46" i="12"/>
  <c r="X56" i="24"/>
  <c r="X75" i="29" s="1"/>
  <c r="AC46" i="12"/>
  <c r="AA167" i="29"/>
  <c r="AR56" i="24"/>
  <c r="AR75" i="29" s="1"/>
  <c r="AW46" i="12"/>
  <c r="AT66" i="25"/>
  <c r="AT87" i="25" s="1"/>
  <c r="AW70" i="29"/>
  <c r="BA56" i="24"/>
  <c r="BA75" i="29" s="1"/>
  <c r="BF46" i="12"/>
  <c r="AP56" i="24"/>
  <c r="AP75" i="29" s="1"/>
  <c r="AU46" i="12"/>
  <c r="BQ46" i="12"/>
  <c r="BL56" i="24"/>
  <c r="BL75" i="29" s="1"/>
  <c r="BL25" i="24"/>
  <c r="BL156" i="24"/>
  <c r="BL46" i="29"/>
  <c r="BL44" i="29" s="1"/>
  <c r="BL116" i="24"/>
  <c r="BL113" i="24" s="1"/>
  <c r="BB56" i="24"/>
  <c r="BB75" i="29" s="1"/>
  <c r="BG46" i="12"/>
  <c r="AK56" i="24"/>
  <c r="AK75" i="29" s="1"/>
  <c r="AP46" i="12"/>
  <c r="AE56" i="24"/>
  <c r="AE75" i="29" s="1"/>
  <c r="AJ46" i="12"/>
  <c r="U56" i="24"/>
  <c r="U75" i="29" s="1"/>
  <c r="Z46" i="12"/>
  <c r="Q56" i="24"/>
  <c r="Q75" i="29" s="1"/>
  <c r="V46" i="12"/>
  <c r="BF56" i="24"/>
  <c r="BF75" i="29" s="1"/>
  <c r="BK46" i="12"/>
  <c r="AT56" i="24"/>
  <c r="AT75" i="29" s="1"/>
  <c r="AY46" i="12"/>
  <c r="AO56" i="24"/>
  <c r="AO75" i="29" s="1"/>
  <c r="AT46" i="12"/>
  <c r="Z56" i="24"/>
  <c r="Z75" i="29" s="1"/>
  <c r="AE46" i="12"/>
  <c r="AA56" i="24"/>
  <c r="AA75" i="29" s="1"/>
  <c r="AF46" i="12"/>
  <c r="O56" i="24"/>
  <c r="O75" i="29" s="1"/>
  <c r="T46" i="12"/>
  <c r="BP46" i="12"/>
  <c r="BK56" i="24"/>
  <c r="BK75" i="29" s="1"/>
  <c r="BM14" i="29"/>
  <c r="E16" i="29"/>
  <c r="E29" i="24" l="1"/>
  <c r="S11" i="23" s="1"/>
  <c r="E156" i="24"/>
  <c r="AT90" i="25"/>
  <c r="AT91" i="25"/>
  <c r="AS90" i="25"/>
  <c r="AU66" i="25"/>
  <c r="AH74" i="29"/>
  <c r="E74" i="29" s="1"/>
  <c r="E55" i="24"/>
  <c r="J51" i="23" s="1"/>
  <c r="BL29" i="29"/>
  <c r="BL175" i="29"/>
  <c r="BL135" i="29"/>
  <c r="BL132" i="29" s="1"/>
  <c r="BL38" i="29"/>
  <c r="BM159" i="29"/>
  <c r="E159" i="29" s="1"/>
  <c r="E14" i="29"/>
  <c r="E25" i="24"/>
  <c r="AT89" i="25"/>
  <c r="AS91" i="25"/>
  <c r="AS88" i="25"/>
  <c r="T95" i="25"/>
  <c r="R96" i="25"/>
  <c r="S96" i="25" s="1"/>
  <c r="Q96" i="25"/>
  <c r="AS89" i="25"/>
  <c r="AB167" i="29"/>
  <c r="A46" i="12"/>
  <c r="E20" i="24"/>
  <c r="AF148" i="24"/>
  <c r="BC94" i="12"/>
  <c r="AX51" i="24"/>
  <c r="AE151" i="29"/>
  <c r="N75" i="29"/>
  <c r="E75" i="29" s="1"/>
  <c r="R79" i="10" s="1"/>
  <c r="E56" i="24"/>
  <c r="BM44" i="29"/>
  <c r="E46" i="29"/>
  <c r="E31" i="29" s="1"/>
  <c r="AS87" i="25"/>
  <c r="BM113" i="24"/>
  <c r="E113" i="24" s="1"/>
  <c r="E116" i="24"/>
  <c r="A116" i="24" s="1"/>
  <c r="AT88" i="25"/>
  <c r="AW61" i="29"/>
  <c r="AW59" i="29" s="1"/>
  <c r="AW34" i="24"/>
  <c r="AW189" i="24"/>
  <c r="BC17" i="12"/>
  <c r="J79" i="10" l="1"/>
  <c r="K79" i="10"/>
  <c r="H79" i="10" s="1"/>
  <c r="BL124" i="24"/>
  <c r="AD124" i="24"/>
  <c r="AA124" i="24"/>
  <c r="Z124" i="24"/>
  <c r="I124" i="24"/>
  <c r="BK124" i="24"/>
  <c r="AN124" i="24"/>
  <c r="BE124" i="24"/>
  <c r="G124" i="24"/>
  <c r="AT124" i="24"/>
  <c r="F124" i="24"/>
  <c r="X124" i="24"/>
  <c r="T124" i="24"/>
  <c r="BM124" i="24"/>
  <c r="AV124" i="24"/>
  <c r="BH124" i="24"/>
  <c r="BC124" i="24"/>
  <c r="BF124" i="24"/>
  <c r="Y124" i="24"/>
  <c r="P124" i="24"/>
  <c r="AI124" i="24"/>
  <c r="M124" i="24"/>
  <c r="K124" i="24"/>
  <c r="AR124" i="24"/>
  <c r="O124" i="24"/>
  <c r="AU124" i="24"/>
  <c r="Q124" i="24"/>
  <c r="BG124" i="24"/>
  <c r="AM124" i="24"/>
  <c r="W124" i="24"/>
  <c r="AK124" i="24"/>
  <c r="AH124" i="24"/>
  <c r="AW124" i="24"/>
  <c r="AX124" i="24"/>
  <c r="V124" i="24"/>
  <c r="N124" i="24"/>
  <c r="BI124" i="24"/>
  <c r="AE124" i="24"/>
  <c r="AF124" i="24"/>
  <c r="H124" i="24"/>
  <c r="U124" i="24"/>
  <c r="AG124" i="24"/>
  <c r="AY124" i="24"/>
  <c r="AJ124" i="24"/>
  <c r="AZ124" i="24"/>
  <c r="BE123" i="24"/>
  <c r="L124" i="24"/>
  <c r="AL124" i="24"/>
  <c r="AS124" i="24"/>
  <c r="AO124" i="24"/>
  <c r="AC124" i="24"/>
  <c r="BJ124" i="24"/>
  <c r="BB124" i="24"/>
  <c r="BD124" i="24"/>
  <c r="BJ123" i="24"/>
  <c r="Y123" i="24"/>
  <c r="AJ123" i="24"/>
  <c r="U123" i="24"/>
  <c r="BB123" i="24"/>
  <c r="AG123" i="24"/>
  <c r="AW123" i="24"/>
  <c r="AL123" i="24"/>
  <c r="L122" i="24"/>
  <c r="AS122" i="24"/>
  <c r="Y122" i="24"/>
  <c r="AP122" i="24"/>
  <c r="X122" i="24"/>
  <c r="J122" i="24"/>
  <c r="Q122" i="24"/>
  <c r="AT122" i="24"/>
  <c r="AV122" i="24"/>
  <c r="BK122" i="24"/>
  <c r="P122" i="24"/>
  <c r="AZ122" i="24"/>
  <c r="AY122" i="24"/>
  <c r="AK122" i="24"/>
  <c r="AM122" i="24"/>
  <c r="BE122" i="24"/>
  <c r="AQ122" i="24"/>
  <c r="I122" i="24"/>
  <c r="AC122" i="24"/>
  <c r="U122" i="24"/>
  <c r="N122" i="24"/>
  <c r="BI122" i="24"/>
  <c r="W122" i="24"/>
  <c r="AN122" i="24"/>
  <c r="AB122" i="24"/>
  <c r="R122" i="24"/>
  <c r="AA122" i="24"/>
  <c r="BA122" i="24"/>
  <c r="AG122" i="24"/>
  <c r="AJ122" i="24"/>
  <c r="AR122" i="24"/>
  <c r="F122" i="24"/>
  <c r="M122" i="24"/>
  <c r="Z122" i="24"/>
  <c r="AF122" i="24"/>
  <c r="AE122" i="24"/>
  <c r="T122" i="24"/>
  <c r="H122" i="24"/>
  <c r="AW122" i="24"/>
  <c r="BL122" i="24"/>
  <c r="BD122" i="24"/>
  <c r="O122" i="24"/>
  <c r="AI122" i="24"/>
  <c r="BM122" i="24"/>
  <c r="V122" i="24"/>
  <c r="AL122" i="24"/>
  <c r="AU122" i="24"/>
  <c r="K122" i="24"/>
  <c r="AH122" i="24"/>
  <c r="AX122" i="24"/>
  <c r="BJ122" i="24"/>
  <c r="S122" i="24"/>
  <c r="G122" i="24"/>
  <c r="AD122" i="24"/>
  <c r="BB122" i="24"/>
  <c r="BH122" i="24"/>
  <c r="AO122" i="24"/>
  <c r="BG122" i="24"/>
  <c r="BC122" i="24"/>
  <c r="BF122" i="24"/>
  <c r="AC123" i="24"/>
  <c r="BL123" i="24"/>
  <c r="BC123" i="24"/>
  <c r="BA123" i="24"/>
  <c r="AH123" i="24"/>
  <c r="BD123" i="24"/>
  <c r="X123" i="24"/>
  <c r="AX123" i="24"/>
  <c r="W123" i="24"/>
  <c r="J123" i="24"/>
  <c r="S123" i="24"/>
  <c r="BG123" i="24"/>
  <c r="V123" i="24"/>
  <c r="M123" i="24"/>
  <c r="AW208" i="29"/>
  <c r="S18" i="23"/>
  <c r="T11" i="23" s="1"/>
  <c r="S11" i="21"/>
  <c r="T96" i="25"/>
  <c r="R97" i="25"/>
  <c r="S97" i="25" s="1"/>
  <c r="Q97" i="25"/>
  <c r="AP123" i="24"/>
  <c r="N123" i="24"/>
  <c r="BM123" i="24"/>
  <c r="AK123" i="24"/>
  <c r="AR123" i="24"/>
  <c r="AV123" i="24"/>
  <c r="P123" i="24"/>
  <c r="BF123" i="24"/>
  <c r="AQ123" i="24"/>
  <c r="BI123" i="24"/>
  <c r="AS123" i="24"/>
  <c r="BH123" i="24"/>
  <c r="AI123" i="24"/>
  <c r="AZ123" i="24"/>
  <c r="AW53" i="29"/>
  <c r="BK123" i="24"/>
  <c r="G123" i="24"/>
  <c r="Z123" i="24"/>
  <c r="AN123" i="24"/>
  <c r="L123" i="24"/>
  <c r="AT123" i="24"/>
  <c r="K123" i="24"/>
  <c r="H51" i="23"/>
  <c r="J51" i="21"/>
  <c r="I51" i="23"/>
  <c r="AF151" i="29"/>
  <c r="L121" i="24"/>
  <c r="AX121" i="24"/>
  <c r="AS121" i="24"/>
  <c r="AZ121" i="24"/>
  <c r="BM121" i="24"/>
  <c r="BF121" i="24"/>
  <c r="BE121" i="24"/>
  <c r="AR121" i="24"/>
  <c r="AW121" i="24"/>
  <c r="H121" i="24"/>
  <c r="AM121" i="24"/>
  <c r="AY121" i="24"/>
  <c r="G121" i="24"/>
  <c r="BC121" i="24"/>
  <c r="BB121" i="24"/>
  <c r="AV121" i="24"/>
  <c r="J121" i="24"/>
  <c r="AP121" i="24"/>
  <c r="BJ121" i="24"/>
  <c r="AQ121" i="24"/>
  <c r="BK121" i="24"/>
  <c r="AN121" i="24"/>
  <c r="BL121" i="24"/>
  <c r="AK121" i="24"/>
  <c r="BD121" i="24"/>
  <c r="F121" i="24"/>
  <c r="I121" i="24"/>
  <c r="AO121" i="24"/>
  <c r="BA121" i="24"/>
  <c r="P121" i="24"/>
  <c r="AL121" i="24"/>
  <c r="AU121" i="24"/>
  <c r="K121" i="24"/>
  <c r="BI121" i="24"/>
  <c r="BH121" i="24"/>
  <c r="AJ121" i="24"/>
  <c r="AT121" i="24"/>
  <c r="BG121" i="24"/>
  <c r="R121" i="24"/>
  <c r="Z121" i="24"/>
  <c r="AD121" i="24"/>
  <c r="N121" i="24"/>
  <c r="Q121" i="24"/>
  <c r="AC121" i="24"/>
  <c r="X121" i="24"/>
  <c r="AB121" i="24"/>
  <c r="AE121" i="24"/>
  <c r="V121" i="24"/>
  <c r="AF121" i="24"/>
  <c r="T121" i="24"/>
  <c r="AG121" i="24"/>
  <c r="AA121" i="24"/>
  <c r="AH121" i="24"/>
  <c r="Y121" i="24"/>
  <c r="S121" i="24"/>
  <c r="W121" i="24"/>
  <c r="U121" i="24"/>
  <c r="AI121" i="24"/>
  <c r="O121" i="24"/>
  <c r="M121" i="24"/>
  <c r="BM38" i="29"/>
  <c r="E38" i="29" s="1"/>
  <c r="E23" i="29" s="1"/>
  <c r="BM29" i="29"/>
  <c r="BM135" i="29"/>
  <c r="BM175" i="29"/>
  <c r="E175" i="29" s="1"/>
  <c r="E44" i="29"/>
  <c r="E29" i="29" s="1"/>
  <c r="AX70" i="29"/>
  <c r="BC10" i="12"/>
  <c r="AX44" i="24"/>
  <c r="BD101" i="12"/>
  <c r="BD102" i="12"/>
  <c r="AY52" i="24" s="1"/>
  <c r="AY71" i="29" s="1"/>
  <c r="J47" i="23"/>
  <c r="T79" i="10"/>
  <c r="L79" i="10" s="1"/>
  <c r="AC167" i="29"/>
  <c r="O123" i="24"/>
  <c r="F123" i="24"/>
  <c r="AE123" i="24"/>
  <c r="AA123" i="24"/>
  <c r="AB123" i="24"/>
  <c r="AO123" i="24"/>
  <c r="AF123" i="24"/>
  <c r="I123" i="24"/>
  <c r="AG148" i="24"/>
  <c r="AQ124" i="24"/>
  <c r="BA124" i="24"/>
  <c r="AP124" i="24"/>
  <c r="S124" i="24"/>
  <c r="AB124" i="24"/>
  <c r="R124" i="24"/>
  <c r="J124" i="24"/>
  <c r="Q123" i="24"/>
  <c r="AD123" i="24"/>
  <c r="AU123" i="24"/>
  <c r="AM123" i="24"/>
  <c r="T123" i="24"/>
  <c r="R123" i="24"/>
  <c r="H123" i="24"/>
  <c r="AY123" i="24"/>
  <c r="W120" i="24" l="1"/>
  <c r="X112" i="24" s="1"/>
  <c r="N131" i="29" s="1"/>
  <c r="BB120" i="24"/>
  <c r="BC112" i="24" s="1"/>
  <c r="AS131" i="29" s="1"/>
  <c r="AW120" i="24"/>
  <c r="AX112" i="24" s="1"/>
  <c r="AZ133" i="12" s="1"/>
  <c r="AU120" i="24"/>
  <c r="AV112" i="24" s="1"/>
  <c r="AX133" i="12" s="1"/>
  <c r="AK120" i="24"/>
  <c r="AL112" i="24" s="1"/>
  <c r="AB131" i="29" s="1"/>
  <c r="AR120" i="24"/>
  <c r="AS112" i="24" s="1"/>
  <c r="AU133" i="12" s="1"/>
  <c r="AM120" i="24"/>
  <c r="AN112" i="24" s="1"/>
  <c r="AP133" i="12" s="1"/>
  <c r="T120" i="24"/>
  <c r="U112" i="24" s="1"/>
  <c r="K131" i="29" s="1"/>
  <c r="N120" i="24"/>
  <c r="O112" i="24" s="1"/>
  <c r="BI120" i="24"/>
  <c r="BJ112" i="24" s="1"/>
  <c r="BL133" i="12" s="1"/>
  <c r="Q120" i="24"/>
  <c r="R112" i="24" s="1"/>
  <c r="T133" i="12" s="1"/>
  <c r="E124" i="24"/>
  <c r="AI120" i="24"/>
  <c r="AJ112" i="24" s="1"/>
  <c r="AL133" i="12" s="1"/>
  <c r="AX120" i="24"/>
  <c r="AY112" i="24" s="1"/>
  <c r="AO131" i="29" s="1"/>
  <c r="AF120" i="24"/>
  <c r="AG112" i="24" s="1"/>
  <c r="AI133" i="12" s="1"/>
  <c r="AD120" i="24"/>
  <c r="AE112" i="24" s="1"/>
  <c r="U131" i="29" s="1"/>
  <c r="BD120" i="24"/>
  <c r="BE112" i="24" s="1"/>
  <c r="AU131" i="29" s="1"/>
  <c r="J120" i="24"/>
  <c r="L120" i="24"/>
  <c r="AG120" i="24"/>
  <c r="AH112" i="24" s="1"/>
  <c r="AJ133" i="12" s="1"/>
  <c r="BJ120" i="24"/>
  <c r="BK112" i="24" s="1"/>
  <c r="BM133" i="12" s="1"/>
  <c r="AS120" i="24"/>
  <c r="AT112" i="24" s="1"/>
  <c r="AV133" i="12" s="1"/>
  <c r="V120" i="24"/>
  <c r="W112" i="24" s="1"/>
  <c r="M131" i="29" s="1"/>
  <c r="Z120" i="24"/>
  <c r="AA112" i="24" s="1"/>
  <c r="Q131" i="29" s="1"/>
  <c r="I120" i="24"/>
  <c r="BL120" i="24"/>
  <c r="BM112" i="24" s="1"/>
  <c r="BO133" i="12" s="1"/>
  <c r="BE120" i="24"/>
  <c r="BF112" i="24" s="1"/>
  <c r="BH133" i="12" s="1"/>
  <c r="E123" i="24"/>
  <c r="AP120" i="24"/>
  <c r="AQ112" i="24" s="1"/>
  <c r="BM132" i="29"/>
  <c r="E132" i="29" s="1"/>
  <c r="E135" i="29"/>
  <c r="R120" i="24"/>
  <c r="S112" i="24" s="1"/>
  <c r="O120" i="24"/>
  <c r="P112" i="24" s="1"/>
  <c r="BH120" i="24"/>
  <c r="BI112" i="24" s="1"/>
  <c r="AQ120" i="24"/>
  <c r="AR112" i="24" s="1"/>
  <c r="AY120" i="24"/>
  <c r="AZ112" i="24" s="1"/>
  <c r="AZ120" i="24"/>
  <c r="BA112" i="24" s="1"/>
  <c r="F120" i="24"/>
  <c r="E121" i="24"/>
  <c r="AD167" i="29"/>
  <c r="Z133" i="12"/>
  <c r="AE120" i="24"/>
  <c r="AF112" i="24" s="1"/>
  <c r="AL120" i="24"/>
  <c r="AM112" i="24" s="1"/>
  <c r="AV120" i="24"/>
  <c r="AW112" i="24" s="1"/>
  <c r="BG120" i="24"/>
  <c r="BH112" i="24" s="1"/>
  <c r="P120" i="24"/>
  <c r="Q112" i="24" s="1"/>
  <c r="E122" i="24"/>
  <c r="H120" i="24"/>
  <c r="S120" i="24"/>
  <c r="T112" i="24" s="1"/>
  <c r="R11" i="21"/>
  <c r="R57" i="10" s="1"/>
  <c r="K57" i="10" s="1"/>
  <c r="S18" i="21"/>
  <c r="T11" i="21" s="1"/>
  <c r="BD94" i="12"/>
  <c r="AY51" i="24"/>
  <c r="AB120" i="24"/>
  <c r="AC112" i="24" s="1"/>
  <c r="AH120" i="24"/>
  <c r="AI112" i="24" s="1"/>
  <c r="X120" i="24"/>
  <c r="Y112" i="24" s="1"/>
  <c r="AT120" i="24"/>
  <c r="AU112" i="24" s="1"/>
  <c r="BA120" i="24"/>
  <c r="BB112" i="24" s="1"/>
  <c r="AN120" i="24"/>
  <c r="AO112" i="24" s="1"/>
  <c r="BC120" i="24"/>
  <c r="BD112" i="24" s="1"/>
  <c r="BF120" i="24"/>
  <c r="BG112" i="24" s="1"/>
  <c r="T17" i="23"/>
  <c r="T12" i="23"/>
  <c r="T10" i="23"/>
  <c r="T16" i="23"/>
  <c r="T8" i="23"/>
  <c r="T9" i="23"/>
  <c r="T97" i="25"/>
  <c r="R98" i="25"/>
  <c r="S98" i="25" s="1"/>
  <c r="Q98" i="25"/>
  <c r="U120" i="24"/>
  <c r="V112" i="24" s="1"/>
  <c r="K120" i="24"/>
  <c r="BG133" i="12"/>
  <c r="AG151" i="29"/>
  <c r="Y120" i="24"/>
  <c r="Z112" i="24" s="1"/>
  <c r="H47" i="23"/>
  <c r="I47" i="23"/>
  <c r="J47" i="21"/>
  <c r="AX61" i="29"/>
  <c r="AX59" i="29" s="1"/>
  <c r="AX189" i="24"/>
  <c r="AX34" i="24"/>
  <c r="BD17" i="12"/>
  <c r="AH148" i="24"/>
  <c r="M120" i="24"/>
  <c r="N112" i="24" s="1"/>
  <c r="AA120" i="24"/>
  <c r="AB112" i="24" s="1"/>
  <c r="AC120" i="24"/>
  <c r="AD112" i="24" s="1"/>
  <c r="AJ120" i="24"/>
  <c r="AK112" i="24" s="1"/>
  <c r="AO120" i="24"/>
  <c r="AP112" i="24" s="1"/>
  <c r="BK120" i="24"/>
  <c r="BL112" i="24" s="1"/>
  <c r="G120" i="24"/>
  <c r="BM120" i="24"/>
  <c r="H51" i="21"/>
  <c r="I51" i="21"/>
  <c r="BE133" i="12" l="1"/>
  <c r="J57" i="10"/>
  <c r="L57" i="10"/>
  <c r="M57" i="10" s="1"/>
  <c r="AN131" i="29"/>
  <c r="AZ131" i="29"/>
  <c r="H131" i="29"/>
  <c r="AV131" i="29"/>
  <c r="AN133" i="12"/>
  <c r="X131" i="29"/>
  <c r="AG133" i="12"/>
  <c r="BA133" i="12"/>
  <c r="AC133" i="12"/>
  <c r="BA131" i="29"/>
  <c r="Y133" i="12"/>
  <c r="Z131" i="29"/>
  <c r="AI131" i="29"/>
  <c r="AJ131" i="29"/>
  <c r="AL131" i="29"/>
  <c r="W133" i="12"/>
  <c r="AD131" i="29"/>
  <c r="BC131" i="29"/>
  <c r="W131" i="29"/>
  <c r="AF133" i="12"/>
  <c r="T131" i="29"/>
  <c r="AB133" i="12"/>
  <c r="P131" i="29"/>
  <c r="AK133" i="12"/>
  <c r="Y131" i="29"/>
  <c r="T17" i="21"/>
  <c r="T10" i="21"/>
  <c r="T9" i="21"/>
  <c r="T16" i="21"/>
  <c r="T8" i="21"/>
  <c r="T12" i="21"/>
  <c r="S133" i="12"/>
  <c r="G131" i="29"/>
  <c r="E120" i="24"/>
  <c r="AU87" i="25" s="1"/>
  <c r="U133" i="12"/>
  <c r="I131" i="29"/>
  <c r="AS133" i="12"/>
  <c r="AG131" i="29"/>
  <c r="AX53" i="29"/>
  <c r="AD133" i="12"/>
  <c r="R131" i="29"/>
  <c r="E112" i="24"/>
  <c r="BD10" i="12"/>
  <c r="AY44" i="24"/>
  <c r="BE101" i="12"/>
  <c r="BE102" i="12"/>
  <c r="AZ52" i="24" s="1"/>
  <c r="AZ71" i="29" s="1"/>
  <c r="BI133" i="12"/>
  <c r="AW131" i="29"/>
  <c r="AE133" i="12"/>
  <c r="S131" i="29"/>
  <c r="BJ133" i="12"/>
  <c r="AX131" i="29"/>
  <c r="BC133" i="12"/>
  <c r="AQ131" i="29"/>
  <c r="AX142" i="29"/>
  <c r="AX139" i="29" s="1"/>
  <c r="BK142" i="29"/>
  <c r="BK139" i="29" s="1"/>
  <c r="AA142" i="29"/>
  <c r="AA139" i="29" s="1"/>
  <c r="I142" i="29"/>
  <c r="I139" i="29" s="1"/>
  <c r="AJ142" i="29"/>
  <c r="AJ139" i="29" s="1"/>
  <c r="AW142" i="29"/>
  <c r="AW139" i="29" s="1"/>
  <c r="Q142" i="29"/>
  <c r="Q139" i="29" s="1"/>
  <c r="Z142" i="29"/>
  <c r="Z139" i="29" s="1"/>
  <c r="BB142" i="29"/>
  <c r="BB139" i="29" s="1"/>
  <c r="H142" i="29"/>
  <c r="H139" i="29" s="1"/>
  <c r="AL142" i="29"/>
  <c r="AL139" i="29" s="1"/>
  <c r="BG142" i="29"/>
  <c r="BG139" i="29" s="1"/>
  <c r="AR142" i="29"/>
  <c r="AR139" i="29" s="1"/>
  <c r="N142" i="29"/>
  <c r="N139" i="29" s="1"/>
  <c r="BD142" i="29"/>
  <c r="BD139" i="29" s="1"/>
  <c r="AS142" i="29"/>
  <c r="AS139" i="29" s="1"/>
  <c r="BL142" i="29"/>
  <c r="BL139" i="29" s="1"/>
  <c r="BE142" i="29"/>
  <c r="BE139" i="29" s="1"/>
  <c r="X142" i="29"/>
  <c r="X139" i="29" s="1"/>
  <c r="AU142" i="29"/>
  <c r="AU139" i="29" s="1"/>
  <c r="U142" i="29"/>
  <c r="U139" i="29" s="1"/>
  <c r="K142" i="29"/>
  <c r="K139" i="29" s="1"/>
  <c r="BH142" i="29"/>
  <c r="BH139" i="29" s="1"/>
  <c r="Y142" i="29"/>
  <c r="Y139" i="29" s="1"/>
  <c r="BF142" i="29"/>
  <c r="BF139" i="29" s="1"/>
  <c r="AD142" i="29"/>
  <c r="AD139" i="29" s="1"/>
  <c r="AP142" i="29"/>
  <c r="AP139" i="29" s="1"/>
  <c r="AY142" i="29"/>
  <c r="AY139" i="29" s="1"/>
  <c r="AC142" i="29"/>
  <c r="AC139" i="29" s="1"/>
  <c r="S142" i="29"/>
  <c r="S139" i="29" s="1"/>
  <c r="AV142" i="29"/>
  <c r="AV139" i="29" s="1"/>
  <c r="BI142" i="29"/>
  <c r="BI139" i="29" s="1"/>
  <c r="R142" i="29"/>
  <c r="R139" i="29" s="1"/>
  <c r="AM142" i="29"/>
  <c r="AM139" i="29" s="1"/>
  <c r="V142" i="29"/>
  <c r="V139" i="29" s="1"/>
  <c r="O142" i="29"/>
  <c r="O139" i="29" s="1"/>
  <c r="AH142" i="29"/>
  <c r="AH139" i="29" s="1"/>
  <c r="AB142" i="29"/>
  <c r="AB139" i="29" s="1"/>
  <c r="AF142" i="29"/>
  <c r="AF139" i="29" s="1"/>
  <c r="AO142" i="29"/>
  <c r="AO139" i="29" s="1"/>
  <c r="P142" i="29"/>
  <c r="P139" i="29" s="1"/>
  <c r="J142" i="29"/>
  <c r="J139" i="29" s="1"/>
  <c r="BM142" i="29"/>
  <c r="BM139" i="29" s="1"/>
  <c r="G142" i="29"/>
  <c r="G139" i="29" s="1"/>
  <c r="BC142" i="29"/>
  <c r="BC139" i="29" s="1"/>
  <c r="AG142" i="29"/>
  <c r="AG139" i="29" s="1"/>
  <c r="AT142" i="29"/>
  <c r="AT139" i="29" s="1"/>
  <c r="M142" i="29"/>
  <c r="M139" i="29" s="1"/>
  <c r="BA142" i="29"/>
  <c r="BA139" i="29" s="1"/>
  <c r="AI142" i="29"/>
  <c r="AI139" i="29" s="1"/>
  <c r="AZ142" i="29"/>
  <c r="AZ139" i="29" s="1"/>
  <c r="T142" i="29"/>
  <c r="T139" i="29" s="1"/>
  <c r="AQ142" i="29"/>
  <c r="AQ139" i="29" s="1"/>
  <c r="W142" i="29"/>
  <c r="W139" i="29" s="1"/>
  <c r="L142" i="29"/>
  <c r="L139" i="29" s="1"/>
  <c r="AK142" i="29"/>
  <c r="AK139" i="29" s="1"/>
  <c r="BJ142" i="29"/>
  <c r="BJ139" i="29" s="1"/>
  <c r="AN142" i="29"/>
  <c r="AN139" i="29" s="1"/>
  <c r="AE142" i="29"/>
  <c r="AE139" i="29" s="1"/>
  <c r="A135" i="29"/>
  <c r="F142" i="29"/>
  <c r="BB133" i="12"/>
  <c r="AP131" i="29"/>
  <c r="AX208" i="29"/>
  <c r="AT133" i="12"/>
  <c r="AH131" i="29"/>
  <c r="F131" i="29"/>
  <c r="H47" i="21"/>
  <c r="I47" i="21"/>
  <c r="X133" i="12"/>
  <c r="L131" i="29"/>
  <c r="AQ133" i="12"/>
  <c r="AE131" i="29"/>
  <c r="BN133" i="12"/>
  <c r="BB131" i="29"/>
  <c r="AH151" i="29"/>
  <c r="BD133" i="12"/>
  <c r="AR131" i="29"/>
  <c r="AY133" i="12"/>
  <c r="AM131" i="29"/>
  <c r="BK133" i="12"/>
  <c r="AY131" i="29"/>
  <c r="AY70" i="29"/>
  <c r="AR133" i="12"/>
  <c r="AF131" i="29"/>
  <c r="AI148" i="24"/>
  <c r="BF133" i="12"/>
  <c r="AT131" i="29"/>
  <c r="AW133" i="12"/>
  <c r="AK131" i="29"/>
  <c r="V133" i="12"/>
  <c r="J131" i="29"/>
  <c r="AO133" i="12"/>
  <c r="AC131" i="29"/>
  <c r="AE167" i="29"/>
  <c r="AM133" i="12"/>
  <c r="AA131" i="29"/>
  <c r="T98" i="25"/>
  <c r="R99" i="25"/>
  <c r="S99" i="25" s="1"/>
  <c r="Q99" i="25"/>
  <c r="AA133" i="12"/>
  <c r="O131" i="29"/>
  <c r="I79" i="10"/>
  <c r="M79" i="10"/>
  <c r="AH133" i="12"/>
  <c r="V131" i="29"/>
  <c r="AJ148" i="24" l="1"/>
  <c r="T99" i="25"/>
  <c r="Q100" i="25"/>
  <c r="R100" i="25"/>
  <c r="S100" i="25" s="1"/>
  <c r="AF167" i="29"/>
  <c r="I133" i="12"/>
  <c r="A133" i="12" s="1"/>
  <c r="E131" i="29"/>
  <c r="BE94" i="12"/>
  <c r="AZ51" i="24"/>
  <c r="AI151" i="29"/>
  <c r="AY61" i="29"/>
  <c r="AY59" i="29" s="1"/>
  <c r="AY34" i="24"/>
  <c r="AY189" i="24"/>
  <c r="BE17" i="12"/>
  <c r="F139" i="29"/>
  <c r="E139" i="29" s="1"/>
  <c r="E142" i="29"/>
  <c r="AJ151" i="29" l="1"/>
  <c r="AY208" i="29"/>
  <c r="AZ44" i="24"/>
  <c r="BE10" i="12"/>
  <c r="BF102" i="12"/>
  <c r="BA52" i="24" s="1"/>
  <c r="BA71" i="29" s="1"/>
  <c r="BF101" i="12"/>
  <c r="AG167" i="29"/>
  <c r="AK148" i="24"/>
  <c r="T100" i="25"/>
  <c r="R101" i="25"/>
  <c r="S101" i="25" s="1"/>
  <c r="Q101" i="25"/>
  <c r="AY53" i="29"/>
  <c r="AZ70" i="29"/>
  <c r="BF94" i="12" l="1"/>
  <c r="BA51" i="24"/>
  <c r="AL148" i="24"/>
  <c r="AZ61" i="29"/>
  <c r="AZ59" i="29" s="1"/>
  <c r="AZ189" i="24"/>
  <c r="AZ34" i="24"/>
  <c r="BF17" i="12"/>
  <c r="AH167" i="29"/>
  <c r="AK151" i="29"/>
  <c r="T101" i="25"/>
  <c r="R102" i="25"/>
  <c r="S102" i="25" s="1"/>
  <c r="Q102" i="25"/>
  <c r="AZ208" i="29" l="1"/>
  <c r="AI167" i="29"/>
  <c r="AL151" i="29"/>
  <c r="AM148" i="24"/>
  <c r="BA70" i="29"/>
  <c r="BF10" i="12"/>
  <c r="BA44" i="24"/>
  <c r="BG101" i="12"/>
  <c r="BG102" i="12"/>
  <c r="BB52" i="24" s="1"/>
  <c r="BB71" i="29" s="1"/>
  <c r="T102" i="25"/>
  <c r="R103" i="25"/>
  <c r="S103" i="25" s="1"/>
  <c r="Q103" i="25"/>
  <c r="AZ53" i="29"/>
  <c r="BA61" i="29" l="1"/>
  <c r="BA59" i="29" s="1"/>
  <c r="BA34" i="24"/>
  <c r="BA189" i="24"/>
  <c r="BG17" i="12"/>
  <c r="AM151" i="29"/>
  <c r="AJ167" i="29"/>
  <c r="AN148" i="24"/>
  <c r="T103" i="25"/>
  <c r="R104" i="25"/>
  <c r="S104" i="25" s="1"/>
  <c r="Q104" i="25"/>
  <c r="BG94" i="12"/>
  <c r="BB51" i="24"/>
  <c r="BA208" i="29" l="1"/>
  <c r="BA53" i="29"/>
  <c r="BB70" i="29"/>
  <c r="T104" i="25"/>
  <c r="R105" i="25"/>
  <c r="S105" i="25" s="1"/>
  <c r="Q105" i="25"/>
  <c r="AK167" i="29"/>
  <c r="BB44" i="24"/>
  <c r="BG10" i="12"/>
  <c r="BH101" i="12"/>
  <c r="BH102" i="12"/>
  <c r="BC52" i="24" s="1"/>
  <c r="BC71" i="29" s="1"/>
  <c r="AO148" i="24"/>
  <c r="AN151" i="29"/>
  <c r="BB61" i="29" l="1"/>
  <c r="BB59" i="29" s="1"/>
  <c r="BB189" i="24"/>
  <c r="BB34" i="24"/>
  <c r="BH17" i="12"/>
  <c r="AL167" i="29"/>
  <c r="AO151" i="29"/>
  <c r="AP148" i="24"/>
  <c r="T105" i="25"/>
  <c r="R106" i="25"/>
  <c r="S106" i="25" s="1"/>
  <c r="Q106" i="25"/>
  <c r="BH94" i="12"/>
  <c r="BC51" i="24"/>
  <c r="AP151" i="29" l="1"/>
  <c r="BB53" i="29"/>
  <c r="T106" i="25"/>
  <c r="Q107" i="25"/>
  <c r="R107" i="25"/>
  <c r="S107" i="25" s="1"/>
  <c r="BH10" i="12"/>
  <c r="BC44" i="24"/>
  <c r="BI102" i="12"/>
  <c r="BD52" i="24" s="1"/>
  <c r="BD71" i="29" s="1"/>
  <c r="BI101" i="12"/>
  <c r="BC70" i="29"/>
  <c r="AM167" i="29"/>
  <c r="AQ148" i="24"/>
  <c r="BB208" i="29"/>
  <c r="AN167" i="29" l="1"/>
  <c r="AR148" i="24"/>
  <c r="BI94" i="12"/>
  <c r="BD51" i="24"/>
  <c r="T107" i="25"/>
  <c r="R108" i="25"/>
  <c r="S108" i="25" s="1"/>
  <c r="Q108" i="25"/>
  <c r="AQ151" i="29"/>
  <c r="BC61" i="29"/>
  <c r="BC59" i="29" s="1"/>
  <c r="BC189" i="24"/>
  <c r="BC34" i="24"/>
  <c r="BI17" i="12"/>
  <c r="BC53" i="29" l="1"/>
  <c r="AR151" i="29"/>
  <c r="BD70" i="29"/>
  <c r="AS148" i="24"/>
  <c r="BD44" i="24"/>
  <c r="BI10" i="12"/>
  <c r="BJ102" i="12"/>
  <c r="BE52" i="24" s="1"/>
  <c r="BE71" i="29" s="1"/>
  <c r="BJ101" i="12"/>
  <c r="T108" i="25"/>
  <c r="R109" i="25"/>
  <c r="S109" i="25" s="1"/>
  <c r="Q109" i="25"/>
  <c r="AO167" i="29"/>
  <c r="BC208" i="29"/>
  <c r="AS151" i="29" l="1"/>
  <c r="AT148" i="24"/>
  <c r="T109" i="25"/>
  <c r="Q110" i="25"/>
  <c r="R110" i="25"/>
  <c r="S110" i="25" s="1"/>
  <c r="BJ94" i="12"/>
  <c r="BE51" i="24"/>
  <c r="AP167" i="29"/>
  <c r="BD61" i="29"/>
  <c r="BD59" i="29" s="1"/>
  <c r="BD189" i="24"/>
  <c r="BD34" i="24"/>
  <c r="BJ17" i="12"/>
  <c r="BD208" i="29" l="1"/>
  <c r="AQ167" i="29"/>
  <c r="AT151" i="29"/>
  <c r="T110" i="25"/>
  <c r="R111" i="25"/>
  <c r="S111" i="25" s="1"/>
  <c r="Q111" i="25"/>
  <c r="AU148" i="24"/>
  <c r="BJ10" i="12"/>
  <c r="BE44" i="24"/>
  <c r="BK102" i="12"/>
  <c r="BF52" i="24" s="1"/>
  <c r="BF71" i="29" s="1"/>
  <c r="BK101" i="12"/>
  <c r="BE70" i="29"/>
  <c r="BD53" i="29"/>
  <c r="AR167" i="29" l="1"/>
  <c r="BK94" i="12"/>
  <c r="BF51" i="24"/>
  <c r="AU151" i="29"/>
  <c r="BE61" i="29"/>
  <c r="BE59" i="29" s="1"/>
  <c r="BE34" i="24"/>
  <c r="BE189" i="24"/>
  <c r="BK17" i="12"/>
  <c r="AV148" i="24"/>
  <c r="T111" i="25"/>
  <c r="R112" i="25"/>
  <c r="Q112" i="25"/>
  <c r="BE53" i="29" l="1"/>
  <c r="Q113" i="25"/>
  <c r="N67" i="25" s="1"/>
  <c r="J28" i="23" s="1"/>
  <c r="AV151" i="29"/>
  <c r="AW148" i="24"/>
  <c r="BF70" i="29"/>
  <c r="S112" i="25"/>
  <c r="S113" i="25" s="1"/>
  <c r="R113" i="25"/>
  <c r="BF44" i="24"/>
  <c r="BK10" i="12"/>
  <c r="BL102" i="12"/>
  <c r="BG52" i="24" s="1"/>
  <c r="BG71" i="29" s="1"/>
  <c r="BL101" i="12"/>
  <c r="AS167" i="29"/>
  <c r="BE208" i="29"/>
  <c r="T112" i="25" l="1"/>
  <c r="T113" i="25" s="1"/>
  <c r="AW151" i="29"/>
  <c r="BF61" i="29"/>
  <c r="BF59" i="29" s="1"/>
  <c r="BF189" i="24"/>
  <c r="BF34" i="24"/>
  <c r="BL17" i="12"/>
  <c r="AT167" i="29"/>
  <c r="J28" i="21"/>
  <c r="I28" i="23"/>
  <c r="H28" i="23"/>
  <c r="J24" i="23"/>
  <c r="BL94" i="12"/>
  <c r="BG51" i="24"/>
  <c r="AX148" i="24"/>
  <c r="BG44" i="24" l="1"/>
  <c r="BL10" i="12"/>
  <c r="BM102" i="12"/>
  <c r="BH52" i="24" s="1"/>
  <c r="BH71" i="29" s="1"/>
  <c r="BM101" i="12"/>
  <c r="I28" i="21"/>
  <c r="H28" i="21"/>
  <c r="I24" i="23"/>
  <c r="H24" i="23"/>
  <c r="J24" i="21"/>
  <c r="BF53" i="29"/>
  <c r="AX151" i="29"/>
  <c r="BF208" i="29"/>
  <c r="BG70" i="29"/>
  <c r="AY148" i="24"/>
  <c r="AU167" i="29"/>
  <c r="AZ148" i="24" l="1"/>
  <c r="AV167" i="29"/>
  <c r="AY151" i="29"/>
  <c r="BM94" i="12"/>
  <c r="BH51" i="24"/>
  <c r="H24" i="21"/>
  <c r="I24" i="21"/>
  <c r="BG61" i="29"/>
  <c r="BG59" i="29" s="1"/>
  <c r="BG34" i="24"/>
  <c r="BG189" i="24"/>
  <c r="BM17" i="12"/>
  <c r="AZ151" i="29" l="1"/>
  <c r="BH44" i="24"/>
  <c r="BM10" i="12"/>
  <c r="BN102" i="12"/>
  <c r="BI52" i="24" s="1"/>
  <c r="BI71" i="29" s="1"/>
  <c r="BN101" i="12"/>
  <c r="BH70" i="29"/>
  <c r="AW167" i="29"/>
  <c r="BG53" i="29"/>
  <c r="BG208" i="29"/>
  <c r="BA148" i="24"/>
  <c r="AX167" i="29" l="1"/>
  <c r="BH61" i="29"/>
  <c r="BH59" i="29" s="1"/>
  <c r="BH189" i="24"/>
  <c r="BH34" i="24"/>
  <c r="BN17" i="12"/>
  <c r="BA151" i="29"/>
  <c r="BN94" i="12"/>
  <c r="BI51" i="24"/>
  <c r="BB148" i="24"/>
  <c r="AY167" i="29" l="1"/>
  <c r="BI44" i="24"/>
  <c r="BN10" i="12"/>
  <c r="BO102" i="12"/>
  <c r="BJ52" i="24" s="1"/>
  <c r="BJ71" i="29" s="1"/>
  <c r="BO101" i="12"/>
  <c r="BH208" i="29"/>
  <c r="BC148" i="24"/>
  <c r="BI70" i="29"/>
  <c r="BH53" i="29"/>
  <c r="BB151" i="29"/>
  <c r="BI61" i="29" l="1"/>
  <c r="BI59" i="29" s="1"/>
  <c r="BI34" i="24"/>
  <c r="BI189" i="24"/>
  <c r="BO17" i="12"/>
  <c r="BO94" i="12"/>
  <c r="BJ51" i="24"/>
  <c r="AZ167" i="29"/>
  <c r="BD148" i="24"/>
  <c r="BC151" i="29"/>
  <c r="BE148" i="24" l="1"/>
  <c r="BJ44" i="24"/>
  <c r="BO10" i="12"/>
  <c r="BP101" i="12"/>
  <c r="BP102" i="12"/>
  <c r="BK52" i="24" s="1"/>
  <c r="BK71" i="29" s="1"/>
  <c r="BD151" i="29"/>
  <c r="BI53" i="29"/>
  <c r="BJ70" i="29"/>
  <c r="BI208" i="29"/>
  <c r="BA167" i="29"/>
  <c r="BP94" i="12" l="1"/>
  <c r="BK51" i="24"/>
  <c r="BJ61" i="29"/>
  <c r="BJ59" i="29" s="1"/>
  <c r="BJ189" i="24"/>
  <c r="BJ34" i="24"/>
  <c r="BP17" i="12"/>
  <c r="BF148" i="24"/>
  <c r="BE151" i="29"/>
  <c r="BB167" i="29"/>
  <c r="BP10" i="12" l="1"/>
  <c r="BK44" i="24"/>
  <c r="BQ101" i="12"/>
  <c r="BQ102" i="12"/>
  <c r="BL52" i="24" s="1"/>
  <c r="BL71" i="29" s="1"/>
  <c r="BK70" i="29"/>
  <c r="BJ208" i="29"/>
  <c r="BJ53" i="29"/>
  <c r="BC167" i="29"/>
  <c r="BF151" i="29"/>
  <c r="BG148" i="24"/>
  <c r="BG151" i="29" l="1"/>
  <c r="BD167" i="29"/>
  <c r="BQ94" i="12"/>
  <c r="BL51" i="24"/>
  <c r="BK61" i="29"/>
  <c r="BK59" i="29" s="1"/>
  <c r="BK189" i="24"/>
  <c r="BK34" i="24"/>
  <c r="BQ17" i="12"/>
  <c r="BH148" i="24"/>
  <c r="BK53" i="29" l="1"/>
  <c r="BI148" i="24"/>
  <c r="BH151" i="29"/>
  <c r="BK208" i="29"/>
  <c r="BE167" i="29"/>
  <c r="BL44" i="24"/>
  <c r="BQ10" i="12"/>
  <c r="BR101" i="12"/>
  <c r="BR102" i="12"/>
  <c r="BL70" i="29"/>
  <c r="BL61" i="29" l="1"/>
  <c r="BL59" i="29" s="1"/>
  <c r="BL189" i="24"/>
  <c r="BL34" i="24"/>
  <c r="BR17" i="12"/>
  <c r="BF167" i="29"/>
  <c r="BM52" i="24"/>
  <c r="I102" i="12"/>
  <c r="A102" i="12" s="1"/>
  <c r="BR94" i="12"/>
  <c r="BM51" i="24"/>
  <c r="I101" i="12"/>
  <c r="BI151" i="29"/>
  <c r="BJ148" i="24"/>
  <c r="BK148" i="24" l="1"/>
  <c r="BM71" i="29"/>
  <c r="E71" i="29" s="1"/>
  <c r="E52" i="24"/>
  <c r="J50" i="23" s="1"/>
  <c r="BM44" i="24"/>
  <c r="BR10" i="12"/>
  <c r="I17" i="12"/>
  <c r="BL53" i="29"/>
  <c r="BG167" i="29"/>
  <c r="BL208" i="29"/>
  <c r="BJ151" i="29"/>
  <c r="I94" i="12"/>
  <c r="A101" i="12"/>
  <c r="BM70" i="29"/>
  <c r="E51" i="24"/>
  <c r="A17" i="12" l="1"/>
  <c r="I10" i="12"/>
  <c r="A10" i="12" s="1"/>
  <c r="I115" i="12"/>
  <c r="A94" i="12"/>
  <c r="U49" i="23"/>
  <c r="J50" i="21"/>
  <c r="I50" i="23"/>
  <c r="H50" i="23"/>
  <c r="E70" i="29"/>
  <c r="R80" i="10" s="1"/>
  <c r="BM61" i="29"/>
  <c r="E44" i="24"/>
  <c r="T75" i="10" s="1"/>
  <c r="BM34" i="24"/>
  <c r="BM189" i="24"/>
  <c r="T80" i="10"/>
  <c r="J49" i="23"/>
  <c r="BL148" i="24"/>
  <c r="BK151" i="29"/>
  <c r="BH167" i="29"/>
  <c r="J80" i="10" l="1"/>
  <c r="K80" i="10"/>
  <c r="H80" i="10" s="1"/>
  <c r="L80" i="10"/>
  <c r="I50" i="21"/>
  <c r="H50" i="21"/>
  <c r="U49" i="21"/>
  <c r="BM208" i="29"/>
  <c r="T71" i="10"/>
  <c r="BM148" i="24"/>
  <c r="BM53" i="29"/>
  <c r="E34" i="24"/>
  <c r="U33" i="23" s="1"/>
  <c r="BM59" i="29"/>
  <c r="E59" i="29" s="1"/>
  <c r="R75" i="10" s="1"/>
  <c r="E61" i="29"/>
  <c r="I106" i="12"/>
  <c r="BA115" i="12"/>
  <c r="BG115" i="12"/>
  <c r="BI115" i="12"/>
  <c r="BQ115" i="12"/>
  <c r="AZ115" i="12"/>
  <c r="AO115" i="12"/>
  <c r="BE115" i="12"/>
  <c r="AP115" i="12"/>
  <c r="Y115" i="12"/>
  <c r="BF115" i="12"/>
  <c r="BN115" i="12"/>
  <c r="BK115" i="12"/>
  <c r="BB115" i="12"/>
  <c r="BD115" i="12"/>
  <c r="BH115" i="12"/>
  <c r="BO115" i="12"/>
  <c r="BJ115" i="12"/>
  <c r="AX115" i="12"/>
  <c r="AR115" i="12"/>
  <c r="BL115" i="12"/>
  <c r="AY115" i="12"/>
  <c r="AV115" i="12"/>
  <c r="BP115" i="12"/>
  <c r="AT115" i="12"/>
  <c r="AU115" i="12"/>
  <c r="AS115" i="12"/>
  <c r="AW115" i="12"/>
  <c r="BM115" i="12"/>
  <c r="AQ115" i="12"/>
  <c r="BC115" i="12"/>
  <c r="BR115" i="12"/>
  <c r="T115" i="12"/>
  <c r="AA115" i="12"/>
  <c r="Z115" i="12"/>
  <c r="U115" i="12"/>
  <c r="X115" i="12"/>
  <c r="AN115" i="12"/>
  <c r="AD115" i="12"/>
  <c r="AE115" i="12"/>
  <c r="V115" i="12"/>
  <c r="W115" i="12"/>
  <c r="AH115" i="12"/>
  <c r="AM115" i="12"/>
  <c r="AF115" i="12"/>
  <c r="AB115" i="12"/>
  <c r="AI115" i="12"/>
  <c r="AC115" i="12"/>
  <c r="AL115" i="12"/>
  <c r="AG115" i="12"/>
  <c r="AK115" i="12"/>
  <c r="AJ115" i="12"/>
  <c r="S115" i="12"/>
  <c r="BL151" i="29"/>
  <c r="BI167" i="29"/>
  <c r="J49" i="21"/>
  <c r="H49" i="23"/>
  <c r="I49" i="23"/>
  <c r="J75" i="10" l="1"/>
  <c r="K75" i="10"/>
  <c r="H75" i="10" s="1"/>
  <c r="L75" i="10"/>
  <c r="I80" i="10"/>
  <c r="M80" i="10"/>
  <c r="AF106" i="12"/>
  <c r="AA53" i="24"/>
  <c r="BG53" i="24"/>
  <c r="BL106" i="12"/>
  <c r="BQ106" i="12"/>
  <c r="BQ45" i="12" s="1"/>
  <c r="BL53" i="24"/>
  <c r="AJ106" i="12"/>
  <c r="AE53" i="24"/>
  <c r="AR53" i="24"/>
  <c r="AW106" i="12"/>
  <c r="BD53" i="24"/>
  <c r="BI106" i="12"/>
  <c r="AB106" i="12"/>
  <c r="W53" i="24"/>
  <c r="AQ106" i="12"/>
  <c r="AL53" i="24"/>
  <c r="AZ106" i="12"/>
  <c r="AU53" i="24"/>
  <c r="S106" i="12"/>
  <c r="N53" i="24"/>
  <c r="X106" i="12"/>
  <c r="S53" i="24"/>
  <c r="BF53" i="24"/>
  <c r="BK106" i="12"/>
  <c r="U106" i="12"/>
  <c r="P53" i="24"/>
  <c r="BN106" i="12"/>
  <c r="BI53" i="24"/>
  <c r="AK106" i="12"/>
  <c r="AF53" i="24"/>
  <c r="AH106" i="12"/>
  <c r="AC53" i="24"/>
  <c r="Z106" i="12"/>
  <c r="U53" i="24"/>
  <c r="AN53" i="24"/>
  <c r="AS106" i="12"/>
  <c r="AS53" i="24"/>
  <c r="AX106" i="12"/>
  <c r="BF106" i="12"/>
  <c r="BA53" i="24"/>
  <c r="BG106" i="12"/>
  <c r="BB53" i="24"/>
  <c r="E53" i="29"/>
  <c r="AT53" i="24"/>
  <c r="AY106" i="12"/>
  <c r="R71" i="10"/>
  <c r="BM106" i="12"/>
  <c r="BH53" i="24"/>
  <c r="U33" i="21"/>
  <c r="AM106" i="12"/>
  <c r="AH53" i="24"/>
  <c r="AR106" i="12"/>
  <c r="AM53" i="24"/>
  <c r="H49" i="21"/>
  <c r="I49" i="21"/>
  <c r="AG106" i="12"/>
  <c r="AB53" i="24"/>
  <c r="W106" i="12"/>
  <c r="R53" i="24"/>
  <c r="AA106" i="12"/>
  <c r="V53" i="24"/>
  <c r="AU106" i="12"/>
  <c r="AP53" i="24"/>
  <c r="BJ106" i="12"/>
  <c r="BE53" i="24"/>
  <c r="Y106" i="12"/>
  <c r="T53" i="24"/>
  <c r="AV53" i="24"/>
  <c r="BA106" i="12"/>
  <c r="AN106" i="12"/>
  <c r="AI53" i="24"/>
  <c r="AW53" i="24"/>
  <c r="BB106" i="12"/>
  <c r="T70" i="10"/>
  <c r="BJ167" i="29"/>
  <c r="AL106" i="12"/>
  <c r="AG53" i="24"/>
  <c r="V106" i="12"/>
  <c r="Q53" i="24"/>
  <c r="T106" i="12"/>
  <c r="O53" i="24"/>
  <c r="AT106" i="12"/>
  <c r="AO53" i="24"/>
  <c r="BO106" i="12"/>
  <c r="BJ53" i="24"/>
  <c r="A115" i="12"/>
  <c r="AE106" i="12"/>
  <c r="Z53" i="24"/>
  <c r="BP106" i="12"/>
  <c r="BP45" i="12" s="1"/>
  <c r="BK53" i="24"/>
  <c r="BH106" i="12"/>
  <c r="BC53" i="24"/>
  <c r="BE106" i="12"/>
  <c r="AZ53" i="24"/>
  <c r="E148" i="24"/>
  <c r="AK53" i="24"/>
  <c r="AP106" i="12"/>
  <c r="AC106" i="12"/>
  <c r="X53" i="24"/>
  <c r="BR106" i="12"/>
  <c r="BR45" i="12" s="1"/>
  <c r="BM53" i="24"/>
  <c r="BM151" i="29"/>
  <c r="AI106" i="12"/>
  <c r="AD53" i="24"/>
  <c r="AD106" i="12"/>
  <c r="Y53" i="24"/>
  <c r="AX53" i="24"/>
  <c r="BC106" i="12"/>
  <c r="AQ53" i="24"/>
  <c r="AV106" i="12"/>
  <c r="BD106" i="12"/>
  <c r="AY53" i="24"/>
  <c r="AJ53" i="24"/>
  <c r="AO106" i="12"/>
  <c r="M75" i="10" l="1"/>
  <c r="J71" i="10"/>
  <c r="K71" i="10"/>
  <c r="H71" i="10" s="1"/>
  <c r="I75" i="10"/>
  <c r="L71" i="10"/>
  <c r="BH72" i="29"/>
  <c r="BH69" i="29" s="1"/>
  <c r="BH50" i="24"/>
  <c r="BI72" i="29"/>
  <c r="BI69" i="29" s="1"/>
  <c r="BI50" i="24"/>
  <c r="S72" i="29"/>
  <c r="S69" i="29" s="1"/>
  <c r="S50" i="24"/>
  <c r="W72" i="29"/>
  <c r="W69" i="29" s="1"/>
  <c r="W50" i="24"/>
  <c r="BL72" i="29"/>
  <c r="BL69" i="29" s="1"/>
  <c r="BL50" i="24"/>
  <c r="AN72" i="29"/>
  <c r="AN69" i="29" s="1"/>
  <c r="AN50" i="24"/>
  <c r="AO72" i="29"/>
  <c r="AO69" i="29" s="1"/>
  <c r="AO50" i="24"/>
  <c r="BK167" i="29"/>
  <c r="E151" i="29"/>
  <c r="BK72" i="29"/>
  <c r="BK69" i="29" s="1"/>
  <c r="BK50" i="24"/>
  <c r="V72" i="29"/>
  <c r="V69" i="29" s="1"/>
  <c r="V50" i="24"/>
  <c r="AM72" i="29"/>
  <c r="AM69" i="29" s="1"/>
  <c r="AM50" i="24"/>
  <c r="AQ72" i="29"/>
  <c r="AQ69" i="29" s="1"/>
  <c r="AQ50" i="24"/>
  <c r="O72" i="29"/>
  <c r="O69" i="29" s="1"/>
  <c r="O50" i="24"/>
  <c r="T77" i="10"/>
  <c r="AV72" i="29"/>
  <c r="AV69" i="29" s="1"/>
  <c r="AV50" i="24"/>
  <c r="R70" i="10"/>
  <c r="BB72" i="29"/>
  <c r="BB69" i="29" s="1"/>
  <c r="BB50" i="24"/>
  <c r="U72" i="29"/>
  <c r="U69" i="29" s="1"/>
  <c r="U50" i="24"/>
  <c r="P72" i="29"/>
  <c r="P69" i="29" s="1"/>
  <c r="P50" i="24"/>
  <c r="E53" i="24"/>
  <c r="N72" i="29"/>
  <c r="N50" i="24"/>
  <c r="Z72" i="29"/>
  <c r="Z69" i="29" s="1"/>
  <c r="Z50" i="24"/>
  <c r="T72" i="29"/>
  <c r="T69" i="29" s="1"/>
  <c r="T50" i="24"/>
  <c r="R72" i="29"/>
  <c r="R69" i="29" s="1"/>
  <c r="R50" i="24"/>
  <c r="AH72" i="29"/>
  <c r="AH69" i="29" s="1"/>
  <c r="AH50" i="24"/>
  <c r="BD72" i="29"/>
  <c r="BD69" i="29" s="1"/>
  <c r="BD50" i="24"/>
  <c r="BG72" i="29"/>
  <c r="BG69" i="29" s="1"/>
  <c r="BG50" i="24"/>
  <c r="AD72" i="29"/>
  <c r="AD69" i="29" s="1"/>
  <c r="AD50" i="24"/>
  <c r="AX72" i="29"/>
  <c r="AX69" i="29" s="1"/>
  <c r="AX50" i="24"/>
  <c r="Q72" i="29"/>
  <c r="Q69" i="29" s="1"/>
  <c r="Q50" i="24"/>
  <c r="BA72" i="29"/>
  <c r="BA69" i="29" s="1"/>
  <c r="BA50" i="24"/>
  <c r="AC72" i="29"/>
  <c r="AC69" i="29" s="1"/>
  <c r="AC50" i="24"/>
  <c r="AU72" i="29"/>
  <c r="AU69" i="29" s="1"/>
  <c r="AU50" i="24"/>
  <c r="AA72" i="29"/>
  <c r="AA69" i="29" s="1"/>
  <c r="AA50" i="24"/>
  <c r="AY72" i="29"/>
  <c r="AY69" i="29" s="1"/>
  <c r="AY50" i="24"/>
  <c r="AK72" i="29"/>
  <c r="AK69" i="29" s="1"/>
  <c r="AK50" i="24"/>
  <c r="BM72" i="29"/>
  <c r="BM69" i="29" s="1"/>
  <c r="BM50" i="24"/>
  <c r="AW72" i="29"/>
  <c r="AW69" i="29" s="1"/>
  <c r="AW50" i="24"/>
  <c r="BE72" i="29"/>
  <c r="BE69" i="29" s="1"/>
  <c r="BE50" i="24"/>
  <c r="AB72" i="29"/>
  <c r="AB69" i="29" s="1"/>
  <c r="AB50" i="24"/>
  <c r="AT72" i="29"/>
  <c r="AT69" i="29" s="1"/>
  <c r="AT50" i="24"/>
  <c r="AR72" i="29"/>
  <c r="AR69" i="29" s="1"/>
  <c r="AR50" i="24"/>
  <c r="A106" i="12"/>
  <c r="Y72" i="29"/>
  <c r="Y69" i="29" s="1"/>
  <c r="Y50" i="24"/>
  <c r="X72" i="29"/>
  <c r="X69" i="29" s="1"/>
  <c r="X50" i="24"/>
  <c r="AZ72" i="29"/>
  <c r="AZ69" i="29" s="1"/>
  <c r="AZ50" i="24"/>
  <c r="AJ50" i="24"/>
  <c r="AJ72" i="29"/>
  <c r="AJ69" i="29" s="1"/>
  <c r="BJ72" i="29"/>
  <c r="BJ69" i="29" s="1"/>
  <c r="BJ50" i="24"/>
  <c r="AG72" i="29"/>
  <c r="AG69" i="29" s="1"/>
  <c r="AG50" i="24"/>
  <c r="AI72" i="29"/>
  <c r="AI69" i="29" s="1"/>
  <c r="AI50" i="24"/>
  <c r="AF72" i="29"/>
  <c r="AF69" i="29" s="1"/>
  <c r="AF50" i="24"/>
  <c r="AL72" i="29"/>
  <c r="AL69" i="29" s="1"/>
  <c r="AL50" i="24"/>
  <c r="AE72" i="29"/>
  <c r="AE69" i="29" s="1"/>
  <c r="AE50" i="24"/>
  <c r="BC72" i="29"/>
  <c r="BC69" i="29" s="1"/>
  <c r="BC50" i="24"/>
  <c r="AP72" i="29"/>
  <c r="AP69" i="29" s="1"/>
  <c r="AP50" i="24"/>
  <c r="AS72" i="29"/>
  <c r="AS69" i="29" s="1"/>
  <c r="AS50" i="24"/>
  <c r="BF72" i="29"/>
  <c r="BF69" i="29" s="1"/>
  <c r="BF50" i="24"/>
  <c r="M71" i="10" l="1"/>
  <c r="J70" i="10"/>
  <c r="K70" i="10"/>
  <c r="H70" i="10" s="1"/>
  <c r="I71" i="10"/>
  <c r="L70" i="10"/>
  <c r="BF161" i="24"/>
  <c r="BC161" i="24"/>
  <c r="AF180" i="29"/>
  <c r="AS180" i="29"/>
  <c r="AE161" i="24"/>
  <c r="X180" i="29"/>
  <c r="AR180" i="29"/>
  <c r="AB180" i="29"/>
  <c r="BM161" i="24"/>
  <c r="T161" i="24"/>
  <c r="BB161" i="24"/>
  <c r="V161" i="24"/>
  <c r="S161" i="24"/>
  <c r="AW161" i="24"/>
  <c r="AK180" i="29"/>
  <c r="AC161" i="24"/>
  <c r="AD180" i="29"/>
  <c r="AP161" i="24"/>
  <c r="AE180" i="29"/>
  <c r="Y161" i="24"/>
  <c r="BE161" i="24"/>
  <c r="BM180" i="29"/>
  <c r="AU161" i="24"/>
  <c r="T180" i="29"/>
  <c r="E50" i="24"/>
  <c r="U34" i="23" s="1"/>
  <c r="N161" i="24"/>
  <c r="BB180" i="29"/>
  <c r="V180" i="29"/>
  <c r="BL167" i="29"/>
  <c r="AN161" i="24"/>
  <c r="S180" i="29"/>
  <c r="AP180" i="29"/>
  <c r="AI161" i="24"/>
  <c r="Y180" i="29"/>
  <c r="BE180" i="29"/>
  <c r="AK161" i="24"/>
  <c r="AU180" i="29"/>
  <c r="AD161" i="24"/>
  <c r="E72" i="29"/>
  <c r="R83" i="10" s="1"/>
  <c r="N69" i="29"/>
  <c r="R77" i="10"/>
  <c r="O161" i="24"/>
  <c r="AN180" i="29"/>
  <c r="BI161" i="24"/>
  <c r="AL180" i="29"/>
  <c r="AJ180" i="29"/>
  <c r="T83" i="10"/>
  <c r="J48" i="23"/>
  <c r="O180" i="29"/>
  <c r="AO161" i="24"/>
  <c r="BI180" i="29"/>
  <c r="AG161" i="24"/>
  <c r="AJ161" i="24"/>
  <c r="AT161" i="24"/>
  <c r="AW180" i="29"/>
  <c r="AY161" i="24"/>
  <c r="AC180" i="29"/>
  <c r="Q161" i="24"/>
  <c r="BG161" i="24"/>
  <c r="AH161" i="24"/>
  <c r="P161" i="24"/>
  <c r="AQ161" i="24"/>
  <c r="BK161" i="24"/>
  <c r="AO180" i="29"/>
  <c r="BL161" i="24"/>
  <c r="AL161" i="24"/>
  <c r="AI180" i="29"/>
  <c r="BF180" i="29"/>
  <c r="AF161" i="24"/>
  <c r="AG180" i="29"/>
  <c r="AZ161" i="24"/>
  <c r="AT180" i="29"/>
  <c r="AY180" i="29"/>
  <c r="BA161" i="24"/>
  <c r="Q180" i="29"/>
  <c r="BG180" i="29"/>
  <c r="AH180" i="29"/>
  <c r="Z161" i="24"/>
  <c r="P180" i="29"/>
  <c r="AQ180" i="29"/>
  <c r="BK180" i="29"/>
  <c r="BL180" i="29"/>
  <c r="BH161" i="24"/>
  <c r="BJ161" i="24"/>
  <c r="AZ180" i="29"/>
  <c r="AA161" i="24"/>
  <c r="BA180" i="29"/>
  <c r="AX161" i="24"/>
  <c r="BD161" i="24"/>
  <c r="R161" i="24"/>
  <c r="Z180" i="29"/>
  <c r="U161" i="24"/>
  <c r="AV161" i="24"/>
  <c r="AM161" i="24"/>
  <c r="W161" i="24"/>
  <c r="BH180" i="29"/>
  <c r="AS161" i="24"/>
  <c r="BC180" i="29"/>
  <c r="BJ180" i="29"/>
  <c r="X161" i="24"/>
  <c r="AR161" i="24"/>
  <c r="AB161" i="24"/>
  <c r="AA180" i="29"/>
  <c r="AX180" i="29"/>
  <c r="BD180" i="29"/>
  <c r="R180" i="29"/>
  <c r="U180" i="29"/>
  <c r="AV180" i="29"/>
  <c r="AM180" i="29"/>
  <c r="W180" i="29"/>
  <c r="M70" i="10" l="1"/>
  <c r="J77" i="10"/>
  <c r="K77" i="10"/>
  <c r="H77" i="10" s="1"/>
  <c r="J83" i="10"/>
  <c r="K83" i="10"/>
  <c r="H83" i="10" s="1"/>
  <c r="I70" i="10"/>
  <c r="L83" i="10"/>
  <c r="L77" i="10"/>
  <c r="I48" i="23"/>
  <c r="H48" i="23"/>
  <c r="J48" i="21"/>
  <c r="J53" i="23"/>
  <c r="BM167" i="29"/>
  <c r="E161" i="24"/>
  <c r="N180" i="29"/>
  <c r="E69" i="29"/>
  <c r="U34" i="21"/>
  <c r="M77" i="10" l="1"/>
  <c r="I77" i="10"/>
  <c r="I83" i="10"/>
  <c r="M83" i="10"/>
  <c r="I48" i="21"/>
  <c r="H48" i="21"/>
  <c r="J53" i="21"/>
  <c r="E180" i="29"/>
  <c r="E167" i="29"/>
  <c r="H53" i="23"/>
  <c r="I53" i="23"/>
  <c r="H53" i="21" l="1"/>
  <c r="I53" i="21"/>
  <c r="I137" i="12"/>
  <c r="I136" i="12" s="1"/>
  <c r="V143" i="12"/>
  <c r="V137" i="12" s="1"/>
  <c r="V136" i="12" s="1"/>
  <c r="T143" i="12"/>
  <c r="T137" i="12" s="1"/>
  <c r="T136" i="12" s="1"/>
  <c r="U143" i="12"/>
  <c r="U137" i="12" s="1"/>
  <c r="U136" i="12" s="1"/>
  <c r="AB143" i="12"/>
  <c r="AB137" i="12" s="1"/>
  <c r="AB136" i="12" s="1"/>
  <c r="Y143" i="12"/>
  <c r="AC143" i="12"/>
  <c r="W143" i="12"/>
  <c r="W137" i="12" s="1"/>
  <c r="W136" i="12" s="1"/>
  <c r="X143" i="12"/>
  <c r="Z143" i="12"/>
  <c r="AA143" i="12"/>
  <c r="AD143" i="12"/>
  <c r="AD137" i="12" s="1"/>
  <c r="AD136" i="12" s="1"/>
  <c r="AI143" i="12"/>
  <c r="AI137" i="12" s="1"/>
  <c r="AI136" i="12" s="1"/>
  <c r="AK143" i="12"/>
  <c r="AK137" i="12" s="1"/>
  <c r="AK136" i="12" s="1"/>
  <c r="AE143" i="12"/>
  <c r="AE137" i="12" s="1"/>
  <c r="AE136" i="12" s="1"/>
  <c r="AJ143" i="12"/>
  <c r="AJ137" i="12" s="1"/>
  <c r="AJ136" i="12" s="1"/>
  <c r="AH143" i="12"/>
  <c r="AH137" i="12" s="1"/>
  <c r="AH136" i="12" s="1"/>
  <c r="AF143" i="12"/>
  <c r="AF137" i="12" s="1"/>
  <c r="AF136" i="12" s="1"/>
  <c r="AG143" i="12"/>
  <c r="AG137" i="12" s="1"/>
  <c r="AG136" i="12" s="1"/>
  <c r="AL143" i="12"/>
  <c r="AL137" i="12" s="1"/>
  <c r="AL136" i="12" s="1"/>
  <c r="AM143" i="12"/>
  <c r="AM137" i="12" s="1"/>
  <c r="AM136" i="12" s="1"/>
  <c r="AO143" i="12"/>
  <c r="AN143" i="12"/>
  <c r="AN137" i="12" s="1"/>
  <c r="AN136" i="12" s="1"/>
  <c r="AQ143" i="12"/>
  <c r="AQ137" i="12" s="1"/>
  <c r="AQ136" i="12" s="1"/>
  <c r="AP143" i="12"/>
  <c r="AR143" i="12"/>
  <c r="AR137" i="12" s="1"/>
  <c r="AR136" i="12" s="1"/>
  <c r="AS143" i="12"/>
  <c r="AS137" i="12" s="1"/>
  <c r="AS136" i="12" s="1"/>
  <c r="AT143" i="12"/>
  <c r="AT137" i="12" s="1"/>
  <c r="AT136" i="12" s="1"/>
  <c r="AV143" i="12"/>
  <c r="AV137" i="12" s="1"/>
  <c r="AV136" i="12" s="1"/>
  <c r="AW143" i="12"/>
  <c r="AW137" i="12" s="1"/>
  <c r="AW136" i="12" s="1"/>
  <c r="AX143" i="12"/>
  <c r="AX137" i="12" s="1"/>
  <c r="AX136" i="12" s="1"/>
  <c r="AU143" i="12"/>
  <c r="AU137" i="12" s="1"/>
  <c r="AU136" i="12" s="1"/>
  <c r="AY143" i="12"/>
  <c r="AY137" i="12" s="1"/>
  <c r="AY136" i="12" s="1"/>
  <c r="AZ143" i="12"/>
  <c r="AZ137" i="12" s="1"/>
  <c r="AZ136" i="12" s="1"/>
  <c r="BA143" i="12"/>
  <c r="BA137" i="12" s="1"/>
  <c r="BA136" i="12" s="1"/>
  <c r="BB143" i="12"/>
  <c r="BB137" i="12" s="1"/>
  <c r="BB136" i="12" s="1"/>
  <c r="BF143" i="12"/>
  <c r="BF137" i="12" s="1"/>
  <c r="BF136" i="12" s="1"/>
  <c r="BC143" i="12"/>
  <c r="BC137" i="12" s="1"/>
  <c r="BC136" i="12" s="1"/>
  <c r="BD143" i="12"/>
  <c r="BD137" i="12" s="1"/>
  <c r="BD136" i="12" s="1"/>
  <c r="BE143" i="12"/>
  <c r="BE137" i="12" s="1"/>
  <c r="BE136" i="12" s="1"/>
  <c r="BG143" i="12"/>
  <c r="BG137" i="12" s="1"/>
  <c r="BG136" i="12" s="1"/>
  <c r="BK143" i="12"/>
  <c r="BH143" i="12"/>
  <c r="BH137" i="12" s="1"/>
  <c r="BH136" i="12" s="1"/>
  <c r="BL143" i="12"/>
  <c r="BL137" i="12" s="1"/>
  <c r="BL136" i="12" s="1"/>
  <c r="BI143" i="12"/>
  <c r="BI137" i="12" s="1"/>
  <c r="BI136" i="12" s="1"/>
  <c r="BJ143" i="12"/>
  <c r="BJ137" i="12" s="1"/>
  <c r="BJ136" i="12" s="1"/>
  <c r="BM143" i="12"/>
  <c r="BM137" i="12" s="1"/>
  <c r="BM136" i="12" s="1"/>
  <c r="BN143" i="12"/>
  <c r="BN137" i="12" s="1"/>
  <c r="BN136" i="12" s="1"/>
  <c r="BP143" i="12"/>
  <c r="BP137" i="12" s="1"/>
  <c r="BP136" i="12" s="1"/>
  <c r="BO143" i="12"/>
  <c r="BO137" i="12" s="1"/>
  <c r="BO136" i="12" s="1"/>
  <c r="BR143" i="12"/>
  <c r="BR137" i="12" s="1"/>
  <c r="BR136" i="12" s="1"/>
  <c r="BQ143" i="12"/>
  <c r="BQ137" i="12" s="1"/>
  <c r="BQ136" i="12" s="1"/>
  <c r="S143" i="12"/>
  <c r="S137" i="12" s="1"/>
  <c r="J22" i="23"/>
  <c r="AI60" i="24" l="1"/>
  <c r="AI81" i="24" s="1"/>
  <c r="AI100" i="29" s="1"/>
  <c r="N60" i="24"/>
  <c r="N79" i="29" s="1"/>
  <c r="N78" i="29" s="1"/>
  <c r="BL60" i="24"/>
  <c r="BL103" i="24" s="1"/>
  <c r="BL104" i="24" s="1"/>
  <c r="BL123" i="29" s="1"/>
  <c r="BA60" i="24"/>
  <c r="BA79" i="29" s="1"/>
  <c r="BA78" i="29" s="1"/>
  <c r="BA95" i="29" s="1"/>
  <c r="BK60" i="24"/>
  <c r="BK79" i="29" s="1"/>
  <c r="BK78" i="29" s="1"/>
  <c r="BK95" i="29" s="1"/>
  <c r="P60" i="24"/>
  <c r="P59" i="24" s="1"/>
  <c r="P76" i="24" s="1"/>
  <c r="AM60" i="24"/>
  <c r="AM79" i="29" s="1"/>
  <c r="AM78" i="29" s="1"/>
  <c r="AM95" i="29" s="1"/>
  <c r="Y60" i="24"/>
  <c r="Y59" i="24" s="1"/>
  <c r="Y76" i="24" s="1"/>
  <c r="BH60" i="24"/>
  <c r="BH81" i="24" s="1"/>
  <c r="BM60" i="24"/>
  <c r="BM81" i="24" s="1"/>
  <c r="BM100" i="29" s="1"/>
  <c r="AL60" i="24"/>
  <c r="AL103" i="24" s="1"/>
  <c r="AG60" i="24"/>
  <c r="AG59" i="24" s="1"/>
  <c r="AG76" i="24" s="1"/>
  <c r="O60" i="24"/>
  <c r="O59" i="24" s="1"/>
  <c r="O76" i="24" s="1"/>
  <c r="O81" i="24" s="1"/>
  <c r="AP60" i="24"/>
  <c r="AP103" i="24" s="1"/>
  <c r="AP122" i="29" s="1"/>
  <c r="BJ60" i="24"/>
  <c r="BJ103" i="24" s="1"/>
  <c r="BJ104" i="24" s="1"/>
  <c r="BJ123" i="29" s="1"/>
  <c r="BD60" i="24"/>
  <c r="BD81" i="24" s="1"/>
  <c r="BD100" i="29" s="1"/>
  <c r="AY60" i="24"/>
  <c r="AY81" i="24" s="1"/>
  <c r="AY100" i="29" s="1"/>
  <c r="AW60" i="24"/>
  <c r="AW79" i="29" s="1"/>
  <c r="AW78" i="29" s="1"/>
  <c r="AW95" i="29" s="1"/>
  <c r="AN60" i="24"/>
  <c r="AN79" i="29" s="1"/>
  <c r="AN78" i="29" s="1"/>
  <c r="AN95" i="29" s="1"/>
  <c r="AB60" i="24"/>
  <c r="AB79" i="29" s="1"/>
  <c r="AB78" i="29" s="1"/>
  <c r="AB95" i="29" s="1"/>
  <c r="Q60" i="24"/>
  <c r="Q79" i="29" s="1"/>
  <c r="Q78" i="29" s="1"/>
  <c r="Q95" i="29" s="1"/>
  <c r="BC60" i="24"/>
  <c r="BC59" i="24" s="1"/>
  <c r="BC76" i="24" s="1"/>
  <c r="AX60" i="24"/>
  <c r="AX103" i="24" s="1"/>
  <c r="AX122" i="29" s="1"/>
  <c r="AU60" i="24"/>
  <c r="AU103" i="24" s="1"/>
  <c r="AU104" i="24" s="1"/>
  <c r="AU123" i="29" s="1"/>
  <c r="AR60" i="24"/>
  <c r="AR59" i="24" s="1"/>
  <c r="AR76" i="24" s="1"/>
  <c r="AH60" i="24"/>
  <c r="AH79" i="29" s="1"/>
  <c r="AH78" i="29" s="1"/>
  <c r="AH95" i="29" s="1"/>
  <c r="AE60" i="24"/>
  <c r="AE59" i="24" s="1"/>
  <c r="AE76" i="24" s="1"/>
  <c r="A143" i="12"/>
  <c r="F22" i="23"/>
  <c r="I22" i="23"/>
  <c r="J23" i="23"/>
  <c r="H22" i="23"/>
  <c r="J43" i="23"/>
  <c r="J22" i="21"/>
  <c r="S136" i="12"/>
  <c r="BK137" i="12"/>
  <c r="BK136" i="12" s="1"/>
  <c r="BF60" i="24"/>
  <c r="BI60" i="24"/>
  <c r="BG60" i="24"/>
  <c r="BE60" i="24"/>
  <c r="BB60" i="24"/>
  <c r="AZ60" i="24"/>
  <c r="AS60" i="24"/>
  <c r="AV60" i="24"/>
  <c r="AO60" i="24"/>
  <c r="AQ60" i="24"/>
  <c r="AT60" i="24"/>
  <c r="AP137" i="12"/>
  <c r="AP136" i="12" s="1"/>
  <c r="AK60" i="24"/>
  <c r="AO137" i="12"/>
  <c r="AO136" i="12" s="1"/>
  <c r="AJ60" i="24"/>
  <c r="Z137" i="12"/>
  <c r="Z136" i="12" s="1"/>
  <c r="U60" i="24"/>
  <c r="AA137" i="12"/>
  <c r="AA136" i="12" s="1"/>
  <c r="V60" i="24"/>
  <c r="AA60" i="24"/>
  <c r="AC60" i="24"/>
  <c r="Z60" i="24"/>
  <c r="AF60" i="24"/>
  <c r="AD60" i="24"/>
  <c r="AC137" i="12"/>
  <c r="AC136" i="12" s="1"/>
  <c r="X60" i="24"/>
  <c r="X137" i="12"/>
  <c r="X136" i="12" s="1"/>
  <c r="S60" i="24"/>
  <c r="R60" i="24"/>
  <c r="Y137" i="12"/>
  <c r="Y136" i="12" s="1"/>
  <c r="T60" i="24"/>
  <c r="W60" i="24"/>
  <c r="AI103" i="24" l="1"/>
  <c r="AI79" i="29"/>
  <c r="AI78" i="29" s="1"/>
  <c r="AI95" i="29" s="1"/>
  <c r="AI59" i="24"/>
  <c r="AI76" i="24" s="1"/>
  <c r="BL59" i="24"/>
  <c r="BL76" i="24" s="1"/>
  <c r="N59" i="24"/>
  <c r="N76" i="24" s="1"/>
  <c r="BL79" i="29"/>
  <c r="BL78" i="29" s="1"/>
  <c r="BL95" i="29" s="1"/>
  <c r="BL81" i="24"/>
  <c r="BL100" i="29" s="1"/>
  <c r="BL122" i="29"/>
  <c r="BK103" i="24"/>
  <c r="BK104" i="24" s="1"/>
  <c r="BK123" i="29" s="1"/>
  <c r="AG103" i="24"/>
  <c r="AG122" i="29" s="1"/>
  <c r="AB81" i="24"/>
  <c r="AB100" i="29" s="1"/>
  <c r="N103" i="24"/>
  <c r="N104" i="24" s="1"/>
  <c r="BD59" i="24"/>
  <c r="BD76" i="24" s="1"/>
  <c r="AP79" i="29"/>
  <c r="AP78" i="29" s="1"/>
  <c r="AP95" i="29" s="1"/>
  <c r="P79" i="29"/>
  <c r="P78" i="29" s="1"/>
  <c r="P95" i="29" s="1"/>
  <c r="Y103" i="24"/>
  <c r="Y104" i="24" s="1"/>
  <c r="Y123" i="29" s="1"/>
  <c r="Y81" i="24"/>
  <c r="Y100" i="29" s="1"/>
  <c r="O103" i="24"/>
  <c r="O122" i="29" s="1"/>
  <c r="BA103" i="24"/>
  <c r="BA104" i="24" s="1"/>
  <c r="BA123" i="29" s="1"/>
  <c r="BA59" i="24"/>
  <c r="BA76" i="24" s="1"/>
  <c r="BA81" i="24"/>
  <c r="BA100" i="29" s="1"/>
  <c r="O79" i="29"/>
  <c r="O78" i="29" s="1"/>
  <c r="O95" i="29" s="1"/>
  <c r="AB59" i="24"/>
  <c r="AB76" i="24" s="1"/>
  <c r="BK81" i="24"/>
  <c r="BK100" i="29" s="1"/>
  <c r="BK59" i="24"/>
  <c r="BK76" i="24" s="1"/>
  <c r="BH79" i="29"/>
  <c r="BH78" i="29" s="1"/>
  <c r="BH95" i="29" s="1"/>
  <c r="AG81" i="24"/>
  <c r="AG100" i="29" s="1"/>
  <c r="AB103" i="24"/>
  <c r="AB104" i="24" s="1"/>
  <c r="AB123" i="29" s="1"/>
  <c r="Y79" i="29"/>
  <c r="Y78" i="29" s="1"/>
  <c r="Y95" i="29" s="1"/>
  <c r="AL79" i="29"/>
  <c r="AL78" i="29" s="1"/>
  <c r="AL95" i="29" s="1"/>
  <c r="AN59" i="24"/>
  <c r="AN76" i="24" s="1"/>
  <c r="BH59" i="24"/>
  <c r="BH76" i="24" s="1"/>
  <c r="AP81" i="24"/>
  <c r="AP100" i="29" s="1"/>
  <c r="AM59" i="24"/>
  <c r="AM76" i="24" s="1"/>
  <c r="AH59" i="24"/>
  <c r="AH76" i="24" s="1"/>
  <c r="AU59" i="24"/>
  <c r="AU76" i="24" s="1"/>
  <c r="AU81" i="24"/>
  <c r="AU100" i="29" s="1"/>
  <c r="AM81" i="24"/>
  <c r="AM100" i="29" s="1"/>
  <c r="AU79" i="29"/>
  <c r="AU78" i="29" s="1"/>
  <c r="AU95" i="29" s="1"/>
  <c r="AM103" i="24"/>
  <c r="AM122" i="29" s="1"/>
  <c r="AX79" i="29"/>
  <c r="AX78" i="29" s="1"/>
  <c r="AX95" i="29" s="1"/>
  <c r="AE103" i="24"/>
  <c r="AE104" i="24" s="1"/>
  <c r="AE123" i="29" s="1"/>
  <c r="AL59" i="24"/>
  <c r="AL76" i="24" s="1"/>
  <c r="AL81" i="24"/>
  <c r="AL100" i="29" s="1"/>
  <c r="BD79" i="29"/>
  <c r="BD78" i="29" s="1"/>
  <c r="BD95" i="29" s="1"/>
  <c r="AH103" i="24"/>
  <c r="AH122" i="29" s="1"/>
  <c r="BD103" i="24"/>
  <c r="BD104" i="24" s="1"/>
  <c r="BD123" i="29" s="1"/>
  <c r="BH103" i="24"/>
  <c r="BH104" i="24" s="1"/>
  <c r="BH123" i="29" s="1"/>
  <c r="BM59" i="24"/>
  <c r="BM76" i="24" s="1"/>
  <c r="AH81" i="24"/>
  <c r="AH100" i="29" s="1"/>
  <c r="BM79" i="29"/>
  <c r="BM78" i="29" s="1"/>
  <c r="BM95" i="29" s="1"/>
  <c r="AW59" i="24"/>
  <c r="AW76" i="24" s="1"/>
  <c r="AG79" i="29"/>
  <c r="AG78" i="29" s="1"/>
  <c r="AG95" i="29" s="1"/>
  <c r="AN81" i="24"/>
  <c r="AN100" i="29" s="1"/>
  <c r="AE81" i="24"/>
  <c r="AE100" i="29" s="1"/>
  <c r="BM103" i="24"/>
  <c r="BM122" i="29" s="1"/>
  <c r="AE79" i="29"/>
  <c r="AE78" i="29" s="1"/>
  <c r="AE95" i="29" s="1"/>
  <c r="AY103" i="24"/>
  <c r="AY104" i="24" s="1"/>
  <c r="AY123" i="29" s="1"/>
  <c r="AN103" i="24"/>
  <c r="AN104" i="24" s="1"/>
  <c r="AN123" i="29" s="1"/>
  <c r="AX59" i="24"/>
  <c r="AX76" i="24" s="1"/>
  <c r="AU122" i="29"/>
  <c r="BJ122" i="29"/>
  <c r="AR81" i="24"/>
  <c r="AR100" i="29" s="1"/>
  <c r="AR103" i="24"/>
  <c r="Q81" i="24"/>
  <c r="Q100" i="29" s="1"/>
  <c r="Q103" i="24"/>
  <c r="Q104" i="24" s="1"/>
  <c r="Q123" i="29" s="1"/>
  <c r="AP59" i="24"/>
  <c r="AP76" i="24" s="1"/>
  <c r="Q59" i="24"/>
  <c r="Q76" i="24" s="1"/>
  <c r="E60" i="24"/>
  <c r="AU71" i="25" s="1"/>
  <c r="AR79" i="29"/>
  <c r="AR78" i="29" s="1"/>
  <c r="AR95" i="29" s="1"/>
  <c r="AX81" i="24"/>
  <c r="AX100" i="29" s="1"/>
  <c r="AX104" i="24"/>
  <c r="AX123" i="29" s="1"/>
  <c r="BC103" i="24"/>
  <c r="BC122" i="29" s="1"/>
  <c r="BJ81" i="24"/>
  <c r="BJ100" i="29" s="1"/>
  <c r="BC81" i="24"/>
  <c r="BC100" i="29" s="1"/>
  <c r="AP104" i="24"/>
  <c r="AP123" i="29" s="1"/>
  <c r="AY79" i="29"/>
  <c r="AY78" i="29" s="1"/>
  <c r="AY95" i="29" s="1"/>
  <c r="BC79" i="29"/>
  <c r="BC78" i="29" s="1"/>
  <c r="BC95" i="29" s="1"/>
  <c r="BJ79" i="29"/>
  <c r="BJ78" i="29" s="1"/>
  <c r="BJ95" i="29" s="1"/>
  <c r="AY59" i="24"/>
  <c r="AY76" i="24" s="1"/>
  <c r="BJ59" i="24"/>
  <c r="BJ76" i="24" s="1"/>
  <c r="AW103" i="24"/>
  <c r="AW81" i="24"/>
  <c r="AW100" i="29" s="1"/>
  <c r="AC59" i="24"/>
  <c r="AC76" i="24" s="1"/>
  <c r="AC79" i="29"/>
  <c r="AC78" i="29" s="1"/>
  <c r="AC95" i="29" s="1"/>
  <c r="AC103" i="24"/>
  <c r="AC81" i="24"/>
  <c r="AQ59" i="24"/>
  <c r="AQ76" i="24" s="1"/>
  <c r="AQ79" i="29"/>
  <c r="AQ78" i="29" s="1"/>
  <c r="AQ95" i="29" s="1"/>
  <c r="AQ81" i="24"/>
  <c r="AQ103" i="24"/>
  <c r="A137" i="12"/>
  <c r="AO79" i="29"/>
  <c r="AO78" i="29" s="1"/>
  <c r="AO95" i="29" s="1"/>
  <c r="AO81" i="24"/>
  <c r="AO59" i="24"/>
  <c r="AO76" i="24" s="1"/>
  <c r="AO103" i="24"/>
  <c r="W59" i="24"/>
  <c r="W76" i="24" s="1"/>
  <c r="W79" i="29"/>
  <c r="W78" i="29" s="1"/>
  <c r="W95" i="29" s="1"/>
  <c r="W81" i="24"/>
  <c r="Z59" i="24"/>
  <c r="Z76" i="24" s="1"/>
  <c r="Z79" i="29"/>
  <c r="Z78" i="29" s="1"/>
  <c r="Z95" i="29" s="1"/>
  <c r="Z81" i="24"/>
  <c r="Z103" i="24"/>
  <c r="V79" i="29"/>
  <c r="V78" i="29" s="1"/>
  <c r="V95" i="29" s="1"/>
  <c r="V103" i="24"/>
  <c r="V81" i="24"/>
  <c r="V59" i="24"/>
  <c r="V76" i="24" s="1"/>
  <c r="AJ79" i="29"/>
  <c r="AJ78" i="29" s="1"/>
  <c r="AJ95" i="29" s="1"/>
  <c r="AJ59" i="24"/>
  <c r="AJ76" i="24" s="1"/>
  <c r="AJ103" i="24"/>
  <c r="AJ81" i="24"/>
  <c r="AZ79" i="29"/>
  <c r="AZ78" i="29" s="1"/>
  <c r="AZ95" i="29" s="1"/>
  <c r="AZ59" i="24"/>
  <c r="AZ76" i="24" s="1"/>
  <c r="AZ103" i="24"/>
  <c r="AZ81" i="24"/>
  <c r="BH100" i="29"/>
  <c r="H22" i="21"/>
  <c r="F22" i="21"/>
  <c r="I22" i="21"/>
  <c r="J43" i="21"/>
  <c r="H43" i="23"/>
  <c r="I43" i="23"/>
  <c r="N95" i="29"/>
  <c r="S59" i="24"/>
  <c r="S76" i="24" s="1"/>
  <c r="S81" i="24"/>
  <c r="S79" i="29"/>
  <c r="S78" i="29" s="1"/>
  <c r="S95" i="29" s="1"/>
  <c r="S103" i="24"/>
  <c r="U59" i="24"/>
  <c r="U76" i="24" s="1"/>
  <c r="U103" i="24"/>
  <c r="U79" i="29"/>
  <c r="U78" i="29" s="1"/>
  <c r="U95" i="29" s="1"/>
  <c r="U81" i="24"/>
  <c r="AK79" i="29"/>
  <c r="AK78" i="29" s="1"/>
  <c r="AK95" i="29" s="1"/>
  <c r="AK59" i="24"/>
  <c r="AK76" i="24" s="1"/>
  <c r="AK81" i="24"/>
  <c r="AK103" i="24"/>
  <c r="AV59" i="24"/>
  <c r="AV76" i="24" s="1"/>
  <c r="AV79" i="29"/>
  <c r="AV78" i="29" s="1"/>
  <c r="AV95" i="29" s="1"/>
  <c r="AV81" i="24"/>
  <c r="AV103" i="24"/>
  <c r="BB59" i="24"/>
  <c r="BB76" i="24" s="1"/>
  <c r="BB79" i="29"/>
  <c r="BB78" i="29" s="1"/>
  <c r="BB95" i="29" s="1"/>
  <c r="BB103" i="24"/>
  <c r="BB81" i="24"/>
  <c r="BI59" i="24"/>
  <c r="BI76" i="24" s="1"/>
  <c r="BI79" i="29"/>
  <c r="BI78" i="29" s="1"/>
  <c r="BI95" i="29" s="1"/>
  <c r="BI81" i="24"/>
  <c r="BI103" i="24"/>
  <c r="AS59" i="24"/>
  <c r="AS76" i="24" s="1"/>
  <c r="AS79" i="29"/>
  <c r="AS78" i="29" s="1"/>
  <c r="AS95" i="29" s="1"/>
  <c r="AS103" i="24"/>
  <c r="AS81" i="24"/>
  <c r="BG59" i="24"/>
  <c r="BG76" i="24" s="1"/>
  <c r="BG79" i="29"/>
  <c r="BG78" i="29" s="1"/>
  <c r="BG95" i="29" s="1"/>
  <c r="BG81" i="24"/>
  <c r="BG103" i="24"/>
  <c r="R79" i="29"/>
  <c r="R59" i="24"/>
  <c r="R76" i="24" s="1"/>
  <c r="R103" i="24"/>
  <c r="R81" i="24"/>
  <c r="A136" i="12"/>
  <c r="U51" i="23"/>
  <c r="U51" i="21" s="1"/>
  <c r="H23" i="23"/>
  <c r="J23" i="21"/>
  <c r="I23" i="23"/>
  <c r="X79" i="29"/>
  <c r="X78" i="29" s="1"/>
  <c r="X95" i="29" s="1"/>
  <c r="X81" i="24"/>
  <c r="X59" i="24"/>
  <c r="X76" i="24" s="1"/>
  <c r="AL104" i="24"/>
  <c r="AL123" i="29" s="1"/>
  <c r="AL122" i="29"/>
  <c r="T59" i="24"/>
  <c r="T76" i="24" s="1"/>
  <c r="T79" i="29"/>
  <c r="T78" i="29" s="1"/>
  <c r="T95" i="29" s="1"/>
  <c r="AD59" i="24"/>
  <c r="AD76" i="24" s="1"/>
  <c r="AD79" i="29"/>
  <c r="AD78" i="29" s="1"/>
  <c r="AD95" i="29" s="1"/>
  <c r="AD81" i="24"/>
  <c r="AD103" i="24"/>
  <c r="AI104" i="24"/>
  <c r="AI123" i="29" s="1"/>
  <c r="AI122" i="29"/>
  <c r="AT79" i="29"/>
  <c r="AT78" i="29" s="1"/>
  <c r="AT95" i="29" s="1"/>
  <c r="AT59" i="24"/>
  <c r="AT76" i="24" s="1"/>
  <c r="AT81" i="24"/>
  <c r="AT103" i="24"/>
  <c r="BF59" i="24"/>
  <c r="BF76" i="24" s="1"/>
  <c r="BF79" i="29"/>
  <c r="BF78" i="29" s="1"/>
  <c r="BF95" i="29" s="1"/>
  <c r="BF103" i="24"/>
  <c r="BF81" i="24"/>
  <c r="AF59" i="24"/>
  <c r="AF76" i="24" s="1"/>
  <c r="AF79" i="29"/>
  <c r="AF78" i="29" s="1"/>
  <c r="AF95" i="29" s="1"/>
  <c r="AF103" i="24"/>
  <c r="AF81" i="24"/>
  <c r="AA79" i="29"/>
  <c r="AA78" i="29" s="1"/>
  <c r="AA95" i="29" s="1"/>
  <c r="AA59" i="24"/>
  <c r="AA76" i="24" s="1"/>
  <c r="AA103" i="24"/>
  <c r="AA81" i="24"/>
  <c r="BE59" i="24"/>
  <c r="BE76" i="24" s="1"/>
  <c r="BE79" i="29"/>
  <c r="BE78" i="29" s="1"/>
  <c r="BE95" i="29" s="1"/>
  <c r="BE103" i="24"/>
  <c r="BE81" i="24"/>
  <c r="T88" i="10" l="1"/>
  <c r="AU71" i="2"/>
  <c r="AT71" i="2" s="1"/>
  <c r="BK122" i="29"/>
  <c r="AG104" i="24"/>
  <c r="AG123" i="29" s="1"/>
  <c r="O104" i="24"/>
  <c r="O123" i="29" s="1"/>
  <c r="N122" i="29"/>
  <c r="Y122" i="29"/>
  <c r="BA122" i="29"/>
  <c r="AB122" i="29"/>
  <c r="AM104" i="24"/>
  <c r="AM123" i="29" s="1"/>
  <c r="BD122" i="29"/>
  <c r="AE122" i="29"/>
  <c r="AH104" i="24"/>
  <c r="AH123" i="29" s="1"/>
  <c r="BH122" i="29"/>
  <c r="AY122" i="29"/>
  <c r="AN122" i="29"/>
  <c r="BM104" i="24"/>
  <c r="BM123" i="29" s="1"/>
  <c r="BC104" i="24"/>
  <c r="BC123" i="29" s="1"/>
  <c r="AW104" i="24"/>
  <c r="AW123" i="29" s="1"/>
  <c r="AW122" i="29"/>
  <c r="Q122" i="29"/>
  <c r="AR104" i="24"/>
  <c r="AR123" i="29" s="1"/>
  <c r="AR122" i="29"/>
  <c r="P33" i="23"/>
  <c r="P33" i="21" s="1"/>
  <c r="P32" i="23"/>
  <c r="O28" i="23" s="1"/>
  <c r="N123" i="29"/>
  <c r="BG104" i="24"/>
  <c r="BG123" i="29" s="1"/>
  <c r="BG122" i="29"/>
  <c r="BE104" i="24"/>
  <c r="BE123" i="29" s="1"/>
  <c r="BE122" i="29"/>
  <c r="AD100" i="29"/>
  <c r="X100" i="29"/>
  <c r="BE100" i="29"/>
  <c r="AA104" i="24"/>
  <c r="AA123" i="29" s="1"/>
  <c r="AA122" i="29"/>
  <c r="AV100" i="29"/>
  <c r="AK104" i="24"/>
  <c r="AK123" i="29" s="1"/>
  <c r="AK122" i="29"/>
  <c r="S104" i="24"/>
  <c r="S123" i="29" s="1"/>
  <c r="S122" i="29"/>
  <c r="I43" i="21"/>
  <c r="H43" i="21"/>
  <c r="V100" i="29"/>
  <c r="W100" i="29"/>
  <c r="AO100" i="29"/>
  <c r="AT104" i="24"/>
  <c r="AT123" i="29" s="1"/>
  <c r="AT122" i="29"/>
  <c r="AS104" i="24"/>
  <c r="AS123" i="29" s="1"/>
  <c r="AS122" i="29"/>
  <c r="AF100" i="29"/>
  <c r="BI104" i="24"/>
  <c r="BI123" i="29" s="1"/>
  <c r="BI122" i="29"/>
  <c r="AF104" i="24"/>
  <c r="AF123" i="29" s="1"/>
  <c r="AF122" i="29"/>
  <c r="BF100" i="29"/>
  <c r="BI100" i="29"/>
  <c r="AV104" i="24"/>
  <c r="AV123" i="29" s="1"/>
  <c r="AV122" i="29"/>
  <c r="U104" i="24"/>
  <c r="U123" i="29" s="1"/>
  <c r="U122" i="29"/>
  <c r="AO104" i="24"/>
  <c r="AO123" i="29" s="1"/>
  <c r="AO122" i="29"/>
  <c r="BF104" i="24"/>
  <c r="BF123" i="29" s="1"/>
  <c r="BF122" i="29"/>
  <c r="AA100" i="29"/>
  <c r="E59" i="24"/>
  <c r="AT71" i="25" s="1"/>
  <c r="H23" i="21"/>
  <c r="I23" i="21"/>
  <c r="R100" i="29"/>
  <c r="AS100" i="29"/>
  <c r="BB100" i="29"/>
  <c r="AK100" i="29"/>
  <c r="V104" i="24"/>
  <c r="V123" i="29" s="1"/>
  <c r="V122" i="29"/>
  <c r="AC100" i="29"/>
  <c r="U41" i="23"/>
  <c r="T148" i="10" s="1"/>
  <c r="E76" i="24"/>
  <c r="N81" i="24"/>
  <c r="R104" i="24"/>
  <c r="R123" i="29" s="1"/>
  <c r="R122" i="29"/>
  <c r="BB104" i="24"/>
  <c r="BB123" i="29" s="1"/>
  <c r="BB122" i="29"/>
  <c r="S100" i="29"/>
  <c r="AQ104" i="24"/>
  <c r="AQ123" i="29" s="1"/>
  <c r="AQ122" i="29"/>
  <c r="AC104" i="24"/>
  <c r="AC123" i="29" s="1"/>
  <c r="AC122" i="29"/>
  <c r="AT100" i="29"/>
  <c r="BG100" i="29"/>
  <c r="AZ100" i="29"/>
  <c r="AJ100" i="29"/>
  <c r="Z104" i="24"/>
  <c r="Z123" i="29" s="1"/>
  <c r="Z122" i="29"/>
  <c r="AQ100" i="29"/>
  <c r="AD104" i="24"/>
  <c r="AD123" i="29" s="1"/>
  <c r="AD122" i="29"/>
  <c r="R78" i="29"/>
  <c r="E79" i="29"/>
  <c r="R88" i="10" s="1"/>
  <c r="U100" i="29"/>
  <c r="AZ104" i="24"/>
  <c r="AZ123" i="29" s="1"/>
  <c r="AZ122" i="29"/>
  <c r="AJ104" i="24"/>
  <c r="AJ123" i="29" s="1"/>
  <c r="AJ122" i="29"/>
  <c r="Z100" i="29"/>
  <c r="T87" i="10"/>
  <c r="J88" i="10" l="1"/>
  <c r="K88" i="10"/>
  <c r="H88" i="10" s="1"/>
  <c r="AT75" i="2"/>
  <c r="AT103" i="2" s="1"/>
  <c r="AT111" i="2" s="1"/>
  <c r="L88" i="10"/>
  <c r="I88" i="10" s="1"/>
  <c r="P32" i="21"/>
  <c r="O28" i="21" s="1"/>
  <c r="O27" i="23"/>
  <c r="O29" i="23"/>
  <c r="U35" i="23"/>
  <c r="R87" i="10"/>
  <c r="R95" i="29"/>
  <c r="E78" i="29"/>
  <c r="W103" i="24" l="1"/>
  <c r="W104" i="24" s="1"/>
  <c r="W123" i="29" s="1"/>
  <c r="X103" i="24"/>
  <c r="T81" i="24"/>
  <c r="T100" i="29" s="1"/>
  <c r="T103" i="24"/>
  <c r="P81" i="24"/>
  <c r="P103" i="24"/>
  <c r="AS79" i="2"/>
  <c r="AS107" i="2" s="1"/>
  <c r="AS115" i="2" s="1"/>
  <c r="AS78" i="2"/>
  <c r="AS106" i="2" s="1"/>
  <c r="AS114" i="2" s="1"/>
  <c r="AS76" i="2"/>
  <c r="AS104" i="2" s="1"/>
  <c r="AS112" i="2" s="1"/>
  <c r="AT70" i="2"/>
  <c r="AT78" i="2"/>
  <c r="AT106" i="2" s="1"/>
  <c r="AT114" i="2" s="1"/>
  <c r="AT76" i="2"/>
  <c r="AT104" i="2" s="1"/>
  <c r="AT112" i="2" s="1"/>
  <c r="AS77" i="2"/>
  <c r="AS105" i="2" s="1"/>
  <c r="AS113" i="2" s="1"/>
  <c r="AS75" i="2"/>
  <c r="AS103" i="2" s="1"/>
  <c r="AS111" i="2" s="1"/>
  <c r="AT79" i="2"/>
  <c r="AT107" i="2" s="1"/>
  <c r="AT115" i="2" s="1"/>
  <c r="AT77" i="2"/>
  <c r="AT105" i="2" s="1"/>
  <c r="AT113" i="2" s="1"/>
  <c r="J87" i="10"/>
  <c r="K87" i="10"/>
  <c r="H87" i="10" s="1"/>
  <c r="M88" i="10"/>
  <c r="O27" i="21"/>
  <c r="O29" i="21"/>
  <c r="L87" i="10"/>
  <c r="U50" i="23"/>
  <c r="U50" i="21" s="1"/>
  <c r="E95" i="29"/>
  <c r="U41" i="21"/>
  <c r="U35" i="21"/>
  <c r="AS76" i="25"/>
  <c r="AS104" i="25" s="1"/>
  <c r="AS112" i="25" s="1"/>
  <c r="AS78" i="25"/>
  <c r="AS106" i="25" s="1"/>
  <c r="AS114" i="25" s="1"/>
  <c r="AS79" i="25"/>
  <c r="AS107" i="25" s="1"/>
  <c r="AS115" i="25" s="1"/>
  <c r="AT78" i="25"/>
  <c r="AT106" i="25" s="1"/>
  <c r="AT114" i="25" s="1"/>
  <c r="AT76" i="25"/>
  <c r="AT104" i="25" s="1"/>
  <c r="AT112" i="25" s="1"/>
  <c r="AS77" i="25"/>
  <c r="AS105" i="25" s="1"/>
  <c r="AS113" i="25" s="1"/>
  <c r="AT77" i="25"/>
  <c r="AT105" i="25" s="1"/>
  <c r="AT113" i="25" s="1"/>
  <c r="AT70" i="25"/>
  <c r="AT79" i="25"/>
  <c r="AT107" i="25" s="1"/>
  <c r="AT115" i="25" s="1"/>
  <c r="AT75" i="25"/>
  <c r="AT103" i="25" s="1"/>
  <c r="AT111" i="25" s="1"/>
  <c r="AS75" i="25"/>
  <c r="AS103" i="25" s="1"/>
  <c r="W122" i="29" l="1"/>
  <c r="X104" i="24"/>
  <c r="X123" i="29" s="1"/>
  <c r="X122" i="29"/>
  <c r="R148" i="10"/>
  <c r="K148" i="10" s="1"/>
  <c r="AB44" i="33"/>
  <c r="AD44" i="33" s="1"/>
  <c r="T104" i="24"/>
  <c r="T123" i="29" s="1"/>
  <c r="T122" i="29"/>
  <c r="P122" i="29"/>
  <c r="P104" i="24"/>
  <c r="P123" i="29" s="1"/>
  <c r="P100" i="29"/>
  <c r="E81" i="24"/>
  <c r="E103" i="24"/>
  <c r="P37" i="23" s="1"/>
  <c r="P37" i="21" s="1"/>
  <c r="AQ179" i="29"/>
  <c r="AS110" i="2"/>
  <c r="AT110" i="2"/>
  <c r="BA179" i="29"/>
  <c r="O160" i="3"/>
  <c r="AF179" i="29"/>
  <c r="AS179" i="29"/>
  <c r="I160" i="3"/>
  <c r="T160" i="3"/>
  <c r="R160" i="3"/>
  <c r="G160" i="3"/>
  <c r="Y160" i="3"/>
  <c r="X160" i="3"/>
  <c r="Z179" i="29"/>
  <c r="AO160" i="3"/>
  <c r="W179" i="29"/>
  <c r="S179" i="29"/>
  <c r="AH160" i="3"/>
  <c r="Y179" i="29"/>
  <c r="BG160" i="3"/>
  <c r="AL160" i="3"/>
  <c r="AE179" i="29"/>
  <c r="AY179" i="29"/>
  <c r="AS160" i="3"/>
  <c r="AL179" i="29"/>
  <c r="BC179" i="29"/>
  <c r="AJ160" i="3"/>
  <c r="BB160" i="3"/>
  <c r="AP160" i="3"/>
  <c r="AJ179" i="29"/>
  <c r="BI160" i="3"/>
  <c r="BD179" i="29"/>
  <c r="S160" i="3"/>
  <c r="AG160" i="3"/>
  <c r="AD179" i="29"/>
  <c r="I179" i="29"/>
  <c r="BF179" i="29"/>
  <c r="T179" i="29"/>
  <c r="AN160" i="3"/>
  <c r="X179" i="29"/>
  <c r="AE160" i="3"/>
  <c r="BG179" i="29"/>
  <c r="BE160" i="3"/>
  <c r="AK179" i="29"/>
  <c r="AU179" i="29"/>
  <c r="AC160" i="3"/>
  <c r="AI160" i="3"/>
  <c r="AD160" i="3"/>
  <c r="K179" i="29"/>
  <c r="BH179" i="29"/>
  <c r="N160" i="3"/>
  <c r="AZ179" i="29"/>
  <c r="AP179" i="29"/>
  <c r="AQ160" i="3"/>
  <c r="BH160" i="3"/>
  <c r="L179" i="29"/>
  <c r="BC160" i="3"/>
  <c r="AW160" i="3"/>
  <c r="AR179" i="29"/>
  <c r="AK160" i="3"/>
  <c r="BM160" i="3"/>
  <c r="P179" i="29"/>
  <c r="H160" i="3"/>
  <c r="J179" i="29"/>
  <c r="BJ179" i="29"/>
  <c r="R179" i="29"/>
  <c r="L160" i="3"/>
  <c r="AR160" i="3"/>
  <c r="J160" i="3"/>
  <c r="AA160" i="3"/>
  <c r="AN179" i="29"/>
  <c r="Z160" i="3"/>
  <c r="P160" i="3"/>
  <c r="W160" i="3"/>
  <c r="AV179" i="29"/>
  <c r="AB179" i="29"/>
  <c r="V179" i="29"/>
  <c r="AB160" i="3"/>
  <c r="AM179" i="29"/>
  <c r="O179" i="29"/>
  <c r="BB179" i="29"/>
  <c r="AZ160" i="3"/>
  <c r="AY160" i="3"/>
  <c r="AX179" i="29"/>
  <c r="AG179" i="29"/>
  <c r="K160" i="3"/>
  <c r="Q160" i="3"/>
  <c r="AX160" i="3"/>
  <c r="AM160" i="3"/>
  <c r="AW179" i="29"/>
  <c r="AV160" i="3"/>
  <c r="H179" i="29"/>
  <c r="AO179" i="29"/>
  <c r="V160" i="3"/>
  <c r="BJ160" i="3"/>
  <c r="Q179" i="29"/>
  <c r="BK179" i="29"/>
  <c r="AT160" i="3"/>
  <c r="BA160" i="3"/>
  <c r="BE179" i="29"/>
  <c r="G179" i="29"/>
  <c r="BD160" i="3"/>
  <c r="BF160" i="3"/>
  <c r="BK160" i="3"/>
  <c r="M179" i="29"/>
  <c r="U179" i="29"/>
  <c r="N179" i="29"/>
  <c r="M160" i="3"/>
  <c r="AU160" i="3"/>
  <c r="AC179" i="29"/>
  <c r="F179" i="29"/>
  <c r="F182" i="29" s="1"/>
  <c r="F183" i="29" s="1"/>
  <c r="F184" i="29" s="1"/>
  <c r="AA179" i="29"/>
  <c r="BM179" i="29"/>
  <c r="AF160" i="3"/>
  <c r="AT179" i="29"/>
  <c r="BL179" i="29"/>
  <c r="U160" i="3"/>
  <c r="BI179" i="29"/>
  <c r="BL160" i="3"/>
  <c r="F160" i="3"/>
  <c r="F163" i="3" s="1"/>
  <c r="F164" i="3" s="1"/>
  <c r="F165" i="3" s="1"/>
  <c r="AI179" i="29"/>
  <c r="AH179" i="29"/>
  <c r="L148" i="10"/>
  <c r="I87" i="10"/>
  <c r="M87" i="10"/>
  <c r="K160" i="24"/>
  <c r="K163" i="24" s="1"/>
  <c r="I160" i="24"/>
  <c r="I163" i="24" s="1"/>
  <c r="M160" i="24"/>
  <c r="M163" i="24" s="1"/>
  <c r="O160" i="24"/>
  <c r="AS111" i="25"/>
  <c r="AS110" i="25" s="1"/>
  <c r="H160" i="24"/>
  <c r="H163" i="24" s="1"/>
  <c r="L160" i="24"/>
  <c r="L163" i="24" s="1"/>
  <c r="J160" i="24"/>
  <c r="J163" i="24" s="1"/>
  <c r="R160" i="24"/>
  <c r="G160" i="24"/>
  <c r="G163" i="24" s="1"/>
  <c r="P160" i="24"/>
  <c r="S160" i="24"/>
  <c r="T160" i="24"/>
  <c r="V160" i="24"/>
  <c r="W160" i="24"/>
  <c r="U160" i="24"/>
  <c r="X160" i="24"/>
  <c r="Z160" i="24"/>
  <c r="Y160" i="24"/>
  <c r="AD160" i="24"/>
  <c r="AB160" i="24"/>
  <c r="AA160" i="24"/>
  <c r="AF160" i="24"/>
  <c r="AH160" i="24"/>
  <c r="AC160" i="24"/>
  <c r="AK160" i="24"/>
  <c r="AG160" i="24"/>
  <c r="AE160" i="24"/>
  <c r="AN160" i="24"/>
  <c r="AO160" i="24"/>
  <c r="AJ160" i="24"/>
  <c r="AI160" i="24"/>
  <c r="AL160" i="24"/>
  <c r="AW160" i="24"/>
  <c r="AU160" i="24"/>
  <c r="BC160" i="24"/>
  <c r="AP160" i="24"/>
  <c r="AM160" i="24"/>
  <c r="AS160" i="24"/>
  <c r="AT160" i="24"/>
  <c r="AV160" i="24"/>
  <c r="AR160" i="24"/>
  <c r="AQ160" i="24"/>
  <c r="AY160" i="24"/>
  <c r="BB160" i="24"/>
  <c r="BA160" i="24"/>
  <c r="AX160" i="24"/>
  <c r="BE160" i="24"/>
  <c r="F160" i="24"/>
  <c r="AZ160" i="24"/>
  <c r="Q160" i="24"/>
  <c r="BG160" i="24"/>
  <c r="BF160" i="24"/>
  <c r="BI160" i="24"/>
  <c r="BD160" i="24"/>
  <c r="BK160" i="24"/>
  <c r="BM160" i="24"/>
  <c r="BL160" i="24"/>
  <c r="N160" i="24"/>
  <c r="N163" i="24" s="1"/>
  <c r="BJ160" i="24"/>
  <c r="BH160" i="24"/>
  <c r="AT110" i="25"/>
  <c r="M148" i="10" l="1"/>
  <c r="J148" i="10"/>
  <c r="E123" i="29"/>
  <c r="R124" i="10" s="1"/>
  <c r="E122" i="29"/>
  <c r="T131" i="10"/>
  <c r="T130" i="10" s="1"/>
  <c r="L130" i="10" s="1"/>
  <c r="P40" i="23"/>
  <c r="E104" i="24"/>
  <c r="T124" i="10" s="1"/>
  <c r="E179" i="29"/>
  <c r="E160" i="3"/>
  <c r="AU110" i="2" s="1"/>
  <c r="E160" i="24"/>
  <c r="AU110" i="25" s="1"/>
  <c r="F163" i="24"/>
  <c r="F127" i="3"/>
  <c r="K124" i="10" l="1"/>
  <c r="H124" i="10" s="1"/>
  <c r="J124" i="10"/>
  <c r="L131" i="10"/>
  <c r="I131" i="10" s="1"/>
  <c r="L124" i="10"/>
  <c r="I124" i="10" s="1"/>
  <c r="I130" i="10"/>
  <c r="F164" i="24"/>
  <c r="F165" i="24" s="1"/>
  <c r="F111" i="3"/>
  <c r="M124" i="10" l="1"/>
  <c r="F178" i="3"/>
  <c r="G164" i="24"/>
  <c r="G165" i="24" s="1"/>
  <c r="H164" i="24" l="1"/>
  <c r="F179" i="3"/>
  <c r="F180" i="3" s="1"/>
  <c r="F182" i="3" s="1"/>
  <c r="F183" i="3" s="1"/>
  <c r="F184" i="3" s="1"/>
  <c r="F185" i="3" s="1"/>
  <c r="F186" i="3" s="1"/>
  <c r="F87" i="3"/>
  <c r="F90" i="3" l="1"/>
  <c r="F106" i="29"/>
  <c r="F109" i="3"/>
  <c r="F79" i="3"/>
  <c r="F169" i="3" s="1"/>
  <c r="I164" i="24"/>
  <c r="I165" i="24" s="1"/>
  <c r="H165" i="24"/>
  <c r="F98" i="29" l="1"/>
  <c r="F128" i="29"/>
  <c r="F109" i="29"/>
  <c r="F92" i="3"/>
  <c r="J164" i="24"/>
  <c r="J165" i="24" s="1"/>
  <c r="G162" i="3" l="1"/>
  <c r="F111" i="29"/>
  <c r="K164" i="24"/>
  <c r="F190" i="29"/>
  <c r="F186" i="29"/>
  <c r="L164" i="24" l="1"/>
  <c r="L165" i="24" s="1"/>
  <c r="K165" i="24"/>
  <c r="G163" i="3"/>
  <c r="F188" i="29"/>
  <c r="G181" i="29"/>
  <c r="G164" i="3" l="1"/>
  <c r="G165" i="3" s="1"/>
  <c r="G182" i="29"/>
  <c r="M164" i="24"/>
  <c r="M165" i="24" s="1"/>
  <c r="G183" i="29" l="1"/>
  <c r="G184" i="29" s="1"/>
  <c r="G127" i="3"/>
  <c r="N164" i="24"/>
  <c r="N165" i="24" s="1"/>
  <c r="N127" i="24" s="1"/>
  <c r="G111" i="3" l="1"/>
  <c r="N111" i="24"/>
  <c r="N178" i="24" l="1"/>
  <c r="G178" i="3"/>
  <c r="G179" i="3" l="1"/>
  <c r="G180" i="3" s="1"/>
  <c r="G182" i="3" s="1"/>
  <c r="G183" i="3" s="1"/>
  <c r="G184" i="3" s="1"/>
  <c r="G185" i="3" s="1"/>
  <c r="G186" i="3" s="1"/>
  <c r="G87" i="3"/>
  <c r="N87" i="24"/>
  <c r="N88" i="24"/>
  <c r="N179" i="24" s="1"/>
  <c r="N91" i="24" l="1"/>
  <c r="N180" i="24" s="1"/>
  <c r="N90" i="24"/>
  <c r="N181" i="24"/>
  <c r="N95" i="24" s="1"/>
  <c r="G106" i="29"/>
  <c r="G181" i="3"/>
  <c r="G95" i="3" s="1"/>
  <c r="G109" i="3" s="1"/>
  <c r="G79" i="3" l="1"/>
  <c r="G200" i="29"/>
  <c r="N92" i="24"/>
  <c r="N93" i="24"/>
  <c r="N182" i="24" s="1"/>
  <c r="G190" i="3"/>
  <c r="G114" i="29"/>
  <c r="G128" i="29" l="1"/>
  <c r="G209" i="29"/>
  <c r="G169" i="3"/>
  <c r="G190" i="29"/>
  <c r="N96" i="24"/>
  <c r="N183" i="24" s="1"/>
  <c r="G186" i="29"/>
  <c r="G198" i="3"/>
  <c r="G193" i="3"/>
  <c r="G192" i="3" s="1"/>
  <c r="G191" i="3"/>
  <c r="G98" i="29"/>
  <c r="G98" i="3" l="1"/>
  <c r="G100" i="3" s="1"/>
  <c r="G90" i="3"/>
  <c r="G188" i="29"/>
  <c r="G212" i="29"/>
  <c r="G211" i="29" s="1"/>
  <c r="G217" i="29"/>
  <c r="G210" i="29"/>
  <c r="N99" i="24"/>
  <c r="N184" i="24" s="1"/>
  <c r="N109" i="24"/>
  <c r="N190" i="24"/>
  <c r="G117" i="29" l="1"/>
  <c r="G109" i="29"/>
  <c r="G92" i="3"/>
  <c r="G111" i="29" s="1"/>
  <c r="N101" i="24"/>
  <c r="N191" i="24"/>
  <c r="N193" i="24"/>
  <c r="N192" i="24" s="1"/>
  <c r="G119" i="29"/>
  <c r="H162" i="3" l="1"/>
  <c r="H163" i="3" s="1"/>
  <c r="H181" i="29"/>
  <c r="N185" i="24"/>
  <c r="N82" i="24" l="1"/>
  <c r="N186" i="24" s="1"/>
  <c r="N85" i="24" s="1"/>
  <c r="H164" i="3"/>
  <c r="H165" i="3" s="1"/>
  <c r="H182" i="29"/>
  <c r="H127" i="3" l="1"/>
  <c r="H183" i="29"/>
  <c r="H184" i="29" s="1"/>
  <c r="N79" i="24"/>
  <c r="N84" i="24"/>
  <c r="N171" i="24" l="1"/>
  <c r="N169" i="24"/>
  <c r="H111" i="3"/>
  <c r="H178" i="3" l="1"/>
  <c r="H179" i="3" l="1"/>
  <c r="H180" i="3" s="1"/>
  <c r="H182" i="3" s="1"/>
  <c r="H183" i="3" s="1"/>
  <c r="H184" i="3" s="1"/>
  <c r="H185" i="3" s="1"/>
  <c r="H186" i="3" s="1"/>
  <c r="H87" i="3"/>
  <c r="H106" i="29" l="1"/>
  <c r="H181" i="3"/>
  <c r="H95" i="3" s="1"/>
  <c r="H79" i="3" s="1"/>
  <c r="H169" i="3" s="1"/>
  <c r="H109" i="3" l="1"/>
  <c r="H114" i="29"/>
  <c r="H190" i="3"/>
  <c r="H200" i="29"/>
  <c r="H128" i="29" l="1"/>
  <c r="H209" i="29"/>
  <c r="H98" i="29"/>
  <c r="H193" i="3"/>
  <c r="H192" i="3" s="1"/>
  <c r="H191" i="3"/>
  <c r="H198" i="3"/>
  <c r="H186" i="29"/>
  <c r="H190" i="29"/>
  <c r="H98" i="3" l="1"/>
  <c r="H117" i="29" s="1"/>
  <c r="H90" i="3"/>
  <c r="H188" i="29"/>
  <c r="H210" i="29"/>
  <c r="H217" i="29"/>
  <c r="H212" i="29"/>
  <c r="H211" i="29" s="1"/>
  <c r="H100" i="3" l="1"/>
  <c r="H119" i="29" s="1"/>
  <c r="H109" i="29"/>
  <c r="H92" i="3"/>
  <c r="H111" i="29" s="1"/>
  <c r="I162" i="3" l="1"/>
  <c r="I163" i="3" s="1"/>
  <c r="I181" i="29"/>
  <c r="I182" i="29" l="1"/>
  <c r="I164" i="3"/>
  <c r="I165" i="3" s="1"/>
  <c r="I127" i="3" l="1"/>
  <c r="I183" i="29"/>
  <c r="I184" i="29" s="1"/>
  <c r="I111" i="3" l="1"/>
  <c r="I178" i="3" l="1"/>
  <c r="I179" i="3" l="1"/>
  <c r="I180" i="3" s="1"/>
  <c r="I182" i="3" s="1"/>
  <c r="I183" i="3" s="1"/>
  <c r="I184" i="3" s="1"/>
  <c r="I185" i="3" s="1"/>
  <c r="I186" i="3" s="1"/>
  <c r="I87" i="3"/>
  <c r="I106" i="29" l="1"/>
  <c r="I181" i="3"/>
  <c r="I95" i="3" s="1"/>
  <c r="I79" i="3" s="1"/>
  <c r="I169" i="3" s="1"/>
  <c r="I109" i="3" l="1"/>
  <c r="I114" i="29"/>
  <c r="I190" i="3"/>
  <c r="I200" i="29"/>
  <c r="I128" i="29" l="1"/>
  <c r="I209" i="29"/>
  <c r="I98" i="29"/>
  <c r="I191" i="3"/>
  <c r="I193" i="3"/>
  <c r="I192" i="3" s="1"/>
  <c r="I198" i="3"/>
  <c r="I186" i="29"/>
  <c r="I190" i="29"/>
  <c r="I98" i="3" l="1"/>
  <c r="I117" i="29" s="1"/>
  <c r="I90" i="3"/>
  <c r="I188" i="29"/>
  <c r="I217" i="29"/>
  <c r="I212" i="29"/>
  <c r="I211" i="29" s="1"/>
  <c r="I210" i="29"/>
  <c r="I100" i="3" l="1"/>
  <c r="I119" i="29" s="1"/>
  <c r="I109" i="29"/>
  <c r="I92" i="3"/>
  <c r="I111" i="29" s="1"/>
  <c r="J162" i="3" l="1"/>
  <c r="J163" i="3" s="1"/>
  <c r="J181" i="29"/>
  <c r="J182" i="29" l="1"/>
  <c r="J164" i="3"/>
  <c r="J165" i="3" s="1"/>
  <c r="J127" i="3" l="1"/>
  <c r="J183" i="29"/>
  <c r="J184" i="29" s="1"/>
  <c r="J111" i="3" l="1"/>
  <c r="J178" i="3" l="1"/>
  <c r="J179" i="3" l="1"/>
  <c r="J180" i="3" s="1"/>
  <c r="J182" i="3" s="1"/>
  <c r="J183" i="3" s="1"/>
  <c r="J184" i="3" s="1"/>
  <c r="J185" i="3" s="1"/>
  <c r="J186" i="3" s="1"/>
  <c r="J87" i="3"/>
  <c r="J106" i="29" l="1"/>
  <c r="J181" i="3"/>
  <c r="J95" i="3" s="1"/>
  <c r="J114" i="29" l="1"/>
  <c r="J190" i="3"/>
  <c r="J109" i="3"/>
  <c r="J79" i="3"/>
  <c r="J169" i="3" s="1"/>
  <c r="J200" i="29"/>
  <c r="J98" i="29" l="1"/>
  <c r="J209" i="29"/>
  <c r="J128" i="29"/>
  <c r="J198" i="3"/>
  <c r="J191" i="3"/>
  <c r="J193" i="3"/>
  <c r="J192" i="3" s="1"/>
  <c r="J98" i="3" l="1"/>
  <c r="J100" i="3" s="1"/>
  <c r="J90" i="3"/>
  <c r="J210" i="29"/>
  <c r="J212" i="29"/>
  <c r="J211" i="29" s="1"/>
  <c r="J217" i="29"/>
  <c r="J190" i="29"/>
  <c r="J186" i="29"/>
  <c r="J117" i="29" l="1"/>
  <c r="J109" i="29"/>
  <c r="J92" i="3"/>
  <c r="J111" i="29" s="1"/>
  <c r="J119" i="29"/>
  <c r="J188" i="29"/>
  <c r="K162" i="3" l="1"/>
  <c r="K163" i="3" s="1"/>
  <c r="K181" i="29"/>
  <c r="K164" i="3" l="1"/>
  <c r="K165" i="3" s="1"/>
  <c r="K127" i="3" s="1"/>
  <c r="K182" i="29"/>
  <c r="K183" i="29" l="1"/>
  <c r="K184" i="29" s="1"/>
  <c r="K111" i="3"/>
  <c r="K178" i="3" s="1"/>
  <c r="K87" i="3" l="1"/>
  <c r="K179" i="3"/>
  <c r="K180" i="3" s="1"/>
  <c r="K182" i="3" s="1"/>
  <c r="K183" i="3" s="1"/>
  <c r="K184" i="3" s="1"/>
  <c r="K185" i="3" s="1"/>
  <c r="K186" i="3" s="1"/>
  <c r="K106" i="29" l="1"/>
  <c r="K181" i="3"/>
  <c r="K95" i="3" s="1"/>
  <c r="K109" i="3" s="1"/>
  <c r="K114" i="29" l="1"/>
  <c r="K190" i="3"/>
  <c r="K200" i="29"/>
  <c r="K79" i="3"/>
  <c r="K169" i="3" s="1"/>
  <c r="K128" i="29" l="1"/>
  <c r="K209" i="29"/>
  <c r="K98" i="29"/>
  <c r="K198" i="3"/>
  <c r="K191" i="3"/>
  <c r="K193" i="3"/>
  <c r="K192" i="3" s="1"/>
  <c r="K190" i="29"/>
  <c r="K98" i="3" l="1"/>
  <c r="K117" i="29" s="1"/>
  <c r="K90" i="3"/>
  <c r="K186" i="29"/>
  <c r="K188" i="29" s="1"/>
  <c r="K217" i="29"/>
  <c r="K210" i="29"/>
  <c r="K212" i="29"/>
  <c r="K211" i="29" s="1"/>
  <c r="K100" i="3" l="1"/>
  <c r="K119" i="29" s="1"/>
  <c r="K109" i="29"/>
  <c r="K92" i="3"/>
  <c r="K111" i="29" s="1"/>
  <c r="L162" i="3" l="1"/>
  <c r="L163" i="3" s="1"/>
  <c r="L164" i="3" s="1"/>
  <c r="L165" i="3" s="1"/>
  <c r="L127" i="3" s="1"/>
  <c r="L181" i="29"/>
  <c r="L182" i="29" s="1"/>
  <c r="L183" i="29" l="1"/>
  <c r="L184" i="29" s="1"/>
  <c r="L111" i="3"/>
  <c r="L178" i="3" s="1"/>
  <c r="L87" i="3" l="1"/>
  <c r="L179" i="3"/>
  <c r="L180" i="3" s="1"/>
  <c r="L182" i="3" s="1"/>
  <c r="L183" i="3" s="1"/>
  <c r="L184" i="3" s="1"/>
  <c r="L185" i="3" s="1"/>
  <c r="L186" i="3" s="1"/>
  <c r="L106" i="29" l="1"/>
  <c r="L181" i="3"/>
  <c r="L95" i="3" s="1"/>
  <c r="L114" i="29" l="1"/>
  <c r="L209" i="29" s="1"/>
  <c r="L190" i="3"/>
  <c r="L109" i="3"/>
  <c r="L200" i="29"/>
  <c r="L79" i="3"/>
  <c r="L169" i="3" s="1"/>
  <c r="L128" i="29" l="1"/>
  <c r="L98" i="29"/>
  <c r="L198" i="3"/>
  <c r="L193" i="3"/>
  <c r="L192" i="3" s="1"/>
  <c r="L191" i="3"/>
  <c r="L190" i="29"/>
  <c r="L210" i="29"/>
  <c r="L217" i="29"/>
  <c r="L212" i="29"/>
  <c r="L211" i="29" s="1"/>
  <c r="L98" i="3" l="1"/>
  <c r="L117" i="29" s="1"/>
  <c r="L90" i="3"/>
  <c r="L186" i="29"/>
  <c r="L188" i="29" s="1"/>
  <c r="L100" i="3" l="1"/>
  <c r="L119" i="29" s="1"/>
  <c r="L109" i="29"/>
  <c r="L92" i="3"/>
  <c r="L111" i="29" s="1"/>
  <c r="M162" i="3" l="1"/>
  <c r="M163" i="3" s="1"/>
  <c r="M164" i="3" s="1"/>
  <c r="M165" i="3" s="1"/>
  <c r="M127" i="3" s="1"/>
  <c r="M181" i="29"/>
  <c r="M182" i="29" s="1"/>
  <c r="M183" i="29" s="1"/>
  <c r="M184" i="29" s="1"/>
  <c r="M111" i="3" l="1"/>
  <c r="M178" i="3" s="1"/>
  <c r="M87" i="3" l="1"/>
  <c r="M179" i="3"/>
  <c r="M180" i="3" s="1"/>
  <c r="M182" i="3" s="1"/>
  <c r="M183" i="3" s="1"/>
  <c r="M184" i="3" s="1"/>
  <c r="M185" i="3" s="1"/>
  <c r="M186" i="3" s="1"/>
  <c r="M106" i="29" l="1"/>
  <c r="M181" i="3"/>
  <c r="M95" i="3" s="1"/>
  <c r="M114" i="29" l="1"/>
  <c r="M190" i="3"/>
  <c r="M79" i="3"/>
  <c r="M169" i="3" s="1"/>
  <c r="N81" i="3" s="1"/>
  <c r="M109" i="3"/>
  <c r="M200" i="29"/>
  <c r="N100" i="29" l="1"/>
  <c r="M209" i="29"/>
  <c r="M212" i="29" s="1"/>
  <c r="M211" i="29" s="1"/>
  <c r="M128" i="29"/>
  <c r="M98" i="29"/>
  <c r="M190" i="29"/>
  <c r="M193" i="3"/>
  <c r="M192" i="3" s="1"/>
  <c r="M198" i="3"/>
  <c r="M191" i="3"/>
  <c r="M217" i="29" l="1"/>
  <c r="M210" i="29"/>
  <c r="M98" i="3"/>
  <c r="M117" i="29" s="1"/>
  <c r="M90" i="3"/>
  <c r="M186" i="29"/>
  <c r="M188" i="29" s="1"/>
  <c r="M100" i="3" l="1"/>
  <c r="M109" i="29"/>
  <c r="M92" i="3"/>
  <c r="M111" i="29" s="1"/>
  <c r="N162" i="3" l="1"/>
  <c r="N163" i="3" s="1"/>
  <c r="N164" i="3" s="1"/>
  <c r="N165" i="3" s="1"/>
  <c r="N127" i="3" s="1"/>
  <c r="M119" i="29"/>
  <c r="N181" i="29" s="1"/>
  <c r="N182" i="29" s="1"/>
  <c r="N183" i="29" s="1"/>
  <c r="N184" i="29" s="1"/>
  <c r="N111" i="3" l="1"/>
  <c r="N178" i="3" s="1"/>
  <c r="N87" i="3" l="1"/>
  <c r="N88" i="3"/>
  <c r="N179" i="3" s="1"/>
  <c r="N107" i="29" l="1"/>
  <c r="N106" i="29"/>
  <c r="N181" i="3"/>
  <c r="N95" i="3" s="1"/>
  <c r="N114" i="29" s="1"/>
  <c r="N200" i="29" l="1"/>
  <c r="N186" i="29"/>
  <c r="N188" i="29" s="1"/>
  <c r="O186" i="29" l="1"/>
  <c r="O188" i="29" l="1"/>
  <c r="P186" i="29" l="1"/>
  <c r="P188" i="29" l="1"/>
  <c r="Q186" i="29" l="1"/>
  <c r="Q188" i="29" l="1"/>
  <c r="R186" i="29" l="1"/>
  <c r="R188" i="29" l="1"/>
  <c r="S186" i="29" l="1"/>
  <c r="S188" i="29" l="1"/>
  <c r="T186" i="29" l="1"/>
  <c r="T188" i="29" s="1"/>
  <c r="U186" i="29" l="1"/>
  <c r="U188" i="29" s="1"/>
  <c r="V186" i="29" l="1"/>
  <c r="V188" i="29" s="1"/>
  <c r="W186" i="29" l="1"/>
  <c r="W188" i="29" s="1"/>
  <c r="X200" i="29" l="1"/>
  <c r="X186" i="29" l="1"/>
  <c r="X188" i="29" s="1"/>
  <c r="Y200" i="29" l="1"/>
  <c r="Y186" i="29" l="1"/>
  <c r="Y188" i="29" s="1"/>
  <c r="Z200" i="29" l="1"/>
  <c r="Z186" i="29" l="1"/>
  <c r="Z188" i="29" s="1"/>
  <c r="AA200" i="29" l="1"/>
  <c r="AA186" i="29" l="1"/>
  <c r="AA188" i="29" s="1"/>
  <c r="AB200" i="29" s="1"/>
  <c r="AB186" i="29" l="1"/>
  <c r="AB188" i="29" s="1"/>
  <c r="AC200" i="29" s="1"/>
  <c r="AC186" i="29" l="1"/>
  <c r="AC188" i="29" s="1"/>
  <c r="AD200" i="29" l="1"/>
  <c r="AD186" i="29" l="1"/>
  <c r="AD188" i="29" s="1"/>
  <c r="AE200" i="29" s="1"/>
  <c r="AE186" i="29" l="1"/>
  <c r="AE188" i="29" s="1"/>
  <c r="AF200" i="29" s="1"/>
  <c r="N90" i="3" l="1"/>
  <c r="N91" i="3" s="1"/>
  <c r="N180" i="3" s="1"/>
  <c r="N110" i="29" l="1"/>
  <c r="N109" i="29"/>
  <c r="N92" i="3"/>
  <c r="N93" i="3" s="1"/>
  <c r="N182" i="3" s="1"/>
  <c r="N112" i="29" l="1"/>
  <c r="N111" i="29"/>
  <c r="N96" i="3"/>
  <c r="N190" i="3" l="1"/>
  <c r="N109" i="3"/>
  <c r="N115" i="29"/>
  <c r="N183" i="3"/>
  <c r="N128" i="29" l="1"/>
  <c r="N209" i="29"/>
  <c r="N191" i="3"/>
  <c r="N193" i="3"/>
  <c r="N192" i="3" s="1"/>
  <c r="N212" i="29" l="1"/>
  <c r="N211" i="29" s="1"/>
  <c r="N210" i="29"/>
  <c r="N217" i="29"/>
  <c r="N198" i="3" l="1"/>
  <c r="N98" i="3" s="1"/>
  <c r="N198" i="24"/>
  <c r="N98" i="24" s="1"/>
  <c r="N100" i="24" l="1"/>
  <c r="N117" i="29"/>
  <c r="N99" i="3"/>
  <c r="N100" i="3" s="1"/>
  <c r="O162" i="24" l="1"/>
  <c r="N119" i="29"/>
  <c r="N118" i="29"/>
  <c r="N184" i="3"/>
  <c r="O163" i="24" l="1"/>
  <c r="N101" i="3"/>
  <c r="N185" i="3" s="1"/>
  <c r="N186" i="3" l="1"/>
  <c r="N85" i="3" s="1"/>
  <c r="O164" i="24"/>
  <c r="O165" i="24" s="1"/>
  <c r="N120" i="29"/>
  <c r="O127" i="24" l="1"/>
  <c r="N104" i="29"/>
  <c r="N84" i="3"/>
  <c r="N171" i="3"/>
  <c r="N79" i="3"/>
  <c r="N101" i="29"/>
  <c r="N98" i="29" l="1"/>
  <c r="O111" i="24"/>
  <c r="N190" i="29"/>
  <c r="N169" i="3"/>
  <c r="O81" i="3" s="1"/>
  <c r="N103" i="29"/>
  <c r="O162" i="3"/>
  <c r="O100" i="29" l="1"/>
  <c r="E100" i="29" s="1"/>
  <c r="R131" i="10" s="1"/>
  <c r="E81" i="3"/>
  <c r="O163" i="3"/>
  <c r="O178" i="24"/>
  <c r="O181" i="29"/>
  <c r="P40" i="1" l="1"/>
  <c r="P40" i="21" s="1"/>
  <c r="S131" i="10"/>
  <c r="R130" i="10"/>
  <c r="J130" i="10" s="1"/>
  <c r="J131" i="10"/>
  <c r="O88" i="24"/>
  <c r="O179" i="24" s="1"/>
  <c r="O87" i="24"/>
  <c r="O164" i="3"/>
  <c r="O165" i="3" s="1"/>
  <c r="O182" i="29"/>
  <c r="S130" i="10" l="1"/>
  <c r="K130" i="10" s="1"/>
  <c r="K131" i="10"/>
  <c r="O127" i="3"/>
  <c r="O183" i="29"/>
  <c r="O184" i="29" s="1"/>
  <c r="O90" i="24"/>
  <c r="O181" i="24"/>
  <c r="O95" i="24" s="1"/>
  <c r="O91" i="24"/>
  <c r="O180" i="24" s="1"/>
  <c r="H131" i="10" l="1"/>
  <c r="M131" i="10"/>
  <c r="H130" i="10"/>
  <c r="M130" i="10"/>
  <c r="O93" i="24"/>
  <c r="O182" i="24" s="1"/>
  <c r="O92" i="24"/>
  <c r="O111" i="3"/>
  <c r="O178" i="3" l="1"/>
  <c r="O96" i="24"/>
  <c r="O183" i="24" s="1"/>
  <c r="O88" i="3" l="1"/>
  <c r="O87" i="3"/>
  <c r="O99" i="24"/>
  <c r="O184" i="24" s="1"/>
  <c r="O109" i="24"/>
  <c r="O190" i="24"/>
  <c r="O101" i="24" l="1"/>
  <c r="O185" i="24" s="1"/>
  <c r="O107" i="29"/>
  <c r="O90" i="3"/>
  <c r="O106" i="29"/>
  <c r="O181" i="3"/>
  <c r="O95" i="3" s="1"/>
  <c r="O191" i="24"/>
  <c r="O193" i="24"/>
  <c r="O192" i="24" s="1"/>
  <c r="O179" i="3"/>
  <c r="O200" i="29" l="1"/>
  <c r="O114" i="29"/>
  <c r="O109" i="29"/>
  <c r="O91" i="3"/>
  <c r="O92" i="3" s="1"/>
  <c r="O82" i="24"/>
  <c r="O180" i="3" l="1"/>
  <c r="O93" i="3" s="1"/>
  <c r="O182" i="3" s="1"/>
  <c r="O111" i="29"/>
  <c r="O84" i="24"/>
  <c r="O186" i="24"/>
  <c r="O85" i="24" s="1"/>
  <c r="O110" i="29"/>
  <c r="O112" i="29" l="1"/>
  <c r="O96" i="3"/>
  <c r="O183" i="3" s="1"/>
  <c r="O79" i="24"/>
  <c r="O169" i="24" l="1"/>
  <c r="O171" i="24"/>
  <c r="O115" i="29"/>
  <c r="O109" i="3"/>
  <c r="O190" i="3"/>
  <c r="O128" i="29" l="1"/>
  <c r="O209" i="29"/>
  <c r="O191" i="3"/>
  <c r="O193" i="3"/>
  <c r="O192" i="3" s="1"/>
  <c r="O212" i="29" l="1"/>
  <c r="O211" i="29" s="1"/>
  <c r="O210" i="29"/>
  <c r="O217" i="29"/>
  <c r="O198" i="3" l="1"/>
  <c r="O98" i="3" s="1"/>
  <c r="O99" i="3" s="1"/>
  <c r="O198" i="24"/>
  <c r="O98" i="24" s="1"/>
  <c r="O184" i="3" l="1"/>
  <c r="O118" i="29"/>
  <c r="O100" i="24"/>
  <c r="O117" i="29"/>
  <c r="O100" i="3"/>
  <c r="O101" i="3" l="1"/>
  <c r="O119" i="29"/>
  <c r="P162" i="24"/>
  <c r="O185" i="3" l="1"/>
  <c r="O120" i="29"/>
  <c r="P163" i="24"/>
  <c r="O186" i="3" l="1"/>
  <c r="O85" i="3" s="1"/>
  <c r="P164" i="24"/>
  <c r="P165" i="24" s="1"/>
  <c r="O171" i="3" l="1"/>
  <c r="O190" i="29" s="1"/>
  <c r="O104" i="29"/>
  <c r="O101" i="29"/>
  <c r="O84" i="3"/>
  <c r="O79" i="3"/>
  <c r="O169" i="3" s="1"/>
  <c r="P127" i="24"/>
  <c r="O98" i="29" l="1"/>
  <c r="O103" i="29"/>
  <c r="P181" i="29" s="1"/>
  <c r="P182" i="29" s="1"/>
  <c r="P183" i="29" s="1"/>
  <c r="P184" i="29" s="1"/>
  <c r="P162" i="3"/>
  <c r="P163" i="3" s="1"/>
  <c r="P164" i="3" s="1"/>
  <c r="P165" i="3" s="1"/>
  <c r="P127" i="3" s="1"/>
  <c r="P111" i="3" s="1"/>
  <c r="P111" i="24"/>
  <c r="F146" i="29"/>
  <c r="P178" i="3" l="1"/>
  <c r="F130" i="29"/>
  <c r="P178" i="24"/>
  <c r="P87" i="24" l="1"/>
  <c r="P88" i="24"/>
  <c r="P179" i="24" s="1"/>
  <c r="F197" i="29"/>
  <c r="F198" i="29" s="1"/>
  <c r="F199" i="29" s="1"/>
  <c r="F201" i="29" s="1"/>
  <c r="F202" i="29" s="1"/>
  <c r="F203" i="29" s="1"/>
  <c r="F204" i="29" s="1"/>
  <c r="F205" i="29" s="1"/>
  <c r="P87" i="3"/>
  <c r="P88" i="3"/>
  <c r="P179" i="3" s="1"/>
  <c r="P91" i="3" l="1"/>
  <c r="P180" i="3" s="1"/>
  <c r="P91" i="24"/>
  <c r="P180" i="24" s="1"/>
  <c r="P107" i="29"/>
  <c r="P106" i="29"/>
  <c r="P90" i="3"/>
  <c r="P181" i="3"/>
  <c r="P95" i="3" s="1"/>
  <c r="P92" i="3" l="1"/>
  <c r="P200" i="29"/>
  <c r="P114" i="29"/>
  <c r="P93" i="24"/>
  <c r="P182" i="24" s="1"/>
  <c r="P93" i="3"/>
  <c r="P182" i="3" s="1"/>
  <c r="P110" i="29"/>
  <c r="P96" i="3" l="1"/>
  <c r="P112" i="29"/>
  <c r="P96" i="24"/>
  <c r="P190" i="24" l="1"/>
  <c r="P109" i="24"/>
  <c r="P115" i="29"/>
  <c r="P109" i="3"/>
  <c r="P190" i="3"/>
  <c r="P183" i="24"/>
  <c r="P183" i="3"/>
  <c r="P99" i="24" l="1"/>
  <c r="P128" i="29"/>
  <c r="P209" i="29"/>
  <c r="P99" i="3"/>
  <c r="P184" i="3" s="1"/>
  <c r="P191" i="24"/>
  <c r="P193" i="24"/>
  <c r="P192" i="24" s="1"/>
  <c r="P191" i="3"/>
  <c r="P193" i="3"/>
  <c r="P192" i="3" s="1"/>
  <c r="P101" i="3" l="1"/>
  <c r="P185" i="3" s="1"/>
  <c r="P118" i="29"/>
  <c r="P217" i="29"/>
  <c r="P210" i="29"/>
  <c r="P212" i="29"/>
  <c r="P211" i="29" s="1"/>
  <c r="P184" i="24"/>
  <c r="P198" i="3" l="1"/>
  <c r="P98" i="3" s="1"/>
  <c r="P198" i="24"/>
  <c r="P195" i="24" s="1"/>
  <c r="P101" i="24"/>
  <c r="P120" i="29" s="1"/>
  <c r="P82" i="3"/>
  <c r="P186" i="3" s="1"/>
  <c r="P85" i="3" s="1"/>
  <c r="P98" i="24" l="1"/>
  <c r="P117" i="29" s="1"/>
  <c r="P90" i="24"/>
  <c r="P171" i="3"/>
  <c r="P79" i="3"/>
  <c r="P84" i="3"/>
  <c r="P185" i="24"/>
  <c r="P100" i="3"/>
  <c r="P100" i="24" l="1"/>
  <c r="P119" i="29" s="1"/>
  <c r="P109" i="29"/>
  <c r="P92" i="24"/>
  <c r="P111" i="29" s="1"/>
  <c r="P82" i="24"/>
  <c r="P169" i="3"/>
  <c r="Q162" i="3"/>
  <c r="Q163" i="3" l="1"/>
  <c r="P84" i="24"/>
  <c r="P101" i="29"/>
  <c r="P186" i="24"/>
  <c r="P85" i="24" s="1"/>
  <c r="P79" i="24" s="1"/>
  <c r="P169" i="24" l="1"/>
  <c r="Q162" i="24"/>
  <c r="P103" i="29"/>
  <c r="P104" i="29"/>
  <c r="P98" i="29" s="1"/>
  <c r="Q164" i="3"/>
  <c r="Q165" i="3" s="1"/>
  <c r="P171" i="24"/>
  <c r="P190" i="29" l="1"/>
  <c r="Q181" i="29"/>
  <c r="Q163" i="24"/>
  <c r="Q127" i="3"/>
  <c r="Q164" i="24" l="1"/>
  <c r="Q165" i="24" s="1"/>
  <c r="Q182" i="29"/>
  <c r="Q111" i="3"/>
  <c r="S129" i="12"/>
  <c r="Q127" i="24" l="1"/>
  <c r="Q183" i="29"/>
  <c r="Q184" i="29" s="1"/>
  <c r="Q178" i="3"/>
  <c r="Q88" i="3" l="1"/>
  <c r="Q179" i="3" s="1"/>
  <c r="Q87" i="3"/>
  <c r="G146" i="29"/>
  <c r="Q111" i="24"/>
  <c r="S132" i="12"/>
  <c r="Q91" i="3" l="1"/>
  <c r="Q180" i="3" s="1"/>
  <c r="Q178" i="24"/>
  <c r="G130" i="29"/>
  <c r="S128" i="12"/>
  <c r="S45" i="12" s="1"/>
  <c r="Q90" i="3"/>
  <c r="Q181" i="3"/>
  <c r="Q95" i="3" s="1"/>
  <c r="G197" i="29" l="1"/>
  <c r="G198" i="29" s="1"/>
  <c r="G199" i="29" s="1"/>
  <c r="G201" i="29" s="1"/>
  <c r="G202" i="29" s="1"/>
  <c r="G203" i="29" s="1"/>
  <c r="G204" i="29" s="1"/>
  <c r="G205" i="29" s="1"/>
  <c r="Q87" i="24"/>
  <c r="Q88" i="24"/>
  <c r="Q179" i="24" s="1"/>
  <c r="Q92" i="3"/>
  <c r="Q93" i="3"/>
  <c r="Q182" i="3" s="1"/>
  <c r="Q107" i="29" l="1"/>
  <c r="Q181" i="24"/>
  <c r="Q95" i="24" s="1"/>
  <c r="Q106" i="29"/>
  <c r="Q96" i="3"/>
  <c r="Q183" i="3" s="1"/>
  <c r="Q91" i="24"/>
  <c r="Q180" i="24" s="1"/>
  <c r="Q93" i="24" l="1"/>
  <c r="Q182" i="24" s="1"/>
  <c r="Q190" i="3"/>
  <c r="Q109" i="3"/>
  <c r="Q200" i="29"/>
  <c r="Q110" i="29"/>
  <c r="Q99" i="3"/>
  <c r="Q184" i="3" s="1"/>
  <c r="Q114" i="29"/>
  <c r="Q96" i="24" l="1"/>
  <c r="Q183" i="24" s="1"/>
  <c r="Q112" i="29"/>
  <c r="Q193" i="3"/>
  <c r="Q192" i="3" s="1"/>
  <c r="Q191" i="3"/>
  <c r="Q101" i="3"/>
  <c r="Q185" i="3" s="1"/>
  <c r="Q82" i="3" l="1"/>
  <c r="Q109" i="24"/>
  <c r="Q190" i="24"/>
  <c r="Q115" i="29"/>
  <c r="Q99" i="24"/>
  <c r="Q184" i="24" s="1"/>
  <c r="Q128" i="29" l="1"/>
  <c r="Q209" i="29"/>
  <c r="Q191" i="24"/>
  <c r="Q193" i="24"/>
  <c r="Q192" i="24" s="1"/>
  <c r="Q101" i="24"/>
  <c r="Q185" i="24" s="1"/>
  <c r="Q84" i="3"/>
  <c r="Q118" i="29"/>
  <c r="Q186" i="3"/>
  <c r="Q85" i="3" s="1"/>
  <c r="Q82" i="24" l="1"/>
  <c r="Q186" i="24" s="1"/>
  <c r="Q85" i="24" s="1"/>
  <c r="Q104" i="29" s="1"/>
  <c r="Q120" i="29"/>
  <c r="Q210" i="29"/>
  <c r="Q212" i="29"/>
  <c r="Q211" i="29" s="1"/>
  <c r="Q217" i="29"/>
  <c r="Q171" i="3"/>
  <c r="Q79" i="3"/>
  <c r="Q169" i="3" l="1"/>
  <c r="Q198" i="24"/>
  <c r="Q195" i="24" s="1"/>
  <c r="Q198" i="3"/>
  <c r="Q98" i="3" s="1"/>
  <c r="Q79" i="24"/>
  <c r="Q171" i="24" s="1"/>
  <c r="Q190" i="29" s="1"/>
  <c r="Q84" i="24"/>
  <c r="Q101" i="29"/>
  <c r="Q98" i="24" l="1"/>
  <c r="Q117" i="29" s="1"/>
  <c r="Q90" i="24"/>
  <c r="Q100" i="3"/>
  <c r="Q98" i="29"/>
  <c r="Q103" i="29"/>
  <c r="Q169" i="24"/>
  <c r="Q100" i="24" l="1"/>
  <c r="Q119" i="29" s="1"/>
  <c r="Q92" i="24"/>
  <c r="Q111" i="29" s="1"/>
  <c r="Q109" i="29"/>
  <c r="R162" i="3"/>
  <c r="R162" i="24" l="1"/>
  <c r="R163" i="24" s="1"/>
  <c r="R181" i="29"/>
  <c r="R163" i="3"/>
  <c r="R164" i="3" l="1"/>
  <c r="R165" i="3" s="1"/>
  <c r="R164" i="24"/>
  <c r="R165" i="24" s="1"/>
  <c r="R182" i="29"/>
  <c r="R127" i="24" l="1"/>
  <c r="R127" i="3"/>
  <c r="R183" i="29"/>
  <c r="R184" i="29" s="1"/>
  <c r="T129" i="12" l="1"/>
  <c r="R111" i="3"/>
  <c r="T132" i="12"/>
  <c r="R111" i="24"/>
  <c r="H146" i="29"/>
  <c r="R178" i="24" l="1"/>
  <c r="R178" i="3"/>
  <c r="T128" i="12"/>
  <c r="T45" i="12" s="1"/>
  <c r="H130" i="29"/>
  <c r="R88" i="3" l="1"/>
  <c r="R179" i="3" s="1"/>
  <c r="R87" i="3"/>
  <c r="H197" i="29"/>
  <c r="H198" i="29" s="1"/>
  <c r="H199" i="29" s="1"/>
  <c r="H201" i="29" s="1"/>
  <c r="H202" i="29" s="1"/>
  <c r="H203" i="29" s="1"/>
  <c r="H204" i="29" s="1"/>
  <c r="H205" i="29" s="1"/>
  <c r="R88" i="24"/>
  <c r="R179" i="24" s="1"/>
  <c r="R87" i="24"/>
  <c r="R91" i="3" l="1"/>
  <c r="R180" i="3" s="1"/>
  <c r="R91" i="24"/>
  <c r="R180" i="24" s="1"/>
  <c r="R181" i="24"/>
  <c r="R95" i="24" s="1"/>
  <c r="R106" i="29"/>
  <c r="R90" i="3"/>
  <c r="R181" i="3"/>
  <c r="R95" i="3" s="1"/>
  <c r="R107" i="29"/>
  <c r="R200" i="29" l="1"/>
  <c r="R92" i="3"/>
  <c r="R93" i="24"/>
  <c r="R182" i="24" s="1"/>
  <c r="R114" i="29"/>
  <c r="R93" i="3"/>
  <c r="R182" i="3" s="1"/>
  <c r="R110" i="29"/>
  <c r="R96" i="24" l="1"/>
  <c r="R183" i="24" s="1"/>
  <c r="R96" i="3"/>
  <c r="R183" i="3" s="1"/>
  <c r="R112" i="29"/>
  <c r="R99" i="3" l="1"/>
  <c r="R115" i="29"/>
  <c r="R109" i="3"/>
  <c r="R190" i="3"/>
  <c r="R99" i="24"/>
  <c r="R184" i="24" s="1"/>
  <c r="R109" i="24"/>
  <c r="R190" i="24"/>
  <c r="R101" i="24" l="1"/>
  <c r="R185" i="24" s="1"/>
  <c r="R193" i="3"/>
  <c r="R192" i="3" s="1"/>
  <c r="R191" i="3"/>
  <c r="R191" i="24"/>
  <c r="R193" i="24"/>
  <c r="R192" i="24" s="1"/>
  <c r="R209" i="29"/>
  <c r="R128" i="29"/>
  <c r="R118" i="29"/>
  <c r="R184" i="3"/>
  <c r="R101" i="3" l="1"/>
  <c r="R185" i="3" s="1"/>
  <c r="R217" i="29"/>
  <c r="R210" i="29"/>
  <c r="R212" i="29"/>
  <c r="R211" i="29" s="1"/>
  <c r="R82" i="24"/>
  <c r="R186" i="24" s="1"/>
  <c r="R85" i="24" s="1"/>
  <c r="R79" i="24" l="1"/>
  <c r="R171" i="24" s="1"/>
  <c r="R84" i="24"/>
  <c r="R198" i="3"/>
  <c r="R98" i="3" s="1"/>
  <c r="R198" i="24"/>
  <c r="R195" i="24" s="1"/>
  <c r="R82" i="3"/>
  <c r="R186" i="3" s="1"/>
  <c r="R85" i="3" s="1"/>
  <c r="R120" i="29"/>
  <c r="R98" i="24" l="1"/>
  <c r="R100" i="24" s="1"/>
  <c r="R90" i="24"/>
  <c r="R104" i="29"/>
  <c r="R100" i="3"/>
  <c r="R101" i="29"/>
  <c r="R171" i="3"/>
  <c r="R79" i="3"/>
  <c r="R84" i="3"/>
  <c r="R169" i="24"/>
  <c r="R117" i="29" l="1"/>
  <c r="R109" i="29"/>
  <c r="R92" i="24"/>
  <c r="R111" i="29" s="1"/>
  <c r="R190" i="29"/>
  <c r="R119" i="29"/>
  <c r="S162" i="3"/>
  <c r="R169" i="3"/>
  <c r="R103" i="29"/>
  <c r="R98" i="29"/>
  <c r="S162" i="24" l="1"/>
  <c r="S163" i="24" s="1"/>
  <c r="S163" i="3"/>
  <c r="S181" i="29"/>
  <c r="S164" i="3" l="1"/>
  <c r="S165" i="3" s="1"/>
  <c r="S164" i="24"/>
  <c r="S165" i="24" s="1"/>
  <c r="S182" i="29"/>
  <c r="S127" i="24" l="1"/>
  <c r="S183" i="29"/>
  <c r="S184" i="29" s="1"/>
  <c r="S127" i="3"/>
  <c r="U129" i="12" l="1"/>
  <c r="S111" i="3"/>
  <c r="U132" i="12"/>
  <c r="S111" i="24"/>
  <c r="I146" i="29"/>
  <c r="S178" i="3" l="1"/>
  <c r="I130" i="29"/>
  <c r="S178" i="24"/>
  <c r="U128" i="12"/>
  <c r="U45" i="12" s="1"/>
  <c r="S88" i="24" l="1"/>
  <c r="S179" i="24" s="1"/>
  <c r="S87" i="24"/>
  <c r="S88" i="3"/>
  <c r="S179" i="3" s="1"/>
  <c r="S87" i="3"/>
  <c r="I197" i="29"/>
  <c r="I198" i="29" s="1"/>
  <c r="I199" i="29" s="1"/>
  <c r="I201" i="29" s="1"/>
  <c r="I202" i="29" s="1"/>
  <c r="I203" i="29" s="1"/>
  <c r="I204" i="29" s="1"/>
  <c r="I205" i="29" s="1"/>
  <c r="S91" i="24" l="1"/>
  <c r="S180" i="24" s="1"/>
  <c r="S91" i="3"/>
  <c r="S180" i="3" s="1"/>
  <c r="S106" i="29"/>
  <c r="S90" i="3"/>
  <c r="E87" i="3"/>
  <c r="S109" i="10" s="1"/>
  <c r="T88" i="3"/>
  <c r="T90" i="3" s="1"/>
  <c r="S181" i="3"/>
  <c r="S95" i="3" s="1"/>
  <c r="S107" i="29"/>
  <c r="S181" i="24"/>
  <c r="S95" i="24" s="1"/>
  <c r="S114" i="29" l="1"/>
  <c r="S200" i="29"/>
  <c r="S93" i="3"/>
  <c r="S182" i="3" s="1"/>
  <c r="S110" i="29"/>
  <c r="S92" i="3"/>
  <c r="T91" i="3"/>
  <c r="S93" i="24"/>
  <c r="S182" i="24" s="1"/>
  <c r="S96" i="24" l="1"/>
  <c r="S96" i="3"/>
  <c r="S183" i="3" s="1"/>
  <c r="S112" i="29"/>
  <c r="T93" i="3"/>
  <c r="T92" i="3"/>
  <c r="S109" i="24" l="1"/>
  <c r="S190" i="24"/>
  <c r="S115" i="29"/>
  <c r="S109" i="3"/>
  <c r="S190" i="3"/>
  <c r="S99" i="3"/>
  <c r="S183" i="24"/>
  <c r="S193" i="24" l="1"/>
  <c r="S192" i="24" s="1"/>
  <c r="S191" i="24"/>
  <c r="S191" i="3"/>
  <c r="S193" i="3"/>
  <c r="S192" i="3" s="1"/>
  <c r="S128" i="29"/>
  <c r="S209" i="29"/>
  <c r="S99" i="24"/>
  <c r="S118" i="29" s="1"/>
  <c r="S184" i="3"/>
  <c r="S212" i="29" l="1"/>
  <c r="S211" i="29" s="1"/>
  <c r="S210" i="29"/>
  <c r="S217" i="29"/>
  <c r="S101" i="3"/>
  <c r="S185" i="3" s="1"/>
  <c r="S184" i="24"/>
  <c r="S198" i="24" l="1"/>
  <c r="S195" i="24" s="1"/>
  <c r="S198" i="3"/>
  <c r="S98" i="3" s="1"/>
  <c r="S101" i="24"/>
  <c r="S120" i="29" s="1"/>
  <c r="S82" i="3"/>
  <c r="S186" i="3" s="1"/>
  <c r="S85" i="3" s="1"/>
  <c r="S98" i="24" l="1"/>
  <c r="S100" i="24" s="1"/>
  <c r="S90" i="24"/>
  <c r="S185" i="24"/>
  <c r="S171" i="3"/>
  <c r="S79" i="3"/>
  <c r="S169" i="3" s="1"/>
  <c r="S84" i="3"/>
  <c r="S100" i="3"/>
  <c r="S117" i="29" l="1"/>
  <c r="S92" i="24"/>
  <c r="S111" i="29" s="1"/>
  <c r="S109" i="29"/>
  <c r="S119" i="29"/>
  <c r="T162" i="3"/>
  <c r="T163" i="3" s="1"/>
  <c r="T181" i="3"/>
  <c r="T95" i="3" s="1"/>
  <c r="S82" i="24"/>
  <c r="S84" i="24" l="1"/>
  <c r="S101" i="29"/>
  <c r="T164" i="3"/>
  <c r="T165" i="3" s="1"/>
  <c r="T127" i="3" s="1"/>
  <c r="S186" i="24"/>
  <c r="S85" i="24" s="1"/>
  <c r="S104" i="29" s="1"/>
  <c r="S98" i="29" l="1"/>
  <c r="S79" i="24"/>
  <c r="S171" i="24" s="1"/>
  <c r="V129" i="12"/>
  <c r="T111" i="3"/>
  <c r="T178" i="3" s="1"/>
  <c r="T179" i="3" s="1"/>
  <c r="T180" i="3" s="1"/>
  <c r="T182" i="3" s="1"/>
  <c r="T162" i="24"/>
  <c r="T163" i="24" s="1"/>
  <c r="S103" i="29"/>
  <c r="T181" i="29" s="1"/>
  <c r="T182" i="29" s="1"/>
  <c r="S190" i="29" l="1"/>
  <c r="T183" i="29"/>
  <c r="T184" i="29" s="1"/>
  <c r="T164" i="24"/>
  <c r="T165" i="24" s="1"/>
  <c r="T127" i="24" s="1"/>
  <c r="T96" i="3"/>
  <c r="S169" i="24"/>
  <c r="J146" i="29" l="1"/>
  <c r="T111" i="24"/>
  <c r="T178" i="24" s="1"/>
  <c r="V132" i="12"/>
  <c r="V128" i="12" s="1"/>
  <c r="V45" i="12" s="1"/>
  <c r="T190" i="3"/>
  <c r="T109" i="3"/>
  <c r="T183" i="3"/>
  <c r="T87" i="24" l="1"/>
  <c r="T88" i="24"/>
  <c r="T179" i="24" s="1"/>
  <c r="T99" i="3"/>
  <c r="T184" i="3" s="1"/>
  <c r="T191" i="3"/>
  <c r="T193" i="3"/>
  <c r="T192" i="3" s="1"/>
  <c r="J130" i="29"/>
  <c r="T91" i="24" l="1"/>
  <c r="T107" i="29"/>
  <c r="T101" i="3"/>
  <c r="T185" i="3" s="1"/>
  <c r="J197" i="29"/>
  <c r="J198" i="29" s="1"/>
  <c r="J199" i="29" s="1"/>
  <c r="J201" i="29" s="1"/>
  <c r="J202" i="29" s="1"/>
  <c r="J203" i="29" s="1"/>
  <c r="J204" i="29" s="1"/>
  <c r="J205" i="29" s="1"/>
  <c r="T106" i="29"/>
  <c r="T200" i="29" s="1"/>
  <c r="T181" i="24"/>
  <c r="T95" i="24" s="1"/>
  <c r="T82" i="3" l="1"/>
  <c r="T114" i="29"/>
  <c r="T110" i="29"/>
  <c r="T180" i="24"/>
  <c r="T93" i="24" l="1"/>
  <c r="T112" i="29" s="1"/>
  <c r="T84" i="3"/>
  <c r="T186" i="3"/>
  <c r="T85" i="3" s="1"/>
  <c r="T171" i="3" l="1"/>
  <c r="T182" i="24"/>
  <c r="T79" i="3"/>
  <c r="T169" i="3" s="1"/>
  <c r="U181" i="3" l="1"/>
  <c r="U95" i="3" s="1"/>
  <c r="T96" i="24"/>
  <c r="T183" i="24" s="1"/>
  <c r="T99" i="24" l="1"/>
  <c r="T184" i="24" s="1"/>
  <c r="T115" i="29"/>
  <c r="T109" i="24"/>
  <c r="T190" i="24"/>
  <c r="T191" i="24" l="1"/>
  <c r="T193" i="24"/>
  <c r="T192" i="24" s="1"/>
  <c r="T101" i="24"/>
  <c r="T120" i="29" s="1"/>
  <c r="T209" i="29"/>
  <c r="T128" i="29"/>
  <c r="T118" i="29"/>
  <c r="T185" i="24" l="1"/>
  <c r="T82" i="24" s="1"/>
  <c r="T217" i="29"/>
  <c r="T210" i="29"/>
  <c r="T212" i="29"/>
  <c r="T211" i="29" s="1"/>
  <c r="T84" i="24" l="1"/>
  <c r="T103" i="29" s="1"/>
  <c r="T101" i="29"/>
  <c r="T186" i="24"/>
  <c r="T85" i="24" s="1"/>
  <c r="T104" i="29" s="1"/>
  <c r="T198" i="3"/>
  <c r="T98" i="3" s="1"/>
  <c r="T198" i="24"/>
  <c r="T195" i="24" s="1"/>
  <c r="T98" i="24" l="1"/>
  <c r="T100" i="24" s="1"/>
  <c r="T90" i="24"/>
  <c r="T98" i="29"/>
  <c r="T100" i="3"/>
  <c r="T79" i="24"/>
  <c r="T169" i="24" s="1"/>
  <c r="T117" i="29" l="1"/>
  <c r="T109" i="29"/>
  <c r="T92" i="24"/>
  <c r="T111" i="29" s="1"/>
  <c r="T171" i="24"/>
  <c r="T190" i="29" s="1"/>
  <c r="U162" i="3"/>
  <c r="U163" i="3" s="1"/>
  <c r="T119" i="29"/>
  <c r="U162" i="24" l="1"/>
  <c r="U163" i="24" s="1"/>
  <c r="U164" i="24" s="1"/>
  <c r="U165" i="24" s="1"/>
  <c r="U127" i="24" s="1"/>
  <c r="K146" i="29" s="1"/>
  <c r="K130" i="29" s="1"/>
  <c r="K197" i="29" s="1"/>
  <c r="K198" i="29" s="1"/>
  <c r="K199" i="29" s="1"/>
  <c r="K201" i="29" s="1"/>
  <c r="K202" i="29" s="1"/>
  <c r="K203" i="29" s="1"/>
  <c r="K204" i="29" s="1"/>
  <c r="K205" i="29" s="1"/>
  <c r="U181" i="29"/>
  <c r="U182" i="29" s="1"/>
  <c r="U183" i="29" s="1"/>
  <c r="U184" i="29" s="1"/>
  <c r="U164" i="3"/>
  <c r="U165" i="3" s="1"/>
  <c r="U127" i="3" s="1"/>
  <c r="U111" i="24" l="1"/>
  <c r="U178" i="24" s="1"/>
  <c r="U88" i="24" s="1"/>
  <c r="U179" i="24" s="1"/>
  <c r="U91" i="24" s="1"/>
  <c r="U180" i="24" s="1"/>
  <c r="W132" i="12"/>
  <c r="U111" i="3"/>
  <c r="U178" i="3" s="1"/>
  <c r="W129" i="12"/>
  <c r="U87" i="24" l="1"/>
  <c r="U106" i="29" s="1"/>
  <c r="U200" i="29" s="1"/>
  <c r="U93" i="24"/>
  <c r="U182" i="24" s="1"/>
  <c r="W128" i="12"/>
  <c r="W45" i="12" s="1"/>
  <c r="U88" i="3"/>
  <c r="U179" i="3" s="1"/>
  <c r="U181" i="24" l="1"/>
  <c r="U95" i="24" s="1"/>
  <c r="U114" i="29" s="1"/>
  <c r="U91" i="3"/>
  <c r="U107" i="29"/>
  <c r="U90" i="3"/>
  <c r="U96" i="24"/>
  <c r="U183" i="24" s="1"/>
  <c r="U190" i="24" l="1"/>
  <c r="U109" i="24"/>
  <c r="U99" i="24"/>
  <c r="U184" i="24" s="1"/>
  <c r="U110" i="29"/>
  <c r="U92" i="3"/>
  <c r="U180" i="3"/>
  <c r="U101" i="24" l="1"/>
  <c r="U185" i="24" s="1"/>
  <c r="U93" i="3"/>
  <c r="U112" i="29" s="1"/>
  <c r="U193" i="24"/>
  <c r="U192" i="24" s="1"/>
  <c r="U191" i="24"/>
  <c r="U182" i="3" l="1"/>
  <c r="U82" i="24"/>
  <c r="U186" i="24" s="1"/>
  <c r="U85" i="24" s="1"/>
  <c r="U79" i="24" l="1"/>
  <c r="U169" i="24" s="1"/>
  <c r="U84" i="24"/>
  <c r="U96" i="3"/>
  <c r="U115" i="29" l="1"/>
  <c r="U190" i="3"/>
  <c r="U109" i="3"/>
  <c r="U171" i="24"/>
  <c r="U183" i="3"/>
  <c r="U99" i="3" l="1"/>
  <c r="U184" i="3" s="1"/>
  <c r="U193" i="3"/>
  <c r="U192" i="3" s="1"/>
  <c r="U191" i="3"/>
  <c r="U209" i="29"/>
  <c r="U128" i="29"/>
  <c r="U212" i="29" l="1"/>
  <c r="U211" i="29" s="1"/>
  <c r="U217" i="29"/>
  <c r="U210" i="29"/>
  <c r="U101" i="3"/>
  <c r="U120" i="29" s="1"/>
  <c r="U118" i="29"/>
  <c r="U185" i="3" l="1"/>
  <c r="U82" i="3" s="1"/>
  <c r="U198" i="3"/>
  <c r="U98" i="3" s="1"/>
  <c r="U198" i="24"/>
  <c r="U195" i="24" s="1"/>
  <c r="U98" i="24" l="1"/>
  <c r="U100" i="24" s="1"/>
  <c r="U90" i="24"/>
  <c r="U100" i="3"/>
  <c r="U101" i="29"/>
  <c r="U84" i="3"/>
  <c r="U103" i="29" s="1"/>
  <c r="U186" i="3"/>
  <c r="U85" i="3" s="1"/>
  <c r="U104" i="29" s="1"/>
  <c r="U117" i="29" l="1"/>
  <c r="U92" i="24"/>
  <c r="U111" i="29" s="1"/>
  <c r="U109" i="29"/>
  <c r="U79" i="3"/>
  <c r="U169" i="3" s="1"/>
  <c r="V181" i="3" s="1"/>
  <c r="V95" i="3" s="1"/>
  <c r="U171" i="3"/>
  <c r="U190" i="29" s="1"/>
  <c r="U98" i="29"/>
  <c r="V162" i="3"/>
  <c r="V163" i="3" s="1"/>
  <c r="U119" i="29"/>
  <c r="V162" i="24" l="1"/>
  <c r="V163" i="24" s="1"/>
  <c r="V164" i="24" s="1"/>
  <c r="V165" i="24" s="1"/>
  <c r="V127" i="24" s="1"/>
  <c r="L146" i="29" s="1"/>
  <c r="L130" i="29" s="1"/>
  <c r="L197" i="29" s="1"/>
  <c r="L198" i="29" s="1"/>
  <c r="L199" i="29" s="1"/>
  <c r="L201" i="29" s="1"/>
  <c r="L202" i="29" s="1"/>
  <c r="L203" i="29" s="1"/>
  <c r="L204" i="29" s="1"/>
  <c r="L205" i="29" s="1"/>
  <c r="V181" i="29"/>
  <c r="V182" i="29" s="1"/>
  <c r="V183" i="29" s="1"/>
  <c r="V184" i="29" s="1"/>
  <c r="V164" i="3"/>
  <c r="V165" i="3" s="1"/>
  <c r="V127" i="3" s="1"/>
  <c r="V111" i="24" l="1"/>
  <c r="V178" i="24" s="1"/>
  <c r="X132" i="12"/>
  <c r="X129" i="12"/>
  <c r="V111" i="3"/>
  <c r="V178" i="3" s="1"/>
  <c r="X128" i="12" l="1"/>
  <c r="X45" i="12" s="1"/>
  <c r="V87" i="24"/>
  <c r="V88" i="24"/>
  <c r="V179" i="24" s="1"/>
  <c r="V91" i="24" s="1"/>
  <c r="V88" i="3"/>
  <c r="V179" i="3" s="1"/>
  <c r="V106" i="29" l="1"/>
  <c r="V181" i="24"/>
  <c r="V95" i="24" s="1"/>
  <c r="V114" i="29" s="1"/>
  <c r="V91" i="3"/>
  <c r="V180" i="24"/>
  <c r="V107" i="29"/>
  <c r="V90" i="3"/>
  <c r="V200" i="29" l="1"/>
  <c r="V93" i="24"/>
  <c r="V110" i="29"/>
  <c r="V92" i="3"/>
  <c r="V180" i="3"/>
  <c r="K109" i="10" l="1"/>
  <c r="H109" i="10" s="1"/>
  <c r="V93" i="3"/>
  <c r="V112" i="29" s="1"/>
  <c r="V182" i="24"/>
  <c r="V182" i="3" l="1"/>
  <c r="V96" i="3" s="1"/>
  <c r="V183" i="3" s="1"/>
  <c r="V96" i="24"/>
  <c r="V183" i="24" s="1"/>
  <c r="V99" i="3" l="1"/>
  <c r="V184" i="3" s="1"/>
  <c r="V115" i="29"/>
  <c r="V209" i="29" s="1"/>
  <c r="V190" i="3"/>
  <c r="V109" i="3"/>
  <c r="V99" i="24"/>
  <c r="V184" i="24" s="1"/>
  <c r="V190" i="24"/>
  <c r="V109" i="24"/>
  <c r="V191" i="3" l="1"/>
  <c r="V193" i="3"/>
  <c r="V192" i="3" s="1"/>
  <c r="V217" i="29"/>
  <c r="V128" i="29"/>
  <c r="V101" i="3"/>
  <c r="V101" i="24"/>
  <c r="V185" i="24" s="1"/>
  <c r="V193" i="24"/>
  <c r="V192" i="24" s="1"/>
  <c r="V191" i="24"/>
  <c r="V118" i="29"/>
  <c r="V120" i="29" l="1"/>
  <c r="V185" i="3"/>
  <c r="V82" i="24"/>
  <c r="V186" i="24" s="1"/>
  <c r="V85" i="24" s="1"/>
  <c r="V212" i="29"/>
  <c r="V211" i="29" s="1"/>
  <c r="V210" i="29"/>
  <c r="V198" i="3" l="1"/>
  <c r="V98" i="3" s="1"/>
  <c r="V198" i="24"/>
  <c r="V195" i="24" s="1"/>
  <c r="V90" i="24" s="1"/>
  <c r="V79" i="24"/>
  <c r="V169" i="24" s="1"/>
  <c r="V84" i="24"/>
  <c r="V82" i="3"/>
  <c r="V98" i="24" l="1"/>
  <c r="V100" i="24" s="1"/>
  <c r="V101" i="29"/>
  <c r="V84" i="3"/>
  <c r="V103" i="29" s="1"/>
  <c r="V171" i="24"/>
  <c r="V100" i="3"/>
  <c r="V186" i="3"/>
  <c r="V85" i="3" s="1"/>
  <c r="V104" i="29" s="1"/>
  <c r="V117" i="29" l="1"/>
  <c r="V92" i="24"/>
  <c r="V109" i="29"/>
  <c r="V98" i="29"/>
  <c r="V79" i="3"/>
  <c r="V169" i="3" s="1"/>
  <c r="W181" i="3" s="1"/>
  <c r="W95" i="3" s="1"/>
  <c r="W162" i="3"/>
  <c r="W163" i="3" s="1"/>
  <c r="V119" i="29"/>
  <c r="V171" i="3"/>
  <c r="V190" i="29" s="1"/>
  <c r="V111" i="29" l="1"/>
  <c r="W181" i="29" s="1"/>
  <c r="W182" i="29" s="1"/>
  <c r="W183" i="29" s="1"/>
  <c r="W184" i="29" s="1"/>
  <c r="W162" i="24"/>
  <c r="W163" i="24" s="1"/>
  <c r="W164" i="3"/>
  <c r="W165" i="3" s="1"/>
  <c r="W127" i="3" s="1"/>
  <c r="W164" i="24" l="1"/>
  <c r="W165" i="24" s="1"/>
  <c r="W127" i="24" s="1"/>
  <c r="Y129" i="12"/>
  <c r="W111" i="3"/>
  <c r="W178" i="3" s="1"/>
  <c r="Y132" i="12" l="1"/>
  <c r="Y128" i="12" s="1"/>
  <c r="Y45" i="12" s="1"/>
  <c r="M146" i="29"/>
  <c r="M130" i="29" s="1"/>
  <c r="M197" i="29" s="1"/>
  <c r="M198" i="29" s="1"/>
  <c r="M199" i="29" s="1"/>
  <c r="M201" i="29" s="1"/>
  <c r="M202" i="29" s="1"/>
  <c r="M203" i="29" s="1"/>
  <c r="M204" i="29" s="1"/>
  <c r="M205" i="29" s="1"/>
  <c r="W111" i="24"/>
  <c r="W178" i="24" s="1"/>
  <c r="W88" i="3"/>
  <c r="W179" i="3" s="1"/>
  <c r="W87" i="24" l="1"/>
  <c r="W88" i="24"/>
  <c r="W179" i="24" s="1"/>
  <c r="W91" i="3"/>
  <c r="W180" i="3" s="1"/>
  <c r="W90" i="3"/>
  <c r="W107" i="29" l="1"/>
  <c r="W91" i="24"/>
  <c r="W180" i="24" s="1"/>
  <c r="W106" i="29"/>
  <c r="E87" i="24"/>
  <c r="T109" i="10" s="1"/>
  <c r="L109" i="10" s="1"/>
  <c r="W181" i="24"/>
  <c r="W93" i="3"/>
  <c r="W92" i="3"/>
  <c r="W110" i="29" l="1"/>
  <c r="W93" i="24"/>
  <c r="W95" i="24" s="1"/>
  <c r="I109" i="10"/>
  <c r="M109" i="10"/>
  <c r="W200" i="29"/>
  <c r="E106" i="29"/>
  <c r="R109" i="10" s="1"/>
  <c r="J109" i="10" s="1"/>
  <c r="W182" i="3"/>
  <c r="W96" i="3" s="1"/>
  <c r="W112" i="29" l="1"/>
  <c r="W114" i="29"/>
  <c r="W182" i="24"/>
  <c r="W183" i="3"/>
  <c r="W99" i="3" s="1"/>
  <c r="W190" i="3"/>
  <c r="W109" i="3"/>
  <c r="W96" i="24" l="1"/>
  <c r="W183" i="24" s="1"/>
  <c r="W184" i="3"/>
  <c r="W101" i="3" s="1"/>
  <c r="W191" i="3"/>
  <c r="W193" i="3"/>
  <c r="W192" i="3" s="1"/>
  <c r="W99" i="24" l="1"/>
  <c r="W118" i="29" s="1"/>
  <c r="W190" i="24"/>
  <c r="W109" i="24"/>
  <c r="W115" i="29"/>
  <c r="W185" i="3"/>
  <c r="W82" i="3" s="1"/>
  <c r="W184" i="24" l="1"/>
  <c r="W101" i="24" s="1"/>
  <c r="W185" i="24" s="1"/>
  <c r="W82" i="24" s="1"/>
  <c r="W84" i="24" s="1"/>
  <c r="W209" i="29"/>
  <c r="W128" i="29"/>
  <c r="W193" i="24"/>
  <c r="W192" i="24" s="1"/>
  <c r="W191" i="24"/>
  <c r="W84" i="3"/>
  <c r="W186" i="3"/>
  <c r="W85" i="3" s="1"/>
  <c r="W186" i="24" l="1"/>
  <c r="W85" i="24" s="1"/>
  <c r="W79" i="24" s="1"/>
  <c r="W169" i="24" s="1"/>
  <c r="X181" i="24" s="1"/>
  <c r="W101" i="29"/>
  <c r="W120" i="29"/>
  <c r="W103" i="29"/>
  <c r="W217" i="29"/>
  <c r="W212" i="29"/>
  <c r="W211" i="29" s="1"/>
  <c r="W210" i="29"/>
  <c r="W79" i="3"/>
  <c r="W169" i="3" s="1"/>
  <c r="W171" i="3"/>
  <c r="W104" i="29" l="1"/>
  <c r="W98" i="29" s="1"/>
  <c r="W171" i="24"/>
  <c r="W190" i="29" s="1"/>
  <c r="W198" i="24"/>
  <c r="W198" i="3"/>
  <c r="W98" i="3" s="1"/>
  <c r="X181" i="3"/>
  <c r="X95" i="3" s="1"/>
  <c r="W100" i="3" l="1"/>
  <c r="W195" i="24"/>
  <c r="W90" i="24" s="1"/>
  <c r="W98" i="24"/>
  <c r="W100" i="24" s="1"/>
  <c r="W92" i="24" l="1"/>
  <c r="W109" i="29"/>
  <c r="W119" i="29"/>
  <c r="X162" i="3"/>
  <c r="X163" i="3" s="1"/>
  <c r="X164" i="3" s="1"/>
  <c r="X165" i="3" s="1"/>
  <c r="X127" i="3" s="1"/>
  <c r="Z129" i="12" s="1"/>
  <c r="W117" i="29"/>
  <c r="X111" i="3" l="1"/>
  <c r="X178" i="3" s="1"/>
  <c r="X88" i="3" s="1"/>
  <c r="W111" i="29"/>
  <c r="X181" i="29" s="1"/>
  <c r="X182" i="29" s="1"/>
  <c r="X183" i="29" s="1"/>
  <c r="X184" i="29" s="1"/>
  <c r="X162" i="24"/>
  <c r="X163" i="24" s="1"/>
  <c r="X164" i="24" s="1"/>
  <c r="X165" i="24" s="1"/>
  <c r="X127" i="24" s="1"/>
  <c r="X93" i="24"/>
  <c r="N146" i="29" l="1"/>
  <c r="N130" i="29" s="1"/>
  <c r="N197" i="29" s="1"/>
  <c r="N198" i="29" s="1"/>
  <c r="N199" i="29" s="1"/>
  <c r="N201" i="29" s="1"/>
  <c r="N202" i="29" s="1"/>
  <c r="N203" i="29" s="1"/>
  <c r="N204" i="29" s="1"/>
  <c r="N205" i="29" s="1"/>
  <c r="Z132" i="12"/>
  <c r="Z128" i="12" s="1"/>
  <c r="Z45" i="12" s="1"/>
  <c r="X111" i="24"/>
  <c r="X178" i="24" s="1"/>
  <c r="X88" i="24" s="1"/>
  <c r="X107" i="29" s="1"/>
  <c r="X90" i="3"/>
  <c r="X179" i="3"/>
  <c r="X179" i="24" l="1"/>
  <c r="X91" i="24" s="1"/>
  <c r="X180" i="24" s="1"/>
  <c r="X182" i="24" s="1"/>
  <c r="X96" i="24" s="1"/>
  <c r="X183" i="24" s="1"/>
  <c r="X99" i="24" s="1"/>
  <c r="X184" i="24" s="1"/>
  <c r="X91" i="3"/>
  <c r="X95" i="24" l="1"/>
  <c r="X190" i="24" s="1"/>
  <c r="X110" i="29"/>
  <c r="X92" i="3"/>
  <c r="X180" i="3"/>
  <c r="X101" i="24"/>
  <c r="X185" i="24" s="1"/>
  <c r="X191" i="24" l="1"/>
  <c r="X193" i="24"/>
  <c r="X192" i="24" s="1"/>
  <c r="X114" i="29"/>
  <c r="X109" i="24"/>
  <c r="X93" i="3"/>
  <c r="X112" i="29" s="1"/>
  <c r="X82" i="24"/>
  <c r="X182" i="3" l="1"/>
  <c r="X96" i="3" s="1"/>
  <c r="X183" i="3" s="1"/>
  <c r="X84" i="24"/>
  <c r="X186" i="24"/>
  <c r="X85" i="24" s="1"/>
  <c r="X99" i="3" l="1"/>
  <c r="X115" i="29"/>
  <c r="X190" i="3"/>
  <c r="X109" i="3"/>
  <c r="X79" i="24"/>
  <c r="X169" i="24" s="1"/>
  <c r="X171" i="24" l="1"/>
  <c r="X209" i="29"/>
  <c r="X128" i="29"/>
  <c r="X118" i="29"/>
  <c r="X184" i="3"/>
  <c r="Y181" i="24"/>
  <c r="Y95" i="24" s="1"/>
  <c r="X193" i="3"/>
  <c r="X192" i="3" s="1"/>
  <c r="X191" i="3"/>
  <c r="X101" i="3" l="1"/>
  <c r="X120" i="29" s="1"/>
  <c r="X212" i="29"/>
  <c r="X211" i="29" s="1"/>
  <c r="X217" i="29"/>
  <c r="X210" i="29"/>
  <c r="X185" i="3" l="1"/>
  <c r="X82" i="3" s="1"/>
  <c r="X198" i="3"/>
  <c r="X98" i="3" s="1"/>
  <c r="X198" i="24"/>
  <c r="X195" i="24" s="1"/>
  <c r="X98" i="24" l="1"/>
  <c r="X100" i="24" s="1"/>
  <c r="X90" i="24"/>
  <c r="X101" i="29"/>
  <c r="X84" i="3"/>
  <c r="X103" i="29" s="1"/>
  <c r="X186" i="3"/>
  <c r="X85" i="3" s="1"/>
  <c r="X104" i="29" s="1"/>
  <c r="X100" i="3"/>
  <c r="X117" i="29" l="1"/>
  <c r="X92" i="24"/>
  <c r="X111" i="29" s="1"/>
  <c r="X109" i="29"/>
  <c r="X98" i="29"/>
  <c r="X79" i="3"/>
  <c r="X169" i="3" s="1"/>
  <c r="X119" i="29"/>
  <c r="Y162" i="3"/>
  <c r="Y163" i="3" s="1"/>
  <c r="X171" i="3"/>
  <c r="X190" i="29" s="1"/>
  <c r="Y162" i="24" l="1"/>
  <c r="Y163" i="24" s="1"/>
  <c r="Y164" i="24" s="1"/>
  <c r="Y165" i="24" s="1"/>
  <c r="Y127" i="24" s="1"/>
  <c r="Y181" i="29"/>
  <c r="Y182" i="29" s="1"/>
  <c r="Y183" i="29" s="1"/>
  <c r="Y184" i="29" s="1"/>
  <c r="Y164" i="3"/>
  <c r="Y165" i="3" s="1"/>
  <c r="Y127" i="3" s="1"/>
  <c r="Y181" i="3"/>
  <c r="Y95" i="3" s="1"/>
  <c r="Y114" i="29" s="1"/>
  <c r="AA132" i="12" l="1"/>
  <c r="Y111" i="24"/>
  <c r="Y178" i="24" s="1"/>
  <c r="Y88" i="24" s="1"/>
  <c r="Y179" i="24" s="1"/>
  <c r="O146" i="29"/>
  <c r="O130" i="29" s="1"/>
  <c r="O197" i="29" s="1"/>
  <c r="O198" i="29" s="1"/>
  <c r="O199" i="29" s="1"/>
  <c r="O201" i="29" s="1"/>
  <c r="O202" i="29" s="1"/>
  <c r="O203" i="29" s="1"/>
  <c r="O204" i="29" s="1"/>
  <c r="O205" i="29" s="1"/>
  <c r="AA129" i="12"/>
  <c r="Y111" i="3"/>
  <c r="Y178" i="3" s="1"/>
  <c r="AA128" i="12" l="1"/>
  <c r="AA45" i="12" s="1"/>
  <c r="Y91" i="24"/>
  <c r="Y88" i="3"/>
  <c r="Y179" i="3" s="1"/>
  <c r="Y180" i="24" l="1"/>
  <c r="Y93" i="24" s="1"/>
  <c r="Y182" i="24" s="1"/>
  <c r="Y91" i="3"/>
  <c r="Y180" i="3" s="1"/>
  <c r="Y107" i="29"/>
  <c r="Y90" i="3"/>
  <c r="Y96" i="24" l="1"/>
  <c r="Y93" i="3"/>
  <c r="Y112" i="29" s="1"/>
  <c r="Y110" i="29"/>
  <c r="Y92" i="3"/>
  <c r="Y182" i="3" l="1"/>
  <c r="Y96" i="3" s="1"/>
  <c r="Y183" i="3" s="1"/>
  <c r="Y190" i="24"/>
  <c r="Y109" i="24"/>
  <c r="Y183" i="24"/>
  <c r="Y99" i="24" l="1"/>
  <c r="Y184" i="24" s="1"/>
  <c r="Y191" i="24"/>
  <c r="Y193" i="24"/>
  <c r="Y192" i="24" s="1"/>
  <c r="Y99" i="3"/>
  <c r="Y184" i="3" s="1"/>
  <c r="Y115" i="29"/>
  <c r="Y190" i="3"/>
  <c r="Y109" i="3"/>
  <c r="Y209" i="29" l="1"/>
  <c r="Y128" i="29"/>
  <c r="Y118" i="29"/>
  <c r="Y193" i="3"/>
  <c r="Y192" i="3" s="1"/>
  <c r="Y191" i="3"/>
  <c r="Y101" i="24"/>
  <c r="Y185" i="24" s="1"/>
  <c r="Y101" i="3"/>
  <c r="Y185" i="3" s="1"/>
  <c r="Y82" i="24" l="1"/>
  <c r="Y82" i="3"/>
  <c r="Y120" i="29"/>
  <c r="Y210" i="29"/>
  <c r="Y212" i="29"/>
  <c r="Y211" i="29" s="1"/>
  <c r="Y217" i="29"/>
  <c r="Y101" i="29" l="1"/>
  <c r="Y84" i="3"/>
  <c r="Y186" i="3"/>
  <c r="Y85" i="3" s="1"/>
  <c r="Y84" i="24"/>
  <c r="Y198" i="3"/>
  <c r="Y98" i="3" s="1"/>
  <c r="Y198" i="24"/>
  <c r="Y186" i="24"/>
  <c r="Y85" i="24" s="1"/>
  <c r="Y79" i="24" s="1"/>
  <c r="Y169" i="24" s="1"/>
  <c r="Y98" i="24" l="1"/>
  <c r="Y100" i="24" s="1"/>
  <c r="Y90" i="24"/>
  <c r="Y104" i="29"/>
  <c r="Y98" i="29" s="1"/>
  <c r="Z181" i="24"/>
  <c r="Z95" i="24" s="1"/>
  <c r="Y171" i="24"/>
  <c r="Y103" i="29"/>
  <c r="Y79" i="3"/>
  <c r="Y169" i="3" s="1"/>
  <c r="Y100" i="3"/>
  <c r="Y171" i="3"/>
  <c r="Y117" i="29" l="1"/>
  <c r="Y92" i="24"/>
  <c r="Y111" i="29" s="1"/>
  <c r="Y109" i="29"/>
  <c r="Z181" i="3"/>
  <c r="Z95" i="3" s="1"/>
  <c r="Z114" i="29" s="1"/>
  <c r="Y190" i="29"/>
  <c r="Y119" i="29"/>
  <c r="Z162" i="3"/>
  <c r="Z163" i="3" s="1"/>
  <c r="Z181" i="29" l="1"/>
  <c r="Z182" i="29" s="1"/>
  <c r="Z183" i="29" s="1"/>
  <c r="Z184" i="29" s="1"/>
  <c r="Z162" i="24"/>
  <c r="Z163" i="24" s="1"/>
  <c r="Z164" i="24" s="1"/>
  <c r="Z165" i="24" s="1"/>
  <c r="Z127" i="24" s="1"/>
  <c r="AB132" i="12" s="1"/>
  <c r="Z164" i="3"/>
  <c r="Z165" i="3" s="1"/>
  <c r="Z127" i="3" s="1"/>
  <c r="Z111" i="24" l="1"/>
  <c r="Z178" i="24" s="1"/>
  <c r="Z88" i="24" s="1"/>
  <c r="Z179" i="24" s="1"/>
  <c r="P146" i="29"/>
  <c r="P130" i="29" s="1"/>
  <c r="P197" i="29" s="1"/>
  <c r="P198" i="29" s="1"/>
  <c r="P199" i="29" s="1"/>
  <c r="P201" i="29" s="1"/>
  <c r="P202" i="29" s="1"/>
  <c r="P203" i="29" s="1"/>
  <c r="P204" i="29" s="1"/>
  <c r="P205" i="29" s="1"/>
  <c r="AB129" i="12"/>
  <c r="AB128" i="12" s="1"/>
  <c r="AB45" i="12" s="1"/>
  <c r="Z111" i="3"/>
  <c r="Z178" i="3" s="1"/>
  <c r="Z91" i="24" l="1"/>
  <c r="Z180" i="24" s="1"/>
  <c r="Z88" i="3"/>
  <c r="Z179" i="3" s="1"/>
  <c r="Z91" i="3" l="1"/>
  <c r="Z107" i="29"/>
  <c r="Z90" i="3"/>
  <c r="Z93" i="24"/>
  <c r="Z182" i="24" s="1"/>
  <c r="Z96" i="24" l="1"/>
  <c r="Z183" i="24" s="1"/>
  <c r="Z110" i="29"/>
  <c r="Z92" i="3"/>
  <c r="Z180" i="3"/>
  <c r="Z93" i="3" l="1"/>
  <c r="Z112" i="29" s="1"/>
  <c r="Z99" i="24"/>
  <c r="Z184" i="24" s="1"/>
  <c r="Z190" i="24"/>
  <c r="Z109" i="24"/>
  <c r="Z182" i="3" l="1"/>
  <c r="Z96" i="3" s="1"/>
  <c r="Z183" i="3" s="1"/>
  <c r="Z191" i="24"/>
  <c r="Z193" i="24"/>
  <c r="Z192" i="24" s="1"/>
  <c r="Z101" i="24"/>
  <c r="Z185" i="24" s="1"/>
  <c r="Z82" i="24" l="1"/>
  <c r="Z115" i="29"/>
  <c r="Z190" i="3"/>
  <c r="Z109" i="3"/>
  <c r="Z99" i="3"/>
  <c r="Z184" i="3" s="1"/>
  <c r="Z101" i="3" l="1"/>
  <c r="Z120" i="29" s="1"/>
  <c r="Z118" i="29"/>
  <c r="Z193" i="3"/>
  <c r="Z192" i="3" s="1"/>
  <c r="Z191" i="3"/>
  <c r="Z209" i="29"/>
  <c r="Z128" i="29"/>
  <c r="Z84" i="24"/>
  <c r="Z186" i="24"/>
  <c r="Z85" i="24" s="1"/>
  <c r="Z79" i="24" s="1"/>
  <c r="Z169" i="24" s="1"/>
  <c r="AA181" i="24" l="1"/>
  <c r="AA95" i="24" s="1"/>
  <c r="Z210" i="29"/>
  <c r="Z212" i="29"/>
  <c r="Z211" i="29" s="1"/>
  <c r="Z217" i="29"/>
  <c r="Z171" i="24"/>
  <c r="Z185" i="3"/>
  <c r="Z198" i="24" l="1"/>
  <c r="Z198" i="3"/>
  <c r="Z98" i="3" s="1"/>
  <c r="Z82" i="3"/>
  <c r="Z98" i="24" l="1"/>
  <c r="Z100" i="24" s="1"/>
  <c r="Z90" i="24"/>
  <c r="Z101" i="29"/>
  <c r="Z84" i="3"/>
  <c r="Z103" i="29" s="1"/>
  <c r="Z186" i="3"/>
  <c r="Z85" i="3" s="1"/>
  <c r="Z104" i="29" s="1"/>
  <c r="Z100" i="3"/>
  <c r="Z117" i="29" l="1"/>
  <c r="Z92" i="24"/>
  <c r="Z111" i="29" s="1"/>
  <c r="Z109" i="29"/>
  <c r="Z119" i="29"/>
  <c r="AA162" i="3"/>
  <c r="AA163" i="3" s="1"/>
  <c r="Z79" i="3"/>
  <c r="Z169" i="3" s="1"/>
  <c r="Z98" i="29"/>
  <c r="Z171" i="3"/>
  <c r="Z190" i="29" s="1"/>
  <c r="AA162" i="24" l="1"/>
  <c r="AA163" i="24" s="1"/>
  <c r="AA164" i="24" s="1"/>
  <c r="AA165" i="24" s="1"/>
  <c r="AA127" i="24" s="1"/>
  <c r="AA111" i="24" s="1"/>
  <c r="AA178" i="24" s="1"/>
  <c r="AA88" i="24" s="1"/>
  <c r="AA181" i="29"/>
  <c r="AA182" i="29" s="1"/>
  <c r="AA183" i="29" s="1"/>
  <c r="AA184" i="29" s="1"/>
  <c r="AA181" i="3"/>
  <c r="AA95" i="3" s="1"/>
  <c r="AA114" i="29" s="1"/>
  <c r="AA164" i="3"/>
  <c r="AA165" i="3" s="1"/>
  <c r="AA127" i="3" s="1"/>
  <c r="AC132" i="12" l="1"/>
  <c r="Q146" i="29"/>
  <c r="Q130" i="29" s="1"/>
  <c r="Q197" i="29" s="1"/>
  <c r="Q198" i="29" s="1"/>
  <c r="Q199" i="29" s="1"/>
  <c r="Q201" i="29" s="1"/>
  <c r="Q202" i="29" s="1"/>
  <c r="Q203" i="29" s="1"/>
  <c r="Q204" i="29" s="1"/>
  <c r="Q205" i="29" s="1"/>
  <c r="AC129" i="12"/>
  <c r="AA111" i="3"/>
  <c r="AA178" i="3" s="1"/>
  <c r="AA179" i="24"/>
  <c r="AC128" i="12" l="1"/>
  <c r="AC45" i="12" s="1"/>
  <c r="AA91" i="24"/>
  <c r="AA180" i="24" s="1"/>
  <c r="AA88" i="3"/>
  <c r="AA179" i="3" s="1"/>
  <c r="AA91" i="3" l="1"/>
  <c r="AA107" i="29"/>
  <c r="AA90" i="3"/>
  <c r="AA93" i="24"/>
  <c r="AA182" i="24" s="1"/>
  <c r="AA110" i="29" l="1"/>
  <c r="AA92" i="3"/>
  <c r="AA96" i="24"/>
  <c r="AA183" i="24" s="1"/>
  <c r="AA180" i="3"/>
  <c r="AA93" i="3" l="1"/>
  <c r="AA112" i="29" s="1"/>
  <c r="AA99" i="24"/>
  <c r="AA184" i="24" s="1"/>
  <c r="AA190" i="24"/>
  <c r="AA109" i="24"/>
  <c r="AA182" i="3" l="1"/>
  <c r="AA96" i="3" s="1"/>
  <c r="AA183" i="3" s="1"/>
  <c r="AA193" i="24"/>
  <c r="AA192" i="24" s="1"/>
  <c r="AA191" i="24"/>
  <c r="AA101" i="24"/>
  <c r="AA185" i="24" s="1"/>
  <c r="AA99" i="3" l="1"/>
  <c r="AA184" i="3" s="1"/>
  <c r="AA115" i="29"/>
  <c r="AA190" i="3"/>
  <c r="AA109" i="3"/>
  <c r="AA82" i="24"/>
  <c r="AA84" i="24" l="1"/>
  <c r="AA191" i="3"/>
  <c r="AA193" i="3"/>
  <c r="AA192" i="3" s="1"/>
  <c r="AA209" i="29"/>
  <c r="AA128" i="29"/>
  <c r="AA101" i="3"/>
  <c r="AA120" i="29" s="1"/>
  <c r="AA118" i="29"/>
  <c r="AA186" i="24"/>
  <c r="AA85" i="24" s="1"/>
  <c r="AA79" i="24" s="1"/>
  <c r="AA169" i="24" s="1"/>
  <c r="AA185" i="3" l="1"/>
  <c r="AA82" i="3" s="1"/>
  <c r="AB181" i="24"/>
  <c r="AB95" i="24" s="1"/>
  <c r="AA217" i="29"/>
  <c r="AA210" i="29"/>
  <c r="AA212" i="29"/>
  <c r="AA211" i="29" s="1"/>
  <c r="AA171" i="24"/>
  <c r="AA101" i="29" l="1"/>
  <c r="AA84" i="3"/>
  <c r="AA103" i="29" s="1"/>
  <c r="AA186" i="3"/>
  <c r="AA85" i="3" s="1"/>
  <c r="AA104" i="29" s="1"/>
  <c r="AA198" i="24"/>
  <c r="AA198" i="3"/>
  <c r="AA98" i="3" s="1"/>
  <c r="AA98" i="24" l="1"/>
  <c r="AA100" i="24" s="1"/>
  <c r="AA90" i="24"/>
  <c r="AA98" i="29"/>
  <c r="AA79" i="3"/>
  <c r="AA169" i="3" s="1"/>
  <c r="AA171" i="3"/>
  <c r="AA190" i="29" s="1"/>
  <c r="AA100" i="3"/>
  <c r="AA92" i="24" l="1"/>
  <c r="AA111" i="29" s="1"/>
  <c r="AA109" i="29"/>
  <c r="AA117" i="29"/>
  <c r="AA119" i="29"/>
  <c r="AB162" i="3"/>
  <c r="AB163" i="3" s="1"/>
  <c r="AB181" i="3"/>
  <c r="AB95" i="3" s="1"/>
  <c r="AB114" i="29" s="1"/>
  <c r="AB181" i="29" l="1"/>
  <c r="AB182" i="29" s="1"/>
  <c r="AB183" i="29" s="1"/>
  <c r="AB184" i="29" s="1"/>
  <c r="AB162" i="24"/>
  <c r="AB163" i="24" s="1"/>
  <c r="AB164" i="24" s="1"/>
  <c r="AB165" i="24" s="1"/>
  <c r="AB127" i="24" s="1"/>
  <c r="AB164" i="3"/>
  <c r="AB165" i="3" s="1"/>
  <c r="AB127" i="3" s="1"/>
  <c r="AB111" i="24" l="1"/>
  <c r="AB178" i="24" s="1"/>
  <c r="AB88" i="24" s="1"/>
  <c r="AB179" i="24" s="1"/>
  <c r="AB91" i="24" s="1"/>
  <c r="AB180" i="24" s="1"/>
  <c r="AD132" i="12"/>
  <c r="R146" i="29"/>
  <c r="R130" i="29" s="1"/>
  <c r="R197" i="29" s="1"/>
  <c r="R198" i="29" s="1"/>
  <c r="R199" i="29" s="1"/>
  <c r="R201" i="29" s="1"/>
  <c r="R202" i="29" s="1"/>
  <c r="R203" i="29" s="1"/>
  <c r="R204" i="29" s="1"/>
  <c r="R205" i="29" s="1"/>
  <c r="AD129" i="12"/>
  <c r="AB111" i="3"/>
  <c r="AB178" i="3" s="1"/>
  <c r="AD128" i="12" l="1"/>
  <c r="AD45" i="12" s="1"/>
  <c r="AB88" i="3"/>
  <c r="AB179" i="3" s="1"/>
  <c r="AB93" i="24"/>
  <c r="AB182" i="24" s="1"/>
  <c r="AB96" i="24" l="1"/>
  <c r="AB183" i="24" s="1"/>
  <c r="AB91" i="3"/>
  <c r="AB180" i="3" s="1"/>
  <c r="AB107" i="29"/>
  <c r="AB90" i="3"/>
  <c r="AB93" i="3" l="1"/>
  <c r="AB112" i="29" s="1"/>
  <c r="AB110" i="29"/>
  <c r="AB92" i="3"/>
  <c r="AB99" i="24"/>
  <c r="AB184" i="24" s="1"/>
  <c r="AB190" i="24"/>
  <c r="AB109" i="24"/>
  <c r="AB101" i="24" l="1"/>
  <c r="AB185" i="24" s="1"/>
  <c r="AB193" i="24"/>
  <c r="AB192" i="24" s="1"/>
  <c r="AB191" i="24"/>
  <c r="AB182" i="3"/>
  <c r="AB82" i="24" l="1"/>
  <c r="AB96" i="3"/>
  <c r="AB115" i="29" l="1"/>
  <c r="AB190" i="3"/>
  <c r="AB109" i="3"/>
  <c r="AB183" i="3"/>
  <c r="AB84" i="24"/>
  <c r="AB186" i="24"/>
  <c r="AB85" i="24" s="1"/>
  <c r="AB79" i="24" s="1"/>
  <c r="AB169" i="24" s="1"/>
  <c r="AB171" i="24" l="1"/>
  <c r="AC181" i="24"/>
  <c r="AC95" i="24" s="1"/>
  <c r="AB99" i="3"/>
  <c r="AB184" i="3" s="1"/>
  <c r="AB191" i="3"/>
  <c r="AB193" i="3"/>
  <c r="AB192" i="3" s="1"/>
  <c r="AB209" i="29"/>
  <c r="AB128" i="29"/>
  <c r="AB101" i="3" l="1"/>
  <c r="AB120" i="29" s="1"/>
  <c r="AB118" i="29"/>
  <c r="AB212" i="29"/>
  <c r="AB211" i="29" s="1"/>
  <c r="AB210" i="29"/>
  <c r="AB217" i="29"/>
  <c r="AB198" i="3" l="1"/>
  <c r="AB98" i="3" s="1"/>
  <c r="AB198" i="24"/>
  <c r="AB185" i="3"/>
  <c r="AB98" i="24" l="1"/>
  <c r="AB100" i="24" s="1"/>
  <c r="AB90" i="24"/>
  <c r="AB82" i="3"/>
  <c r="AB186" i="3" s="1"/>
  <c r="AB85" i="3" s="1"/>
  <c r="AB104" i="29" s="1"/>
  <c r="AB100" i="3"/>
  <c r="AB117" i="29" l="1"/>
  <c r="AB92" i="24"/>
  <c r="AB111" i="29" s="1"/>
  <c r="AB109" i="29"/>
  <c r="AB119" i="29"/>
  <c r="AB101" i="29"/>
  <c r="AB98" i="29" s="1"/>
  <c r="AB171" i="3"/>
  <c r="AB190" i="29" s="1"/>
  <c r="AB79" i="3"/>
  <c r="AB169" i="3" s="1"/>
  <c r="AB84" i="3"/>
  <c r="AB103" i="29" s="1"/>
  <c r="AC162" i="24" l="1"/>
  <c r="AC163" i="24" s="1"/>
  <c r="AC164" i="24" s="1"/>
  <c r="AC165" i="24" s="1"/>
  <c r="AC127" i="24" s="1"/>
  <c r="AC162" i="3"/>
  <c r="AC163" i="3" s="1"/>
  <c r="AC164" i="3" s="1"/>
  <c r="AC165" i="3" s="1"/>
  <c r="AC127" i="3" s="1"/>
  <c r="AC181" i="29"/>
  <c r="AC182" i="29" s="1"/>
  <c r="AC181" i="3"/>
  <c r="AC95" i="3" s="1"/>
  <c r="AC114" i="29" s="1"/>
  <c r="AE132" i="12" l="1"/>
  <c r="S146" i="29"/>
  <c r="S130" i="29" s="1"/>
  <c r="S197" i="29" s="1"/>
  <c r="S198" i="29" s="1"/>
  <c r="S199" i="29" s="1"/>
  <c r="S201" i="29" s="1"/>
  <c r="S202" i="29" s="1"/>
  <c r="S203" i="29" s="1"/>
  <c r="S204" i="29" s="1"/>
  <c r="S205" i="29" s="1"/>
  <c r="AC111" i="24"/>
  <c r="AC178" i="24" s="1"/>
  <c r="AC88" i="24" s="1"/>
  <c r="AC179" i="24" s="1"/>
  <c r="AC91" i="24" s="1"/>
  <c r="AC183" i="29"/>
  <c r="AC184" i="29" s="1"/>
  <c r="AE129" i="12"/>
  <c r="AC111" i="3"/>
  <c r="AC178" i="3" s="1"/>
  <c r="AE128" i="12" l="1"/>
  <c r="AE45" i="12" s="1"/>
  <c r="AC180" i="24"/>
  <c r="AC88" i="3"/>
  <c r="AC107" i="29" l="1"/>
  <c r="AC90" i="3"/>
  <c r="AC93" i="24"/>
  <c r="AC182" i="24" s="1"/>
  <c r="AC179" i="3"/>
  <c r="AC91" i="3" l="1"/>
  <c r="AC180" i="3" s="1"/>
  <c r="AC96" i="24"/>
  <c r="AC183" i="24" s="1"/>
  <c r="AC99" i="24" l="1"/>
  <c r="AC190" i="24"/>
  <c r="AC109" i="24"/>
  <c r="AC93" i="3"/>
  <c r="AC112" i="29" s="1"/>
  <c r="AC110" i="29"/>
  <c r="AC92" i="3"/>
  <c r="AC182" i="3" l="1"/>
  <c r="AC96" i="3" s="1"/>
  <c r="AC183" i="3" s="1"/>
  <c r="AC191" i="24"/>
  <c r="AC193" i="24"/>
  <c r="AC192" i="24" s="1"/>
  <c r="AC184" i="24"/>
  <c r="AC101" i="24" l="1"/>
  <c r="AC185" i="24" s="1"/>
  <c r="AC99" i="3"/>
  <c r="AC184" i="3" s="1"/>
  <c r="AC115" i="29"/>
  <c r="AC190" i="3"/>
  <c r="AC109" i="3"/>
  <c r="AC82" i="24" l="1"/>
  <c r="AC186" i="24" s="1"/>
  <c r="AC85" i="24" s="1"/>
  <c r="AC191" i="3"/>
  <c r="AC193" i="3"/>
  <c r="AC192" i="3" s="1"/>
  <c r="AC209" i="29"/>
  <c r="AC128" i="29"/>
  <c r="AC101" i="3"/>
  <c r="AC120" i="29" s="1"/>
  <c r="AC118" i="29"/>
  <c r="AC185" i="3" l="1"/>
  <c r="AC82" i="3" s="1"/>
  <c r="AC217" i="29"/>
  <c r="AC210" i="29"/>
  <c r="AC212" i="29"/>
  <c r="AC211" i="29" s="1"/>
  <c r="AC79" i="24"/>
  <c r="AC169" i="24" s="1"/>
  <c r="AC84" i="24"/>
  <c r="AC171" i="24" l="1"/>
  <c r="AD181" i="24"/>
  <c r="AD95" i="24" s="1"/>
  <c r="AC101" i="29"/>
  <c r="AC84" i="3"/>
  <c r="AC103" i="29" s="1"/>
  <c r="AC186" i="3"/>
  <c r="AC85" i="3" s="1"/>
  <c r="AC104" i="29" s="1"/>
  <c r="AC198" i="3"/>
  <c r="AC98" i="3" s="1"/>
  <c r="AC198" i="24"/>
  <c r="AC98" i="24" l="1"/>
  <c r="AC100" i="24" s="1"/>
  <c r="AC90" i="24"/>
  <c r="AC98" i="29"/>
  <c r="AC79" i="3"/>
  <c r="AC169" i="3" s="1"/>
  <c r="AC171" i="3"/>
  <c r="AC190" i="29" s="1"/>
  <c r="AC100" i="3"/>
  <c r="AC117" i="29" l="1"/>
  <c r="AC92" i="24"/>
  <c r="AC111" i="29" s="1"/>
  <c r="AC109" i="29"/>
  <c r="AC119" i="29"/>
  <c r="AD162" i="3"/>
  <c r="AD163" i="3" s="1"/>
  <c r="AD181" i="3"/>
  <c r="AD95" i="3" s="1"/>
  <c r="AD114" i="29" s="1"/>
  <c r="AD162" i="24" l="1"/>
  <c r="AD163" i="24" s="1"/>
  <c r="AD164" i="24" s="1"/>
  <c r="AD165" i="24" s="1"/>
  <c r="AD127" i="24" s="1"/>
  <c r="AF132" i="12" s="1"/>
  <c r="AD181" i="29"/>
  <c r="AD182" i="29" s="1"/>
  <c r="AD183" i="29" s="1"/>
  <c r="AD184" i="29" s="1"/>
  <c r="AD164" i="3"/>
  <c r="AD165" i="3" s="1"/>
  <c r="AD127" i="3" s="1"/>
  <c r="AD111" i="24" l="1"/>
  <c r="AD178" i="24" s="1"/>
  <c r="AD88" i="24" s="1"/>
  <c r="AD179" i="24" s="1"/>
  <c r="AD91" i="24" s="1"/>
  <c r="T146" i="29"/>
  <c r="T130" i="29" s="1"/>
  <c r="T197" i="29" s="1"/>
  <c r="T198" i="29" s="1"/>
  <c r="T199" i="29" s="1"/>
  <c r="T201" i="29" s="1"/>
  <c r="T202" i="29" s="1"/>
  <c r="T203" i="29" s="1"/>
  <c r="T204" i="29" s="1"/>
  <c r="T205" i="29" s="1"/>
  <c r="AF129" i="12"/>
  <c r="AF128" i="12" s="1"/>
  <c r="AF45" i="12" s="1"/>
  <c r="AD111" i="3"/>
  <c r="AD178" i="3" s="1"/>
  <c r="AD180" i="24" l="1"/>
  <c r="AD93" i="24" s="1"/>
  <c r="AD88" i="3"/>
  <c r="AD179" i="3" s="1"/>
  <c r="AD182" i="24" l="1"/>
  <c r="AD96" i="24" s="1"/>
  <c r="AD183" i="24" s="1"/>
  <c r="AD107" i="29"/>
  <c r="AD90" i="3"/>
  <c r="AD91" i="3"/>
  <c r="AD180" i="3" s="1"/>
  <c r="AD99" i="24" l="1"/>
  <c r="AD184" i="24" s="1"/>
  <c r="AD190" i="24"/>
  <c r="AD109" i="24"/>
  <c r="AD93" i="3"/>
  <c r="AD112" i="29" s="1"/>
  <c r="AD110" i="29"/>
  <c r="AD92" i="3"/>
  <c r="AD101" i="24" l="1"/>
  <c r="AD185" i="24" s="1"/>
  <c r="AD182" i="3"/>
  <c r="AD191" i="24"/>
  <c r="AD193" i="24"/>
  <c r="AD192" i="24" s="1"/>
  <c r="AD96" i="3" l="1"/>
  <c r="AD183" i="3" s="1"/>
  <c r="AD82" i="24"/>
  <c r="AD186" i="24" s="1"/>
  <c r="AD85" i="24" s="1"/>
  <c r="AD79" i="24" l="1"/>
  <c r="AD169" i="24" s="1"/>
  <c r="AD84" i="24"/>
  <c r="AD99" i="3"/>
  <c r="AD184" i="3" s="1"/>
  <c r="AD115" i="29"/>
  <c r="AD190" i="3"/>
  <c r="AD109" i="3"/>
  <c r="AD171" i="24" l="1"/>
  <c r="AD101" i="3"/>
  <c r="AD120" i="29" s="1"/>
  <c r="AD209" i="29"/>
  <c r="AD128" i="29"/>
  <c r="AE181" i="24"/>
  <c r="AE95" i="24" s="1"/>
  <c r="AD118" i="29"/>
  <c r="AD191" i="3"/>
  <c r="AD193" i="3"/>
  <c r="AD192" i="3" s="1"/>
  <c r="AD217" i="29" l="1"/>
  <c r="AD212" i="29"/>
  <c r="AD211" i="29" s="1"/>
  <c r="AD210" i="29"/>
  <c r="AD185" i="3"/>
  <c r="AD82" i="3" l="1"/>
  <c r="AD198" i="3"/>
  <c r="AD98" i="3" s="1"/>
  <c r="AD198" i="24"/>
  <c r="AD98" i="24" l="1"/>
  <c r="AD100" i="24" s="1"/>
  <c r="AD90" i="24"/>
  <c r="AD100" i="3"/>
  <c r="AD101" i="29"/>
  <c r="AD84" i="3"/>
  <c r="AD103" i="29" s="1"/>
  <c r="AD186" i="3"/>
  <c r="AD85" i="3" s="1"/>
  <c r="AD104" i="29" s="1"/>
  <c r="AD117" i="29" l="1"/>
  <c r="AD92" i="24"/>
  <c r="AD111" i="29" s="1"/>
  <c r="AD109" i="29"/>
  <c r="AD98" i="29"/>
  <c r="AD79" i="3"/>
  <c r="AD169" i="3" s="1"/>
  <c r="AE181" i="3" s="1"/>
  <c r="AE95" i="3" s="1"/>
  <c r="AE114" i="29" s="1"/>
  <c r="AD171" i="3"/>
  <c r="AD190" i="29" s="1"/>
  <c r="AD119" i="29"/>
  <c r="AE162" i="3"/>
  <c r="AE163" i="3" s="1"/>
  <c r="AE162" i="24" l="1"/>
  <c r="AE163" i="24" s="1"/>
  <c r="AE164" i="24" s="1"/>
  <c r="AE165" i="24" s="1"/>
  <c r="AE127" i="24" s="1"/>
  <c r="U146" i="29" s="1"/>
  <c r="U130" i="29" s="1"/>
  <c r="U197" i="29" s="1"/>
  <c r="U198" i="29" s="1"/>
  <c r="U199" i="29" s="1"/>
  <c r="U201" i="29" s="1"/>
  <c r="U202" i="29" s="1"/>
  <c r="U203" i="29" s="1"/>
  <c r="U204" i="29" s="1"/>
  <c r="U205" i="29" s="1"/>
  <c r="AE181" i="29"/>
  <c r="AE182" i="29" s="1"/>
  <c r="AE183" i="29" s="1"/>
  <c r="AE184" i="29" s="1"/>
  <c r="AE164" i="3"/>
  <c r="AE165" i="3" s="1"/>
  <c r="AE127" i="3" s="1"/>
  <c r="AE111" i="24" l="1"/>
  <c r="AE178" i="24" s="1"/>
  <c r="AE88" i="24" s="1"/>
  <c r="AE179" i="24" s="1"/>
  <c r="AE91" i="24" s="1"/>
  <c r="AE180" i="24" s="1"/>
  <c r="AG132" i="12"/>
  <c r="AG129" i="12"/>
  <c r="AE111" i="3"/>
  <c r="AE178" i="3" s="1"/>
  <c r="AG128" i="12" l="1"/>
  <c r="AG45" i="12" s="1"/>
  <c r="AE88" i="3"/>
  <c r="AE179" i="3" s="1"/>
  <c r="AE93" i="24"/>
  <c r="AE182" i="24" s="1"/>
  <c r="AE96" i="24" l="1"/>
  <c r="AE183" i="24" s="1"/>
  <c r="AE91" i="3"/>
  <c r="AE180" i="3" s="1"/>
  <c r="AE107" i="29"/>
  <c r="AE90" i="3"/>
  <c r="AE93" i="3" l="1"/>
  <c r="AE112" i="29" s="1"/>
  <c r="AE110" i="29"/>
  <c r="AE92" i="3"/>
  <c r="AE99" i="24"/>
  <c r="AE190" i="24"/>
  <c r="AE109" i="24"/>
  <c r="AE191" i="24" l="1"/>
  <c r="AE193" i="24"/>
  <c r="AE192" i="24" s="1"/>
  <c r="AE182" i="3"/>
  <c r="AE184" i="24"/>
  <c r="AE101" i="24" l="1"/>
  <c r="AE185" i="24" s="1"/>
  <c r="AE96" i="3"/>
  <c r="AE115" i="29" l="1"/>
  <c r="AE190" i="3"/>
  <c r="AE109" i="3"/>
  <c r="AE183" i="3"/>
  <c r="AE82" i="24"/>
  <c r="AE84" i="24" l="1"/>
  <c r="AE186" i="24"/>
  <c r="AE85" i="24" s="1"/>
  <c r="AE99" i="3"/>
  <c r="AE191" i="3"/>
  <c r="AE193" i="3"/>
  <c r="AE192" i="3" s="1"/>
  <c r="AE209" i="29"/>
  <c r="AE128" i="29"/>
  <c r="AE118" i="29" l="1"/>
  <c r="AE184" i="3"/>
  <c r="AE217" i="29"/>
  <c r="AE212" i="29"/>
  <c r="AE211" i="29" s="1"/>
  <c r="AE210" i="29"/>
  <c r="AE79" i="24"/>
  <c r="AE169" i="24" s="1"/>
  <c r="AE198" i="24" l="1"/>
  <c r="AE198" i="3"/>
  <c r="AE98" i="3" s="1"/>
  <c r="AE101" i="3"/>
  <c r="AE120" i="29" s="1"/>
  <c r="AF181" i="24"/>
  <c r="AF95" i="24" s="1"/>
  <c r="AE171" i="24"/>
  <c r="AE98" i="24" l="1"/>
  <c r="AE100" i="24" s="1"/>
  <c r="AE90" i="24"/>
  <c r="AE185" i="3"/>
  <c r="AE82" i="3" s="1"/>
  <c r="AE100" i="3"/>
  <c r="AE117" i="29" l="1"/>
  <c r="AE92" i="24"/>
  <c r="AE111" i="29" s="1"/>
  <c r="AE109" i="29"/>
  <c r="AE119" i="29"/>
  <c r="AE101" i="29"/>
  <c r="AE84" i="3"/>
  <c r="AE103" i="29" s="1"/>
  <c r="AE186" i="3"/>
  <c r="AE85" i="3" s="1"/>
  <c r="AE104" i="29" s="1"/>
  <c r="AF162" i="24" l="1"/>
  <c r="AF163" i="24" s="1"/>
  <c r="AF164" i="24" s="1"/>
  <c r="AF165" i="24" s="1"/>
  <c r="AF127" i="24" s="1"/>
  <c r="AF111" i="24" s="1"/>
  <c r="AF178" i="24" s="1"/>
  <c r="AF88" i="24" s="1"/>
  <c r="AF179" i="24" s="1"/>
  <c r="AE171" i="3"/>
  <c r="AE190" i="29" s="1"/>
  <c r="AF162" i="3"/>
  <c r="AF163" i="3" s="1"/>
  <c r="AF164" i="3" s="1"/>
  <c r="AF165" i="3" s="1"/>
  <c r="AF127" i="3" s="1"/>
  <c r="AF181" i="29"/>
  <c r="AF182" i="29" s="1"/>
  <c r="AF183" i="29" s="1"/>
  <c r="AF184" i="29" s="1"/>
  <c r="AE98" i="29"/>
  <c r="AE79" i="3"/>
  <c r="AE169" i="3" s="1"/>
  <c r="AF181" i="3" s="1"/>
  <c r="AF95" i="3" s="1"/>
  <c r="AF114" i="29" s="1"/>
  <c r="AH132" i="12" l="1"/>
  <c r="V146" i="29"/>
  <c r="V130" i="29" s="1"/>
  <c r="V197" i="29" s="1"/>
  <c r="V198" i="29" s="1"/>
  <c r="V199" i="29" s="1"/>
  <c r="V201" i="29" s="1"/>
  <c r="V202" i="29" s="1"/>
  <c r="V203" i="29" s="1"/>
  <c r="V204" i="29" s="1"/>
  <c r="V205" i="29" s="1"/>
  <c r="AH129" i="12"/>
  <c r="AF111" i="3"/>
  <c r="AF178" i="3" s="1"/>
  <c r="AF91" i="24"/>
  <c r="AF180" i="24" s="1"/>
  <c r="AH128" i="12" l="1"/>
  <c r="AH45" i="12" s="1"/>
  <c r="AF93" i="24"/>
  <c r="AF182" i="24" s="1"/>
  <c r="AF88" i="3"/>
  <c r="AF179" i="3" s="1"/>
  <c r="AF96" i="24" l="1"/>
  <c r="AF183" i="24" s="1"/>
  <c r="AF107" i="29"/>
  <c r="AF90" i="3"/>
  <c r="AF91" i="3" s="1"/>
  <c r="AF180" i="3" s="1"/>
  <c r="AF110" i="29" l="1"/>
  <c r="AF92" i="3"/>
  <c r="AF99" i="24"/>
  <c r="AF184" i="24" s="1"/>
  <c r="AF190" i="24"/>
  <c r="AF109" i="24"/>
  <c r="AF191" i="24" l="1"/>
  <c r="AF193" i="24"/>
  <c r="AF192" i="24" s="1"/>
  <c r="AF93" i="3"/>
  <c r="AF101" i="24"/>
  <c r="AF185" i="24" s="1"/>
  <c r="AF112" i="29" l="1"/>
  <c r="AF182" i="3"/>
  <c r="AF82" i="24"/>
  <c r="AF186" i="24" s="1"/>
  <c r="AF85" i="24" s="1"/>
  <c r="AF79" i="24" l="1"/>
  <c r="AF169" i="24" s="1"/>
  <c r="AF84" i="24"/>
  <c r="AF96" i="3"/>
  <c r="AF115" i="29" l="1"/>
  <c r="AF190" i="3"/>
  <c r="AF109" i="3"/>
  <c r="AF183" i="3"/>
  <c r="AG181" i="24"/>
  <c r="AG95" i="24" s="1"/>
  <c r="AF171" i="24"/>
  <c r="AF99" i="3" l="1"/>
  <c r="AF191" i="3"/>
  <c r="AF193" i="3"/>
  <c r="AF192" i="3" s="1"/>
  <c r="AF209" i="29"/>
  <c r="AF128" i="29"/>
  <c r="AF217" i="29" l="1"/>
  <c r="AF212" i="29"/>
  <c r="AF211" i="29" s="1"/>
  <c r="AF210" i="29"/>
  <c r="AF118" i="29"/>
  <c r="AF184" i="3"/>
  <c r="AF101" i="3" l="1"/>
  <c r="AF120" i="29" s="1"/>
  <c r="AF198" i="3"/>
  <c r="AF98" i="3" s="1"/>
  <c r="AF198" i="24"/>
  <c r="AF98" i="24" l="1"/>
  <c r="AF100" i="24" s="1"/>
  <c r="AF90" i="24"/>
  <c r="AF185" i="3"/>
  <c r="AF82" i="3" s="1"/>
  <c r="AF186" i="3" s="1"/>
  <c r="AF85" i="3" s="1"/>
  <c r="AF104" i="29" s="1"/>
  <c r="AF100" i="3"/>
  <c r="AF117" i="29" l="1"/>
  <c r="AF92" i="24"/>
  <c r="AF111" i="29" s="1"/>
  <c r="AF109" i="29"/>
  <c r="AF101" i="29"/>
  <c r="AF98" i="29" s="1"/>
  <c r="AF79" i="3"/>
  <c r="AF84" i="3"/>
  <c r="AF103" i="29" s="1"/>
  <c r="AF119" i="29"/>
  <c r="AG162" i="24" l="1"/>
  <c r="AG163" i="24" s="1"/>
  <c r="AG164" i="24" s="1"/>
  <c r="AG165" i="24" s="1"/>
  <c r="AG127" i="24" s="1"/>
  <c r="AG181" i="29"/>
  <c r="AG182" i="29" s="1"/>
  <c r="AG183" i="29" s="1"/>
  <c r="AG184" i="29" s="1"/>
  <c r="AF169" i="3"/>
  <c r="AG162" i="3"/>
  <c r="AG163" i="3" s="1"/>
  <c r="AI132" i="12" l="1"/>
  <c r="W146" i="29"/>
  <c r="W130" i="29" s="1"/>
  <c r="W197" i="29" s="1"/>
  <c r="W198" i="29" s="1"/>
  <c r="W199" i="29" s="1"/>
  <c r="W201" i="29" s="1"/>
  <c r="W202" i="29" s="1"/>
  <c r="W203" i="29" s="1"/>
  <c r="W204" i="29" s="1"/>
  <c r="W205" i="29" s="1"/>
  <c r="AG111" i="24"/>
  <c r="AG178" i="24" s="1"/>
  <c r="AG88" i="24" s="1"/>
  <c r="AG179" i="24" s="1"/>
  <c r="AG164" i="3"/>
  <c r="AG165" i="3" s="1"/>
  <c r="AG127" i="3" s="1"/>
  <c r="AG181" i="3"/>
  <c r="AG95" i="3" s="1"/>
  <c r="AG114" i="29" s="1"/>
  <c r="AG91" i="24" l="1"/>
  <c r="AI129" i="12"/>
  <c r="AI128" i="12" s="1"/>
  <c r="AI45" i="12" s="1"/>
  <c r="AG111" i="3"/>
  <c r="AG178" i="3" s="1"/>
  <c r="AG180" i="24" l="1"/>
  <c r="AG93" i="24" s="1"/>
  <c r="AG182" i="24" s="1"/>
  <c r="AG88" i="3"/>
  <c r="AG179" i="3" s="1"/>
  <c r="AG96" i="24" l="1"/>
  <c r="AG183" i="24" s="1"/>
  <c r="AG107" i="29"/>
  <c r="AG90" i="3"/>
  <c r="AG91" i="3" l="1"/>
  <c r="AG110" i="29" s="1"/>
  <c r="AG99" i="24"/>
  <c r="AG184" i="24" s="1"/>
  <c r="AG190" i="24"/>
  <c r="AG109" i="24"/>
  <c r="AG180" i="3" l="1"/>
  <c r="AG92" i="3"/>
  <c r="AG193" i="24"/>
  <c r="AG192" i="24" s="1"/>
  <c r="AG191" i="24"/>
  <c r="AG101" i="24"/>
  <c r="AG185" i="24" s="1"/>
  <c r="AG93" i="3" l="1"/>
  <c r="AG112" i="29" s="1"/>
  <c r="AG82" i="24"/>
  <c r="AG182" i="3" l="1"/>
  <c r="AG96" i="3" s="1"/>
  <c r="AG84" i="24"/>
  <c r="AG186" i="24"/>
  <c r="AG85" i="24" s="1"/>
  <c r="AG79" i="24" s="1"/>
  <c r="AG169" i="24" s="1"/>
  <c r="AH181" i="24" l="1"/>
  <c r="AH95" i="24" s="1"/>
  <c r="AG115" i="29"/>
  <c r="AG190" i="3"/>
  <c r="AG109" i="3"/>
  <c r="AG183" i="3"/>
  <c r="AG171" i="24"/>
  <c r="AG209" i="29" l="1"/>
  <c r="AG128" i="29"/>
  <c r="AG193" i="3"/>
  <c r="AG192" i="3" s="1"/>
  <c r="AG191" i="3"/>
  <c r="AG217" i="29" l="1"/>
  <c r="AG212" i="29"/>
  <c r="AG211" i="29" s="1"/>
  <c r="AG210" i="29"/>
  <c r="AG198" i="3" l="1"/>
  <c r="AG98" i="3" s="1"/>
  <c r="AG198" i="24"/>
  <c r="AG98" i="24" l="1"/>
  <c r="AG100" i="24" s="1"/>
  <c r="AG90" i="24"/>
  <c r="AG99" i="3"/>
  <c r="AG117" i="29" l="1"/>
  <c r="AG92" i="24"/>
  <c r="AG111" i="29" s="1"/>
  <c r="AG109" i="29"/>
  <c r="AG118" i="29"/>
  <c r="AG100" i="3"/>
  <c r="AG184" i="3"/>
  <c r="AH162" i="24" l="1"/>
  <c r="AH163" i="24" s="1"/>
  <c r="AH164" i="24" s="1"/>
  <c r="AH165" i="24" s="1"/>
  <c r="AH127" i="24" s="1"/>
  <c r="AG119" i="29"/>
  <c r="AG101" i="3"/>
  <c r="AG120" i="29" s="1"/>
  <c r="X146" i="29" l="1"/>
  <c r="X130" i="29" s="1"/>
  <c r="X197" i="29" s="1"/>
  <c r="X198" i="29" s="1"/>
  <c r="X199" i="29" s="1"/>
  <c r="X201" i="29" s="1"/>
  <c r="X202" i="29" s="1"/>
  <c r="X203" i="29" s="1"/>
  <c r="X204" i="29" s="1"/>
  <c r="X205" i="29" s="1"/>
  <c r="AH111" i="24"/>
  <c r="AH178" i="24" s="1"/>
  <c r="AH88" i="24" s="1"/>
  <c r="AH179" i="24" s="1"/>
  <c r="AH91" i="24" s="1"/>
  <c r="AH180" i="24" s="1"/>
  <c r="AJ132" i="12"/>
  <c r="AG185" i="3"/>
  <c r="AG82" i="3" s="1"/>
  <c r="AH93" i="24" l="1"/>
  <c r="AH182" i="24" s="1"/>
  <c r="AG101" i="29"/>
  <c r="AG84" i="3"/>
  <c r="AG186" i="3"/>
  <c r="AG85" i="3" s="1"/>
  <c r="AG104" i="29" s="1"/>
  <c r="AG103" i="29" l="1"/>
  <c r="AH181" i="29" s="1"/>
  <c r="AH182" i="29" s="1"/>
  <c r="AH162" i="3"/>
  <c r="AH163" i="3" s="1"/>
  <c r="AG79" i="3"/>
  <c r="AG98" i="29"/>
  <c r="AH96" i="24"/>
  <c r="AH164" i="3" l="1"/>
  <c r="AH165" i="3" s="1"/>
  <c r="AH127" i="3" s="1"/>
  <c r="AH190" i="24"/>
  <c r="AH109" i="24"/>
  <c r="AH183" i="24"/>
  <c r="AF167" i="3"/>
  <c r="AG169" i="3"/>
  <c r="AH183" i="29"/>
  <c r="AH184" i="29" s="1"/>
  <c r="AF186" i="29" l="1"/>
  <c r="AF171" i="3"/>
  <c r="AF190" i="29" s="1"/>
  <c r="AH191" i="24"/>
  <c r="AH193" i="24"/>
  <c r="AH192" i="24" s="1"/>
  <c r="AH181" i="3"/>
  <c r="AH95" i="3" s="1"/>
  <c r="AH114" i="29" s="1"/>
  <c r="AH99" i="24"/>
  <c r="AH111" i="3"/>
  <c r="AH178" i="3" s="1"/>
  <c r="AJ129" i="12"/>
  <c r="AJ128" i="12" s="1"/>
  <c r="AJ45" i="12" s="1"/>
  <c r="AH88" i="3" l="1"/>
  <c r="AH179" i="3" s="1"/>
  <c r="AH184" i="24"/>
  <c r="AF188" i="29"/>
  <c r="AH101" i="24" l="1"/>
  <c r="AH185" i="24" s="1"/>
  <c r="AH107" i="29"/>
  <c r="AH90" i="3"/>
  <c r="AG200" i="29"/>
  <c r="AH91" i="3" l="1"/>
  <c r="AH82" i="24"/>
  <c r="AH186" i="24" s="1"/>
  <c r="AH85" i="24" s="1"/>
  <c r="AH110" i="29" l="1"/>
  <c r="AH92" i="3"/>
  <c r="AH180" i="3"/>
  <c r="AH79" i="24"/>
  <c r="AH169" i="24" s="1"/>
  <c r="AH84" i="24"/>
  <c r="AI181" i="24" l="1"/>
  <c r="AI95" i="24" s="1"/>
  <c r="AH171" i="24"/>
  <c r="AH93" i="3"/>
  <c r="AH112" i="29" s="1"/>
  <c r="AH182" i="3" l="1"/>
  <c r="AH96" i="3" l="1"/>
  <c r="AH183" i="3" s="1"/>
  <c r="AH115" i="29" l="1"/>
  <c r="AH190" i="3"/>
  <c r="AH109" i="3"/>
  <c r="AH191" i="3" l="1"/>
  <c r="AH193" i="3"/>
  <c r="AH192" i="3" s="1"/>
  <c r="AH209" i="29"/>
  <c r="AH128" i="29"/>
  <c r="AH210" i="29" l="1"/>
  <c r="AH217" i="29"/>
  <c r="AH212" i="29"/>
  <c r="AH211" i="29" s="1"/>
  <c r="AH198" i="24" l="1"/>
  <c r="AH198" i="3"/>
  <c r="AH98" i="3" s="1"/>
  <c r="AH98" i="24" l="1"/>
  <c r="AH100" i="24" s="1"/>
  <c r="AH90" i="24"/>
  <c r="AH99" i="3"/>
  <c r="AH117" i="29" l="1"/>
  <c r="AH92" i="24"/>
  <c r="AH111" i="29" s="1"/>
  <c r="AH109" i="29"/>
  <c r="AH118" i="29"/>
  <c r="AH100" i="3"/>
  <c r="AH184" i="3"/>
  <c r="AI162" i="24" l="1"/>
  <c r="AI163" i="24" s="1"/>
  <c r="AI164" i="24" s="1"/>
  <c r="AI165" i="24" s="1"/>
  <c r="AI127" i="24" s="1"/>
  <c r="AH101" i="3"/>
  <c r="AH120" i="29" s="1"/>
  <c r="AH119" i="29"/>
  <c r="Y146" i="29" l="1"/>
  <c r="Y130" i="29" s="1"/>
  <c r="Y197" i="29" s="1"/>
  <c r="Y198" i="29" s="1"/>
  <c r="Y199" i="29" s="1"/>
  <c r="Y201" i="29" s="1"/>
  <c r="Y202" i="29" s="1"/>
  <c r="Y203" i="29" s="1"/>
  <c r="Y204" i="29" s="1"/>
  <c r="Y205" i="29" s="1"/>
  <c r="AK132" i="12"/>
  <c r="AI111" i="24"/>
  <c r="AI178" i="24" s="1"/>
  <c r="AI88" i="24" s="1"/>
  <c r="AH185" i="3"/>
  <c r="AI179" i="24" l="1"/>
  <c r="AH82" i="3"/>
  <c r="AH101" i="29" l="1"/>
  <c r="AH84" i="3"/>
  <c r="AH186" i="3"/>
  <c r="AH85" i="3" s="1"/>
  <c r="AH104" i="29" s="1"/>
  <c r="AH103" i="29" l="1"/>
  <c r="AI181" i="29" s="1"/>
  <c r="AI182" i="29" s="1"/>
  <c r="AI162" i="3"/>
  <c r="AI163" i="3" s="1"/>
  <c r="AH79" i="3"/>
  <c r="AH98" i="29"/>
  <c r="AG167" i="3" l="1"/>
  <c r="AH169" i="3"/>
  <c r="AI164" i="3"/>
  <c r="AI165" i="3" s="1"/>
  <c r="AI127" i="3" s="1"/>
  <c r="AI183" i="29"/>
  <c r="AI184" i="29" s="1"/>
  <c r="AI111" i="3" l="1"/>
  <c r="AI178" i="3" s="1"/>
  <c r="AK129" i="12"/>
  <c r="AK128" i="12" s="1"/>
  <c r="AK45" i="12" s="1"/>
  <c r="AI181" i="3"/>
  <c r="AI95" i="3" s="1"/>
  <c r="AI114" i="29" s="1"/>
  <c r="AG186" i="29"/>
  <c r="AG171" i="3"/>
  <c r="AG190" i="29" s="1"/>
  <c r="AI88" i="3" l="1"/>
  <c r="AI179" i="3" s="1"/>
  <c r="AG188" i="29"/>
  <c r="AI107" i="29" l="1"/>
  <c r="AI90" i="3"/>
  <c r="AH200" i="29"/>
  <c r="AI91" i="3" l="1"/>
  <c r="AI92" i="3" l="1"/>
  <c r="AI180" i="3"/>
  <c r="AI93" i="3" l="1"/>
  <c r="AI182" i="3" l="1"/>
  <c r="AI96" i="3" s="1"/>
  <c r="AI190" i="3" l="1"/>
  <c r="AI109" i="3"/>
  <c r="AI183" i="3"/>
  <c r="AI191" i="3" l="1"/>
  <c r="AI193" i="3"/>
  <c r="AI192" i="3" s="1"/>
  <c r="AI90" i="24"/>
  <c r="AI91" i="24" s="1"/>
  <c r="AI110" i="29" l="1"/>
  <c r="AI92" i="24"/>
  <c r="AI180" i="24"/>
  <c r="AI109" i="29"/>
  <c r="AI93" i="24" l="1"/>
  <c r="AI182" i="24" s="1"/>
  <c r="AI111" i="29"/>
  <c r="AI96" i="24" l="1"/>
  <c r="AI112" i="29"/>
  <c r="AI109" i="24" l="1"/>
  <c r="AI190" i="24"/>
  <c r="AI115" i="29"/>
  <c r="AI183" i="24"/>
  <c r="AI99" i="24" l="1"/>
  <c r="AI184" i="24" s="1"/>
  <c r="AI191" i="24"/>
  <c r="AI193" i="24"/>
  <c r="AI192" i="24" s="1"/>
  <c r="AI128" i="29"/>
  <c r="AI209" i="29"/>
  <c r="AI212" i="29" l="1"/>
  <c r="AI211" i="29" s="1"/>
  <c r="AI210" i="29"/>
  <c r="AI217" i="29"/>
  <c r="AI101" i="24"/>
  <c r="AI185" i="24" s="1"/>
  <c r="AI198" i="24" l="1"/>
  <c r="AI98" i="24" s="1"/>
  <c r="AI198" i="3"/>
  <c r="AI98" i="3" s="1"/>
  <c r="AI82" i="24"/>
  <c r="AI84" i="24" l="1"/>
  <c r="AI186" i="24"/>
  <c r="AI85" i="24" s="1"/>
  <c r="AI79" i="24" s="1"/>
  <c r="AI117" i="29"/>
  <c r="AI99" i="3"/>
  <c r="AI100" i="3" s="1"/>
  <c r="AI100" i="24"/>
  <c r="AI119" i="29" l="1"/>
  <c r="AI169" i="24"/>
  <c r="AJ162" i="24"/>
  <c r="AI184" i="3"/>
  <c r="AI118" i="29"/>
  <c r="AI171" i="24"/>
  <c r="AJ181" i="24" l="1"/>
  <c r="AJ95" i="24" s="1"/>
  <c r="AI101" i="3"/>
  <c r="AJ163" i="24"/>
  <c r="AJ164" i="24" l="1"/>
  <c r="AJ165" i="24" s="1"/>
  <c r="AI120" i="29"/>
  <c r="AI185" i="3"/>
  <c r="AJ127" i="24" l="1"/>
  <c r="AI82" i="3"/>
  <c r="AI84" i="3" l="1"/>
  <c r="AI101" i="29"/>
  <c r="AI186" i="3"/>
  <c r="AI85" i="3" s="1"/>
  <c r="AL132" i="12"/>
  <c r="Z146" i="29"/>
  <c r="AJ111" i="24"/>
  <c r="Z130" i="29" l="1"/>
  <c r="AI104" i="29"/>
  <c r="AI98" i="29" s="1"/>
  <c r="AI103" i="29"/>
  <c r="AJ162" i="3"/>
  <c r="AI79" i="3"/>
  <c r="AJ178" i="24"/>
  <c r="AH167" i="3" l="1"/>
  <c r="AI169" i="3"/>
  <c r="AJ163" i="3"/>
  <c r="AJ181" i="29"/>
  <c r="AJ88" i="24"/>
  <c r="Z197" i="29"/>
  <c r="Z198" i="29" s="1"/>
  <c r="Z199" i="29" s="1"/>
  <c r="Z201" i="29" s="1"/>
  <c r="Z202" i="29" s="1"/>
  <c r="Z203" i="29" s="1"/>
  <c r="Z204" i="29" s="1"/>
  <c r="Z205" i="29" s="1"/>
  <c r="AH171" i="3" l="1"/>
  <c r="AH186" i="29"/>
  <c r="AJ90" i="24"/>
  <c r="AJ164" i="3"/>
  <c r="AJ165" i="3" s="1"/>
  <c r="AJ181" i="3"/>
  <c r="AJ95" i="3" s="1"/>
  <c r="AJ179" i="24"/>
  <c r="AJ182" i="29"/>
  <c r="AJ183" i="29" l="1"/>
  <c r="AJ184" i="29" s="1"/>
  <c r="AH190" i="29"/>
  <c r="AJ91" i="24"/>
  <c r="AJ180" i="24" s="1"/>
  <c r="AJ114" i="29"/>
  <c r="AJ127" i="3"/>
  <c r="AH188" i="29"/>
  <c r="AI200" i="29" l="1"/>
  <c r="AL129" i="12"/>
  <c r="AJ111" i="3"/>
  <c r="AJ92" i="24"/>
  <c r="AJ93" i="24" s="1"/>
  <c r="AJ182" i="24" l="1"/>
  <c r="AJ178" i="3"/>
  <c r="AL128" i="12"/>
  <c r="AL45" i="12" s="1"/>
  <c r="AJ88" i="3" l="1"/>
  <c r="AJ96" i="24"/>
  <c r="AJ183" i="24" s="1"/>
  <c r="AJ190" i="24" l="1"/>
  <c r="AJ109" i="24"/>
  <c r="AJ90" i="3"/>
  <c r="AJ107" i="29"/>
  <c r="AJ179" i="3"/>
  <c r="AJ99" i="24"/>
  <c r="AJ184" i="24" s="1"/>
  <c r="AJ101" i="24" l="1"/>
  <c r="AJ185" i="24" s="1"/>
  <c r="AJ91" i="3"/>
  <c r="AJ92" i="3" s="1"/>
  <c r="AJ191" i="24"/>
  <c r="AJ193" i="24"/>
  <c r="AJ192" i="24" s="1"/>
  <c r="AJ109" i="29"/>
  <c r="AJ111" i="29" l="1"/>
  <c r="AJ110" i="29"/>
  <c r="AJ82" i="24"/>
  <c r="AJ186" i="24" s="1"/>
  <c r="AJ85" i="24" s="1"/>
  <c r="AJ180" i="3"/>
  <c r="AJ93" i="3" l="1"/>
  <c r="AJ182" i="3" s="1"/>
  <c r="AJ79" i="24"/>
  <c r="AJ171" i="24" s="1"/>
  <c r="AJ84" i="24"/>
  <c r="AJ96" i="3" l="1"/>
  <c r="AJ112" i="29"/>
  <c r="AI167" i="24"/>
  <c r="AJ169" i="24"/>
  <c r="AK181" i="24" l="1"/>
  <c r="AK95" i="24" s="1"/>
  <c r="AJ115" i="29"/>
  <c r="AJ190" i="3"/>
  <c r="AJ109" i="3"/>
  <c r="AJ183" i="3"/>
  <c r="AJ193" i="3" l="1"/>
  <c r="AJ192" i="3" s="1"/>
  <c r="AJ191" i="3"/>
  <c r="AJ209" i="29"/>
  <c r="AJ128" i="29"/>
  <c r="AJ210" i="29" l="1"/>
  <c r="AJ212" i="29"/>
  <c r="AJ211" i="29" s="1"/>
  <c r="AJ217" i="29"/>
  <c r="AJ198" i="24" l="1"/>
  <c r="AJ98" i="24" s="1"/>
  <c r="AJ198" i="3"/>
  <c r="AJ98" i="3" s="1"/>
  <c r="AJ117" i="29" l="1"/>
  <c r="AJ99" i="3"/>
  <c r="AJ100" i="3" s="1"/>
  <c r="AJ100" i="24"/>
  <c r="AJ119" i="29" l="1"/>
  <c r="AK162" i="24"/>
  <c r="AJ118" i="29"/>
  <c r="AJ184" i="3"/>
  <c r="AK163" i="24" l="1"/>
  <c r="AJ101" i="3"/>
  <c r="AJ185" i="3" s="1"/>
  <c r="AJ82" i="3" l="1"/>
  <c r="AJ120" i="29"/>
  <c r="AK164" i="24"/>
  <c r="AK165" i="24" s="1"/>
  <c r="AK127" i="24" l="1"/>
  <c r="AJ101" i="29"/>
  <c r="AJ84" i="3"/>
  <c r="AJ186" i="3"/>
  <c r="AJ85" i="3" s="1"/>
  <c r="AJ79" i="3" l="1"/>
  <c r="AM132" i="12"/>
  <c r="AA146" i="29"/>
  <c r="AK111" i="24"/>
  <c r="AJ104" i="29"/>
  <c r="AJ98" i="29" s="1"/>
  <c r="AJ103" i="29"/>
  <c r="AK162" i="3"/>
  <c r="AK178" i="24" l="1"/>
  <c r="AI167" i="3"/>
  <c r="AJ169" i="3"/>
  <c r="AK163" i="3"/>
  <c r="AA130" i="29"/>
  <c r="AK181" i="29"/>
  <c r="AA197" i="29" l="1"/>
  <c r="AA198" i="29" s="1"/>
  <c r="AA199" i="29" s="1"/>
  <c r="AA201" i="29" s="1"/>
  <c r="AA202" i="29" s="1"/>
  <c r="AA203" i="29" s="1"/>
  <c r="AA204" i="29" s="1"/>
  <c r="AA205" i="29" s="1"/>
  <c r="AK164" i="3"/>
  <c r="AK165" i="3" s="1"/>
  <c r="AK88" i="24"/>
  <c r="AK179" i="24" s="1"/>
  <c r="AK181" i="3"/>
  <c r="AK95" i="3" s="1"/>
  <c r="AK182" i="29"/>
  <c r="AI186" i="29"/>
  <c r="AI171" i="3"/>
  <c r="AK127" i="3" l="1"/>
  <c r="AK183" i="29"/>
  <c r="AK184" i="29" s="1"/>
  <c r="AK114" i="29"/>
  <c r="AI188" i="29"/>
  <c r="AI190" i="29"/>
  <c r="AK90" i="24"/>
  <c r="AM129" i="12" l="1"/>
  <c r="AK111" i="3"/>
  <c r="AJ200" i="29"/>
  <c r="AK91" i="24"/>
  <c r="AK92" i="24" s="1"/>
  <c r="AM128" i="12" l="1"/>
  <c r="AM45" i="12" s="1"/>
  <c r="AK180" i="24"/>
  <c r="AK178" i="3"/>
  <c r="AK88" i="3" l="1"/>
  <c r="AK179" i="3" s="1"/>
  <c r="AK93" i="24"/>
  <c r="AK182" i="24" s="1"/>
  <c r="AK96" i="24" l="1"/>
  <c r="AK107" i="29"/>
  <c r="AK90" i="3"/>
  <c r="AK109" i="29" l="1"/>
  <c r="AK91" i="3"/>
  <c r="AK92" i="3" s="1"/>
  <c r="AK190" i="24"/>
  <c r="AK109" i="24"/>
  <c r="AK183" i="24"/>
  <c r="AK111" i="29" l="1"/>
  <c r="AK193" i="24"/>
  <c r="AK192" i="24" s="1"/>
  <c r="AK191" i="24"/>
  <c r="AK110" i="29"/>
  <c r="AK180" i="3"/>
  <c r="AK93" i="3" l="1"/>
  <c r="AK182" i="3" s="1"/>
  <c r="AK96" i="3" l="1"/>
  <c r="AK183" i="3" s="1"/>
  <c r="AK112" i="29"/>
  <c r="AK115" i="29" l="1"/>
  <c r="AK190" i="3"/>
  <c r="AK109" i="3"/>
  <c r="AK191" i="3" l="1"/>
  <c r="AK193" i="3"/>
  <c r="AK192" i="3" s="1"/>
  <c r="AK209" i="29"/>
  <c r="AK128" i="29"/>
  <c r="AK217" i="29" l="1"/>
  <c r="AK212" i="29"/>
  <c r="AK211" i="29" s="1"/>
  <c r="AK210" i="29"/>
  <c r="AK198" i="3" l="1"/>
  <c r="AK98" i="3" s="1"/>
  <c r="AK198" i="24"/>
  <c r="AK98" i="24" s="1"/>
  <c r="AK99" i="24" l="1"/>
  <c r="AK117" i="29"/>
  <c r="AK99" i="3"/>
  <c r="AK118" i="29" l="1"/>
  <c r="AK184" i="3"/>
  <c r="AK184" i="24"/>
  <c r="AK100" i="3"/>
  <c r="AK100" i="24"/>
  <c r="AK119" i="29" l="1"/>
  <c r="AK101" i="24"/>
  <c r="AK101" i="3"/>
  <c r="AK185" i="3" s="1"/>
  <c r="AK82" i="3" l="1"/>
  <c r="AK186" i="3" s="1"/>
  <c r="AK85" i="3" s="1"/>
  <c r="AK185" i="24"/>
  <c r="AK120" i="29"/>
  <c r="AK82" i="24" l="1"/>
  <c r="AK101" i="29" s="1"/>
  <c r="AK79" i="3"/>
  <c r="AK84" i="3"/>
  <c r="AL162" i="3" l="1"/>
  <c r="AK84" i="24"/>
  <c r="AK186" i="24"/>
  <c r="AK85" i="24" s="1"/>
  <c r="AK79" i="24" s="1"/>
  <c r="AJ167" i="3"/>
  <c r="AK169" i="3"/>
  <c r="AJ167" i="24" l="1"/>
  <c r="AJ186" i="29" s="1"/>
  <c r="AK169" i="24"/>
  <c r="AK104" i="29"/>
  <c r="AJ171" i="3"/>
  <c r="AK171" i="24"/>
  <c r="AL163" i="3"/>
  <c r="AL181" i="3"/>
  <c r="AL95" i="3" s="1"/>
  <c r="AL162" i="24"/>
  <c r="AK103" i="29"/>
  <c r="AJ188" i="29" l="1"/>
  <c r="AK98" i="29"/>
  <c r="AL181" i="29"/>
  <c r="AL164" i="3"/>
  <c r="AL165" i="3" s="1"/>
  <c r="AL163" i="24"/>
  <c r="AJ190" i="29"/>
  <c r="AL181" i="24"/>
  <c r="AL95" i="24" s="1"/>
  <c r="AL182" i="29" l="1"/>
  <c r="AL164" i="24"/>
  <c r="AL165" i="24" s="1"/>
  <c r="AL127" i="3"/>
  <c r="AL114" i="29"/>
  <c r="AK200" i="29"/>
  <c r="AN129" i="12" l="1"/>
  <c r="AL111" i="3"/>
  <c r="AL183" i="29"/>
  <c r="AL184" i="29" s="1"/>
  <c r="AL127" i="24"/>
  <c r="AL178" i="3" l="1"/>
  <c r="AB146" i="29"/>
  <c r="AN132" i="12"/>
  <c r="AL111" i="24"/>
  <c r="AB130" i="29" l="1"/>
  <c r="AN128" i="12"/>
  <c r="AN45" i="12" s="1"/>
  <c r="AL88" i="3"/>
  <c r="AL178" i="24"/>
  <c r="AL88" i="24" l="1"/>
  <c r="AL107" i="29" s="1"/>
  <c r="AL90" i="3"/>
  <c r="AB197" i="29"/>
  <c r="AB198" i="29" s="1"/>
  <c r="AB199" i="29" s="1"/>
  <c r="AB201" i="29" s="1"/>
  <c r="AB202" i="29" s="1"/>
  <c r="AB203" i="29" s="1"/>
  <c r="AB204" i="29" s="1"/>
  <c r="AB205" i="29" s="1"/>
  <c r="AL179" i="3"/>
  <c r="AL179" i="24" l="1"/>
  <c r="AL91" i="3"/>
  <c r="AL180" i="3" s="1"/>
  <c r="AL90" i="24"/>
  <c r="AL109" i="29" s="1"/>
  <c r="AL91" i="24" l="1"/>
  <c r="AL180" i="24" s="1"/>
  <c r="AL92" i="3"/>
  <c r="AL93" i="3" s="1"/>
  <c r="AL182" i="3" s="1"/>
  <c r="AL110" i="29" l="1"/>
  <c r="AL92" i="24"/>
  <c r="AL111" i="29" s="1"/>
  <c r="AL96" i="3"/>
  <c r="AL183" i="3" s="1"/>
  <c r="AL93" i="24" l="1"/>
  <c r="AL182" i="24" s="1"/>
  <c r="AL96" i="24" s="1"/>
  <c r="AL183" i="24" s="1"/>
  <c r="AL190" i="3"/>
  <c r="AL109" i="3"/>
  <c r="AL112" i="29" l="1"/>
  <c r="AL190" i="24"/>
  <c r="AL193" i="24" s="1"/>
  <c r="AL192" i="24" s="1"/>
  <c r="AL109" i="24"/>
  <c r="AL115" i="29"/>
  <c r="AL209" i="29" s="1"/>
  <c r="AL191" i="3"/>
  <c r="AL193" i="3"/>
  <c r="AL192" i="3" s="1"/>
  <c r="AL191" i="24" l="1"/>
  <c r="AL128" i="29"/>
  <c r="AL212" i="29"/>
  <c r="AL211" i="29" s="1"/>
  <c r="AL210" i="29"/>
  <c r="AL217" i="29"/>
  <c r="AL198" i="24" l="1"/>
  <c r="AL98" i="24" s="1"/>
  <c r="AL198" i="3"/>
  <c r="AL98" i="3" s="1"/>
  <c r="AL117" i="29" l="1"/>
  <c r="AL99" i="3"/>
  <c r="AL99" i="24"/>
  <c r="AL184" i="24" s="1"/>
  <c r="AL118" i="29" l="1"/>
  <c r="AL184" i="3"/>
  <c r="AL100" i="24"/>
  <c r="AL100" i="3"/>
  <c r="AL101" i="24"/>
  <c r="AL185" i="24" s="1"/>
  <c r="AL82" i="24" l="1"/>
  <c r="AL119" i="29"/>
  <c r="AL101" i="3"/>
  <c r="AL84" i="24" l="1"/>
  <c r="AM162" i="24" s="1"/>
  <c r="AL120" i="29"/>
  <c r="AL186" i="24"/>
  <c r="AL85" i="24" s="1"/>
  <c r="AL79" i="24" s="1"/>
  <c r="AL185" i="3"/>
  <c r="AK167" i="24" l="1"/>
  <c r="AL169" i="24"/>
  <c r="AL171" i="24"/>
  <c r="AL82" i="3"/>
  <c r="AM163" i="24"/>
  <c r="AM164" i="24" l="1"/>
  <c r="AM165" i="24" s="1"/>
  <c r="AL101" i="29"/>
  <c r="AL84" i="3"/>
  <c r="AL186" i="3"/>
  <c r="AL85" i="3" s="1"/>
  <c r="AM181" i="24"/>
  <c r="AM95" i="24" s="1"/>
  <c r="AM127" i="24" l="1"/>
  <c r="AL79" i="3"/>
  <c r="AL104" i="29"/>
  <c r="AL98" i="29" s="1"/>
  <c r="AL103" i="29"/>
  <c r="AM162" i="3"/>
  <c r="AK167" i="3" l="1"/>
  <c r="AL169" i="3"/>
  <c r="AM181" i="29"/>
  <c r="AC146" i="29"/>
  <c r="AM111" i="24"/>
  <c r="AO132" i="12"/>
  <c r="AM163" i="3"/>
  <c r="AC130" i="29" l="1"/>
  <c r="AM182" i="29"/>
  <c r="AM181" i="3"/>
  <c r="AM95" i="3" s="1"/>
  <c r="AM164" i="3"/>
  <c r="AM165" i="3" s="1"/>
  <c r="AK186" i="29"/>
  <c r="AK171" i="3"/>
  <c r="AM178" i="24"/>
  <c r="AM114" i="29" l="1"/>
  <c r="AK190" i="29"/>
  <c r="AK188" i="29"/>
  <c r="AM183" i="29"/>
  <c r="AM184" i="29" s="1"/>
  <c r="AM127" i="3"/>
  <c r="AC197" i="29"/>
  <c r="AC198" i="29" s="1"/>
  <c r="AC199" i="29" s="1"/>
  <c r="AC201" i="29" s="1"/>
  <c r="AC202" i="29" s="1"/>
  <c r="AC203" i="29" s="1"/>
  <c r="AC204" i="29" s="1"/>
  <c r="AC205" i="29" s="1"/>
  <c r="AM88" i="24"/>
  <c r="AM179" i="24" s="1"/>
  <c r="AM111" i="3" l="1"/>
  <c r="AO129" i="12"/>
  <c r="AL200" i="29"/>
  <c r="AM90" i="24"/>
  <c r="AM91" i="24" s="1"/>
  <c r="AM180" i="24" s="1"/>
  <c r="AM92" i="24" l="1"/>
  <c r="AM93" i="24" s="1"/>
  <c r="AM182" i="24" s="1"/>
  <c r="AO128" i="12"/>
  <c r="AO45" i="12" s="1"/>
  <c r="AM178" i="3"/>
  <c r="AM96" i="24" l="1"/>
  <c r="AM183" i="24" s="1"/>
  <c r="AM88" i="3"/>
  <c r="AM179" i="3" s="1"/>
  <c r="AM107" i="29" l="1"/>
  <c r="AM90" i="3"/>
  <c r="AM190" i="24"/>
  <c r="AM109" i="24"/>
  <c r="AM109" i="29" l="1"/>
  <c r="AM191" i="24"/>
  <c r="AM193" i="24"/>
  <c r="AM192" i="24" s="1"/>
  <c r="AM91" i="3"/>
  <c r="AM110" i="29" l="1"/>
  <c r="AM180" i="3"/>
  <c r="AM92" i="3"/>
  <c r="AM111" i="29" l="1"/>
  <c r="AM93" i="3"/>
  <c r="AM112" i="29" l="1"/>
  <c r="AM182" i="3"/>
  <c r="AM96" i="3" l="1"/>
  <c r="AM183" i="3" s="1"/>
  <c r="AM115" i="29" l="1"/>
  <c r="AM190" i="3"/>
  <c r="AM109" i="3"/>
  <c r="AM209" i="29" l="1"/>
  <c r="AM128" i="29"/>
  <c r="AM193" i="3"/>
  <c r="AM192" i="3" s="1"/>
  <c r="AM191" i="3"/>
  <c r="AM217" i="29" l="1"/>
  <c r="AM210" i="29"/>
  <c r="AM212" i="29"/>
  <c r="AM211" i="29" s="1"/>
  <c r="AM198" i="24" l="1"/>
  <c r="AM98" i="24" s="1"/>
  <c r="AM198" i="3"/>
  <c r="AM98" i="3" s="1"/>
  <c r="AM117" i="29" l="1"/>
  <c r="AM99" i="3"/>
  <c r="AM100" i="3" s="1"/>
  <c r="AM99" i="24"/>
  <c r="AM184" i="24" s="1"/>
  <c r="AM100" i="24" l="1"/>
  <c r="AM119" i="29" s="1"/>
  <c r="AM118" i="29"/>
  <c r="AM184" i="3"/>
  <c r="AM101" i="24" l="1"/>
  <c r="AM185" i="24" s="1"/>
  <c r="AM82" i="24" s="1"/>
  <c r="AM101" i="3"/>
  <c r="AM185" i="3" s="1"/>
  <c r="AM82" i="3" l="1"/>
  <c r="AM120" i="29"/>
  <c r="AM84" i="24"/>
  <c r="AN162" i="24" s="1"/>
  <c r="AM186" i="24"/>
  <c r="AM85" i="24" s="1"/>
  <c r="AM79" i="24" s="1"/>
  <c r="AM171" i="24" l="1"/>
  <c r="AN163" i="24"/>
  <c r="AM101" i="29"/>
  <c r="AM84" i="3"/>
  <c r="AM186" i="3"/>
  <c r="AM85" i="3" s="1"/>
  <c r="AM79" i="3" s="1"/>
  <c r="AL167" i="24"/>
  <c r="AM169" i="24"/>
  <c r="AN164" i="24" l="1"/>
  <c r="AN165" i="24" s="1"/>
  <c r="AN181" i="24"/>
  <c r="AN95" i="24" s="1"/>
  <c r="AM103" i="29"/>
  <c r="AN162" i="3"/>
  <c r="AL167" i="3"/>
  <c r="AM169" i="3"/>
  <c r="AM104" i="29"/>
  <c r="AM98" i="29" s="1"/>
  <c r="AL186" i="29" l="1"/>
  <c r="AL171" i="3"/>
  <c r="AN163" i="3"/>
  <c r="AN181" i="29"/>
  <c r="AN181" i="3"/>
  <c r="AN95" i="3" s="1"/>
  <c r="AN127" i="24"/>
  <c r="AN182" i="29" l="1"/>
  <c r="AN164" i="3"/>
  <c r="AN165" i="3" s="1"/>
  <c r="AD146" i="29"/>
  <c r="AN111" i="24"/>
  <c r="AP132" i="12"/>
  <c r="AL188" i="29"/>
  <c r="AN114" i="29"/>
  <c r="AL190" i="29"/>
  <c r="AD130" i="29" l="1"/>
  <c r="AN178" i="24"/>
  <c r="AN127" i="3"/>
  <c r="AM200" i="29"/>
  <c r="AN183" i="29"/>
  <c r="AN184" i="29" s="1"/>
  <c r="AN88" i="24" l="1"/>
  <c r="AN179" i="24" s="1"/>
  <c r="AD197" i="29"/>
  <c r="AD198" i="29" s="1"/>
  <c r="AD199" i="29" s="1"/>
  <c r="AD201" i="29" s="1"/>
  <c r="AD202" i="29" s="1"/>
  <c r="AD203" i="29" s="1"/>
  <c r="AD204" i="29" s="1"/>
  <c r="AD205" i="29" s="1"/>
  <c r="AP129" i="12"/>
  <c r="AN111" i="3"/>
  <c r="AN178" i="3" l="1"/>
  <c r="AP128" i="12"/>
  <c r="AP45" i="12" s="1"/>
  <c r="AN90" i="24"/>
  <c r="AN91" i="24" s="1"/>
  <c r="AN92" i="24" s="1"/>
  <c r="AN88" i="3" l="1"/>
  <c r="AN180" i="24"/>
  <c r="AN93" i="24" l="1"/>
  <c r="AN182" i="24" s="1"/>
  <c r="AN107" i="29"/>
  <c r="AN90" i="3"/>
  <c r="AN179" i="3"/>
  <c r="AN96" i="24" l="1"/>
  <c r="AN183" i="24" s="1"/>
  <c r="AN91" i="3"/>
  <c r="AN92" i="3" s="1"/>
  <c r="AN109" i="29"/>
  <c r="AN180" i="3" l="1"/>
  <c r="AN93" i="3" s="1"/>
  <c r="AN182" i="3" s="1"/>
  <c r="AN111" i="29"/>
  <c r="AN190" i="24"/>
  <c r="AN109" i="24"/>
  <c r="AN110" i="29"/>
  <c r="AN193" i="24" l="1"/>
  <c r="AN192" i="24" s="1"/>
  <c r="AN191" i="24"/>
  <c r="AN96" i="3"/>
  <c r="AN183" i="3" s="1"/>
  <c r="AN112" i="29"/>
  <c r="AN115" i="29" l="1"/>
  <c r="AN190" i="3"/>
  <c r="AN109" i="3"/>
  <c r="AN191" i="3" l="1"/>
  <c r="AN193" i="3"/>
  <c r="AN192" i="3" s="1"/>
  <c r="AN209" i="29"/>
  <c r="AN128" i="29"/>
  <c r="AN212" i="29" l="1"/>
  <c r="AN211" i="29" s="1"/>
  <c r="AN217" i="29"/>
  <c r="AN210" i="29"/>
  <c r="AN198" i="24" l="1"/>
  <c r="AN98" i="24" s="1"/>
  <c r="AN99" i="24" s="1"/>
  <c r="AN198" i="3"/>
  <c r="AN98" i="3" s="1"/>
  <c r="AN117" i="29" l="1"/>
  <c r="AN99" i="3"/>
  <c r="AN100" i="24"/>
  <c r="AN184" i="24"/>
  <c r="AN118" i="29" l="1"/>
  <c r="AN100" i="3"/>
  <c r="AN184" i="3"/>
  <c r="AN101" i="24"/>
  <c r="AN185" i="24" s="1"/>
  <c r="AN82" i="24" l="1"/>
  <c r="AN101" i="3"/>
  <c r="AN120" i="29" s="1"/>
  <c r="AN119" i="29"/>
  <c r="AN185" i="3" l="1"/>
  <c r="AN84" i="24"/>
  <c r="AO162" i="24" s="1"/>
  <c r="AO163" i="24" s="1"/>
  <c r="AN186" i="24"/>
  <c r="AN85" i="24" s="1"/>
  <c r="AN79" i="24" s="1"/>
  <c r="AM167" i="24" l="1"/>
  <c r="AN169" i="24"/>
  <c r="AO164" i="24"/>
  <c r="AO165" i="24" s="1"/>
  <c r="AO127" i="24" s="1"/>
  <c r="AN171" i="24"/>
  <c r="AN82" i="3"/>
  <c r="AO111" i="24" l="1"/>
  <c r="AO178" i="24" s="1"/>
  <c r="AE146" i="29"/>
  <c r="AE130" i="29" s="1"/>
  <c r="AE197" i="29" s="1"/>
  <c r="AE198" i="29" s="1"/>
  <c r="AE199" i="29" s="1"/>
  <c r="AE201" i="29" s="1"/>
  <c r="AE202" i="29" s="1"/>
  <c r="AE203" i="29" s="1"/>
  <c r="AE204" i="29" s="1"/>
  <c r="AE205" i="29" s="1"/>
  <c r="AQ132" i="12"/>
  <c r="AN101" i="29"/>
  <c r="AN84" i="3"/>
  <c r="AN186" i="3"/>
  <c r="AN85" i="3" s="1"/>
  <c r="AN104" i="29" s="1"/>
  <c r="AO181" i="24"/>
  <c r="AO95" i="24" s="1"/>
  <c r="AN103" i="29" l="1"/>
  <c r="AO181" i="29" s="1"/>
  <c r="AO182" i="29" s="1"/>
  <c r="AO162" i="3"/>
  <c r="AO163" i="3" s="1"/>
  <c r="AN79" i="3"/>
  <c r="AN98" i="29"/>
  <c r="AO88" i="24"/>
  <c r="AO179" i="24" s="1"/>
  <c r="AM167" i="3" l="1"/>
  <c r="AN169" i="3"/>
  <c r="AO164" i="3"/>
  <c r="AO165" i="3" s="1"/>
  <c r="AO127" i="3" s="1"/>
  <c r="AO183" i="29"/>
  <c r="AO184" i="29" s="1"/>
  <c r="AO90" i="24"/>
  <c r="AO91" i="24" s="1"/>
  <c r="AO92" i="24" l="1"/>
  <c r="AO180" i="24"/>
  <c r="AM186" i="29"/>
  <c r="AM188" i="29" s="1"/>
  <c r="AM171" i="3"/>
  <c r="AM190" i="29" s="1"/>
  <c r="AO181" i="3"/>
  <c r="AO95" i="3" s="1"/>
  <c r="AO114" i="29" s="1"/>
  <c r="AQ129" i="12"/>
  <c r="AQ128" i="12" s="1"/>
  <c r="AQ45" i="12" s="1"/>
  <c r="AO111" i="3"/>
  <c r="AO178" i="3" s="1"/>
  <c r="AO88" i="3" l="1"/>
  <c r="AO179" i="3" s="1"/>
  <c r="AN200" i="29"/>
  <c r="AO93" i="24"/>
  <c r="AO182" i="24" s="1"/>
  <c r="AO96" i="24" l="1"/>
  <c r="AO183" i="24" s="1"/>
  <c r="AO107" i="29"/>
  <c r="AO90" i="3"/>
  <c r="AO109" i="29" s="1"/>
  <c r="AO91" i="3" l="1"/>
  <c r="AO190" i="24"/>
  <c r="AO109" i="24"/>
  <c r="AO110" i="29" l="1"/>
  <c r="AO92" i="3"/>
  <c r="AO111" i="29" s="1"/>
  <c r="AO180" i="3"/>
  <c r="AO191" i="24"/>
  <c r="AO193" i="24"/>
  <c r="AO192" i="24" s="1"/>
  <c r="AO93" i="3" l="1"/>
  <c r="AO112" i="29" s="1"/>
  <c r="AO182" i="3" l="1"/>
  <c r="AO96" i="3" s="1"/>
  <c r="AO183" i="3" l="1"/>
  <c r="AO115" i="29"/>
  <c r="AO190" i="3"/>
  <c r="AO109" i="3"/>
  <c r="AO193" i="3" l="1"/>
  <c r="AO192" i="3" s="1"/>
  <c r="AO191" i="3"/>
  <c r="AO209" i="29"/>
  <c r="AO128" i="29"/>
  <c r="AO217" i="29" l="1"/>
  <c r="AO212" i="29"/>
  <c r="AO211" i="29" s="1"/>
  <c r="AO210" i="29"/>
  <c r="AO198" i="3" l="1"/>
  <c r="AO98" i="3" s="1"/>
  <c r="AO198" i="24"/>
  <c r="AO98" i="24" s="1"/>
  <c r="AO99" i="24" s="1"/>
  <c r="AO100" i="24" l="1"/>
  <c r="AO184" i="24"/>
  <c r="AO117" i="29"/>
  <c r="AO99" i="3"/>
  <c r="AO118" i="29" l="1"/>
  <c r="AO100" i="3"/>
  <c r="AO184" i="3"/>
  <c r="AO101" i="24"/>
  <c r="AO185" i="24" s="1"/>
  <c r="AO82" i="24" l="1"/>
  <c r="AO101" i="3"/>
  <c r="AO120" i="29" s="1"/>
  <c r="AO119" i="29"/>
  <c r="AO185" i="3" l="1"/>
  <c r="AO82" i="3" s="1"/>
  <c r="AO186" i="3" s="1"/>
  <c r="AO85" i="3" s="1"/>
  <c r="AO84" i="24"/>
  <c r="AP162" i="24" s="1"/>
  <c r="AP163" i="24" s="1"/>
  <c r="AO186" i="24"/>
  <c r="AO85" i="24" s="1"/>
  <c r="AO79" i="24" s="1"/>
  <c r="AN167" i="24" l="1"/>
  <c r="AO169" i="24"/>
  <c r="AP164" i="24"/>
  <c r="AP165" i="24" s="1"/>
  <c r="AP127" i="24" s="1"/>
  <c r="AO171" i="24"/>
  <c r="AO104" i="29"/>
  <c r="AO101" i="29"/>
  <c r="AO79" i="3"/>
  <c r="AO84" i="3"/>
  <c r="AF146" i="29" l="1"/>
  <c r="AF130" i="29" s="1"/>
  <c r="AF197" i="29" s="1"/>
  <c r="AF198" i="29" s="1"/>
  <c r="AF199" i="29" s="1"/>
  <c r="AF201" i="29" s="1"/>
  <c r="AF202" i="29" s="1"/>
  <c r="AF203" i="29" s="1"/>
  <c r="AF204" i="29" s="1"/>
  <c r="AF205" i="29" s="1"/>
  <c r="AP111" i="24"/>
  <c r="AP178" i="24" s="1"/>
  <c r="AR132" i="12"/>
  <c r="AO103" i="29"/>
  <c r="AP181" i="29" s="1"/>
  <c r="AP182" i="29" s="1"/>
  <c r="AP162" i="3"/>
  <c r="AP163" i="3" s="1"/>
  <c r="AP181" i="24"/>
  <c r="AP95" i="24" s="1"/>
  <c r="AN167" i="3"/>
  <c r="AO169" i="3"/>
  <c r="AO98" i="29"/>
  <c r="AP183" i="29" l="1"/>
  <c r="AP184" i="29" s="1"/>
  <c r="AP88" i="24"/>
  <c r="AP179" i="24" s="1"/>
  <c r="AP164" i="3"/>
  <c r="AP165" i="3" s="1"/>
  <c r="AP127" i="3" s="1"/>
  <c r="AP181" i="3"/>
  <c r="AP95" i="3" s="1"/>
  <c r="AP114" i="29" s="1"/>
  <c r="AN186" i="29"/>
  <c r="AN188" i="29" s="1"/>
  <c r="AN171" i="3"/>
  <c r="AN190" i="29" s="1"/>
  <c r="AR129" i="12" l="1"/>
  <c r="AR128" i="12" s="1"/>
  <c r="AR45" i="12" s="1"/>
  <c r="AP111" i="3"/>
  <c r="AP178" i="3" s="1"/>
  <c r="AO200" i="29"/>
  <c r="AP90" i="24"/>
  <c r="AP91" i="24" s="1"/>
  <c r="AP92" i="24" l="1"/>
  <c r="AP180" i="24"/>
  <c r="AP88" i="3"/>
  <c r="AP179" i="3" s="1"/>
  <c r="AP93" i="24" l="1"/>
  <c r="AP182" i="24" s="1"/>
  <c r="AP96" i="24" s="1"/>
  <c r="AP183" i="24" s="1"/>
  <c r="AP107" i="29"/>
  <c r="AP90" i="3"/>
  <c r="AP109" i="29" s="1"/>
  <c r="AP190" i="24" l="1"/>
  <c r="AP109" i="24"/>
  <c r="AP91" i="3"/>
  <c r="AP110" i="29" l="1"/>
  <c r="AP92" i="3"/>
  <c r="AP111" i="29" s="1"/>
  <c r="AP180" i="3"/>
  <c r="AP191" i="24"/>
  <c r="AP193" i="24"/>
  <c r="AP192" i="24" s="1"/>
  <c r="AP93" i="3" l="1"/>
  <c r="AP112" i="29" s="1"/>
  <c r="AP182" i="3" l="1"/>
  <c r="AP96" i="3" s="1"/>
  <c r="AP183" i="3" s="1"/>
  <c r="AP115" i="29" l="1"/>
  <c r="AP190" i="3"/>
  <c r="AP109" i="3"/>
  <c r="AP191" i="3" l="1"/>
  <c r="AP193" i="3"/>
  <c r="AP192" i="3" s="1"/>
  <c r="AP209" i="29"/>
  <c r="AP128" i="29"/>
  <c r="AP217" i="29" l="1"/>
  <c r="AP210" i="29"/>
  <c r="AP212" i="29"/>
  <c r="AP211" i="29" s="1"/>
  <c r="AP198" i="24" l="1"/>
  <c r="AP98" i="24" s="1"/>
  <c r="AP99" i="24" s="1"/>
  <c r="AP198" i="3"/>
  <c r="AP98" i="3" s="1"/>
  <c r="AP117" i="29" l="1"/>
  <c r="AP99" i="3"/>
  <c r="AP100" i="24"/>
  <c r="AP184" i="24"/>
  <c r="AP118" i="29" l="1"/>
  <c r="AP100" i="3"/>
  <c r="AP184" i="3"/>
  <c r="AP101" i="24"/>
  <c r="AP185" i="24" s="1"/>
  <c r="AP82" i="24" l="1"/>
  <c r="AP101" i="3"/>
  <c r="AP120" i="29" s="1"/>
  <c r="AP119" i="29"/>
  <c r="AP185" i="3" l="1"/>
  <c r="AP84" i="24"/>
  <c r="AQ162" i="24" s="1"/>
  <c r="AQ163" i="24" s="1"/>
  <c r="AP186" i="24"/>
  <c r="AP85" i="24" s="1"/>
  <c r="AQ164" i="24" l="1"/>
  <c r="AQ165" i="24" s="1"/>
  <c r="AQ127" i="24" s="1"/>
  <c r="AP79" i="24"/>
  <c r="AP82" i="3"/>
  <c r="AG146" i="29" l="1"/>
  <c r="AG130" i="29" s="1"/>
  <c r="AG197" i="29" s="1"/>
  <c r="AG198" i="29" s="1"/>
  <c r="AG199" i="29" s="1"/>
  <c r="AG201" i="29" s="1"/>
  <c r="AG202" i="29" s="1"/>
  <c r="AG203" i="29" s="1"/>
  <c r="AG204" i="29" s="1"/>
  <c r="AG205" i="29" s="1"/>
  <c r="AQ111" i="24"/>
  <c r="AS132" i="12"/>
  <c r="AP101" i="29"/>
  <c r="AP84" i="3"/>
  <c r="AP186" i="3"/>
  <c r="AP85" i="3" s="1"/>
  <c r="AP104" i="29" s="1"/>
  <c r="AO167" i="24"/>
  <c r="AP169" i="24"/>
  <c r="AP171" i="24"/>
  <c r="AP103" i="29" l="1"/>
  <c r="AQ181" i="29" s="1"/>
  <c r="AQ182" i="29" s="1"/>
  <c r="AQ162" i="3"/>
  <c r="AQ163" i="3" s="1"/>
  <c r="AP79" i="3"/>
  <c r="AQ181" i="24"/>
  <c r="AQ95" i="24" s="1"/>
  <c r="AQ178" i="24"/>
  <c r="AP98" i="29"/>
  <c r="AQ88" i="24" l="1"/>
  <c r="AQ179" i="24" s="1"/>
  <c r="AO167" i="3"/>
  <c r="AP169" i="3"/>
  <c r="AQ164" i="3"/>
  <c r="AQ165" i="3" s="1"/>
  <c r="AQ127" i="3" s="1"/>
  <c r="AQ183" i="29"/>
  <c r="AQ184" i="29" s="1"/>
  <c r="AS129" i="12" l="1"/>
  <c r="AS128" i="12" s="1"/>
  <c r="AS45" i="12" s="1"/>
  <c r="AQ111" i="3"/>
  <c r="AQ178" i="3" s="1"/>
  <c r="AQ181" i="3"/>
  <c r="AQ95" i="3" s="1"/>
  <c r="AQ114" i="29" s="1"/>
  <c r="AO186" i="29"/>
  <c r="AO188" i="29" s="1"/>
  <c r="AO171" i="3"/>
  <c r="AO190" i="29" s="1"/>
  <c r="AQ90" i="24"/>
  <c r="AQ91" i="24" s="1"/>
  <c r="AQ92" i="24" l="1"/>
  <c r="AQ180" i="24"/>
  <c r="AP200" i="29"/>
  <c r="AQ88" i="3"/>
  <c r="AQ179" i="3" s="1"/>
  <c r="AQ107" i="29" l="1"/>
  <c r="AQ90" i="3"/>
  <c r="AQ109" i="29" s="1"/>
  <c r="AQ93" i="24"/>
  <c r="AQ182" i="24" s="1"/>
  <c r="AQ96" i="24" l="1"/>
  <c r="AQ183" i="24" s="1"/>
  <c r="AQ91" i="3"/>
  <c r="AQ110" i="29" l="1"/>
  <c r="AQ92" i="3"/>
  <c r="AQ111" i="29" s="1"/>
  <c r="AQ180" i="3"/>
  <c r="AQ190" i="24"/>
  <c r="AQ109" i="24"/>
  <c r="AQ191" i="24" l="1"/>
  <c r="AQ193" i="24"/>
  <c r="AQ192" i="24" s="1"/>
  <c r="AQ93" i="3"/>
  <c r="AQ112" i="29" s="1"/>
  <c r="AQ182" i="3" l="1"/>
  <c r="AQ96" i="3" s="1"/>
  <c r="AQ183" i="3" s="1"/>
  <c r="AQ115" i="29" l="1"/>
  <c r="AQ190" i="3"/>
  <c r="AQ109" i="3"/>
  <c r="AQ193" i="3" l="1"/>
  <c r="AQ192" i="3" s="1"/>
  <c r="AQ191" i="3"/>
  <c r="AQ209" i="29"/>
  <c r="AQ128" i="29"/>
  <c r="AQ212" i="29" l="1"/>
  <c r="AQ211" i="29" s="1"/>
  <c r="AQ210" i="29"/>
  <c r="AQ217" i="29"/>
  <c r="AQ198" i="24" l="1"/>
  <c r="AQ98" i="24" s="1"/>
  <c r="AQ99" i="24" s="1"/>
  <c r="AQ198" i="3"/>
  <c r="AQ98" i="3" s="1"/>
  <c r="AQ117" i="29" l="1"/>
  <c r="AQ99" i="3"/>
  <c r="AQ100" i="24"/>
  <c r="AQ184" i="24"/>
  <c r="AQ101" i="24" l="1"/>
  <c r="AQ185" i="24" s="1"/>
  <c r="AQ118" i="29"/>
  <c r="AQ100" i="3"/>
  <c r="AQ184" i="3"/>
  <c r="AQ82" i="24" l="1"/>
  <c r="AQ119" i="29"/>
  <c r="AQ101" i="3"/>
  <c r="AQ120" i="29" s="1"/>
  <c r="AQ185" i="3" l="1"/>
  <c r="AQ82" i="3" s="1"/>
  <c r="AQ84" i="24"/>
  <c r="AR162" i="24" s="1"/>
  <c r="AR163" i="24" s="1"/>
  <c r="AQ186" i="24"/>
  <c r="AQ85" i="24" s="1"/>
  <c r="AR164" i="24" l="1"/>
  <c r="AR165" i="24" s="1"/>
  <c r="AR127" i="24" s="1"/>
  <c r="AQ79" i="24"/>
  <c r="AQ101" i="29"/>
  <c r="AQ84" i="3"/>
  <c r="AQ186" i="3"/>
  <c r="AQ85" i="3" s="1"/>
  <c r="AQ104" i="29" s="1"/>
  <c r="AQ98" i="29" l="1"/>
  <c r="AQ79" i="3"/>
  <c r="AP167" i="3" s="1"/>
  <c r="AP167" i="24"/>
  <c r="AQ169" i="24"/>
  <c r="AR111" i="24"/>
  <c r="AT132" i="12"/>
  <c r="AH146" i="29"/>
  <c r="AH130" i="29" s="1"/>
  <c r="AH197" i="29" s="1"/>
  <c r="AH198" i="29" s="1"/>
  <c r="AH199" i="29" s="1"/>
  <c r="AH201" i="29" s="1"/>
  <c r="AH202" i="29" s="1"/>
  <c r="AH203" i="29" s="1"/>
  <c r="AH204" i="29" s="1"/>
  <c r="AH205" i="29" s="1"/>
  <c r="AQ171" i="24"/>
  <c r="AQ103" i="29"/>
  <c r="AR181" i="29" s="1"/>
  <c r="AR182" i="29" s="1"/>
  <c r="AR162" i="3"/>
  <c r="AR163" i="3" s="1"/>
  <c r="AQ169" i="3" l="1"/>
  <c r="AR181" i="3" s="1"/>
  <c r="AR95" i="3" s="1"/>
  <c r="AR181" i="24"/>
  <c r="AR95" i="24" s="1"/>
  <c r="AR178" i="24"/>
  <c r="AP186" i="29"/>
  <c r="AP188" i="29" s="1"/>
  <c r="AP171" i="3"/>
  <c r="AP190" i="29" s="1"/>
  <c r="AR164" i="3"/>
  <c r="AR165" i="3" s="1"/>
  <c r="AR127" i="3" s="1"/>
  <c r="AR183" i="29"/>
  <c r="AR184" i="29" s="1"/>
  <c r="AT129" i="12" l="1"/>
  <c r="AT128" i="12" s="1"/>
  <c r="AT45" i="12" s="1"/>
  <c r="AR111" i="3"/>
  <c r="AR178" i="3" s="1"/>
  <c r="AR114" i="29"/>
  <c r="AQ200" i="29"/>
  <c r="AR88" i="24"/>
  <c r="AR179" i="24" s="1"/>
  <c r="AR88" i="3" l="1"/>
  <c r="AR179" i="3" s="1"/>
  <c r="AR90" i="24"/>
  <c r="AR91" i="24" s="1"/>
  <c r="AR92" i="24" l="1"/>
  <c r="AR180" i="24"/>
  <c r="AR107" i="29"/>
  <c r="AR90" i="3"/>
  <c r="AR109" i="29" s="1"/>
  <c r="AR91" i="3" l="1"/>
  <c r="AR93" i="24"/>
  <c r="AR182" i="24" s="1"/>
  <c r="AR96" i="24" l="1"/>
  <c r="AR183" i="24" s="1"/>
  <c r="AR110" i="29"/>
  <c r="AR92" i="3"/>
  <c r="AR111" i="29" s="1"/>
  <c r="AR180" i="3"/>
  <c r="AR93" i="3" l="1"/>
  <c r="AR112" i="29" s="1"/>
  <c r="AR190" i="24"/>
  <c r="AR109" i="24"/>
  <c r="AR182" i="3" l="1"/>
  <c r="AR96" i="3" s="1"/>
  <c r="AR183" i="3" s="1"/>
  <c r="AR191" i="24"/>
  <c r="AR193" i="24"/>
  <c r="AR192" i="24" s="1"/>
  <c r="AR115" i="29" l="1"/>
  <c r="AR190" i="3"/>
  <c r="AR109" i="3"/>
  <c r="AR193" i="3" l="1"/>
  <c r="AR192" i="3" s="1"/>
  <c r="AR191" i="3"/>
  <c r="AR209" i="29"/>
  <c r="AR128" i="29"/>
  <c r="AR217" i="29" l="1"/>
  <c r="AR210" i="29"/>
  <c r="AR212" i="29"/>
  <c r="AR211" i="29" s="1"/>
  <c r="AR198" i="24" l="1"/>
  <c r="AR98" i="24" s="1"/>
  <c r="AR99" i="24" s="1"/>
  <c r="AR198" i="3"/>
  <c r="AR98" i="3" s="1"/>
  <c r="AR117" i="29" l="1"/>
  <c r="AR99" i="3"/>
  <c r="AR100" i="24"/>
  <c r="AR184" i="24"/>
  <c r="AR101" i="24" l="1"/>
  <c r="AR185" i="24" s="1"/>
  <c r="AR118" i="29"/>
  <c r="AR100" i="3"/>
  <c r="AR184" i="3"/>
  <c r="AR82" i="24" l="1"/>
  <c r="AR186" i="24" s="1"/>
  <c r="AR85" i="24" s="1"/>
  <c r="AR101" i="3"/>
  <c r="AR120" i="29" s="1"/>
  <c r="AR119" i="29"/>
  <c r="AR185" i="3" l="1"/>
  <c r="AR82" i="3" s="1"/>
  <c r="AR79" i="24"/>
  <c r="AR171" i="24" s="1"/>
  <c r="AR84" i="24"/>
  <c r="AS162" i="24" s="1"/>
  <c r="AS163" i="24" s="1"/>
  <c r="AS164" i="24" l="1"/>
  <c r="AS165" i="24" s="1"/>
  <c r="AQ167" i="24"/>
  <c r="AR169" i="24"/>
  <c r="AR101" i="29"/>
  <c r="AR84" i="3"/>
  <c r="AR186" i="3"/>
  <c r="AR85" i="3" s="1"/>
  <c r="AR104" i="29" s="1"/>
  <c r="AR98" i="29" l="1"/>
  <c r="AR79" i="3"/>
  <c r="AQ167" i="3" s="1"/>
  <c r="AS181" i="24"/>
  <c r="AS95" i="24" s="1"/>
  <c r="AS127" i="24"/>
  <c r="E165" i="24"/>
  <c r="AR103" i="29"/>
  <c r="AS181" i="29" s="1"/>
  <c r="AS182" i="29" s="1"/>
  <c r="AS162" i="3"/>
  <c r="AS163" i="3" s="1"/>
  <c r="AR169" i="3" l="1"/>
  <c r="AS181" i="3" s="1"/>
  <c r="AS95" i="3" s="1"/>
  <c r="AS114" i="29" s="1"/>
  <c r="AS183" i="29"/>
  <c r="AS184" i="29" s="1"/>
  <c r="E184" i="29" s="1"/>
  <c r="AS111" i="24"/>
  <c r="AS178" i="24" s="1"/>
  <c r="AU132" i="12"/>
  <c r="AI146" i="29"/>
  <c r="AI130" i="29" s="1"/>
  <c r="AI197" i="29" s="1"/>
  <c r="AI198" i="29" s="1"/>
  <c r="AI199" i="29" s="1"/>
  <c r="AI201" i="29" s="1"/>
  <c r="AI202" i="29" s="1"/>
  <c r="AI203" i="29" s="1"/>
  <c r="AI204" i="29" s="1"/>
  <c r="AI205" i="29" s="1"/>
  <c r="AS164" i="3"/>
  <c r="AS165" i="3" s="1"/>
  <c r="AQ186" i="29"/>
  <c r="AQ188" i="29" s="1"/>
  <c r="AQ171" i="3"/>
  <c r="AQ190" i="29" s="1"/>
  <c r="AS127" i="3" l="1"/>
  <c r="E165" i="3"/>
  <c r="AR200" i="29"/>
  <c r="AS88" i="24"/>
  <c r="AS179" i="24" s="1"/>
  <c r="AS90" i="24" l="1"/>
  <c r="AS91" i="24" s="1"/>
  <c r="AU129" i="12"/>
  <c r="AU128" i="12" s="1"/>
  <c r="AU45" i="12" s="1"/>
  <c r="AS111" i="3"/>
  <c r="AS178" i="3" s="1"/>
  <c r="AS92" i="24" l="1"/>
  <c r="AS180" i="24"/>
  <c r="AS88" i="3"/>
  <c r="AS179" i="3" s="1"/>
  <c r="AS93" i="24" l="1"/>
  <c r="AS182" i="24" s="1"/>
  <c r="AS107" i="29"/>
  <c r="AS90" i="3"/>
  <c r="AS109" i="29" s="1"/>
  <c r="AS96" i="24" l="1"/>
  <c r="AS183" i="24" s="1"/>
  <c r="AS91" i="3"/>
  <c r="AS110" i="29" l="1"/>
  <c r="AS92" i="3"/>
  <c r="AS111" i="29" s="1"/>
  <c r="AS180" i="3"/>
  <c r="AS190" i="24"/>
  <c r="AS109" i="24"/>
  <c r="AS191" i="24" l="1"/>
  <c r="AS193" i="24"/>
  <c r="AS192" i="24" s="1"/>
  <c r="AS93" i="3"/>
  <c r="AS112" i="29" s="1"/>
  <c r="AS182" i="3" l="1"/>
  <c r="AS96" i="3" s="1"/>
  <c r="AS183" i="3" s="1"/>
  <c r="AS115" i="29" l="1"/>
  <c r="AS190" i="3"/>
  <c r="AS109" i="3"/>
  <c r="AS193" i="3" l="1"/>
  <c r="AS192" i="3" s="1"/>
  <c r="AS191" i="3"/>
  <c r="AS209" i="29"/>
  <c r="AS128" i="29"/>
  <c r="AS217" i="29" l="1"/>
  <c r="AS210" i="29"/>
  <c r="AS212" i="29"/>
  <c r="AS211" i="29" s="1"/>
  <c r="AS198" i="3" l="1"/>
  <c r="AS98" i="3" s="1"/>
  <c r="AS198" i="24"/>
  <c r="AS98" i="24" s="1"/>
  <c r="AS99" i="24" s="1"/>
  <c r="AS100" i="24" l="1"/>
  <c r="AS184" i="24"/>
  <c r="AS117" i="29"/>
  <c r="AS99" i="3"/>
  <c r="AS118" i="29" l="1"/>
  <c r="AS100" i="3"/>
  <c r="AS184" i="3"/>
  <c r="AS101" i="24"/>
  <c r="AS185" i="24" s="1"/>
  <c r="AS82" i="24" l="1"/>
  <c r="AS101" i="3"/>
  <c r="AS120" i="29" s="1"/>
  <c r="AS119" i="29"/>
  <c r="AS185" i="3" l="1"/>
  <c r="AS84" i="24"/>
  <c r="AT162" i="24" s="1"/>
  <c r="AT163" i="24" s="1"/>
  <c r="AS186" i="24"/>
  <c r="AS85" i="24" s="1"/>
  <c r="AS79" i="24" s="1"/>
  <c r="AR167" i="24" l="1"/>
  <c r="AS169" i="24"/>
  <c r="AT164" i="24"/>
  <c r="AT165" i="24" s="1"/>
  <c r="AT127" i="24" s="1"/>
  <c r="AS171" i="24"/>
  <c r="AS82" i="3"/>
  <c r="AV132" i="12" l="1"/>
  <c r="AT111" i="24"/>
  <c r="AT178" i="24" s="1"/>
  <c r="AJ146" i="29"/>
  <c r="AJ130" i="29" s="1"/>
  <c r="AJ197" i="29" s="1"/>
  <c r="AJ198" i="29" s="1"/>
  <c r="AJ199" i="29" s="1"/>
  <c r="AJ201" i="29" s="1"/>
  <c r="AJ202" i="29" s="1"/>
  <c r="AJ203" i="29" s="1"/>
  <c r="AJ204" i="29" s="1"/>
  <c r="AJ205" i="29" s="1"/>
  <c r="AS101" i="29"/>
  <c r="AS84" i="3"/>
  <c r="AS186" i="3"/>
  <c r="AS85" i="3" s="1"/>
  <c r="AS104" i="29" s="1"/>
  <c r="AT181" i="24"/>
  <c r="AT95" i="24" s="1"/>
  <c r="AT88" i="24" l="1"/>
  <c r="AT179" i="24" s="1"/>
  <c r="AS103" i="29"/>
  <c r="AT181" i="29" s="1"/>
  <c r="AT182" i="29" s="1"/>
  <c r="AT162" i="3"/>
  <c r="AT163" i="3" s="1"/>
  <c r="AS79" i="3"/>
  <c r="AS98" i="29"/>
  <c r="AR167" i="3" l="1"/>
  <c r="AS169" i="3"/>
  <c r="AT183" i="29"/>
  <c r="AT184" i="29" s="1"/>
  <c r="AT90" i="24"/>
  <c r="AT91" i="24" s="1"/>
  <c r="AT164" i="3"/>
  <c r="AT165" i="3" s="1"/>
  <c r="AT127" i="3" s="1"/>
  <c r="AT92" i="24" l="1"/>
  <c r="AT180" i="24"/>
  <c r="AV129" i="12"/>
  <c r="AV128" i="12" s="1"/>
  <c r="AV45" i="12" s="1"/>
  <c r="AT111" i="3"/>
  <c r="AT178" i="3" s="1"/>
  <c r="AT181" i="3"/>
  <c r="AT95" i="3" s="1"/>
  <c r="AT114" i="29" s="1"/>
  <c r="AR186" i="29"/>
  <c r="AR188" i="29" s="1"/>
  <c r="AR171" i="3"/>
  <c r="AR190" i="29" s="1"/>
  <c r="AT93" i="24" l="1"/>
  <c r="AT182" i="24" s="1"/>
  <c r="AT96" i="24" s="1"/>
  <c r="AS200" i="29"/>
  <c r="AT88" i="3"/>
  <c r="AT179" i="3" s="1"/>
  <c r="AT183" i="24" l="1"/>
  <c r="AT107" i="29"/>
  <c r="AT90" i="3"/>
  <c r="AT109" i="29" s="1"/>
  <c r="AT190" i="24"/>
  <c r="AT109" i="24"/>
  <c r="AT191" i="24" l="1"/>
  <c r="AT193" i="24"/>
  <c r="AT192" i="24" s="1"/>
  <c r="AT91" i="3"/>
  <c r="AT110" i="29" l="1"/>
  <c r="AT92" i="3"/>
  <c r="AT111" i="29" s="1"/>
  <c r="AT180" i="3"/>
  <c r="AT93" i="3" l="1"/>
  <c r="AT112" i="29" s="1"/>
  <c r="AT182" i="3" l="1"/>
  <c r="AT96" i="3" l="1"/>
  <c r="AT183" i="3" s="1"/>
  <c r="AT115" i="29" l="1"/>
  <c r="AT190" i="3"/>
  <c r="AT109" i="3"/>
  <c r="AT193" i="3" l="1"/>
  <c r="AT192" i="3" s="1"/>
  <c r="AT191" i="3"/>
  <c r="AT209" i="29"/>
  <c r="AT128" i="29"/>
  <c r="AT217" i="29" l="1"/>
  <c r="AT210" i="29"/>
  <c r="AT212" i="29"/>
  <c r="AT211" i="29" s="1"/>
  <c r="AT198" i="3" l="1"/>
  <c r="AT98" i="3" s="1"/>
  <c r="AT198" i="24"/>
  <c r="AT98" i="24" s="1"/>
  <c r="AT99" i="24" s="1"/>
  <c r="AT100" i="24" l="1"/>
  <c r="AT184" i="24"/>
  <c r="AT117" i="29"/>
  <c r="AT99" i="3"/>
  <c r="AT118" i="29" l="1"/>
  <c r="AT100" i="3"/>
  <c r="AT184" i="3"/>
  <c r="AT101" i="24"/>
  <c r="AT185" i="24" s="1"/>
  <c r="AT82" i="24" l="1"/>
  <c r="AT101" i="3"/>
  <c r="AT120" i="29" s="1"/>
  <c r="AT119" i="29"/>
  <c r="AT185" i="3" l="1"/>
  <c r="AT82" i="3" s="1"/>
  <c r="AT186" i="3" s="1"/>
  <c r="AT85" i="3" s="1"/>
  <c r="AT84" i="24"/>
  <c r="AU162" i="24" s="1"/>
  <c r="AU163" i="24" s="1"/>
  <c r="AT186" i="24"/>
  <c r="AT85" i="24" s="1"/>
  <c r="AT79" i="24" s="1"/>
  <c r="AS167" i="24" l="1"/>
  <c r="AT169" i="24"/>
  <c r="AU164" i="24"/>
  <c r="AU165" i="24" s="1"/>
  <c r="AU127" i="24" s="1"/>
  <c r="AT171" i="24"/>
  <c r="AT104" i="29"/>
  <c r="AT101" i="29"/>
  <c r="AT79" i="3"/>
  <c r="AT84" i="3"/>
  <c r="AT98" i="29" l="1"/>
  <c r="AU111" i="24"/>
  <c r="AU178" i="24" s="1"/>
  <c r="AW132" i="12"/>
  <c r="AK146" i="29"/>
  <c r="AK130" i="29" s="1"/>
  <c r="AK197" i="29" s="1"/>
  <c r="AK198" i="29" s="1"/>
  <c r="AK199" i="29" s="1"/>
  <c r="AK201" i="29" s="1"/>
  <c r="AK202" i="29" s="1"/>
  <c r="AK203" i="29" s="1"/>
  <c r="AK204" i="29" s="1"/>
  <c r="AK205" i="29" s="1"/>
  <c r="AT103" i="29"/>
  <c r="AU181" i="29" s="1"/>
  <c r="AU182" i="29" s="1"/>
  <c r="AU162" i="3"/>
  <c r="AU163" i="3" s="1"/>
  <c r="AU181" i="24"/>
  <c r="AU95" i="24" s="1"/>
  <c r="AS167" i="3"/>
  <c r="AT169" i="3"/>
  <c r="AU88" i="24" l="1"/>
  <c r="AU179" i="24" s="1"/>
  <c r="AU164" i="3"/>
  <c r="AU165" i="3" s="1"/>
  <c r="AU127" i="3" s="1"/>
  <c r="AU183" i="29"/>
  <c r="AU184" i="29" s="1"/>
  <c r="AU181" i="3"/>
  <c r="AU95" i="3" s="1"/>
  <c r="AU114" i="29" s="1"/>
  <c r="AS186" i="29"/>
  <c r="AS188" i="29" s="1"/>
  <c r="AS171" i="3"/>
  <c r="AS190" i="29" s="1"/>
  <c r="AT200" i="29" l="1"/>
  <c r="AW129" i="12"/>
  <c r="AW128" i="12" s="1"/>
  <c r="AW45" i="12" s="1"/>
  <c r="AU111" i="3"/>
  <c r="AU178" i="3" s="1"/>
  <c r="AU90" i="24"/>
  <c r="AU91" i="24" s="1"/>
  <c r="AU92" i="24" s="1"/>
  <c r="AU88" i="3" l="1"/>
  <c r="AU179" i="3" s="1"/>
  <c r="AU180" i="24"/>
  <c r="AU93" i="24" l="1"/>
  <c r="AU182" i="24" s="1"/>
  <c r="AU107" i="29"/>
  <c r="AU90" i="3"/>
  <c r="AU109" i="29" s="1"/>
  <c r="AU91" i="3" l="1"/>
  <c r="AU96" i="24"/>
  <c r="AU183" i="24" s="1"/>
  <c r="AU190" i="24" l="1"/>
  <c r="AU109" i="24"/>
  <c r="AU110" i="29"/>
  <c r="AU92" i="3"/>
  <c r="AU111" i="29" s="1"/>
  <c r="AU180" i="3"/>
  <c r="AU93" i="3" l="1"/>
  <c r="AU112" i="29" s="1"/>
  <c r="AU193" i="24"/>
  <c r="AU192" i="24" s="1"/>
  <c r="AU191" i="24"/>
  <c r="AU182" i="3" l="1"/>
  <c r="AU96" i="3" s="1"/>
  <c r="AU183" i="3" s="1"/>
  <c r="AU115" i="29" l="1"/>
  <c r="AU190" i="3"/>
  <c r="AU109" i="3"/>
  <c r="AU193" i="3" l="1"/>
  <c r="AU192" i="3" s="1"/>
  <c r="AU191" i="3"/>
  <c r="AU209" i="29"/>
  <c r="AU128" i="29"/>
  <c r="AU217" i="29" l="1"/>
  <c r="AU210" i="29"/>
  <c r="AU212" i="29"/>
  <c r="AU211" i="29" s="1"/>
  <c r="AU198" i="3" l="1"/>
  <c r="AU98" i="3" s="1"/>
  <c r="AU198" i="24"/>
  <c r="AU98" i="24" s="1"/>
  <c r="AU99" i="24" s="1"/>
  <c r="AU100" i="24" l="1"/>
  <c r="AU184" i="24"/>
  <c r="AU117" i="29"/>
  <c r="AU99" i="3"/>
  <c r="AU118" i="29" l="1"/>
  <c r="AU100" i="3"/>
  <c r="AU184" i="3"/>
  <c r="AU101" i="24"/>
  <c r="AU185" i="24" s="1"/>
  <c r="AU82" i="24" l="1"/>
  <c r="AU101" i="3"/>
  <c r="AU120" i="29" s="1"/>
  <c r="AU119" i="29"/>
  <c r="AU84" i="24" l="1"/>
  <c r="AV162" i="24" s="1"/>
  <c r="AV163" i="24" s="1"/>
  <c r="AU185" i="3"/>
  <c r="AU186" i="24"/>
  <c r="AU85" i="24" s="1"/>
  <c r="AU82" i="3" l="1"/>
  <c r="AV164" i="24"/>
  <c r="AV165" i="24" s="1"/>
  <c r="AV127" i="24" s="1"/>
  <c r="AU79" i="24"/>
  <c r="AU171" i="24" s="1"/>
  <c r="AX132" i="12" l="1"/>
  <c r="AV111" i="24"/>
  <c r="AL146" i="29"/>
  <c r="AL130" i="29" s="1"/>
  <c r="AL197" i="29" s="1"/>
  <c r="AL198" i="29" s="1"/>
  <c r="AL199" i="29" s="1"/>
  <c r="AL201" i="29" s="1"/>
  <c r="AL202" i="29" s="1"/>
  <c r="AL203" i="29" s="1"/>
  <c r="AL204" i="29" s="1"/>
  <c r="AL205" i="29" s="1"/>
  <c r="AU101" i="29"/>
  <c r="AU84" i="3"/>
  <c r="AU186" i="3"/>
  <c r="AU85" i="3" s="1"/>
  <c r="AU104" i="29" s="1"/>
  <c r="AT167" i="24"/>
  <c r="AU169" i="24"/>
  <c r="AU98" i="29" l="1"/>
  <c r="AU103" i="29"/>
  <c r="AV181" i="29" s="1"/>
  <c r="AV182" i="29" s="1"/>
  <c r="AV162" i="3"/>
  <c r="AV163" i="3" s="1"/>
  <c r="AU79" i="3"/>
  <c r="AV181" i="24"/>
  <c r="AV95" i="24" s="1"/>
  <c r="AV178" i="24"/>
  <c r="AT167" i="3" l="1"/>
  <c r="AU169" i="3"/>
  <c r="AV164" i="3"/>
  <c r="AV165" i="3" s="1"/>
  <c r="AV127" i="3" s="1"/>
  <c r="AV183" i="29"/>
  <c r="AV184" i="29" s="1"/>
  <c r="AV88" i="24"/>
  <c r="AV90" i="24" l="1"/>
  <c r="AV111" i="3"/>
  <c r="AV178" i="3" s="1"/>
  <c r="AX129" i="12"/>
  <c r="AX128" i="12" s="1"/>
  <c r="AX45" i="12" s="1"/>
  <c r="AV181" i="3"/>
  <c r="AV95" i="3" s="1"/>
  <c r="AV114" i="29" s="1"/>
  <c r="AV179" i="24"/>
  <c r="AT186" i="29"/>
  <c r="AT188" i="29" s="1"/>
  <c r="AT171" i="3"/>
  <c r="AT190" i="29" s="1"/>
  <c r="AV88" i="3" l="1"/>
  <c r="AV179" i="3" s="1"/>
  <c r="AU200" i="29"/>
  <c r="AV91" i="24"/>
  <c r="AV92" i="24" s="1"/>
  <c r="AV180" i="24" l="1"/>
  <c r="AV93" i="24" s="1"/>
  <c r="AV182" i="24" s="1"/>
  <c r="AV107" i="29"/>
  <c r="AV90" i="3"/>
  <c r="AV109" i="29" s="1"/>
  <c r="AV96" i="24" l="1"/>
  <c r="AV183" i="24" s="1"/>
  <c r="AV91" i="3"/>
  <c r="AV110" i="29" l="1"/>
  <c r="AV92" i="3"/>
  <c r="AV111" i="29" s="1"/>
  <c r="AV180" i="3"/>
  <c r="AV190" i="24"/>
  <c r="AV109" i="24"/>
  <c r="AV191" i="24" l="1"/>
  <c r="AV193" i="24"/>
  <c r="AV192" i="24" s="1"/>
  <c r="AV93" i="3"/>
  <c r="AV112" i="29" s="1"/>
  <c r="AV182" i="3" l="1"/>
  <c r="AV96" i="3" s="1"/>
  <c r="AV183" i="3" s="1"/>
  <c r="AV115" i="29" l="1"/>
  <c r="AV190" i="3"/>
  <c r="AV109" i="3"/>
  <c r="AV193" i="3" l="1"/>
  <c r="AV192" i="3" s="1"/>
  <c r="AV191" i="3"/>
  <c r="AV209" i="29"/>
  <c r="AV128" i="29"/>
  <c r="AV217" i="29" l="1"/>
  <c r="AV212" i="29"/>
  <c r="AV211" i="29" s="1"/>
  <c r="AV210" i="29"/>
  <c r="AV198" i="24" l="1"/>
  <c r="AV98" i="24" s="1"/>
  <c r="AV99" i="24" s="1"/>
  <c r="AV198" i="3"/>
  <c r="AV98" i="3" s="1"/>
  <c r="AV117" i="29" l="1"/>
  <c r="AV99" i="3"/>
  <c r="AV100" i="24"/>
  <c r="AV184" i="24"/>
  <c r="AV101" i="24" l="1"/>
  <c r="AV185" i="24" s="1"/>
  <c r="AV118" i="29"/>
  <c r="AV100" i="3"/>
  <c r="AV184" i="3"/>
  <c r="AV101" i="3" l="1"/>
  <c r="AV120" i="29" s="1"/>
  <c r="AV119" i="29"/>
  <c r="AV82" i="24"/>
  <c r="AV185" i="3" l="1"/>
  <c r="AV82" i="3" s="1"/>
  <c r="AV186" i="3" s="1"/>
  <c r="AV85" i="3" s="1"/>
  <c r="AV84" i="24"/>
  <c r="AW162" i="24" s="1"/>
  <c r="AW163" i="24" s="1"/>
  <c r="AV186" i="24"/>
  <c r="AV85" i="24" s="1"/>
  <c r="AV79" i="24" s="1"/>
  <c r="AV104" i="29" l="1"/>
  <c r="AU167" i="24"/>
  <c r="AV169" i="24"/>
  <c r="AV79" i="3"/>
  <c r="AV101" i="29"/>
  <c r="AV84" i="3"/>
  <c r="AW164" i="24"/>
  <c r="AW165" i="24" s="1"/>
  <c r="AW127" i="24" s="1"/>
  <c r="AV171" i="24"/>
  <c r="AV98" i="29" l="1"/>
  <c r="AW111" i="24"/>
  <c r="AW178" i="24" s="1"/>
  <c r="AY132" i="12"/>
  <c r="AM146" i="29"/>
  <c r="AM130" i="29" s="1"/>
  <c r="AM197" i="29" s="1"/>
  <c r="AM198" i="29" s="1"/>
  <c r="AM199" i="29" s="1"/>
  <c r="AM201" i="29" s="1"/>
  <c r="AM202" i="29" s="1"/>
  <c r="AM203" i="29" s="1"/>
  <c r="AM204" i="29" s="1"/>
  <c r="AM205" i="29" s="1"/>
  <c r="AV103" i="29"/>
  <c r="AW181" i="29" s="1"/>
  <c r="AW182" i="29" s="1"/>
  <c r="AW162" i="3"/>
  <c r="AW163" i="3" s="1"/>
  <c r="AU167" i="3"/>
  <c r="AV169" i="3"/>
  <c r="AW181" i="24"/>
  <c r="AW95" i="24" s="1"/>
  <c r="AW181" i="3" l="1"/>
  <c r="AW95" i="3" s="1"/>
  <c r="AW114" i="29" s="1"/>
  <c r="AU186" i="29"/>
  <c r="AU188" i="29" s="1"/>
  <c r="AU171" i="3"/>
  <c r="AU190" i="29" s="1"/>
  <c r="AW164" i="3"/>
  <c r="AW165" i="3" s="1"/>
  <c r="AW127" i="3" s="1"/>
  <c r="AW183" i="29"/>
  <c r="AW184" i="29" s="1"/>
  <c r="AW88" i="24"/>
  <c r="AW111" i="3" l="1"/>
  <c r="AW178" i="3" s="1"/>
  <c r="AY129" i="12"/>
  <c r="AY128" i="12" s="1"/>
  <c r="AY45" i="12" s="1"/>
  <c r="AV200" i="29"/>
  <c r="AW90" i="24"/>
  <c r="AW179" i="24"/>
  <c r="AW91" i="24" l="1"/>
  <c r="AW92" i="24" s="1"/>
  <c r="AW88" i="3"/>
  <c r="AW180" i="24" l="1"/>
  <c r="AW107" i="29"/>
  <c r="AW90" i="3"/>
  <c r="AW109" i="29" s="1"/>
  <c r="AW179" i="3"/>
  <c r="AW93" i="24"/>
  <c r="AW182" i="24" s="1"/>
  <c r="AW96" i="24" l="1"/>
  <c r="AW183" i="24" s="1"/>
  <c r="AW91" i="3"/>
  <c r="AW180" i="3" s="1"/>
  <c r="AW110" i="29" l="1"/>
  <c r="AW92" i="3"/>
  <c r="AW111" i="29" s="1"/>
  <c r="AW190" i="24"/>
  <c r="AW109" i="24"/>
  <c r="AW191" i="24" l="1"/>
  <c r="AW193" i="24"/>
  <c r="AW192" i="24" s="1"/>
  <c r="AW93" i="3"/>
  <c r="AW112" i="29" l="1"/>
  <c r="AW182" i="3"/>
  <c r="AW96" i="3" l="1"/>
  <c r="AW115" i="29" l="1"/>
  <c r="AW190" i="3"/>
  <c r="AW109" i="3"/>
  <c r="AW183" i="3"/>
  <c r="AW193" i="3" l="1"/>
  <c r="AW192" i="3" s="1"/>
  <c r="AW191" i="3"/>
  <c r="AW209" i="29"/>
  <c r="AW128" i="29"/>
  <c r="AW217" i="29" l="1"/>
  <c r="AW212" i="29"/>
  <c r="AW211" i="29" s="1"/>
  <c r="AW210" i="29"/>
  <c r="AW198" i="24" l="1"/>
  <c r="AW98" i="24" s="1"/>
  <c r="AW99" i="24" s="1"/>
  <c r="AW198" i="3"/>
  <c r="AW98" i="3" s="1"/>
  <c r="AW117" i="29" l="1"/>
  <c r="AW99" i="3"/>
  <c r="AW100" i="24"/>
  <c r="AW184" i="24"/>
  <c r="AW101" i="24" l="1"/>
  <c r="AW185" i="24" s="1"/>
  <c r="AW118" i="29"/>
  <c r="AW100" i="3"/>
  <c r="AW184" i="3"/>
  <c r="AW119" i="29" l="1"/>
  <c r="AW82" i="24"/>
  <c r="AW101" i="3"/>
  <c r="AW120" i="29" s="1"/>
  <c r="AW185" i="3" l="1"/>
  <c r="AW82" i="3" s="1"/>
  <c r="AW186" i="3" s="1"/>
  <c r="AW85" i="3" s="1"/>
  <c r="AW84" i="24"/>
  <c r="AX162" i="24" s="1"/>
  <c r="AX163" i="24" s="1"/>
  <c r="AW186" i="24"/>
  <c r="AW85" i="24" s="1"/>
  <c r="AW79" i="24" s="1"/>
  <c r="AV167" i="24" l="1"/>
  <c r="AW169" i="24"/>
  <c r="AX164" i="24"/>
  <c r="AX165" i="24" s="1"/>
  <c r="AX127" i="24" s="1"/>
  <c r="AW171" i="24"/>
  <c r="AW104" i="29"/>
  <c r="AW101" i="29"/>
  <c r="AW79" i="3"/>
  <c r="AW84" i="3"/>
  <c r="AW103" i="29" l="1"/>
  <c r="AX181" i="29" s="1"/>
  <c r="AX182" i="29" s="1"/>
  <c r="AX162" i="3"/>
  <c r="AX163" i="3" s="1"/>
  <c r="AV167" i="3"/>
  <c r="AW169" i="3"/>
  <c r="AW98" i="29"/>
  <c r="AZ132" i="12"/>
  <c r="AX111" i="24"/>
  <c r="AX178" i="24" s="1"/>
  <c r="AN146" i="29"/>
  <c r="AN130" i="29" s="1"/>
  <c r="AN197" i="29" s="1"/>
  <c r="AN198" i="29" s="1"/>
  <c r="AN199" i="29" s="1"/>
  <c r="AN201" i="29" s="1"/>
  <c r="AN202" i="29" s="1"/>
  <c r="AN203" i="29" s="1"/>
  <c r="AN204" i="29" s="1"/>
  <c r="AN205" i="29" s="1"/>
  <c r="AX181" i="24"/>
  <c r="AX95" i="24" s="1"/>
  <c r="AV186" i="29" l="1"/>
  <c r="AV188" i="29" s="1"/>
  <c r="AV171" i="3"/>
  <c r="AV190" i="29" s="1"/>
  <c r="AX88" i="24"/>
  <c r="AX179" i="24" s="1"/>
  <c r="AX164" i="3"/>
  <c r="AX165" i="3" s="1"/>
  <c r="AX127" i="3" s="1"/>
  <c r="AX183" i="29"/>
  <c r="AX184" i="29" s="1"/>
  <c r="AX181" i="3"/>
  <c r="AX95" i="3" s="1"/>
  <c r="AX114" i="29" s="1"/>
  <c r="AX111" i="3" l="1"/>
  <c r="AX178" i="3" s="1"/>
  <c r="AZ129" i="12"/>
  <c r="AZ128" i="12" s="1"/>
  <c r="AZ45" i="12" s="1"/>
  <c r="AX90" i="24"/>
  <c r="AX91" i="24" s="1"/>
  <c r="AW200" i="29"/>
  <c r="AX92" i="24" l="1"/>
  <c r="AX180" i="24"/>
  <c r="AX88" i="3"/>
  <c r="AX179" i="3" s="1"/>
  <c r="AX107" i="29" l="1"/>
  <c r="AX90" i="3"/>
  <c r="AX109" i="29" s="1"/>
  <c r="AX93" i="24"/>
  <c r="AX182" i="24" s="1"/>
  <c r="AX96" i="24" l="1"/>
  <c r="AX183" i="24" s="1"/>
  <c r="AX91" i="3"/>
  <c r="AX110" i="29" l="1"/>
  <c r="AX92" i="3"/>
  <c r="AX111" i="29" s="1"/>
  <c r="AX180" i="3"/>
  <c r="AX190" i="24"/>
  <c r="AX109" i="24"/>
  <c r="AX191" i="24" l="1"/>
  <c r="AX193" i="24"/>
  <c r="AX192" i="24" s="1"/>
  <c r="AX93" i="3"/>
  <c r="AX112" i="29" s="1"/>
  <c r="AX182" i="3" l="1"/>
  <c r="AX96" i="3" s="1"/>
  <c r="AX183" i="3" s="1"/>
  <c r="AX115" i="29" l="1"/>
  <c r="AX190" i="3"/>
  <c r="AX109" i="3"/>
  <c r="AX191" i="3" l="1"/>
  <c r="AX193" i="3"/>
  <c r="AX192" i="3" s="1"/>
  <c r="AX209" i="29"/>
  <c r="AX128" i="29"/>
  <c r="AX217" i="29" l="1"/>
  <c r="AX212" i="29"/>
  <c r="AX211" i="29" s="1"/>
  <c r="AX210" i="29"/>
  <c r="AX198" i="24" l="1"/>
  <c r="AX98" i="24" s="1"/>
  <c r="AX99" i="24" s="1"/>
  <c r="AX198" i="3"/>
  <c r="AX98" i="3" s="1"/>
  <c r="AX117" i="29" l="1"/>
  <c r="AX99" i="3"/>
  <c r="AX100" i="24"/>
  <c r="AX184" i="24"/>
  <c r="AX101" i="24" l="1"/>
  <c r="AX185" i="24" s="1"/>
  <c r="AX118" i="29"/>
  <c r="AX100" i="3"/>
  <c r="AX184" i="3"/>
  <c r="AX101" i="3" l="1"/>
  <c r="AX120" i="29" s="1"/>
  <c r="AX119" i="29"/>
  <c r="AX82" i="24"/>
  <c r="AX186" i="24" s="1"/>
  <c r="AX85" i="24" s="1"/>
  <c r="AX185" i="3" l="1"/>
  <c r="AX82" i="3" s="1"/>
  <c r="AX186" i="3" s="1"/>
  <c r="AX85" i="3" s="1"/>
  <c r="AX104" i="29" s="1"/>
  <c r="AX79" i="24"/>
  <c r="AX171" i="24" s="1"/>
  <c r="AX84" i="24"/>
  <c r="AY162" i="24" s="1"/>
  <c r="AY163" i="24" s="1"/>
  <c r="AX101" i="29" l="1"/>
  <c r="AX98" i="29" s="1"/>
  <c r="AX79" i="3"/>
  <c r="AX84" i="3"/>
  <c r="AY164" i="24"/>
  <c r="AY165" i="24" s="1"/>
  <c r="AY127" i="24" s="1"/>
  <c r="AW167" i="24"/>
  <c r="AX169" i="24"/>
  <c r="AY111" i="24" l="1"/>
  <c r="AY178" i="24" s="1"/>
  <c r="BA132" i="12"/>
  <c r="AO146" i="29"/>
  <c r="AO130" i="29" s="1"/>
  <c r="AO197" i="29" s="1"/>
  <c r="AO198" i="29" s="1"/>
  <c r="AO199" i="29" s="1"/>
  <c r="AO201" i="29" s="1"/>
  <c r="AO202" i="29" s="1"/>
  <c r="AO203" i="29" s="1"/>
  <c r="AO204" i="29" s="1"/>
  <c r="AO205" i="29" s="1"/>
  <c r="AX103" i="29"/>
  <c r="AY181" i="29" s="1"/>
  <c r="AY182" i="29" s="1"/>
  <c r="AY162" i="3"/>
  <c r="AY163" i="3" s="1"/>
  <c r="AW167" i="3"/>
  <c r="AX169" i="3"/>
  <c r="AY181" i="24"/>
  <c r="AY95" i="24" s="1"/>
  <c r="AY164" i="3" l="1"/>
  <c r="AY165" i="3" s="1"/>
  <c r="AY127" i="3" s="1"/>
  <c r="AY183" i="29"/>
  <c r="AY184" i="29" s="1"/>
  <c r="AY181" i="3"/>
  <c r="AY95" i="3" s="1"/>
  <c r="AY114" i="29" s="1"/>
  <c r="AW186" i="29"/>
  <c r="AW188" i="29" s="1"/>
  <c r="AW171" i="3"/>
  <c r="AW190" i="29" s="1"/>
  <c r="AY88" i="24"/>
  <c r="AY179" i="24" s="1"/>
  <c r="AY90" i="24" l="1"/>
  <c r="AY91" i="24" s="1"/>
  <c r="BA129" i="12"/>
  <c r="BA128" i="12" s="1"/>
  <c r="BA45" i="12" s="1"/>
  <c r="AY111" i="3"/>
  <c r="AY178" i="3" s="1"/>
  <c r="AX200" i="29"/>
  <c r="AY92" i="24" l="1"/>
  <c r="AY180" i="24"/>
  <c r="AY88" i="3"/>
  <c r="AY179" i="3" s="1"/>
  <c r="AY107" i="29" l="1"/>
  <c r="AY90" i="3"/>
  <c r="AY109" i="29" s="1"/>
  <c r="AY93" i="24"/>
  <c r="AY182" i="24" s="1"/>
  <c r="AY96" i="24" l="1"/>
  <c r="AY183" i="24" s="1"/>
  <c r="AY91" i="3"/>
  <c r="AY110" i="29" l="1"/>
  <c r="AY92" i="3"/>
  <c r="AY111" i="29" s="1"/>
  <c r="AY180" i="3"/>
  <c r="AY190" i="24"/>
  <c r="AY109" i="24"/>
  <c r="AY191" i="24" l="1"/>
  <c r="AY193" i="24"/>
  <c r="AY192" i="24" s="1"/>
  <c r="AY93" i="3"/>
  <c r="AY112" i="29" s="1"/>
  <c r="AY182" i="3" l="1"/>
  <c r="AY96" i="3" l="1"/>
  <c r="AY183" i="3" s="1"/>
  <c r="AY115" i="29" l="1"/>
  <c r="AY190" i="3"/>
  <c r="AY109" i="3"/>
  <c r="AY191" i="3" l="1"/>
  <c r="AY193" i="3"/>
  <c r="AY192" i="3" s="1"/>
  <c r="AY209" i="29"/>
  <c r="AY128" i="29"/>
  <c r="AY217" i="29" l="1"/>
  <c r="AY212" i="29"/>
  <c r="AY211" i="29" s="1"/>
  <c r="AY210" i="29"/>
  <c r="AY198" i="24" l="1"/>
  <c r="AY98" i="24" s="1"/>
  <c r="AY99" i="24" s="1"/>
  <c r="AY198" i="3"/>
  <c r="AY98" i="3" s="1"/>
  <c r="AY117" i="29" l="1"/>
  <c r="AY99" i="3"/>
  <c r="AY100" i="24"/>
  <c r="AY184" i="24"/>
  <c r="AY101" i="24" l="1"/>
  <c r="AY185" i="24" s="1"/>
  <c r="AY118" i="29"/>
  <c r="AY100" i="3"/>
  <c r="AY184" i="3"/>
  <c r="AY101" i="3" l="1"/>
  <c r="AY120" i="29" s="1"/>
  <c r="AY119" i="29"/>
  <c r="AY82" i="24"/>
  <c r="AY84" i="24" l="1"/>
  <c r="AZ162" i="24" s="1"/>
  <c r="AZ163" i="24" s="1"/>
  <c r="AY186" i="24"/>
  <c r="AY85" i="24" s="1"/>
  <c r="AY185" i="3"/>
  <c r="AY82" i="3" l="1"/>
  <c r="AZ164" i="24"/>
  <c r="AZ165" i="24" s="1"/>
  <c r="AZ127" i="24" s="1"/>
  <c r="AY79" i="24"/>
  <c r="BB132" i="12" l="1"/>
  <c r="AZ111" i="24"/>
  <c r="AP146" i="29"/>
  <c r="AP130" i="29" s="1"/>
  <c r="AP197" i="29" s="1"/>
  <c r="AP198" i="29" s="1"/>
  <c r="AP199" i="29" s="1"/>
  <c r="AP201" i="29" s="1"/>
  <c r="AP202" i="29" s="1"/>
  <c r="AP203" i="29" s="1"/>
  <c r="AP204" i="29" s="1"/>
  <c r="AP205" i="29" s="1"/>
  <c r="AX167" i="24"/>
  <c r="AY169" i="24"/>
  <c r="AY101" i="29"/>
  <c r="AY84" i="3"/>
  <c r="AY186" i="3"/>
  <c r="AY85" i="3" s="1"/>
  <c r="AY104" i="29" s="1"/>
  <c r="AY171" i="24"/>
  <c r="AY103" i="29" l="1"/>
  <c r="AZ181" i="29" s="1"/>
  <c r="AZ182" i="29" s="1"/>
  <c r="AZ162" i="3"/>
  <c r="AZ163" i="3" s="1"/>
  <c r="AY79" i="3"/>
  <c r="AY98" i="29"/>
  <c r="AZ181" i="24"/>
  <c r="AZ95" i="24" s="1"/>
  <c r="AZ178" i="24"/>
  <c r="AX167" i="3" l="1"/>
  <c r="AY169" i="3"/>
  <c r="AZ164" i="3"/>
  <c r="AZ165" i="3" s="1"/>
  <c r="AZ127" i="3" s="1"/>
  <c r="AZ183" i="29"/>
  <c r="AZ184" i="29" s="1"/>
  <c r="AZ88" i="24"/>
  <c r="AZ179" i="24" s="1"/>
  <c r="BB129" i="12" l="1"/>
  <c r="BB128" i="12" s="1"/>
  <c r="BB45" i="12" s="1"/>
  <c r="AZ111" i="3"/>
  <c r="AZ178" i="3" s="1"/>
  <c r="AZ181" i="3"/>
  <c r="AZ95" i="3" s="1"/>
  <c r="AZ114" i="29" s="1"/>
  <c r="AX186" i="29"/>
  <c r="AX188" i="29" s="1"/>
  <c r="AX171" i="3"/>
  <c r="AX190" i="29" s="1"/>
  <c r="AZ90" i="24"/>
  <c r="AZ91" i="24" s="1"/>
  <c r="AZ92" i="24" l="1"/>
  <c r="AZ180" i="24"/>
  <c r="AY200" i="29"/>
  <c r="AZ88" i="3"/>
  <c r="AZ179" i="3" s="1"/>
  <c r="AZ107" i="29" l="1"/>
  <c r="AZ90" i="3"/>
  <c r="AZ109" i="29" s="1"/>
  <c r="AZ93" i="24"/>
  <c r="AZ182" i="24" s="1"/>
  <c r="AZ91" i="3" l="1"/>
  <c r="AZ96" i="24"/>
  <c r="AZ183" i="24" s="1"/>
  <c r="AZ110" i="29" l="1"/>
  <c r="AZ92" i="3"/>
  <c r="AZ111" i="29" s="1"/>
  <c r="AZ180" i="3"/>
  <c r="AZ190" i="24"/>
  <c r="AZ109" i="24"/>
  <c r="AZ191" i="24" l="1"/>
  <c r="AZ193" i="24"/>
  <c r="AZ192" i="24" s="1"/>
  <c r="AZ93" i="3"/>
  <c r="AZ112" i="29" s="1"/>
  <c r="AZ182" i="3" l="1"/>
  <c r="AZ96" i="3" s="1"/>
  <c r="AZ183" i="3" s="1"/>
  <c r="AZ115" i="29" l="1"/>
  <c r="AZ190" i="3"/>
  <c r="AZ109" i="3"/>
  <c r="AZ191" i="3" l="1"/>
  <c r="AZ193" i="3"/>
  <c r="AZ192" i="3" s="1"/>
  <c r="AZ209" i="29"/>
  <c r="AZ128" i="29"/>
  <c r="AZ217" i="29" l="1"/>
  <c r="AZ210" i="29"/>
  <c r="AZ212" i="29"/>
  <c r="AZ211" i="29" s="1"/>
  <c r="AZ198" i="3" l="1"/>
  <c r="AZ98" i="3" s="1"/>
  <c r="AZ198" i="24"/>
  <c r="AZ98" i="24" s="1"/>
  <c r="AZ99" i="24" s="1"/>
  <c r="AZ100" i="24" l="1"/>
  <c r="AZ184" i="24"/>
  <c r="AZ117" i="29"/>
  <c r="AZ99" i="3"/>
  <c r="AZ118" i="29" l="1"/>
  <c r="AZ100" i="3"/>
  <c r="AZ184" i="3"/>
  <c r="AZ101" i="24"/>
  <c r="AZ185" i="24" s="1"/>
  <c r="AZ82" i="24" l="1"/>
  <c r="AZ186" i="24" s="1"/>
  <c r="AZ85" i="24" s="1"/>
  <c r="AZ101" i="3"/>
  <c r="AZ120" i="29" s="1"/>
  <c r="AZ119" i="29"/>
  <c r="AZ185" i="3" l="1"/>
  <c r="AZ79" i="24"/>
  <c r="AZ171" i="24" s="1"/>
  <c r="AZ84" i="24"/>
  <c r="BA162" i="24" s="1"/>
  <c r="BA163" i="24" s="1"/>
  <c r="BA164" i="24" l="1"/>
  <c r="BA165" i="24" s="1"/>
  <c r="BA127" i="24" s="1"/>
  <c r="AY167" i="24"/>
  <c r="AZ169" i="24"/>
  <c r="AZ82" i="3"/>
  <c r="BA111" i="24" l="1"/>
  <c r="BA178" i="24" s="1"/>
  <c r="BC132" i="12"/>
  <c r="AQ146" i="29"/>
  <c r="AQ130" i="29" s="1"/>
  <c r="AQ197" i="29" s="1"/>
  <c r="AQ198" i="29" s="1"/>
  <c r="AQ199" i="29" s="1"/>
  <c r="AQ201" i="29" s="1"/>
  <c r="AQ202" i="29" s="1"/>
  <c r="AQ203" i="29" s="1"/>
  <c r="AQ204" i="29" s="1"/>
  <c r="AQ205" i="29" s="1"/>
  <c r="AZ101" i="29"/>
  <c r="AZ84" i="3"/>
  <c r="AZ186" i="3"/>
  <c r="AZ85" i="3" s="1"/>
  <c r="AZ104" i="29" s="1"/>
  <c r="BA181" i="24"/>
  <c r="BA95" i="24" s="1"/>
  <c r="AZ103" i="29" l="1"/>
  <c r="BA181" i="29" s="1"/>
  <c r="BA182" i="29" s="1"/>
  <c r="BA162" i="3"/>
  <c r="BA163" i="3" s="1"/>
  <c r="AZ79" i="3"/>
  <c r="AZ98" i="29"/>
  <c r="BA88" i="24"/>
  <c r="BA179" i="24" s="1"/>
  <c r="BA90" i="24" l="1"/>
  <c r="BA91" i="24" s="1"/>
  <c r="AY167" i="3"/>
  <c r="AZ169" i="3"/>
  <c r="BA164" i="3"/>
  <c r="BA165" i="3" s="1"/>
  <c r="BA127" i="3" s="1"/>
  <c r="BA183" i="29"/>
  <c r="BA184" i="29" s="1"/>
  <c r="BA92" i="24" l="1"/>
  <c r="BA180" i="24"/>
  <c r="BC129" i="12"/>
  <c r="BC128" i="12" s="1"/>
  <c r="BC45" i="12" s="1"/>
  <c r="BA111" i="3"/>
  <c r="BA178" i="3" s="1"/>
  <c r="AY186" i="29"/>
  <c r="AY188" i="29" s="1"/>
  <c r="AY171" i="3"/>
  <c r="AY190" i="29" s="1"/>
  <c r="BA181" i="3"/>
  <c r="BA95" i="3" s="1"/>
  <c r="BA114" i="29" s="1"/>
  <c r="BA88" i="3" l="1"/>
  <c r="BA179" i="3" s="1"/>
  <c r="AZ200" i="29"/>
  <c r="BA93" i="24"/>
  <c r="BA182" i="24" s="1"/>
  <c r="BA96" i="24" l="1"/>
  <c r="BA183" i="24" s="1"/>
  <c r="BA107" i="29"/>
  <c r="BA90" i="3"/>
  <c r="BA109" i="29" s="1"/>
  <c r="BA190" i="24" l="1"/>
  <c r="BA109" i="24"/>
  <c r="BA91" i="3"/>
  <c r="BA110" i="29" l="1"/>
  <c r="BA92" i="3"/>
  <c r="BA111" i="29" s="1"/>
  <c r="BA180" i="3"/>
  <c r="BA191" i="24"/>
  <c r="BA193" i="24"/>
  <c r="BA192" i="24" s="1"/>
  <c r="BA93" i="3" l="1"/>
  <c r="BA112" i="29" s="1"/>
  <c r="BA182" i="3" l="1"/>
  <c r="BA96" i="3" s="1"/>
  <c r="BA183" i="3" l="1"/>
  <c r="BA115" i="29"/>
  <c r="BA190" i="3"/>
  <c r="BA109" i="3"/>
  <c r="BA191" i="3" l="1"/>
  <c r="BA193" i="3"/>
  <c r="BA192" i="3" s="1"/>
  <c r="BA209" i="29"/>
  <c r="BA128" i="29"/>
  <c r="BA217" i="29" l="1"/>
  <c r="BA212" i="29"/>
  <c r="BA211" i="29" s="1"/>
  <c r="BA210" i="29"/>
  <c r="BA198" i="24" l="1"/>
  <c r="BA98" i="24" s="1"/>
  <c r="BA99" i="24" s="1"/>
  <c r="BA198" i="3"/>
  <c r="BA98" i="3" s="1"/>
  <c r="BA117" i="29" l="1"/>
  <c r="BA99" i="3"/>
  <c r="BA100" i="24"/>
  <c r="BA184" i="24"/>
  <c r="BA101" i="24" l="1"/>
  <c r="BA185" i="24" s="1"/>
  <c r="BA118" i="29"/>
  <c r="BA100" i="3"/>
  <c r="BA184" i="3"/>
  <c r="BA82" i="24" l="1"/>
  <c r="BA186" i="24" s="1"/>
  <c r="BA85" i="24" s="1"/>
  <c r="BA101" i="3"/>
  <c r="BA120" i="29" s="1"/>
  <c r="BA119" i="29"/>
  <c r="BA185" i="3" l="1"/>
  <c r="BA79" i="24"/>
  <c r="BA171" i="24" s="1"/>
  <c r="BA84" i="24"/>
  <c r="BB162" i="24" s="1"/>
  <c r="BB163" i="24" s="1"/>
  <c r="BB164" i="24" l="1"/>
  <c r="BB165" i="24" s="1"/>
  <c r="BB127" i="24" s="1"/>
  <c r="AZ167" i="24"/>
  <c r="BA169" i="24"/>
  <c r="BA82" i="3"/>
  <c r="BD132" i="12" l="1"/>
  <c r="BB111" i="24"/>
  <c r="BB178" i="24" s="1"/>
  <c r="AR146" i="29"/>
  <c r="AR130" i="29" s="1"/>
  <c r="AR197" i="29" s="1"/>
  <c r="AR198" i="29" s="1"/>
  <c r="AR199" i="29" s="1"/>
  <c r="AR201" i="29" s="1"/>
  <c r="AR202" i="29" s="1"/>
  <c r="AR203" i="29" s="1"/>
  <c r="AR204" i="29" s="1"/>
  <c r="AR205" i="29" s="1"/>
  <c r="BA101" i="29"/>
  <c r="BA84" i="3"/>
  <c r="BB181" i="24"/>
  <c r="BB95" i="24" s="1"/>
  <c r="BA186" i="3"/>
  <c r="BA85" i="3" s="1"/>
  <c r="BA104" i="29" s="1"/>
  <c r="BA79" i="3" l="1"/>
  <c r="BA169" i="3" s="1"/>
  <c r="BA98" i="29"/>
  <c r="BB88" i="24"/>
  <c r="BB179" i="24" s="1"/>
  <c r="BA103" i="29"/>
  <c r="BB181" i="29" s="1"/>
  <c r="BB182" i="29" s="1"/>
  <c r="BB162" i="3"/>
  <c r="BB163" i="3" s="1"/>
  <c r="AZ167" i="3" l="1"/>
  <c r="AZ186" i="29" s="1"/>
  <c r="AZ188" i="29" s="1"/>
  <c r="BB183" i="29"/>
  <c r="BB184" i="29" s="1"/>
  <c r="BB90" i="24"/>
  <c r="BB91" i="24" s="1"/>
  <c r="BB92" i="24" s="1"/>
  <c r="BB181" i="3"/>
  <c r="BB95" i="3" s="1"/>
  <c r="BB114" i="29" s="1"/>
  <c r="BB164" i="3"/>
  <c r="BB165" i="3" s="1"/>
  <c r="BB127" i="3" s="1"/>
  <c r="AZ171" i="3" l="1"/>
  <c r="AZ190" i="29" s="1"/>
  <c r="BA200" i="29"/>
  <c r="BD129" i="12"/>
  <c r="BD128" i="12" s="1"/>
  <c r="BD45" i="12" s="1"/>
  <c r="BB111" i="3"/>
  <c r="BB178" i="3" s="1"/>
  <c r="BB180" i="24"/>
  <c r="BB93" i="24" l="1"/>
  <c r="BB182" i="24" s="1"/>
  <c r="BB88" i="3"/>
  <c r="BB179" i="3" s="1"/>
  <c r="BB107" i="29" l="1"/>
  <c r="BB90" i="3"/>
  <c r="BB109" i="29" s="1"/>
  <c r="BB96" i="24"/>
  <c r="BB183" i="24" s="1"/>
  <c r="BB91" i="3" l="1"/>
  <c r="BB180" i="3" s="1"/>
  <c r="BB190" i="24"/>
  <c r="BB109" i="24"/>
  <c r="BB92" i="3" l="1"/>
  <c r="BB111" i="29" s="1"/>
  <c r="BB110" i="29"/>
  <c r="BB193" i="24"/>
  <c r="BB192" i="24" s="1"/>
  <c r="BB191" i="24"/>
  <c r="BB93" i="3" l="1"/>
  <c r="BB112" i="29" s="1"/>
  <c r="BB182" i="3" l="1"/>
  <c r="BB96" i="3" s="1"/>
  <c r="BB115" i="29" l="1"/>
  <c r="BB190" i="3"/>
  <c r="BB109" i="3"/>
  <c r="BB183" i="3"/>
  <c r="BB193" i="3" l="1"/>
  <c r="BB192" i="3" s="1"/>
  <c r="BB191" i="3"/>
  <c r="BB209" i="29"/>
  <c r="BB128" i="29"/>
  <c r="BB217" i="29" l="1"/>
  <c r="BB210" i="29"/>
  <c r="BB212" i="29"/>
  <c r="BB211" i="29" s="1"/>
  <c r="BB198" i="3" l="1"/>
  <c r="BB98" i="3" s="1"/>
  <c r="BB198" i="24"/>
  <c r="BB98" i="24" s="1"/>
  <c r="BB99" i="24" s="1"/>
  <c r="BB100" i="24" l="1"/>
  <c r="BB184" i="24"/>
  <c r="BB117" i="29"/>
  <c r="BB99" i="3"/>
  <c r="BB101" i="24" l="1"/>
  <c r="BB185" i="24" s="1"/>
  <c r="BB118" i="29"/>
  <c r="BB100" i="3"/>
  <c r="BB184" i="3"/>
  <c r="BB101" i="3" l="1"/>
  <c r="BB120" i="29" s="1"/>
  <c r="BB119" i="29"/>
  <c r="BB82" i="24"/>
  <c r="BB185" i="3" l="1"/>
  <c r="BB82" i="3" s="1"/>
  <c r="BB84" i="24"/>
  <c r="BC162" i="24" s="1"/>
  <c r="BC163" i="24" s="1"/>
  <c r="BB186" i="24"/>
  <c r="BB85" i="24" s="1"/>
  <c r="BB79" i="24" s="1"/>
  <c r="BA167" i="24" l="1"/>
  <c r="BB169" i="24"/>
  <c r="BB101" i="29"/>
  <c r="BB84" i="3"/>
  <c r="BB186" i="3"/>
  <c r="BB85" i="3" s="1"/>
  <c r="BB104" i="29" s="1"/>
  <c r="BC164" i="24"/>
  <c r="BC165" i="24" s="1"/>
  <c r="BC127" i="24" s="1"/>
  <c r="BB171" i="24"/>
  <c r="BE132" i="12" l="1"/>
  <c r="BC111" i="24"/>
  <c r="BC178" i="24" s="1"/>
  <c r="AS146" i="29"/>
  <c r="AS130" i="29" s="1"/>
  <c r="AS197" i="29" s="1"/>
  <c r="AS198" i="29" s="1"/>
  <c r="AS199" i="29" s="1"/>
  <c r="AS201" i="29" s="1"/>
  <c r="AS202" i="29" s="1"/>
  <c r="AS203" i="29" s="1"/>
  <c r="AS204" i="29" s="1"/>
  <c r="AS205" i="29" s="1"/>
  <c r="BB103" i="29"/>
  <c r="BC181" i="29" s="1"/>
  <c r="BC182" i="29" s="1"/>
  <c r="BC162" i="3"/>
  <c r="BC163" i="3" s="1"/>
  <c r="BB79" i="3"/>
  <c r="BB98" i="29"/>
  <c r="BC181" i="24"/>
  <c r="BC95" i="24" s="1"/>
  <c r="BA167" i="3" l="1"/>
  <c r="BB169" i="3"/>
  <c r="BC164" i="3"/>
  <c r="BC165" i="3" s="1"/>
  <c r="BC127" i="3" s="1"/>
  <c r="BC183" i="29"/>
  <c r="BC184" i="29" s="1"/>
  <c r="BC88" i="24"/>
  <c r="BE129" i="12" l="1"/>
  <c r="BE128" i="12" s="1"/>
  <c r="BE45" i="12" s="1"/>
  <c r="BC111" i="3"/>
  <c r="BC178" i="3" s="1"/>
  <c r="BC90" i="24"/>
  <c r="BC181" i="3"/>
  <c r="BC95" i="3" s="1"/>
  <c r="BC114" i="29" s="1"/>
  <c r="BC179" i="24"/>
  <c r="BA186" i="29"/>
  <c r="BA188" i="29" s="1"/>
  <c r="BA171" i="3"/>
  <c r="BA190" i="29" s="1"/>
  <c r="BC88" i="3" l="1"/>
  <c r="BC179" i="3" s="1"/>
  <c r="BB200" i="29"/>
  <c r="BC91" i="24"/>
  <c r="BC92" i="24" s="1"/>
  <c r="BC180" i="24" l="1"/>
  <c r="BC93" i="24" s="1"/>
  <c r="BC182" i="24" s="1"/>
  <c r="BC107" i="29"/>
  <c r="BC90" i="3"/>
  <c r="BC109" i="29" s="1"/>
  <c r="BC91" i="3" l="1"/>
  <c r="BC96" i="24"/>
  <c r="BC183" i="24" s="1"/>
  <c r="BC190" i="24" l="1"/>
  <c r="BC109" i="24"/>
  <c r="BC110" i="29"/>
  <c r="BC92" i="3"/>
  <c r="BC111" i="29" s="1"/>
  <c r="BC180" i="3"/>
  <c r="BC191" i="24" l="1"/>
  <c r="BC193" i="24"/>
  <c r="BC192" i="24" s="1"/>
  <c r="BC93" i="3"/>
  <c r="BC112" i="29" s="1"/>
  <c r="BC182" i="3" l="1"/>
  <c r="BC96" i="3" s="1"/>
  <c r="BC183" i="3" s="1"/>
  <c r="BC115" i="29" l="1"/>
  <c r="BC190" i="3"/>
  <c r="BC109" i="3"/>
  <c r="BC209" i="29" l="1"/>
  <c r="BC128" i="29"/>
  <c r="BC193" i="3"/>
  <c r="BC192" i="3" s="1"/>
  <c r="BC191" i="3"/>
  <c r="BC217" i="29" l="1"/>
  <c r="BC212" i="29"/>
  <c r="BC211" i="29" s="1"/>
  <c r="BC210" i="29"/>
  <c r="BC198" i="24" l="1"/>
  <c r="BC98" i="24" s="1"/>
  <c r="BC99" i="24" s="1"/>
  <c r="BC198" i="3"/>
  <c r="BC98" i="3" s="1"/>
  <c r="BC117" i="29" l="1"/>
  <c r="BC99" i="3"/>
  <c r="BC100" i="24"/>
  <c r="BC184" i="24"/>
  <c r="BC101" i="24" l="1"/>
  <c r="BC185" i="24" s="1"/>
  <c r="BC118" i="29"/>
  <c r="BC100" i="3"/>
  <c r="BC184" i="3"/>
  <c r="BC101" i="3" l="1"/>
  <c r="BC120" i="29" s="1"/>
  <c r="BC119" i="29"/>
  <c r="BC82" i="24"/>
  <c r="BC186" i="24" s="1"/>
  <c r="BC85" i="24" s="1"/>
  <c r="BC185" i="3" l="1"/>
  <c r="BC82" i="3" s="1"/>
  <c r="BC79" i="24"/>
  <c r="BC171" i="24" s="1"/>
  <c r="BC84" i="24"/>
  <c r="BD162" i="24" s="1"/>
  <c r="BD163" i="24" s="1"/>
  <c r="BC101" i="29" l="1"/>
  <c r="BC84" i="3"/>
  <c r="BC186" i="3"/>
  <c r="BC85" i="3" s="1"/>
  <c r="BC104" i="29" s="1"/>
  <c r="BD164" i="24"/>
  <c r="BD165" i="24" s="1"/>
  <c r="BD127" i="24" s="1"/>
  <c r="BB167" i="24"/>
  <c r="BC169" i="24"/>
  <c r="BD111" i="24" l="1"/>
  <c r="BD178" i="24" s="1"/>
  <c r="BF132" i="12"/>
  <c r="AT146" i="29"/>
  <c r="AT130" i="29" s="1"/>
  <c r="AT197" i="29" s="1"/>
  <c r="AT198" i="29" s="1"/>
  <c r="AT199" i="29" s="1"/>
  <c r="AT201" i="29" s="1"/>
  <c r="AT202" i="29" s="1"/>
  <c r="AT203" i="29" s="1"/>
  <c r="AT204" i="29" s="1"/>
  <c r="AT205" i="29" s="1"/>
  <c r="BC103" i="29"/>
  <c r="BD181" i="29" s="1"/>
  <c r="BD182" i="29" s="1"/>
  <c r="BD162" i="3"/>
  <c r="BD163" i="3" s="1"/>
  <c r="BD181" i="24"/>
  <c r="BD95" i="24" s="1"/>
  <c r="BC98" i="29"/>
  <c r="BC79" i="3"/>
  <c r="BD183" i="29" l="1"/>
  <c r="BD184" i="29" s="1"/>
  <c r="BB167" i="3"/>
  <c r="BC169" i="3"/>
  <c r="BD164" i="3"/>
  <c r="BD165" i="3" s="1"/>
  <c r="BD127" i="3" s="1"/>
  <c r="BD88" i="24"/>
  <c r="BD146" i="29" l="1"/>
  <c r="BD130" i="29" s="1"/>
  <c r="BF129" i="12"/>
  <c r="BF128" i="12" s="1"/>
  <c r="BF45" i="12" s="1"/>
  <c r="BD111" i="3"/>
  <c r="BD178" i="3" s="1"/>
  <c r="BD181" i="3"/>
  <c r="BD95" i="3" s="1"/>
  <c r="BD114" i="29" s="1"/>
  <c r="BB186" i="29"/>
  <c r="BB188" i="29" s="1"/>
  <c r="BB171" i="3"/>
  <c r="BB190" i="29" s="1"/>
  <c r="BD90" i="24"/>
  <c r="BD179" i="24"/>
  <c r="BC200" i="29" l="1"/>
  <c r="BD88" i="3"/>
  <c r="BD91" i="24"/>
  <c r="BD92" i="24" s="1"/>
  <c r="BD107" i="29" l="1"/>
  <c r="BD90" i="3"/>
  <c r="BD109" i="29" s="1"/>
  <c r="BD179" i="3"/>
  <c r="BD180" i="24"/>
  <c r="BD93" i="24" l="1"/>
  <c r="BD182" i="24" s="1"/>
  <c r="BD91" i="3"/>
  <c r="BD180" i="3" s="1"/>
  <c r="BD96" i="24" l="1"/>
  <c r="BD183" i="24" s="1"/>
  <c r="BD110" i="29"/>
  <c r="BD92" i="3"/>
  <c r="BD111" i="29" s="1"/>
  <c r="BD93" i="3" l="1"/>
  <c r="BD190" i="24"/>
  <c r="BD109" i="24"/>
  <c r="BD191" i="24" l="1"/>
  <c r="BD193" i="24"/>
  <c r="BD192" i="24" s="1"/>
  <c r="BD112" i="29"/>
  <c r="BD182" i="3"/>
  <c r="BD96" i="3" l="1"/>
  <c r="BD183" i="3" s="1"/>
  <c r="BD115" i="29" l="1"/>
  <c r="BD190" i="3"/>
  <c r="BD109" i="3"/>
  <c r="BD191" i="3" l="1"/>
  <c r="BD193" i="3"/>
  <c r="BD192" i="3" s="1"/>
  <c r="BD209" i="29"/>
  <c r="BD128" i="29"/>
  <c r="BD217" i="29" l="1"/>
  <c r="BD212" i="29"/>
  <c r="BD211" i="29" s="1"/>
  <c r="BD210" i="29"/>
  <c r="BD198" i="24" l="1"/>
  <c r="BD98" i="24" s="1"/>
  <c r="BD99" i="24" s="1"/>
  <c r="BD198" i="3"/>
  <c r="BD98" i="3" s="1"/>
  <c r="BD117" i="29" l="1"/>
  <c r="BD99" i="3"/>
  <c r="BD100" i="24"/>
  <c r="BD184" i="24"/>
  <c r="BD101" i="24" l="1"/>
  <c r="BD185" i="24" s="1"/>
  <c r="BD118" i="29"/>
  <c r="BD100" i="3"/>
  <c r="BD184" i="3"/>
  <c r="BD82" i="24" l="1"/>
  <c r="BD186" i="24" s="1"/>
  <c r="BD85" i="24" s="1"/>
  <c r="BD101" i="3"/>
  <c r="BD120" i="29" s="1"/>
  <c r="BD119" i="29"/>
  <c r="BD79" i="24" l="1"/>
  <c r="BD171" i="24" s="1"/>
  <c r="BD84" i="24"/>
  <c r="BE162" i="24" s="1"/>
  <c r="BE163" i="24" s="1"/>
  <c r="BD185" i="3"/>
  <c r="BD82" i="3" l="1"/>
  <c r="BD186" i="3" s="1"/>
  <c r="BD85" i="3" s="1"/>
  <c r="BD104" i="29" s="1"/>
  <c r="BE164" i="24"/>
  <c r="BE165" i="24" s="1"/>
  <c r="BE127" i="24" s="1"/>
  <c r="BC167" i="24"/>
  <c r="BD169" i="24"/>
  <c r="BE181" i="24" l="1"/>
  <c r="BE95" i="24" s="1"/>
  <c r="BE111" i="24"/>
  <c r="BE178" i="24" s="1"/>
  <c r="BG132" i="12"/>
  <c r="AU146" i="29"/>
  <c r="AU130" i="29" s="1"/>
  <c r="AU197" i="29" s="1"/>
  <c r="AU198" i="29" s="1"/>
  <c r="AU199" i="29" s="1"/>
  <c r="AU201" i="29" s="1"/>
  <c r="AU202" i="29" s="1"/>
  <c r="AU203" i="29" s="1"/>
  <c r="AU204" i="29" s="1"/>
  <c r="AU205" i="29" s="1"/>
  <c r="BD101" i="29"/>
  <c r="BD98" i="29" s="1"/>
  <c r="BD79" i="3"/>
  <c r="BD84" i="3"/>
  <c r="BE88" i="24" l="1"/>
  <c r="BE179" i="24" s="1"/>
  <c r="BC167" i="3"/>
  <c r="BD169" i="3"/>
  <c r="BD103" i="29"/>
  <c r="BE181" i="29" s="1"/>
  <c r="BE182" i="29" s="1"/>
  <c r="BE162" i="3"/>
  <c r="BE163" i="3" s="1"/>
  <c r="BE164" i="3" l="1"/>
  <c r="BE165" i="3" s="1"/>
  <c r="BE127" i="3" s="1"/>
  <c r="BE183" i="29"/>
  <c r="BE184" i="29" s="1"/>
  <c r="BE181" i="3"/>
  <c r="BE95" i="3" s="1"/>
  <c r="BE114" i="29" s="1"/>
  <c r="BC186" i="29"/>
  <c r="BC188" i="29" s="1"/>
  <c r="BC171" i="3"/>
  <c r="BC190" i="29" s="1"/>
  <c r="BE90" i="24"/>
  <c r="BE91" i="24" s="1"/>
  <c r="BE92" i="24" l="1"/>
  <c r="BE180" i="24"/>
  <c r="BG129" i="12"/>
  <c r="BG128" i="12" s="1"/>
  <c r="BG45" i="12" s="1"/>
  <c r="BE146" i="29"/>
  <c r="BE130" i="29" s="1"/>
  <c r="BE111" i="3"/>
  <c r="BE178" i="3" s="1"/>
  <c r="BD197" i="29"/>
  <c r="BD198" i="29" s="1"/>
  <c r="BD199" i="29" s="1"/>
  <c r="BD201" i="29" s="1"/>
  <c r="BD202" i="29" s="1"/>
  <c r="BD203" i="29" s="1"/>
  <c r="BD204" i="29" s="1"/>
  <c r="BD205" i="29" s="1"/>
  <c r="BD200" i="29"/>
  <c r="BE93" i="24" l="1"/>
  <c r="BE182" i="24" s="1"/>
  <c r="BE88" i="3"/>
  <c r="BE179" i="3" s="1"/>
  <c r="BE107" i="29" l="1"/>
  <c r="BE90" i="3"/>
  <c r="BE109" i="29" s="1"/>
  <c r="BE96" i="24"/>
  <c r="BE183" i="24" s="1"/>
  <c r="BE91" i="3" l="1"/>
  <c r="BE190" i="24"/>
  <c r="BE109" i="24"/>
  <c r="BE191" i="24" l="1"/>
  <c r="BE193" i="24"/>
  <c r="BE192" i="24" s="1"/>
  <c r="BE110" i="29"/>
  <c r="BE92" i="3"/>
  <c r="BE111" i="29" s="1"/>
  <c r="BE180" i="3"/>
  <c r="BE93" i="3" l="1"/>
  <c r="BE112" i="29" s="1"/>
  <c r="BE182" i="3" l="1"/>
  <c r="BE96" i="3" l="1"/>
  <c r="BE183" i="3" s="1"/>
  <c r="BE115" i="29" l="1"/>
  <c r="BE190" i="3"/>
  <c r="BE109" i="3"/>
  <c r="BE193" i="3" l="1"/>
  <c r="BE192" i="3" s="1"/>
  <c r="BE191" i="3"/>
  <c r="BE209" i="29"/>
  <c r="BE128" i="29"/>
  <c r="BE217" i="29" l="1"/>
  <c r="BE212" i="29"/>
  <c r="BE211" i="29" s="1"/>
  <c r="BE210" i="29"/>
  <c r="BE198" i="24" l="1"/>
  <c r="BE98" i="24" s="1"/>
  <c r="BE99" i="24" s="1"/>
  <c r="BE198" i="3"/>
  <c r="BE98" i="3" s="1"/>
  <c r="BE117" i="29" l="1"/>
  <c r="BE99" i="3"/>
  <c r="BE100" i="24"/>
  <c r="BE184" i="24"/>
  <c r="BE101" i="24" l="1"/>
  <c r="BE185" i="24" s="1"/>
  <c r="BE118" i="29"/>
  <c r="BE100" i="3"/>
  <c r="BE184" i="3"/>
  <c r="BE82" i="24" l="1"/>
  <c r="BE186" i="24" s="1"/>
  <c r="BE85" i="24" s="1"/>
  <c r="BE101" i="3"/>
  <c r="BE120" i="29" s="1"/>
  <c r="BE119" i="29"/>
  <c r="BE185" i="3" l="1"/>
  <c r="BE79" i="24"/>
  <c r="BE84" i="24"/>
  <c r="BF162" i="24" s="1"/>
  <c r="BF163" i="24" s="1"/>
  <c r="BD167" i="24" l="1"/>
  <c r="BE169" i="24"/>
  <c r="BE171" i="24"/>
  <c r="BE82" i="3"/>
  <c r="BF164" i="24"/>
  <c r="BF165" i="24" s="1"/>
  <c r="BF127" i="24" s="1"/>
  <c r="BF111" i="24" l="1"/>
  <c r="BF178" i="24" s="1"/>
  <c r="BH132" i="12"/>
  <c r="AV146" i="29"/>
  <c r="AV130" i="29" s="1"/>
  <c r="AV197" i="29" s="1"/>
  <c r="AV198" i="29" s="1"/>
  <c r="AV199" i="29" s="1"/>
  <c r="AV201" i="29" s="1"/>
  <c r="AV202" i="29" s="1"/>
  <c r="AV203" i="29" s="1"/>
  <c r="AV204" i="29" s="1"/>
  <c r="AV205" i="29" s="1"/>
  <c r="BE101" i="29"/>
  <c r="BE84" i="3"/>
  <c r="BE186" i="3"/>
  <c r="BE85" i="3" s="1"/>
  <c r="BE104" i="29" s="1"/>
  <c r="BF181" i="24"/>
  <c r="BF95" i="24" s="1"/>
  <c r="BE103" i="29" l="1"/>
  <c r="BF181" i="29" s="1"/>
  <c r="BF182" i="29" s="1"/>
  <c r="BF162" i="3"/>
  <c r="BF163" i="3" s="1"/>
  <c r="BE79" i="3"/>
  <c r="BE98" i="29"/>
  <c r="BF88" i="24"/>
  <c r="BF179" i="24" s="1"/>
  <c r="BD167" i="3" l="1"/>
  <c r="BE169" i="3"/>
  <c r="BF90" i="24"/>
  <c r="BF91" i="24" s="1"/>
  <c r="BF164" i="3"/>
  <c r="BF165" i="3" s="1"/>
  <c r="BF127" i="3" s="1"/>
  <c r="BF183" i="29"/>
  <c r="BF184" i="29" s="1"/>
  <c r="BF92" i="24" l="1"/>
  <c r="BF180" i="24"/>
  <c r="BF181" i="3"/>
  <c r="BF95" i="3" s="1"/>
  <c r="BF114" i="29" s="1"/>
  <c r="BD186" i="29"/>
  <c r="BD188" i="29" s="1"/>
  <c r="BD171" i="3"/>
  <c r="BD190" i="29" s="1"/>
  <c r="BF146" i="29"/>
  <c r="BF130" i="29" s="1"/>
  <c r="BH129" i="12"/>
  <c r="BH128" i="12" s="1"/>
  <c r="BH45" i="12" s="1"/>
  <c r="BF111" i="3"/>
  <c r="BF178" i="3" s="1"/>
  <c r="BF93" i="24" l="1"/>
  <c r="BF182" i="24" s="1"/>
  <c r="BE197" i="29"/>
  <c r="BE198" i="29" s="1"/>
  <c r="BE199" i="29" s="1"/>
  <c r="BE201" i="29" s="1"/>
  <c r="BE202" i="29" s="1"/>
  <c r="BE203" i="29" s="1"/>
  <c r="BE204" i="29" s="1"/>
  <c r="BE205" i="29" s="1"/>
  <c r="BE200" i="29"/>
  <c r="BF88" i="3"/>
  <c r="BF96" i="24" l="1"/>
  <c r="BF183" i="24" s="1"/>
  <c r="BF107" i="29"/>
  <c r="BF90" i="3"/>
  <c r="BF109" i="29" s="1"/>
  <c r="BF179" i="3"/>
  <c r="BF91" i="3" l="1"/>
  <c r="BF180" i="3" s="1"/>
  <c r="BF190" i="24"/>
  <c r="BF109" i="24"/>
  <c r="BF193" i="24" l="1"/>
  <c r="BF192" i="24" s="1"/>
  <c r="BF191" i="24"/>
  <c r="BF110" i="29"/>
  <c r="BF92" i="3"/>
  <c r="BF111" i="29" s="1"/>
  <c r="BF93" i="3" l="1"/>
  <c r="BF112" i="29" s="1"/>
  <c r="BF182" i="3" l="1"/>
  <c r="BF96" i="3" s="1"/>
  <c r="BF183" i="3" s="1"/>
  <c r="BF115" i="29" l="1"/>
  <c r="BF190" i="3"/>
  <c r="BF109" i="3"/>
  <c r="BF193" i="3" l="1"/>
  <c r="BF192" i="3" s="1"/>
  <c r="BF191" i="3"/>
  <c r="BF209" i="29"/>
  <c r="BF128" i="29"/>
  <c r="BF217" i="29" l="1"/>
  <c r="BF212" i="29"/>
  <c r="BF211" i="29" s="1"/>
  <c r="BF210" i="29"/>
  <c r="BF198" i="3" l="1"/>
  <c r="BF98" i="3" s="1"/>
  <c r="BF198" i="24"/>
  <c r="BF98" i="24" s="1"/>
  <c r="BF99" i="24" s="1"/>
  <c r="BF100" i="24" l="1"/>
  <c r="BF184" i="24"/>
  <c r="BF117" i="29"/>
  <c r="BF99" i="3"/>
  <c r="BF118" i="29" l="1"/>
  <c r="BF100" i="3"/>
  <c r="BF184" i="3"/>
  <c r="BF101" i="24"/>
  <c r="BF185" i="24" s="1"/>
  <c r="BF82" i="24" l="1"/>
  <c r="BF186" i="24" s="1"/>
  <c r="BF85" i="24" s="1"/>
  <c r="BF101" i="3"/>
  <c r="BF120" i="29" s="1"/>
  <c r="BF119" i="29"/>
  <c r="BF185" i="3" l="1"/>
  <c r="BF82" i="3" s="1"/>
  <c r="BF79" i="24"/>
  <c r="BF171" i="24" s="1"/>
  <c r="BF84" i="24"/>
  <c r="BG162" i="24" s="1"/>
  <c r="BG163" i="24" s="1"/>
  <c r="BG164" i="24" l="1"/>
  <c r="BG165" i="24" s="1"/>
  <c r="BG127" i="24" s="1"/>
  <c r="BE167" i="24"/>
  <c r="BF169" i="24"/>
  <c r="BF101" i="29"/>
  <c r="BF84" i="3"/>
  <c r="BF186" i="3"/>
  <c r="BF85" i="3" s="1"/>
  <c r="BF104" i="29" s="1"/>
  <c r="BF79" i="3" l="1"/>
  <c r="BE167" i="3" s="1"/>
  <c r="BF98" i="29"/>
  <c r="BG181" i="24"/>
  <c r="BG95" i="24" s="1"/>
  <c r="BG111" i="24"/>
  <c r="BG178" i="24" s="1"/>
  <c r="BI132" i="12"/>
  <c r="AW146" i="29"/>
  <c r="AW130" i="29" s="1"/>
  <c r="AW197" i="29" s="1"/>
  <c r="AW198" i="29" s="1"/>
  <c r="AW199" i="29" s="1"/>
  <c r="AW201" i="29" s="1"/>
  <c r="AW202" i="29" s="1"/>
  <c r="AW203" i="29" s="1"/>
  <c r="AW204" i="29" s="1"/>
  <c r="AW205" i="29" s="1"/>
  <c r="BF103" i="29"/>
  <c r="BG181" i="29" s="1"/>
  <c r="BG182" i="29" s="1"/>
  <c r="BG162" i="3"/>
  <c r="BG163" i="3" s="1"/>
  <c r="BF169" i="3" l="1"/>
  <c r="BG181" i="3" s="1"/>
  <c r="BG95" i="3" s="1"/>
  <c r="BG114" i="29" s="1"/>
  <c r="BG88" i="24"/>
  <c r="BG179" i="24" s="1"/>
  <c r="BG183" i="29"/>
  <c r="BG184" i="29" s="1"/>
  <c r="BG164" i="3"/>
  <c r="BG165" i="3" s="1"/>
  <c r="BG127" i="3" s="1"/>
  <c r="BE186" i="29"/>
  <c r="BE188" i="29" s="1"/>
  <c r="BE171" i="3"/>
  <c r="BE190" i="29" s="1"/>
  <c r="BI129" i="12" l="1"/>
  <c r="BI128" i="12" s="1"/>
  <c r="BI45" i="12" s="1"/>
  <c r="BG146" i="29"/>
  <c r="BG130" i="29" s="1"/>
  <c r="BG111" i="3"/>
  <c r="BG178" i="3" s="1"/>
  <c r="BF197" i="29"/>
  <c r="BF198" i="29" s="1"/>
  <c r="BF199" i="29" s="1"/>
  <c r="BF201" i="29" s="1"/>
  <c r="BF202" i="29" s="1"/>
  <c r="BF203" i="29" s="1"/>
  <c r="BF204" i="29" s="1"/>
  <c r="BF205" i="29" s="1"/>
  <c r="BF200" i="29"/>
  <c r="BG90" i="24"/>
  <c r="BG91" i="24" s="1"/>
  <c r="BG92" i="24" s="1"/>
  <c r="BG180" i="24" l="1"/>
  <c r="BG88" i="3"/>
  <c r="BG93" i="24" l="1"/>
  <c r="BG182" i="24" s="1"/>
  <c r="BG107" i="29"/>
  <c r="BG90" i="3"/>
  <c r="BG109" i="29" s="1"/>
  <c r="BG179" i="3"/>
  <c r="BG91" i="3" l="1"/>
  <c r="BG180" i="3" s="1"/>
  <c r="BG96" i="24"/>
  <c r="BG110" i="29" l="1"/>
  <c r="BG92" i="3"/>
  <c r="BG111" i="29" s="1"/>
  <c r="BG190" i="24"/>
  <c r="BG109" i="24"/>
  <c r="BG183" i="24"/>
  <c r="BG193" i="24" l="1"/>
  <c r="BG192" i="24" s="1"/>
  <c r="BG191" i="24"/>
  <c r="BG93" i="3"/>
  <c r="BG112" i="29" l="1"/>
  <c r="BG182" i="3"/>
  <c r="BG96" i="3" l="1"/>
  <c r="BG183" i="3" s="1"/>
  <c r="BG115" i="29" l="1"/>
  <c r="BG190" i="3"/>
  <c r="BG109" i="3"/>
  <c r="BG191" i="3" l="1"/>
  <c r="BG193" i="3"/>
  <c r="BG192" i="3" s="1"/>
  <c r="BG209" i="29"/>
  <c r="BG128" i="29"/>
  <c r="BG217" i="29" l="1"/>
  <c r="BG212" i="29"/>
  <c r="BG211" i="29" s="1"/>
  <c r="BG210" i="29"/>
  <c r="BG198" i="3" l="1"/>
  <c r="BG98" i="3" s="1"/>
  <c r="BG198" i="24"/>
  <c r="BG98" i="24" s="1"/>
  <c r="BG99" i="24" s="1"/>
  <c r="BG100" i="24" l="1"/>
  <c r="BG184" i="24"/>
  <c r="BG117" i="29"/>
  <c r="BG99" i="3"/>
  <c r="BG118" i="29" l="1"/>
  <c r="BG100" i="3"/>
  <c r="BG184" i="3"/>
  <c r="BG101" i="24"/>
  <c r="BG185" i="24" s="1"/>
  <c r="BG82" i="24" l="1"/>
  <c r="BG119" i="29"/>
  <c r="BG101" i="3"/>
  <c r="BG120" i="29" s="1"/>
  <c r="BG185" i="3" l="1"/>
  <c r="BG82" i="3" s="1"/>
  <c r="BG84" i="24"/>
  <c r="BH162" i="24" s="1"/>
  <c r="BH163" i="24" s="1"/>
  <c r="BG186" i="24"/>
  <c r="BG85" i="24" s="1"/>
  <c r="BG79" i="24" s="1"/>
  <c r="BF167" i="24" l="1"/>
  <c r="BG169" i="24"/>
  <c r="BH164" i="24"/>
  <c r="BH165" i="24" s="1"/>
  <c r="BH127" i="24" s="1"/>
  <c r="BG171" i="24"/>
  <c r="BG101" i="29"/>
  <c r="BG84" i="3"/>
  <c r="BG186" i="3"/>
  <c r="BG85" i="3" s="1"/>
  <c r="BG104" i="29" s="1"/>
  <c r="BG79" i="3" l="1"/>
  <c r="BG169" i="3" s="1"/>
  <c r="BG98" i="29"/>
  <c r="BH181" i="24"/>
  <c r="BH95" i="24" s="1"/>
  <c r="BG103" i="29"/>
  <c r="BH181" i="29" s="1"/>
  <c r="BH182" i="29" s="1"/>
  <c r="BH162" i="3"/>
  <c r="BH163" i="3" s="1"/>
  <c r="BH111" i="24"/>
  <c r="BH178" i="24" s="1"/>
  <c r="BJ132" i="12"/>
  <c r="AX146" i="29"/>
  <c r="AX130" i="29" s="1"/>
  <c r="AX197" i="29" s="1"/>
  <c r="AX198" i="29" s="1"/>
  <c r="AX199" i="29" s="1"/>
  <c r="AX201" i="29" s="1"/>
  <c r="AX202" i="29" s="1"/>
  <c r="AX203" i="29" s="1"/>
  <c r="AX204" i="29" s="1"/>
  <c r="AX205" i="29" s="1"/>
  <c r="BF167" i="3" l="1"/>
  <c r="BF186" i="29" s="1"/>
  <c r="BF188" i="29" s="1"/>
  <c r="BH164" i="3"/>
  <c r="BH165" i="3" s="1"/>
  <c r="BH127" i="3" s="1"/>
  <c r="BH183" i="29"/>
  <c r="BH184" i="29" s="1"/>
  <c r="BH181" i="3"/>
  <c r="BH95" i="3" s="1"/>
  <c r="BH114" i="29" s="1"/>
  <c r="BH88" i="24"/>
  <c r="BH179" i="24" s="1"/>
  <c r="BF171" i="3" l="1"/>
  <c r="BF190" i="29" s="1"/>
  <c r="BG197" i="29"/>
  <c r="BG198" i="29" s="1"/>
  <c r="BG199" i="29" s="1"/>
  <c r="BG201" i="29" s="1"/>
  <c r="BG202" i="29" s="1"/>
  <c r="BG203" i="29" s="1"/>
  <c r="BG204" i="29" s="1"/>
  <c r="BG205" i="29" s="1"/>
  <c r="BG200" i="29"/>
  <c r="BJ129" i="12"/>
  <c r="BJ128" i="12" s="1"/>
  <c r="BJ45" i="12" s="1"/>
  <c r="BH111" i="3"/>
  <c r="BH178" i="3" s="1"/>
  <c r="BH146" i="29"/>
  <c r="BH130" i="29" s="1"/>
  <c r="BH90" i="24"/>
  <c r="BH91" i="24" s="1"/>
  <c r="BH92" i="24" s="1"/>
  <c r="BH88" i="3" l="1"/>
  <c r="BH179" i="3" s="1"/>
  <c r="BH180" i="24"/>
  <c r="BH93" i="24" l="1"/>
  <c r="BH182" i="24" s="1"/>
  <c r="BH107" i="29"/>
  <c r="BH90" i="3"/>
  <c r="BH109" i="29" s="1"/>
  <c r="BH91" i="3" l="1"/>
  <c r="BH96" i="24"/>
  <c r="BH183" i="24" s="1"/>
  <c r="BH190" i="24" l="1"/>
  <c r="BH109" i="24"/>
  <c r="BH110" i="29"/>
  <c r="BH92" i="3"/>
  <c r="BH111" i="29" s="1"/>
  <c r="BH180" i="3"/>
  <c r="BH93" i="3" l="1"/>
  <c r="BH112" i="29" s="1"/>
  <c r="BH193" i="24"/>
  <c r="BH192" i="24" s="1"/>
  <c r="BH191" i="24"/>
  <c r="BH182" i="3" l="1"/>
  <c r="BH96" i="3" s="1"/>
  <c r="BH183" i="3" s="1"/>
  <c r="BH115" i="29" l="1"/>
  <c r="BH190" i="3"/>
  <c r="BH109" i="3"/>
  <c r="BH191" i="3" l="1"/>
  <c r="BH193" i="3"/>
  <c r="BH192" i="3" s="1"/>
  <c r="BH209" i="29"/>
  <c r="BH128" i="29"/>
  <c r="BH217" i="29" l="1"/>
  <c r="BH212" i="29"/>
  <c r="BH211" i="29" s="1"/>
  <c r="BH210" i="29"/>
  <c r="BH198" i="3" l="1"/>
  <c r="BH98" i="3" s="1"/>
  <c r="BH198" i="24"/>
  <c r="BH98" i="24" s="1"/>
  <c r="BH99" i="24" s="1"/>
  <c r="BH100" i="24" l="1"/>
  <c r="BH184" i="24"/>
  <c r="BH117" i="29"/>
  <c r="BH99" i="3"/>
  <c r="BH118" i="29" l="1"/>
  <c r="BH100" i="3"/>
  <c r="BH184" i="3"/>
  <c r="BH101" i="24"/>
  <c r="BH185" i="24" s="1"/>
  <c r="BH82" i="24" l="1"/>
  <c r="BH186" i="24" s="1"/>
  <c r="BH85" i="24" s="1"/>
  <c r="BH101" i="3"/>
  <c r="BH120" i="29" s="1"/>
  <c r="BH119" i="29"/>
  <c r="BH185" i="3" l="1"/>
  <c r="BH79" i="24"/>
  <c r="BH84" i="24"/>
  <c r="BI162" i="24" s="1"/>
  <c r="BI163" i="24" s="1"/>
  <c r="BG167" i="24" l="1"/>
  <c r="BH169" i="24"/>
  <c r="BH171" i="24"/>
  <c r="BH82" i="3"/>
  <c r="BI164" i="24"/>
  <c r="BI165" i="24" s="1"/>
  <c r="BI127" i="24" s="1"/>
  <c r="BI111" i="24" l="1"/>
  <c r="BI178" i="24" s="1"/>
  <c r="BK132" i="12"/>
  <c r="AY146" i="29"/>
  <c r="AY130" i="29" s="1"/>
  <c r="AY197" i="29" s="1"/>
  <c r="AY198" i="29" s="1"/>
  <c r="AY199" i="29" s="1"/>
  <c r="AY201" i="29" s="1"/>
  <c r="AY202" i="29" s="1"/>
  <c r="AY203" i="29" s="1"/>
  <c r="AY204" i="29" s="1"/>
  <c r="AY205" i="29" s="1"/>
  <c r="BH101" i="29"/>
  <c r="BH84" i="3"/>
  <c r="BH186" i="3"/>
  <c r="BH85" i="3" s="1"/>
  <c r="BH104" i="29" s="1"/>
  <c r="BI181" i="24"/>
  <c r="BI95" i="24" s="1"/>
  <c r="BH103" i="29" l="1"/>
  <c r="BI181" i="29" s="1"/>
  <c r="BI182" i="29" s="1"/>
  <c r="BI162" i="3"/>
  <c r="BI163" i="3" s="1"/>
  <c r="BH79" i="3"/>
  <c r="BI88" i="24"/>
  <c r="BI179" i="24" s="1"/>
  <c r="BH98" i="29"/>
  <c r="BG167" i="3" l="1"/>
  <c r="BH169" i="3"/>
  <c r="BI164" i="3"/>
  <c r="BI165" i="3" s="1"/>
  <c r="BI127" i="3" s="1"/>
  <c r="BI90" i="24"/>
  <c r="BI91" i="24" s="1"/>
  <c r="BI183" i="29"/>
  <c r="BI184" i="29" s="1"/>
  <c r="BI92" i="24" l="1"/>
  <c r="BI180" i="24"/>
  <c r="BK129" i="12"/>
  <c r="BK128" i="12" s="1"/>
  <c r="BK45" i="12" s="1"/>
  <c r="BI146" i="29"/>
  <c r="BI130" i="29" s="1"/>
  <c r="BI111" i="3"/>
  <c r="BI178" i="3" s="1"/>
  <c r="BI181" i="3"/>
  <c r="BI95" i="3" s="1"/>
  <c r="BI114" i="29" s="1"/>
  <c r="BG186" i="29"/>
  <c r="BG188" i="29" s="1"/>
  <c r="BG171" i="3"/>
  <c r="BG190" i="29" s="1"/>
  <c r="BI88" i="3" l="1"/>
  <c r="BH200" i="29"/>
  <c r="BH197" i="29"/>
  <c r="BH198" i="29" s="1"/>
  <c r="BH199" i="29" s="1"/>
  <c r="BH201" i="29" s="1"/>
  <c r="BH202" i="29" s="1"/>
  <c r="BH203" i="29" s="1"/>
  <c r="BH204" i="29" s="1"/>
  <c r="BH205" i="29" s="1"/>
  <c r="BI93" i="24"/>
  <c r="BI182" i="24" s="1"/>
  <c r="BI96" i="24" l="1"/>
  <c r="BI183" i="24" s="1"/>
  <c r="BI107" i="29"/>
  <c r="BI90" i="3"/>
  <c r="BI109" i="29" s="1"/>
  <c r="BI179" i="3"/>
  <c r="BI91" i="3" l="1"/>
  <c r="BI180" i="3" s="1"/>
  <c r="BI190" i="24"/>
  <c r="BI109" i="24"/>
  <c r="BI193" i="24" l="1"/>
  <c r="BI192" i="24" s="1"/>
  <c r="BI191" i="24"/>
  <c r="BI110" i="29"/>
  <c r="BI92" i="3"/>
  <c r="BI111" i="29" s="1"/>
  <c r="BI93" i="3" l="1"/>
  <c r="BI112" i="29" s="1"/>
  <c r="BI182" i="3" l="1"/>
  <c r="BI96" i="3" s="1"/>
  <c r="BI183" i="3" l="1"/>
  <c r="BI115" i="29"/>
  <c r="BI190" i="3"/>
  <c r="BI109" i="3"/>
  <c r="BI193" i="3" l="1"/>
  <c r="BI192" i="3" s="1"/>
  <c r="BI191" i="3"/>
  <c r="BI209" i="29"/>
  <c r="BI128" i="29"/>
  <c r="BI217" i="29" l="1"/>
  <c r="BI212" i="29"/>
  <c r="BI211" i="29" s="1"/>
  <c r="BI210" i="29"/>
  <c r="BI198" i="24" l="1"/>
  <c r="BI98" i="24" s="1"/>
  <c r="BI99" i="24" s="1"/>
  <c r="BI198" i="3"/>
  <c r="BI98" i="3" s="1"/>
  <c r="BI117" i="29" l="1"/>
  <c r="BI99" i="3"/>
  <c r="BI100" i="24"/>
  <c r="BI184" i="24"/>
  <c r="BI101" i="24" l="1"/>
  <c r="BI185" i="24" s="1"/>
  <c r="BI118" i="29"/>
  <c r="BI100" i="3"/>
  <c r="BI184" i="3"/>
  <c r="BI101" i="3" l="1"/>
  <c r="BI120" i="29" s="1"/>
  <c r="BI119" i="29"/>
  <c r="BI82" i="24"/>
  <c r="BI185" i="3" l="1"/>
  <c r="BI82" i="3" s="1"/>
  <c r="BI84" i="24"/>
  <c r="BJ162" i="24" s="1"/>
  <c r="BJ163" i="24" s="1"/>
  <c r="BI186" i="24"/>
  <c r="BI85" i="24" s="1"/>
  <c r="BI79" i="24" s="1"/>
  <c r="BH167" i="24" l="1"/>
  <c r="BI169" i="24"/>
  <c r="BI101" i="29"/>
  <c r="BI84" i="3"/>
  <c r="BI186" i="3"/>
  <c r="BI85" i="3" s="1"/>
  <c r="BI104" i="29" s="1"/>
  <c r="BJ164" i="24"/>
  <c r="BJ165" i="24" s="1"/>
  <c r="BJ127" i="24" s="1"/>
  <c r="BI171" i="24"/>
  <c r="BI103" i="29" l="1"/>
  <c r="BJ181" i="29" s="1"/>
  <c r="BJ182" i="29" s="1"/>
  <c r="BJ162" i="3"/>
  <c r="BJ163" i="3" s="1"/>
  <c r="BI79" i="3"/>
  <c r="BI98" i="29"/>
  <c r="BJ181" i="24"/>
  <c r="BJ95" i="24" s="1"/>
  <c r="BL132" i="12"/>
  <c r="BJ111" i="24"/>
  <c r="BJ178" i="24" s="1"/>
  <c r="AZ146" i="29"/>
  <c r="AZ130" i="29" s="1"/>
  <c r="AZ197" i="29" s="1"/>
  <c r="AZ198" i="29" s="1"/>
  <c r="AZ199" i="29" s="1"/>
  <c r="AZ201" i="29" s="1"/>
  <c r="AZ202" i="29" s="1"/>
  <c r="AZ203" i="29" s="1"/>
  <c r="AZ204" i="29" s="1"/>
  <c r="AZ205" i="29" s="1"/>
  <c r="BJ88" i="24" l="1"/>
  <c r="BJ179" i="24" s="1"/>
  <c r="BH167" i="3"/>
  <c r="BI169" i="3"/>
  <c r="BJ164" i="3"/>
  <c r="BJ165" i="3" s="1"/>
  <c r="BJ127" i="3" s="1"/>
  <c r="BJ183" i="29"/>
  <c r="BJ184" i="29" s="1"/>
  <c r="BL129" i="12" l="1"/>
  <c r="BL128" i="12" s="1"/>
  <c r="BL45" i="12" s="1"/>
  <c r="BJ111" i="3"/>
  <c r="BJ178" i="3" s="1"/>
  <c r="BJ146" i="29"/>
  <c r="BJ130" i="29" s="1"/>
  <c r="BJ181" i="3"/>
  <c r="BJ95" i="3" s="1"/>
  <c r="BJ114" i="29" s="1"/>
  <c r="BH186" i="29"/>
  <c r="BH188" i="29" s="1"/>
  <c r="BH171" i="3"/>
  <c r="BH190" i="29" s="1"/>
  <c r="BJ90" i="24"/>
  <c r="BJ91" i="24" s="1"/>
  <c r="BJ92" i="24" l="1"/>
  <c r="BJ180" i="24"/>
  <c r="BI197" i="29"/>
  <c r="BI198" i="29" s="1"/>
  <c r="BI199" i="29" s="1"/>
  <c r="BI201" i="29" s="1"/>
  <c r="BI202" i="29" s="1"/>
  <c r="BI203" i="29" s="1"/>
  <c r="BI204" i="29" s="1"/>
  <c r="BI205" i="29" s="1"/>
  <c r="BI200" i="29"/>
  <c r="BJ88" i="3"/>
  <c r="BJ179" i="3" s="1"/>
  <c r="BJ107" i="29" l="1"/>
  <c r="BJ90" i="3"/>
  <c r="BJ109" i="29" s="1"/>
  <c r="BJ93" i="24"/>
  <c r="BJ182" i="24" s="1"/>
  <c r="BJ96" i="24" l="1"/>
  <c r="BJ183" i="24" s="1"/>
  <c r="BJ91" i="3"/>
  <c r="BJ110" i="29" l="1"/>
  <c r="BJ92" i="3"/>
  <c r="BJ111" i="29" s="1"/>
  <c r="BJ180" i="3"/>
  <c r="BJ190" i="24"/>
  <c r="BJ109" i="24"/>
  <c r="BJ193" i="24" l="1"/>
  <c r="BJ192" i="24" s="1"/>
  <c r="BJ191" i="24"/>
  <c r="BJ93" i="3"/>
  <c r="BJ112" i="29" s="1"/>
  <c r="BJ182" i="3" l="1"/>
  <c r="BJ96" i="3" s="1"/>
  <c r="BJ183" i="3" s="1"/>
  <c r="BJ115" i="29" l="1"/>
  <c r="BJ190" i="3"/>
  <c r="BJ109" i="3"/>
  <c r="BJ193" i="3" l="1"/>
  <c r="BJ192" i="3" s="1"/>
  <c r="BJ191" i="3"/>
  <c r="BJ209" i="29"/>
  <c r="BJ128" i="29"/>
  <c r="BJ217" i="29" l="1"/>
  <c r="BJ212" i="29"/>
  <c r="BJ211" i="29" s="1"/>
  <c r="BJ210" i="29"/>
  <c r="BJ198" i="24" l="1"/>
  <c r="BJ98" i="24" s="1"/>
  <c r="BJ99" i="24" s="1"/>
  <c r="BJ198" i="3"/>
  <c r="BJ98" i="3" s="1"/>
  <c r="BJ117" i="29" l="1"/>
  <c r="BJ99" i="3"/>
  <c r="BJ100" i="24"/>
  <c r="BJ184" i="24"/>
  <c r="BJ118" i="29" l="1"/>
  <c r="BJ100" i="3"/>
  <c r="BJ184" i="3"/>
  <c r="BJ101" i="24"/>
  <c r="BJ185" i="24" s="1"/>
  <c r="BJ82" i="24" l="1"/>
  <c r="BJ101" i="3"/>
  <c r="BJ120" i="29" s="1"/>
  <c r="BJ119" i="29"/>
  <c r="BJ185" i="3" l="1"/>
  <c r="BJ82" i="3" s="1"/>
  <c r="BJ84" i="24"/>
  <c r="BK162" i="24" s="1"/>
  <c r="BK163" i="24" s="1"/>
  <c r="BJ186" i="24"/>
  <c r="BJ85" i="24" s="1"/>
  <c r="BJ79" i="24" s="1"/>
  <c r="BK164" i="24" l="1"/>
  <c r="BK165" i="24" s="1"/>
  <c r="BK127" i="24" s="1"/>
  <c r="BJ101" i="29"/>
  <c r="BJ84" i="3"/>
  <c r="BI167" i="24"/>
  <c r="BJ169" i="24"/>
  <c r="BJ171" i="24"/>
  <c r="BJ186" i="3"/>
  <c r="BJ85" i="3" s="1"/>
  <c r="BJ104" i="29" s="1"/>
  <c r="BJ79" i="3" l="1"/>
  <c r="BI167" i="3" s="1"/>
  <c r="BK181" i="24"/>
  <c r="BK95" i="24" s="1"/>
  <c r="BJ103" i="29"/>
  <c r="BK181" i="29" s="1"/>
  <c r="BK182" i="29" s="1"/>
  <c r="BK162" i="3"/>
  <c r="BK163" i="3" s="1"/>
  <c r="BJ98" i="29"/>
  <c r="BM132" i="12"/>
  <c r="BK111" i="24"/>
  <c r="BK178" i="24" s="1"/>
  <c r="BA146" i="29"/>
  <c r="BA130" i="29" s="1"/>
  <c r="BA197" i="29" s="1"/>
  <c r="BA198" i="29" s="1"/>
  <c r="BA199" i="29" s="1"/>
  <c r="BA201" i="29" s="1"/>
  <c r="BA202" i="29" s="1"/>
  <c r="BA203" i="29" s="1"/>
  <c r="BA204" i="29" s="1"/>
  <c r="BA205" i="29" s="1"/>
  <c r="BJ169" i="3" l="1"/>
  <c r="BK181" i="3" s="1"/>
  <c r="BK95" i="3" s="1"/>
  <c r="BK114" i="29" s="1"/>
  <c r="BK88" i="24"/>
  <c r="BK179" i="24" s="1"/>
  <c r="BI186" i="29"/>
  <c r="BI188" i="29" s="1"/>
  <c r="BI171" i="3"/>
  <c r="BI190" i="29" s="1"/>
  <c r="BK164" i="3"/>
  <c r="BK165" i="3" s="1"/>
  <c r="BK127" i="3" s="1"/>
  <c r="BK183" i="29"/>
  <c r="BK184" i="29" s="1"/>
  <c r="BM129" i="12" l="1"/>
  <c r="BM128" i="12" s="1"/>
  <c r="BM45" i="12" s="1"/>
  <c r="BK111" i="3"/>
  <c r="BK178" i="3" s="1"/>
  <c r="BK146" i="29"/>
  <c r="BK130" i="29" s="1"/>
  <c r="BJ200" i="29"/>
  <c r="BJ197" i="29"/>
  <c r="BJ198" i="29" s="1"/>
  <c r="BJ199" i="29" s="1"/>
  <c r="BJ201" i="29" s="1"/>
  <c r="BJ202" i="29" s="1"/>
  <c r="BJ203" i="29" s="1"/>
  <c r="BJ204" i="29" s="1"/>
  <c r="BJ205" i="29" s="1"/>
  <c r="BK90" i="24"/>
  <c r="BK91" i="24" s="1"/>
  <c r="BK92" i="24" l="1"/>
  <c r="BK180" i="24"/>
  <c r="BK88" i="3"/>
  <c r="BK179" i="3" s="1"/>
  <c r="BK93" i="24" l="1"/>
  <c r="BK182" i="24" s="1"/>
  <c r="BK96" i="24" s="1"/>
  <c r="BK183" i="24" s="1"/>
  <c r="BK107" i="29"/>
  <c r="BK90" i="3"/>
  <c r="BK109" i="29" s="1"/>
  <c r="BK91" i="3" l="1"/>
  <c r="BK110" i="29" s="1"/>
  <c r="BK190" i="24"/>
  <c r="BK109" i="24"/>
  <c r="BK180" i="3" l="1"/>
  <c r="BK92" i="3"/>
  <c r="BK111" i="29" s="1"/>
  <c r="BK191" i="24"/>
  <c r="BK193" i="24"/>
  <c r="BK192" i="24" s="1"/>
  <c r="BK93" i="3" l="1"/>
  <c r="BK112" i="29" s="1"/>
  <c r="BK182" i="3" l="1"/>
  <c r="BK96" i="3" s="1"/>
  <c r="BK183" i="3" s="1"/>
  <c r="BK109" i="3" l="1"/>
  <c r="BK190" i="3"/>
  <c r="BK193" i="3" s="1"/>
  <c r="BK192" i="3" s="1"/>
  <c r="BK115" i="29"/>
  <c r="BK209" i="29" s="1"/>
  <c r="BK191" i="3" l="1"/>
  <c r="BK128" i="29"/>
  <c r="BK217" i="29"/>
  <c r="BK212" i="29"/>
  <c r="BK211" i="29" s="1"/>
  <c r="BK210" i="29"/>
  <c r="BK198" i="3" l="1"/>
  <c r="BK98" i="3" s="1"/>
  <c r="BK198" i="24"/>
  <c r="BK98" i="24" s="1"/>
  <c r="BK99" i="24" s="1"/>
  <c r="BK100" i="24" l="1"/>
  <c r="BK184" i="24"/>
  <c r="BK117" i="29"/>
  <c r="BK99" i="3"/>
  <c r="BK118" i="29" l="1"/>
  <c r="BK100" i="3"/>
  <c r="BK184" i="3"/>
  <c r="BK101" i="24"/>
  <c r="BK185" i="24" s="1"/>
  <c r="BK82" i="24" l="1"/>
  <c r="BK186" i="24" s="1"/>
  <c r="BK85" i="24" s="1"/>
  <c r="BK101" i="3"/>
  <c r="BK120" i="29" s="1"/>
  <c r="BK119" i="29"/>
  <c r="BK185" i="3" l="1"/>
  <c r="BK82" i="3" s="1"/>
  <c r="BK79" i="24"/>
  <c r="BK84" i="24"/>
  <c r="BL162" i="24" s="1"/>
  <c r="BL163" i="24" s="1"/>
  <c r="BK101" i="29" l="1"/>
  <c r="BK84" i="3"/>
  <c r="BK186" i="3"/>
  <c r="BK85" i="3" s="1"/>
  <c r="BK104" i="29" s="1"/>
  <c r="BL164" i="24"/>
  <c r="BL165" i="24" s="1"/>
  <c r="BL127" i="24" s="1"/>
  <c r="BJ167" i="24"/>
  <c r="BK169" i="24"/>
  <c r="BK171" i="24"/>
  <c r="BN132" i="12" l="1"/>
  <c r="BL111" i="24"/>
  <c r="BL178" i="24" s="1"/>
  <c r="BB146" i="29"/>
  <c r="BB130" i="29" s="1"/>
  <c r="BB197" i="29" s="1"/>
  <c r="BB198" i="29" s="1"/>
  <c r="BB199" i="29" s="1"/>
  <c r="BB201" i="29" s="1"/>
  <c r="BB202" i="29" s="1"/>
  <c r="BB203" i="29" s="1"/>
  <c r="BB204" i="29" s="1"/>
  <c r="BB205" i="29" s="1"/>
  <c r="BK103" i="29"/>
  <c r="BL181" i="29" s="1"/>
  <c r="BL182" i="29" s="1"/>
  <c r="BL162" i="3"/>
  <c r="BL163" i="3" s="1"/>
  <c r="BK79" i="3"/>
  <c r="BL181" i="24"/>
  <c r="BL95" i="24" s="1"/>
  <c r="BK98" i="29"/>
  <c r="BL88" i="24" l="1"/>
  <c r="BL179" i="24" s="1"/>
  <c r="BL183" i="29"/>
  <c r="BL184" i="29" s="1"/>
  <c r="BL164" i="3"/>
  <c r="BL165" i="3" s="1"/>
  <c r="BL127" i="3" s="1"/>
  <c r="BJ167" i="3"/>
  <c r="BK169" i="3"/>
  <c r="BJ186" i="29" l="1"/>
  <c r="BJ188" i="29" s="1"/>
  <c r="BJ171" i="3"/>
  <c r="BJ190" i="29" s="1"/>
  <c r="BN129" i="12"/>
  <c r="BN128" i="12" s="1"/>
  <c r="BN45" i="12" s="1"/>
  <c r="BL146" i="29"/>
  <c r="BL130" i="29" s="1"/>
  <c r="BL111" i="3"/>
  <c r="BL178" i="3" s="1"/>
  <c r="BL90" i="24"/>
  <c r="BL91" i="24" s="1"/>
  <c r="BL181" i="3"/>
  <c r="BL95" i="3" s="1"/>
  <c r="BL114" i="29" s="1"/>
  <c r="BL92" i="24" l="1"/>
  <c r="BL180" i="24"/>
  <c r="BL88" i="3"/>
  <c r="BL179" i="3" s="1"/>
  <c r="BK197" i="29"/>
  <c r="BK198" i="29" s="1"/>
  <c r="BK199" i="29" s="1"/>
  <c r="BK201" i="29" s="1"/>
  <c r="BK202" i="29" s="1"/>
  <c r="BK203" i="29" s="1"/>
  <c r="BK204" i="29" s="1"/>
  <c r="BK205" i="29" s="1"/>
  <c r="BK200" i="29"/>
  <c r="BL93" i="24" l="1"/>
  <c r="BL182" i="24" s="1"/>
  <c r="BL96" i="24" s="1"/>
  <c r="BL107" i="29"/>
  <c r="BL90" i="3"/>
  <c r="BL109" i="29" s="1"/>
  <c r="BL91" i="3" l="1"/>
  <c r="BL180" i="3" s="1"/>
  <c r="BL190" i="24"/>
  <c r="BL109" i="24"/>
  <c r="BL183" i="24"/>
  <c r="BL92" i="3" l="1"/>
  <c r="BL111" i="29" s="1"/>
  <c r="BL110" i="29"/>
  <c r="BL191" i="24"/>
  <c r="BL193" i="24"/>
  <c r="BL192" i="24" s="1"/>
  <c r="BL93" i="3" l="1"/>
  <c r="BL112" i="29" s="1"/>
  <c r="BL182" i="3" l="1"/>
  <c r="BL96" i="3" s="1"/>
  <c r="BL183" i="3" s="1"/>
  <c r="BL115" i="29" l="1"/>
  <c r="BL190" i="3"/>
  <c r="BL109" i="3"/>
  <c r="BL193" i="3" l="1"/>
  <c r="BL192" i="3" s="1"/>
  <c r="BL191" i="3"/>
  <c r="BL209" i="29"/>
  <c r="BL128" i="29"/>
  <c r="BL217" i="29" l="1"/>
  <c r="BL210" i="29"/>
  <c r="BL212" i="29"/>
  <c r="BL211" i="29" s="1"/>
  <c r="BL198" i="3" l="1"/>
  <c r="BL98" i="3" s="1"/>
  <c r="BL198" i="24"/>
  <c r="BL98" i="24" s="1"/>
  <c r="BL99" i="24" s="1"/>
  <c r="BL100" i="24" l="1"/>
  <c r="BL184" i="24"/>
  <c r="BL117" i="29"/>
  <c r="BL99" i="3"/>
  <c r="BL118" i="29" l="1"/>
  <c r="BL100" i="3"/>
  <c r="BL184" i="3"/>
  <c r="BL101" i="24"/>
  <c r="BL185" i="24" s="1"/>
  <c r="BL82" i="24" l="1"/>
  <c r="BL186" i="24" s="1"/>
  <c r="BL85" i="24" s="1"/>
  <c r="BL101" i="3"/>
  <c r="BL120" i="29" s="1"/>
  <c r="BL119" i="29"/>
  <c r="BL185" i="3" l="1"/>
  <c r="BL82" i="3" s="1"/>
  <c r="BL79" i="24"/>
  <c r="BL171" i="24" s="1"/>
  <c r="BL84" i="24"/>
  <c r="BM162" i="24" s="1"/>
  <c r="BM163" i="24" l="1"/>
  <c r="E162" i="24"/>
  <c r="BK167" i="24"/>
  <c r="BL169" i="24"/>
  <c r="BL101" i="29"/>
  <c r="BL84" i="3"/>
  <c r="BL186" i="3"/>
  <c r="BL85" i="3" s="1"/>
  <c r="BL104" i="29" s="1"/>
  <c r="BL79" i="3" l="1"/>
  <c r="BK167" i="3" s="1"/>
  <c r="BL98" i="29"/>
  <c r="BM181" i="24"/>
  <c r="BM95" i="24" s="1"/>
  <c r="E95" i="24" s="1"/>
  <c r="T110" i="10" s="1"/>
  <c r="T108" i="10" s="1"/>
  <c r="T103" i="10" s="1"/>
  <c r="BL103" i="29"/>
  <c r="BM181" i="29" s="1"/>
  <c r="BM162" i="3"/>
  <c r="BM164" i="24"/>
  <c r="BM165" i="24" s="1"/>
  <c r="BM127" i="24" s="1"/>
  <c r="E163" i="24"/>
  <c r="BL169" i="3" l="1"/>
  <c r="BM181" i="3" s="1"/>
  <c r="BM95" i="3" s="1"/>
  <c r="BM111" i="24"/>
  <c r="BO132" i="12"/>
  <c r="I132" i="12" s="1"/>
  <c r="A132" i="12" s="1"/>
  <c r="E127" i="24"/>
  <c r="BC146" i="29"/>
  <c r="BC130" i="29" s="1"/>
  <c r="BC197" i="29" s="1"/>
  <c r="BC198" i="29" s="1"/>
  <c r="BC199" i="29" s="1"/>
  <c r="BC201" i="29" s="1"/>
  <c r="BC202" i="29" s="1"/>
  <c r="BC203" i="29" s="1"/>
  <c r="BC204" i="29" s="1"/>
  <c r="BC205" i="29" s="1"/>
  <c r="BM182" i="29"/>
  <c r="E181" i="29"/>
  <c r="BM163" i="3"/>
  <c r="E162" i="3"/>
  <c r="BK186" i="29"/>
  <c r="BK188" i="29" s="1"/>
  <c r="BK171" i="3"/>
  <c r="BK190" i="29" s="1"/>
  <c r="BL197" i="29" l="1"/>
  <c r="BL198" i="29" s="1"/>
  <c r="BL199" i="29" s="1"/>
  <c r="BL201" i="29" s="1"/>
  <c r="BL202" i="29" s="1"/>
  <c r="BL203" i="29" s="1"/>
  <c r="BL204" i="29" s="1"/>
  <c r="BL205" i="29" s="1"/>
  <c r="BL200" i="29"/>
  <c r="BM114" i="29"/>
  <c r="E114" i="29" s="1"/>
  <c r="R110" i="10" s="1"/>
  <c r="J110" i="10" s="1"/>
  <c r="E95" i="3"/>
  <c r="S110" i="10" s="1"/>
  <c r="S108" i="10" s="1"/>
  <c r="S103" i="10" s="1"/>
  <c r="BM164" i="3"/>
  <c r="BM165" i="3" s="1"/>
  <c r="BM127" i="3" s="1"/>
  <c r="E163" i="3"/>
  <c r="BM183" i="29"/>
  <c r="BM184" i="29" s="1"/>
  <c r="E182" i="29"/>
  <c r="E111" i="24"/>
  <c r="BM178" i="24"/>
  <c r="BO129" i="12" l="1"/>
  <c r="BM111" i="3"/>
  <c r="BM146" i="29"/>
  <c r="E127" i="3"/>
  <c r="BM88" i="24"/>
  <c r="BM179" i="24" s="1"/>
  <c r="U37" i="23"/>
  <c r="T86" i="10"/>
  <c r="T78" i="10" s="1"/>
  <c r="T99" i="10" s="1"/>
  <c r="T101" i="10" s="1"/>
  <c r="L110" i="10"/>
  <c r="K110" i="10"/>
  <c r="H110" i="10" s="1"/>
  <c r="R108" i="10"/>
  <c r="J108" i="10" s="1"/>
  <c r="BM90" i="24" l="1"/>
  <c r="E90" i="24" s="1"/>
  <c r="E88" i="24"/>
  <c r="T120" i="10" s="1"/>
  <c r="L108" i="10"/>
  <c r="K108" i="10"/>
  <c r="H108" i="10" s="1"/>
  <c r="R103" i="10"/>
  <c r="J103" i="10" s="1"/>
  <c r="BM130" i="29"/>
  <c r="E130" i="29" s="1"/>
  <c r="R86" i="10" s="1"/>
  <c r="J86" i="10" s="1"/>
  <c r="E146" i="29"/>
  <c r="M110" i="10"/>
  <c r="I110" i="10"/>
  <c r="E111" i="3"/>
  <c r="BM178" i="3"/>
  <c r="BO128" i="12"/>
  <c r="BO45" i="12" s="1"/>
  <c r="I129" i="12"/>
  <c r="BM88" i="3" l="1"/>
  <c r="BM179" i="3" s="1"/>
  <c r="I108" i="10"/>
  <c r="M108" i="10"/>
  <c r="S86" i="10"/>
  <c r="S78" i="10" s="1"/>
  <c r="S99" i="10" s="1"/>
  <c r="S101" i="10" s="1"/>
  <c r="U37" i="1"/>
  <c r="BM91" i="24"/>
  <c r="A129" i="12"/>
  <c r="I128" i="12"/>
  <c r="L86" i="10"/>
  <c r="R78" i="10"/>
  <c r="J78" i="10" s="1"/>
  <c r="L103" i="10"/>
  <c r="K103" i="10"/>
  <c r="H103" i="10" s="1"/>
  <c r="K86" i="10" l="1"/>
  <c r="H86" i="10" s="1"/>
  <c r="M103" i="10"/>
  <c r="I103" i="10"/>
  <c r="K78" i="10"/>
  <c r="H78" i="10" s="1"/>
  <c r="L78" i="10"/>
  <c r="R99" i="10"/>
  <c r="J99" i="10" s="1"/>
  <c r="U37" i="21"/>
  <c r="I86" i="10"/>
  <c r="I45" i="12"/>
  <c r="A45" i="12" s="1"/>
  <c r="A128" i="12"/>
  <c r="E91" i="24"/>
  <c r="BM92" i="24"/>
  <c r="E92" i="24" s="1"/>
  <c r="BM180" i="24"/>
  <c r="BM107" i="29"/>
  <c r="BM90" i="3"/>
  <c r="BM91" i="3" s="1"/>
  <c r="E88" i="3"/>
  <c r="S120" i="10" s="1"/>
  <c r="M86" i="10" l="1"/>
  <c r="P35" i="23"/>
  <c r="K99" i="10"/>
  <c r="H99" i="10" s="1"/>
  <c r="L99" i="10"/>
  <c r="R101" i="10"/>
  <c r="J101" i="10" s="1"/>
  <c r="BM110" i="29"/>
  <c r="E110" i="29" s="1"/>
  <c r="BM92" i="3"/>
  <c r="E91" i="3"/>
  <c r="BM93" i="24"/>
  <c r="E93" i="24" s="1"/>
  <c r="T122" i="10" s="1"/>
  <c r="M78" i="10"/>
  <c r="I78" i="10"/>
  <c r="BM109" i="29"/>
  <c r="E109" i="29" s="1"/>
  <c r="E90" i="3"/>
  <c r="E107" i="29"/>
  <c r="R120" i="10" s="1"/>
  <c r="J120" i="10" s="1"/>
  <c r="BM180" i="3"/>
  <c r="BM182" i="24" l="1"/>
  <c r="BM96" i="24" s="1"/>
  <c r="BM183" i="24" s="1"/>
  <c r="BM111" i="29"/>
  <c r="E111" i="29" s="1"/>
  <c r="E92" i="3"/>
  <c r="P35" i="1" s="1"/>
  <c r="P35" i="21" s="1"/>
  <c r="K101" i="10"/>
  <c r="H101" i="10" s="1"/>
  <c r="L101" i="10"/>
  <c r="M99" i="10"/>
  <c r="I99" i="10"/>
  <c r="BM93" i="3"/>
  <c r="BM182" i="3" s="1"/>
  <c r="K120" i="10"/>
  <c r="H120" i="10" s="1"/>
  <c r="L120" i="10"/>
  <c r="M120" i="10" l="1"/>
  <c r="I120" i="10"/>
  <c r="I101" i="10"/>
  <c r="M101" i="10"/>
  <c r="E96" i="24"/>
  <c r="T121" i="10" s="1"/>
  <c r="BM190" i="24"/>
  <c r="BM109" i="24"/>
  <c r="BM96" i="3"/>
  <c r="BM183" i="3" s="1"/>
  <c r="BM112" i="29"/>
  <c r="E112" i="29" s="1"/>
  <c r="R122" i="10" s="1"/>
  <c r="J122" i="10" s="1"/>
  <c r="E93" i="3"/>
  <c r="S122" i="10" s="1"/>
  <c r="L122" i="10" l="1"/>
  <c r="K122" i="10"/>
  <c r="H122" i="10" s="1"/>
  <c r="BM115" i="29"/>
  <c r="BM190" i="3"/>
  <c r="E96" i="3"/>
  <c r="S121" i="10" s="1"/>
  <c r="BM109" i="3"/>
  <c r="BM193" i="24"/>
  <c r="BM192" i="24" s="1"/>
  <c r="BM191" i="24"/>
  <c r="BM193" i="3" l="1"/>
  <c r="BM192" i="3" s="1"/>
  <c r="BM191" i="3"/>
  <c r="E115" i="29"/>
  <c r="R121" i="10" s="1"/>
  <c r="J121" i="10" s="1"/>
  <c r="BM209" i="29"/>
  <c r="BM128" i="29"/>
  <c r="I122" i="10"/>
  <c r="M122" i="10"/>
  <c r="K121" i="10" l="1"/>
  <c r="H121" i="10" s="1"/>
  <c r="L121" i="10"/>
  <c r="BM217" i="29"/>
  <c r="BM210" i="29"/>
  <c r="BM212" i="29"/>
  <c r="BM211" i="29" s="1"/>
  <c r="BM198" i="3" l="1"/>
  <c r="BM98" i="3" s="1"/>
  <c r="BM198" i="24"/>
  <c r="BM98" i="24" s="1"/>
  <c r="M121" i="10"/>
  <c r="I121" i="10"/>
  <c r="E98" i="24" l="1"/>
  <c r="BM99" i="24"/>
  <c r="BM117" i="29"/>
  <c r="E117" i="29" s="1"/>
  <c r="E98" i="3"/>
  <c r="BM99" i="3"/>
  <c r="BM118" i="29" l="1"/>
  <c r="E118" i="29" s="1"/>
  <c r="BM100" i="3"/>
  <c r="E99" i="3"/>
  <c r="BM184" i="3"/>
  <c r="E99" i="24"/>
  <c r="BM100" i="24"/>
  <c r="E100" i="24" s="1"/>
  <c r="P34" i="23" s="1"/>
  <c r="BM184" i="24"/>
  <c r="BM101" i="3" l="1"/>
  <c r="BM185" i="3" s="1"/>
  <c r="P36" i="23"/>
  <c r="BM119" i="29"/>
  <c r="E119" i="29" s="1"/>
  <c r="E100" i="3"/>
  <c r="BM101" i="24"/>
  <c r="E101" i="24" s="1"/>
  <c r="T123" i="10" s="1"/>
  <c r="T119" i="10" s="1"/>
  <c r="T114" i="10" s="1"/>
  <c r="P34" i="1" l="1"/>
  <c r="P34" i="21" s="1"/>
  <c r="P36" i="1"/>
  <c r="P36" i="21" s="1"/>
  <c r="BM82" i="3"/>
  <c r="BM120" i="29"/>
  <c r="E120" i="29" s="1"/>
  <c r="R123" i="10" s="1"/>
  <c r="J123" i="10" s="1"/>
  <c r="E101" i="3"/>
  <c r="S123" i="10" s="1"/>
  <c r="S119" i="10" s="1"/>
  <c r="S114" i="10" s="1"/>
  <c r="BM185" i="24"/>
  <c r="E82" i="3" l="1"/>
  <c r="S133" i="10" s="1"/>
  <c r="BM84" i="3"/>
  <c r="BM186" i="3"/>
  <c r="BM85" i="3" s="1"/>
  <c r="BM82" i="24"/>
  <c r="BM101" i="29" s="1"/>
  <c r="K123" i="10"/>
  <c r="H123" i="10" s="1"/>
  <c r="L123" i="10"/>
  <c r="R119" i="10"/>
  <c r="J119" i="10" s="1"/>
  <c r="K119" i="10" l="1"/>
  <c r="H119" i="10" s="1"/>
  <c r="R114" i="10"/>
  <c r="J114" i="10" s="1"/>
  <c r="L119" i="10"/>
  <c r="E101" i="29"/>
  <c r="R133" i="10" s="1"/>
  <c r="J133" i="10" s="1"/>
  <c r="BM84" i="24"/>
  <c r="E84" i="24" s="1"/>
  <c r="P41" i="23" s="1"/>
  <c r="E82" i="24"/>
  <c r="T133" i="10" s="1"/>
  <c r="BM186" i="24"/>
  <c r="BM85" i="24" s="1"/>
  <c r="E85" i="24" s="1"/>
  <c r="I123" i="10"/>
  <c r="M123" i="10"/>
  <c r="E84" i="3"/>
  <c r="P41" i="1" s="1"/>
  <c r="E85" i="3"/>
  <c r="BM79" i="3"/>
  <c r="P41" i="21" l="1"/>
  <c r="BM103" i="29"/>
  <c r="E103" i="29" s="1"/>
  <c r="K133" i="10"/>
  <c r="H133" i="10" s="1"/>
  <c r="L133" i="10"/>
  <c r="I119" i="10"/>
  <c r="M119" i="10"/>
  <c r="T134" i="10"/>
  <c r="T132" i="10" s="1"/>
  <c r="T129" i="10" s="1"/>
  <c r="T142" i="10" s="1"/>
  <c r="T144" i="10" s="1"/>
  <c r="U36" i="23"/>
  <c r="L114" i="10"/>
  <c r="K114" i="10"/>
  <c r="H114" i="10" s="1"/>
  <c r="E79" i="3"/>
  <c r="BL167" i="3"/>
  <c r="BM167" i="3" s="1"/>
  <c r="BM169" i="3"/>
  <c r="S134" i="10"/>
  <c r="S132" i="10" s="1"/>
  <c r="S129" i="10" s="1"/>
  <c r="S142" i="10" s="1"/>
  <c r="S144" i="10" s="1"/>
  <c r="U36" i="1"/>
  <c r="BM104" i="29"/>
  <c r="BM79" i="24"/>
  <c r="K42" i="23" l="1"/>
  <c r="K41" i="23"/>
  <c r="U38" i="23"/>
  <c r="P42" i="23"/>
  <c r="U43" i="23"/>
  <c r="T150" i="10" s="1"/>
  <c r="E167" i="3"/>
  <c r="BM171" i="3"/>
  <c r="BL171" i="3"/>
  <c r="BL190" i="29" s="1"/>
  <c r="E79" i="24"/>
  <c r="BL167" i="24"/>
  <c r="BL186" i="29" s="1"/>
  <c r="BL188" i="29" s="1"/>
  <c r="BM169" i="24"/>
  <c r="BM171" i="24"/>
  <c r="M133" i="10"/>
  <c r="I133" i="10"/>
  <c r="E104" i="29"/>
  <c r="R134" i="10" s="1"/>
  <c r="J134" i="10" s="1"/>
  <c r="BM98" i="29"/>
  <c r="E98" i="29" s="1"/>
  <c r="P42" i="1"/>
  <c r="U36" i="21"/>
  <c r="U38" i="1"/>
  <c r="K41" i="1"/>
  <c r="K42" i="1"/>
  <c r="U43" i="1"/>
  <c r="I114" i="10"/>
  <c r="M114" i="10"/>
  <c r="S150" i="10" l="1"/>
  <c r="U44" i="23"/>
  <c r="BM167" i="24"/>
  <c r="BM197" i="29"/>
  <c r="BM198" i="29" s="1"/>
  <c r="BM199" i="29" s="1"/>
  <c r="BM201" i="29" s="1"/>
  <c r="BM202" i="29" s="1"/>
  <c r="BM203" i="29" s="1"/>
  <c r="BM204" i="29" s="1"/>
  <c r="BM205" i="29" s="1"/>
  <c r="BM200" i="29"/>
  <c r="BM190" i="29"/>
  <c r="E171" i="3"/>
  <c r="U42" i="1"/>
  <c r="S149" i="10" s="1"/>
  <c r="E171" i="24"/>
  <c r="U42" i="23"/>
  <c r="T149" i="10" s="1"/>
  <c r="U40" i="1"/>
  <c r="S147" i="10" s="1"/>
  <c r="U39" i="1"/>
  <c r="S146" i="10" s="1"/>
  <c r="U52" i="1"/>
  <c r="U38" i="21"/>
  <c r="K42" i="21"/>
  <c r="K41" i="21"/>
  <c r="P42" i="21"/>
  <c r="U43" i="21"/>
  <c r="O42" i="1"/>
  <c r="N42" i="1"/>
  <c r="N42" i="23"/>
  <c r="O42" i="23"/>
  <c r="U39" i="23"/>
  <c r="T146" i="10" s="1"/>
  <c r="U40" i="23"/>
  <c r="T147" i="10" s="1"/>
  <c r="U52" i="23"/>
  <c r="U53" i="23" s="1"/>
  <c r="L134" i="10"/>
  <c r="K134" i="10"/>
  <c r="H134" i="10" s="1"/>
  <c r="R132" i="10"/>
  <c r="J132" i="10" s="1"/>
  <c r="E167" i="24" l="1"/>
  <c r="BM186" i="29"/>
  <c r="O42" i="21"/>
  <c r="N42" i="21"/>
  <c r="P7" i="21"/>
  <c r="B69" i="21"/>
  <c r="A86" i="21"/>
  <c r="AB41" i="33"/>
  <c r="AD41" i="33" s="1"/>
  <c r="U39" i="21"/>
  <c r="R146" i="10" s="1"/>
  <c r="J146" i="10" s="1"/>
  <c r="B108" i="21"/>
  <c r="U40" i="21"/>
  <c r="R147" i="10" s="1"/>
  <c r="J147" i="10" s="1"/>
  <c r="U44" i="21"/>
  <c r="U42" i="21"/>
  <c r="R149" i="10" s="1"/>
  <c r="J149" i="10" s="1"/>
  <c r="E190" i="29"/>
  <c r="L132" i="10"/>
  <c r="K132" i="10"/>
  <c r="H132" i="10" s="1"/>
  <c r="R129" i="10"/>
  <c r="J129" i="10" s="1"/>
  <c r="U53" i="1"/>
  <c r="U52" i="21"/>
  <c r="I134" i="10"/>
  <c r="M134" i="10"/>
  <c r="AB43" i="33"/>
  <c r="AD43" i="33" s="1"/>
  <c r="R150" i="10"/>
  <c r="J150" i="10" s="1"/>
  <c r="E186" i="29" l="1"/>
  <c r="BM188" i="29"/>
  <c r="L129" i="10"/>
  <c r="K129" i="10"/>
  <c r="H129" i="10" s="1"/>
  <c r="R142" i="10"/>
  <c r="J142" i="10" s="1"/>
  <c r="K146" i="10"/>
  <c r="L146" i="10"/>
  <c r="K150" i="10"/>
  <c r="L150" i="10"/>
  <c r="M132" i="10"/>
  <c r="I132" i="10"/>
  <c r="L149" i="10"/>
  <c r="K149" i="10"/>
  <c r="AB42" i="33"/>
  <c r="AD42" i="33" s="1"/>
  <c r="A97" i="21"/>
  <c r="T52" i="21"/>
  <c r="U53" i="21"/>
  <c r="L147" i="10"/>
  <c r="K147" i="10"/>
  <c r="M150" i="10" l="1"/>
  <c r="M146" i="10"/>
  <c r="M147" i="10"/>
  <c r="L142" i="10"/>
  <c r="K142" i="10"/>
  <c r="H142" i="10" s="1"/>
  <c r="R144" i="10"/>
  <c r="J144" i="10" s="1"/>
  <c r="M149" i="10"/>
  <c r="M129" i="10"/>
  <c r="I129" i="10"/>
  <c r="L144" i="10" l="1"/>
  <c r="K144" i="10"/>
  <c r="H144" i="10" s="1"/>
  <c r="M142" i="10"/>
  <c r="I142" i="10"/>
  <c r="I144" i="10" l="1"/>
  <c r="M14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Клещеева Ольга Александровна</author>
  </authors>
  <commentList>
    <comment ref="E51" authorId="0" shapeId="0" xr:uid="{F2AD98A0-B42E-AB41-8D4E-A08B027E1C1F}">
      <text>
        <r>
          <rPr>
            <b/>
            <sz val="9"/>
            <color indexed="81"/>
            <rFont val="Tahoma"/>
            <family val="2"/>
            <charset val="204"/>
          </rPr>
          <t>Клещеева Ольга Александровна:</t>
        </r>
        <r>
          <rPr>
            <sz val="9"/>
            <color indexed="81"/>
            <rFont val="Tahoma"/>
            <family val="2"/>
            <charset val="204"/>
          </rPr>
          <t xml:space="preserve">
08.2026</t>
        </r>
      </text>
    </comment>
    <comment ref="I51" authorId="0" shapeId="0" xr:uid="{C7DAF71C-0491-054B-B2AF-3C95AEF41549}">
      <text>
        <r>
          <rPr>
            <b/>
            <sz val="9"/>
            <color indexed="81"/>
            <rFont val="Tahoma"/>
            <family val="2"/>
            <charset val="204"/>
          </rPr>
          <t>Клещеева Ольга Александровна:</t>
        </r>
        <r>
          <rPr>
            <sz val="9"/>
            <color indexed="81"/>
            <rFont val="Tahoma"/>
            <family val="2"/>
            <charset val="204"/>
          </rPr>
          <t xml:space="preserve">
08.2027</t>
        </r>
      </text>
    </comment>
  </commentList>
</comments>
</file>

<file path=xl/sharedStrings.xml><?xml version="1.0" encoding="utf-8"?>
<sst xmlns="http://schemas.openxmlformats.org/spreadsheetml/2006/main" count="5259" uniqueCount="1701">
  <si>
    <t>ГНС</t>
  </si>
  <si>
    <t>ВСЕГО</t>
  </si>
  <si>
    <t>ТЭПы</t>
  </si>
  <si>
    <t>LF, %</t>
  </si>
  <si>
    <t>начало</t>
  </si>
  <si>
    <t>Стандартный график реализации проекта</t>
  </si>
  <si>
    <t>АХР</t>
  </si>
  <si>
    <t>Продажи</t>
  </si>
  <si>
    <t>CF проекта</t>
  </si>
  <si>
    <t>млн.руб.</t>
  </si>
  <si>
    <t>ВРИ</t>
  </si>
  <si>
    <t>% от расходов</t>
  </si>
  <si>
    <t>% от выручки</t>
  </si>
  <si>
    <t>ИНВЕСТИЦИИ</t>
  </si>
  <si>
    <t>руб./S общ.</t>
  </si>
  <si>
    <t>руб./S пол.</t>
  </si>
  <si>
    <t>м2 S общ.</t>
  </si>
  <si>
    <t>м2 Sпол.</t>
  </si>
  <si>
    <t>м2 Sобщ.</t>
  </si>
  <si>
    <t>млн. руб.</t>
  </si>
  <si>
    <t>ЗУ</t>
  </si>
  <si>
    <t>НДС</t>
  </si>
  <si>
    <t>м2</t>
  </si>
  <si>
    <t>шт.</t>
  </si>
  <si>
    <t>руб.</t>
  </si>
  <si>
    <t>БРОКЕРИДЖ</t>
  </si>
  <si>
    <t>РЕКЛАМА И МАРКЕТИНГ</t>
  </si>
  <si>
    <t>КОНТРАКТАЦИЯ</t>
  </si>
  <si>
    <t>ЦЕНЫ</t>
  </si>
  <si>
    <t>ПОСТУПЛЕНИЯ</t>
  </si>
  <si>
    <t>РАСХОДЫ</t>
  </si>
  <si>
    <t>ВХОД</t>
  </si>
  <si>
    <t>СОГЛАСОВАНИЯ</t>
  </si>
  <si>
    <t>СЕТИ</t>
  </si>
  <si>
    <t>УПРАВЛЕНИЕ ПРОЕКТОМ</t>
  </si>
  <si>
    <t>НЕПРЕДВИДЕННЫЕ РАСХОДЫ</t>
  </si>
  <si>
    <t>ОТДЕЛКА</t>
  </si>
  <si>
    <t>млн. р. в кв.</t>
  </si>
  <si>
    <t>РАССРОЧКА ВРИ</t>
  </si>
  <si>
    <t>АРЕНДА ЗУ/НАЛОГ ЗУ</t>
  </si>
  <si>
    <t>УПРАВЛЕНИЕ ПРОДАЖАМИ</t>
  </si>
  <si>
    <t>График проекта</t>
  </si>
  <si>
    <t>Начало проекта</t>
  </si>
  <si>
    <t>Периоды</t>
  </si>
  <si>
    <t>График продаж</t>
  </si>
  <si>
    <t>МОНИТОРИНГИ</t>
  </si>
  <si>
    <t>НАЗЕМНАЯ ЧАСТЬ</t>
  </si>
  <si>
    <t>ПОДЗЕМНАЯ ЧАСТЬ</t>
  </si>
  <si>
    <t>КВАРТИРЫ</t>
  </si>
  <si>
    <t>ВЛОЖЕНИЯ В СТРОИТЕЛЬСТВО</t>
  </si>
  <si>
    <t>ЗЕМЕЛЬНО-ПРАВОВЫЕ ВОПРОСЫ</t>
  </si>
  <si>
    <t>конец</t>
  </si>
  <si>
    <t>всего</t>
  </si>
  <si>
    <t>ДОХОДЫ</t>
  </si>
  <si>
    <t>СРОКИ</t>
  </si>
  <si>
    <t>ПОТОК ПРОЕКТА</t>
  </si>
  <si>
    <t>ФИНАНСИРОВАНИЕ</t>
  </si>
  <si>
    <t>ПОСТУПЛЕНИЕ</t>
  </si>
  <si>
    <t>ПОГАШЕНИЕ</t>
  </si>
  <si>
    <t>НАЧИСЛЕНИЕ</t>
  </si>
  <si>
    <t>НАЛОГИ</t>
  </si>
  <si>
    <t>НАЛОГ НА ПРИБЫЛЬ</t>
  </si>
  <si>
    <t>Сумма средств на эскроу счетах, Э</t>
  </si>
  <si>
    <t>Ссудная задолженность, СЗ</t>
  </si>
  <si>
    <t xml:space="preserve">Покрытие задолженности </t>
  </si>
  <si>
    <t>Сумма под специальную ставку</t>
  </si>
  <si>
    <t>Сумма под базовую ставку</t>
  </si>
  <si>
    <t>Ставка кредита</t>
  </si>
  <si>
    <t>ОСТАТОК (НАКОПЛЕННЫМ ИТОГОМ)</t>
  </si>
  <si>
    <t>КРЕДИТЫ ДО РНС(+/-)</t>
  </si>
  <si>
    <t>ВВОД</t>
  </si>
  <si>
    <t>ДО ВВОДА</t>
  </si>
  <si>
    <t>СТАВКА ПО ПРОЕКТНОМУ КРЕДИТУ</t>
  </si>
  <si>
    <t>УПЛАТА</t>
  </si>
  <si>
    <t>ТЕХ. СТРОКИ</t>
  </si>
  <si>
    <t>АФ</t>
  </si>
  <si>
    <t>ПРОЦЕНТЫ КАП. ДО РНС (+/-)</t>
  </si>
  <si>
    <t>ПРОЦЕНТЫ ДО РНС (+/-)</t>
  </si>
  <si>
    <t>ПОТОКИ</t>
  </si>
  <si>
    <t>КРЕДИТЫ ПРОЕКТНЫЙ (+)</t>
  </si>
  <si>
    <t>КРЕДИТЫ ПРОЕКТНЫЙ (-)</t>
  </si>
  <si>
    <t>ПРОЦЕНТЫ ПРОЕКТ. (+/-)</t>
  </si>
  <si>
    <t>ПРОЦЕНТЫ КАП. ПРОЕКТ. (+/-)</t>
  </si>
  <si>
    <t>ПРОЦЕНТЫ АФ</t>
  </si>
  <si>
    <t>ПРОЦЕНТЫ</t>
  </si>
  <si>
    <t>SF</t>
  </si>
  <si>
    <t>ВОЗМЕЩЕНИЕ</t>
  </si>
  <si>
    <t>СМЕНА ВРИ</t>
  </si>
  <si>
    <t>АРЕНДА</t>
  </si>
  <si>
    <t>ВКЛЮЧАТЬ НДС В С/С (1-ДА, 0-НЕТ)</t>
  </si>
  <si>
    <t>БАЗА</t>
  </si>
  <si>
    <t>СТАВКА</t>
  </si>
  <si>
    <t>ПРОДАЖИ, м2</t>
  </si>
  <si>
    <t>С/С</t>
  </si>
  <si>
    <t>НАЧИСЛЕНИЕ КАП.</t>
  </si>
  <si>
    <t>УПЛАТА КАП.</t>
  </si>
  <si>
    <t>ВЫРУЧКА ДДУ</t>
  </si>
  <si>
    <t>ВЫРУЧКА ДКП</t>
  </si>
  <si>
    <t>ПРИБЫЛЬ/УБЫТОК ПЕРИОДА</t>
  </si>
  <si>
    <t>ПРИЗНАНИЕ ДДУ, м2</t>
  </si>
  <si>
    <t>ПРИЗНАНИЕ ДКП, м2</t>
  </si>
  <si>
    <t>ПРИБЫЛЬ/УБЫТОК НАК.</t>
  </si>
  <si>
    <t>ОКРУЖЕНИЕ</t>
  </si>
  <si>
    <t>ПРИБЫЛЬ</t>
  </si>
  <si>
    <t>ПОТОК ИНВЕСТОРА</t>
  </si>
  <si>
    <t xml:space="preserve">стены = </t>
  </si>
  <si>
    <t>КРЕДИТ</t>
  </si>
  <si>
    <t>РНВ</t>
  </si>
  <si>
    <t>СТАВКА ЗАЙМА</t>
  </si>
  <si>
    <t>СМР</t>
  </si>
  <si>
    <t>ПРИВЛЕЧЕНИЕ КРЕДИТА</t>
  </si>
  <si>
    <t>СТАТЬЯ</t>
  </si>
  <si>
    <t>ОКОНЧАНИЕ ПРОДАЖ</t>
  </si>
  <si>
    <t>АПАРТАМЕНТЫ</t>
  </si>
  <si>
    <t>ОФИСЫ</t>
  </si>
  <si>
    <t>ТЦ</t>
  </si>
  <si>
    <t>РИТЕЙЛ</t>
  </si>
  <si>
    <t>ПОЛЕЗНАЯ ПЛОЩАДЬ</t>
  </si>
  <si>
    <t>КОЛ-ВО</t>
  </si>
  <si>
    <t>ОБЩАЯ ПЛОЩАДЬ</t>
  </si>
  <si>
    <t>ДОХОД,
млн. руб.</t>
  </si>
  <si>
    <t>ОБЪЕМ ПРОДАЖ, в кв.</t>
  </si>
  <si>
    <t>% пост.</t>
  </si>
  <si>
    <t>дисконт</t>
  </si>
  <si>
    <t>старт</t>
  </si>
  <si>
    <t>ШКОЛА</t>
  </si>
  <si>
    <t>ДОУ</t>
  </si>
  <si>
    <t>мест</t>
  </si>
  <si>
    <t>ПАРКИНГ ЖИЛЬЕ</t>
  </si>
  <si>
    <t>ПАРКИНГ ОФИС</t>
  </si>
  <si>
    <t>FINDERS FEE</t>
  </si>
  <si>
    <t>% от входа</t>
  </si>
  <si>
    <t>ПАРКИНГ ОФИСЫ</t>
  </si>
  <si>
    <t>до РнС</t>
  </si>
  <si>
    <t>РНС</t>
  </si>
  <si>
    <t>без СМР</t>
  </si>
  <si>
    <t>С/С НУ ВСЕГО</t>
  </si>
  <si>
    <t>проверка на 0</t>
  </si>
  <si>
    <t>ВНУТРЕННИЕ ОБОРОТЫ</t>
  </si>
  <si>
    <t>ВЫПЛАТЫ</t>
  </si>
  <si>
    <t>УПРАВЛЕНИЕ ПРОЕКТОМ + FINDERS FEE</t>
  </si>
  <si>
    <t>РЕГИСТРАЦИЯ ДОГОВОРОВ</t>
  </si>
  <si>
    <t>руб./лот</t>
  </si>
  <si>
    <t>S лота</t>
  </si>
  <si>
    <t>ОЧЕРЕДЬ</t>
  </si>
  <si>
    <t>СТАВКА АРЕНДЫ</t>
  </si>
  <si>
    <t>СТАВКА НАЛОГА ЗУ</t>
  </si>
  <si>
    <t>АРЕНДА / НАЛОГ ЗУ</t>
  </si>
  <si>
    <t>АРЕНДА / НАЛОГ ЗУ, млн. руб.</t>
  </si>
  <si>
    <t>Хранения индивидуального транспорта</t>
  </si>
  <si>
    <t>Временного проживания</t>
  </si>
  <si>
    <t>Производственного</t>
  </si>
  <si>
    <t>Социальной инфраструктуры</t>
  </si>
  <si>
    <t>Административного и офисного</t>
  </si>
  <si>
    <t>Объекты многоквартирной жилой застройки</t>
  </si>
  <si>
    <t>Объекты торговли, общественного питания и бытового обслуживания</t>
  </si>
  <si>
    <t>Объекты, предназначенные для размещения административных и офисных зданий</t>
  </si>
  <si>
    <t>РАСЧЕТ</t>
  </si>
  <si>
    <t>ПЛОЩАДЬ ЗУ</t>
  </si>
  <si>
    <t>ЖИЛАЯ</t>
  </si>
  <si>
    <t>ПЛОТНОСТЬ</t>
  </si>
  <si>
    <t>СТАВКА СМЕНЫ ВРИ</t>
  </si>
  <si>
    <t>S пол.</t>
  </si>
  <si>
    <t>S общ.</t>
  </si>
  <si>
    <t>РЕЗУЛЬТАТ</t>
  </si>
  <si>
    <t>КАДАСТРОВЫЙ НОМЕР</t>
  </si>
  <si>
    <t>УДЕЛЬНАЯ ТЕКУЩАЯ КС</t>
  </si>
  <si>
    <t>ЦЕНА
→</t>
  </si>
  <si>
    <t>СРЕДНЯЯ
ЦЕНА</t>
  </si>
  <si>
    <t>СТАВКИ</t>
  </si>
  <si>
    <t>КОМИССИИ</t>
  </si>
  <si>
    <t>КОЭФ</t>
  </si>
  <si>
    <t>ПЛОТНОСТЬ макс.</t>
  </si>
  <si>
    <t>ПЛОТНОСТЬ мин.</t>
  </si>
  <si>
    <t>ПЕРИОД</t>
  </si>
  <si>
    <t>ДАТА</t>
  </si>
  <si>
    <t>ТЕЛО</t>
  </si>
  <si>
    <t>ОСТАТОК</t>
  </si>
  <si>
    <t>%</t>
  </si>
  <si>
    <t>ПЛАТЕЖ</t>
  </si>
  <si>
    <t>ПЛАТЕЖ ДО ВВОДА</t>
  </si>
  <si>
    <t>IRR ИНВЕСТОРА</t>
  </si>
  <si>
    <t>АКЦИОНЕРВНЫЕ ЗАЙМЫ</t>
  </si>
  <si>
    <t>кв.</t>
  </si>
  <si>
    <t>АДРЕС</t>
  </si>
  <si>
    <t>ССУДНАЯ ЗАДОЛЖЕННОСТЬ</t>
  </si>
  <si>
    <t>за Га</t>
  </si>
  <si>
    <t>ДОХОДЫ УПРАВЛЯЮЩЕГО</t>
  </si>
  <si>
    <t>РЕЗЕРВИРОВАНИЕ в банке</t>
  </si>
  <si>
    <t>СТАВКА бридж</t>
  </si>
  <si>
    <t>СТАВКА проектное фин-ие</t>
  </si>
  <si>
    <t>СТАВКА под эскроу</t>
  </si>
  <si>
    <t>ОТДЕЛКА жилье</t>
  </si>
  <si>
    <t>АРЕНДА / НАЛОГ ЗУ после ввода</t>
  </si>
  <si>
    <t>КРЕДИТ проектноефин-ие</t>
  </si>
  <si>
    <t>% КРЕДИТ проектное фин-ие</t>
  </si>
  <si>
    <t>КОМИССИИ по кредиту</t>
  </si>
  <si>
    <t>% по АФ</t>
  </si>
  <si>
    <t>КРЕДИТ бридж</t>
  </si>
  <si>
    <t>% КРЕДИТУ бридж</t>
  </si>
  <si>
    <t>ДО РНС</t>
  </si>
  <si>
    <t>% и КОМИСИИ банка</t>
  </si>
  <si>
    <t>ПЕРИОД ПЛАТЫ</t>
  </si>
  <si>
    <t>КОЭФ, где 1</t>
  </si>
  <si>
    <t>НЕЖИЛАЯ</t>
  </si>
  <si>
    <t>ПАРКОВКА</t>
  </si>
  <si>
    <t>СОЦИАЛКА</t>
  </si>
  <si>
    <t>ГНС, м2</t>
  </si>
  <si>
    <t>ТОРГОВЛЯ</t>
  </si>
  <si>
    <t>ВРЕМЕННОЕ</t>
  </si>
  <si>
    <t>ПРОИЗВОДСТВО</t>
  </si>
  <si>
    <t>Квартал</t>
  </si>
  <si>
    <t>УПКС</t>
  </si>
  <si>
    <t>УПКС, руб.</t>
  </si>
  <si>
    <t>для</t>
  </si>
  <si>
    <t xml:space="preserve">Коэф. ренты </t>
  </si>
  <si>
    <t>Функция ЗУ</t>
  </si>
  <si>
    <t>Плотность</t>
  </si>
  <si>
    <t>ЛЬГОТА</t>
  </si>
  <si>
    <t>СОБСТВЕННОСТЬ на ЗУ</t>
  </si>
  <si>
    <t>Рассрочка, кв.</t>
  </si>
  <si>
    <t>Ввод</t>
  </si>
  <si>
    <t>Сумма, млн. руб.</t>
  </si>
  <si>
    <t>ПЛОЩАДЬ ЗУ, м2</t>
  </si>
  <si>
    <t>ТЕКУЩАЯ КС, руб.</t>
  </si>
  <si>
    <t>НОВАЯ КС, руб.</t>
  </si>
  <si>
    <t>В квартал, млн. руб.</t>
  </si>
  <si>
    <t>КЛЮЧЕВАЯ СТАВКА</t>
  </si>
  <si>
    <t>Ставка</t>
  </si>
  <si>
    <t>С/С НУ за м2/шт.</t>
  </si>
  <si>
    <t>Много, средне и малоэтажного жилья</t>
  </si>
  <si>
    <t>Topгoвoгo, общественного питания,бытового обслуживания</t>
  </si>
  <si>
    <t>БПС ОКС,
руб./м2</t>
  </si>
  <si>
    <t>до РНВ</t>
  </si>
  <si>
    <t>после РНВ</t>
  </si>
  <si>
    <t>ОБЪЕМ ФИНАНСИРОВАНИЯ</t>
  </si>
  <si>
    <t>Рассрочка, млн. руб.</t>
  </si>
  <si>
    <t>млн. в мес.</t>
  </si>
  <si>
    <t>МАРЖИНАЛЬНОСТЬ до Н/О</t>
  </si>
  <si>
    <t>с</t>
  </si>
  <si>
    <t>ЦЕНА
←</t>
  </si>
  <si>
    <t>∑, млн. руб.</t>
  </si>
  <si>
    <t>ЛЬГОТА на ↓ ВРИ</t>
  </si>
  <si>
    <t>СТАВКА РАССРОЧКИ ВРИ</t>
  </si>
  <si>
    <t>Коэф. изм. цены</t>
  </si>
  <si>
    <t xml:space="preserve">Коэф. </t>
  </si>
  <si>
    <t>КОМПЕНСАЦИЯ СОЦ. ОБЪЕКТОВ</t>
  </si>
  <si>
    <t>КОМПЕНСАЦИЯ  СОЦ. ОБЪЕКТОВ</t>
  </si>
  <si>
    <t>БРОКЕРИДЖ МРГ бридж</t>
  </si>
  <si>
    <t>БРОКЕРИДЖ МРГ проектное фин-ие</t>
  </si>
  <si>
    <t>ТЕХ. ЛИСТ</t>
  </si>
  <si>
    <t>реф</t>
  </si>
  <si>
    <t>Резюме изменений проекта (вкладка RESUME)</t>
  </si>
  <si>
    <t>Название проекта:</t>
  </si>
  <si>
    <t xml:space="preserve">ПОКАЗАТЕЛИ </t>
  </si>
  <si>
    <t>+/-</t>
  </si>
  <si>
    <t>FACT</t>
  </si>
  <si>
    <t>PLAN</t>
  </si>
  <si>
    <t>Комм.</t>
  </si>
  <si>
    <t>кв.м.</t>
  </si>
  <si>
    <t>ГНС бум.</t>
  </si>
  <si>
    <t>квартиры</t>
  </si>
  <si>
    <t>офисы</t>
  </si>
  <si>
    <t>стритритейл</t>
  </si>
  <si>
    <r>
      <t xml:space="preserve">ОБЩАЯ ПЛОЩАДЬ ОБЪЕКТА </t>
    </r>
    <r>
      <rPr>
        <b/>
        <sz val="11"/>
        <color rgb="FFFF0000"/>
        <rFont val="Calibri"/>
        <family val="2"/>
        <charset val="204"/>
        <scheme val="minor"/>
      </rPr>
      <t>по стандарту СП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rgb="FFFF0000"/>
        <rFont val="Calibri"/>
        <family val="2"/>
        <charset val="204"/>
        <scheme val="minor"/>
      </rPr>
      <t>(РНС и экспертиза)</t>
    </r>
  </si>
  <si>
    <t>наземная часть</t>
  </si>
  <si>
    <t>подземная часть</t>
  </si>
  <si>
    <t>(стены)</t>
  </si>
  <si>
    <t>парковка</t>
  </si>
  <si>
    <t>м2/м-м</t>
  </si>
  <si>
    <t>кладовки</t>
  </si>
  <si>
    <t>ПОЛЕЗНАЯ ПЛОЩАДЬ ОБЪЕКТА</t>
  </si>
  <si>
    <t>MR Base</t>
  </si>
  <si>
    <t>MR Ready</t>
  </si>
  <si>
    <t>без отделки</t>
  </si>
  <si>
    <r>
      <t xml:space="preserve">LOSS-FACTOR </t>
    </r>
    <r>
      <rPr>
        <b/>
        <sz val="11"/>
        <color rgb="FFFF0000"/>
        <rFont val="Calibri"/>
        <family val="2"/>
        <charset val="204"/>
        <scheme val="minor"/>
      </rPr>
      <t>по стандарту МР Групп</t>
    </r>
  </si>
  <si>
    <t>КОЛИЧЕСТВО ЭЛЕМЕНТОВ ОБЪЕКТА</t>
  </si>
  <si>
    <t>м2/лот</t>
  </si>
  <si>
    <t>ОБЕСПЕЧЕННОСТЬ М/М</t>
  </si>
  <si>
    <t>СРЕДНЯЯ ЦЕНА РЕАЛИЗАЦИИ</t>
  </si>
  <si>
    <t>финиш</t>
  </si>
  <si>
    <t>т.р/кв.м</t>
  </si>
  <si>
    <t>т.р/шт.</t>
  </si>
  <si>
    <t>СРОК ДО ЗАВЕРШЕНИЯ СТРОИТЕЛЬСТВА</t>
  </si>
  <si>
    <t>лет</t>
  </si>
  <si>
    <t>начало проекта</t>
  </si>
  <si>
    <t>дата</t>
  </si>
  <si>
    <t>ввод в эксплуатацию</t>
  </si>
  <si>
    <t>ПЕРИОД ПРОДАЖ</t>
  </si>
  <si>
    <t>начало продаж</t>
  </si>
  <si>
    <t>окончание продаж</t>
  </si>
  <si>
    <t>СРОК ПРОЕКТА</t>
  </si>
  <si>
    <t>2204_Реализация помещений свободного назначения</t>
  </si>
  <si>
    <t>2203_Реализация офисных помещений</t>
  </si>
  <si>
    <t>ИТОГО ПОСТУПЛЕНИЯ ПРОЕКТА</t>
  </si>
  <si>
    <t>ИТОГО РАСХОДЫ ПРОЕКТА</t>
  </si>
  <si>
    <t>САЛЬДО ИНВЕСТИЦИОННОГО БЮДЖЕТА</t>
  </si>
  <si>
    <t>3200_Поступления заемных средств</t>
  </si>
  <si>
    <t>3700_Прочие поступления по финансовой деятельности</t>
  </si>
  <si>
    <t>6200_Выплаты обязательств</t>
  </si>
  <si>
    <t>6203_Возврат вложений от сторонних лиц</t>
  </si>
  <si>
    <t>6204_Возврат финансирования проектами</t>
  </si>
  <si>
    <t>6300_Предоставление прочих заимствований</t>
  </si>
  <si>
    <t>6700_Выплаты по финансовой деятельности</t>
  </si>
  <si>
    <t>0210_Отрицательные курсовые разницы</t>
  </si>
  <si>
    <t>5903_Инвестиционные проценты по вложениям от сторонних лиц</t>
  </si>
  <si>
    <t>АКЦИОНЕРНОЕ ФИНАНСИРОВАНИЕ</t>
  </si>
  <si>
    <t>6100_Выплата дивидендов/прибыли</t>
  </si>
  <si>
    <t>4708_Налог на дивиденды</t>
  </si>
  <si>
    <t>ИННОВАЦИОННЫЕ РЕШЕНИЯ</t>
  </si>
  <si>
    <t>7218_Поступления от вложений в инновации</t>
  </si>
  <si>
    <t>7228_Оплата инновационных решений</t>
  </si>
  <si>
    <t>САЛЬДО ФИНАНСОВОЙ ДЕЯТЕЛЬНОСТИ</t>
  </si>
  <si>
    <t>ПРИБЫЛЬ ПРОЕКТА</t>
  </si>
  <si>
    <t>Текущая ФМ &lt;2Q2025</t>
  </si>
  <si>
    <t>СРОК</t>
  </si>
  <si>
    <t>ПЛОЩАДИ</t>
  </si>
  <si>
    <t>ТЕЛО ЗАЙМА</t>
  </si>
  <si>
    <t>СТАВКА КС</t>
  </si>
  <si>
    <t>СТАВКА БРИДЖ</t>
  </si>
  <si>
    <t>СТАВКА ПФ</t>
  </si>
  <si>
    <t>ПОСТУПЛЕНИЯ (до РнВ на эскроу)</t>
  </si>
  <si>
    <t>СТАВКА АФ</t>
  </si>
  <si>
    <t>📌</t>
  </si>
  <si>
    <t>КОНТРАГЕНТ</t>
  </si>
  <si>
    <t>ДОГОВОР</t>
  </si>
  <si>
    <t>СОДЕРЖАНИЕ</t>
  </si>
  <si>
    <t>БЮДЖЕТ</t>
  </si>
  <si>
    <t>ФАКТ</t>
  </si>
  <si>
    <t>ОРГАНИЗАЦИЯ</t>
  </si>
  <si>
    <t>Договоры проекта</t>
  </si>
  <si>
    <t>ФАКТ ОПЛАТ</t>
  </si>
  <si>
    <t>Детализация расходов проекта</t>
  </si>
  <si>
    <t>ЭКСПЛУАТАЦИОННЫЕ РАСХОДЫ</t>
  </si>
  <si>
    <t>ПРИОБРЕТЕНИЕ ОБЪЕКТА</t>
  </si>
  <si>
    <t>ОПЕРАЦИОННЫЕ РАСХОДЫ</t>
  </si>
  <si>
    <t>ПОСТУПЛЕНИЯ ОТ ПРОДАЖ ПРОЕКТА</t>
  </si>
  <si>
    <t>ОПЕРАЦИОННЫЕ ДОХОДЫ ПРОЕКТА</t>
  </si>
  <si>
    <t>ПОСТУПЛЕНИЯ ПО ОПЕРАЦИОННОЙ ДЕЯТЕЛЬНОСТИ</t>
  </si>
  <si>
    <t>ПОСТУПЛЕНИЯ ПО ИНВЕСТИЦИОННОЙ ДЕЯТЕЛЬНОСТИ</t>
  </si>
  <si>
    <t>ВЫПЛАТЫ ПО ОПЕРАЦИОННОЙ ДЕЯТЕЛЬНОСТИ</t>
  </si>
  <si>
    <t>МАРКЕТИНГ И РЕКЛАМА</t>
  </si>
  <si>
    <t>ПРОЕКТИРОВАНИЕ</t>
  </si>
  <si>
    <t>СОГЛАСОВАНИЯ И ИЗЫСКАНИЯ</t>
  </si>
  <si>
    <t>ЗЕМЛЯ</t>
  </si>
  <si>
    <t>НАРУЖНЫЕ СЕТИ</t>
  </si>
  <si>
    <t>СОДЕРЖАНИЕ ПЛОЩАДКИ</t>
  </si>
  <si>
    <t>ДЕВЕЛОПМЕНТ</t>
  </si>
  <si>
    <t>ПОСТУПЛЕНИЕ КРЕДИТОВ</t>
  </si>
  <si>
    <t>БРИДЖ</t>
  </si>
  <si>
    <t>ПРОЕКТНОЕ ФИНАНСИРОВАНИЕ</t>
  </si>
  <si>
    <t>ПОСТУПЛЕНИЯ ПО ФИНАНСОВОЙ ДЕЯТЕЛЬНОСТИ</t>
  </si>
  <si>
    <t>ВЛОЖЕНИЯ СТОРОННИХ ЛИЦ</t>
  </si>
  <si>
    <t>ФИНАНСИРОВАНИЕ ПРОЕКТАМИ</t>
  </si>
  <si>
    <t>ДЕПОЗИТ</t>
  </si>
  <si>
    <t>ПРОЦЕНТЫ ПО ДЕПОЗИТУ</t>
  </si>
  <si>
    <t>ВЫПЛАТЫ ПО ФИНАНСОВОЙ ДЕЯТЕЛЬНОСТИ</t>
  </si>
  <si>
    <t>ВЫПЛАТЫ ПО КРЕДИТАМ</t>
  </si>
  <si>
    <t>ПРОЦЕНТЫ БРИДЖ</t>
  </si>
  <si>
    <t>ПРОЦЕНТЫ ПРОЕКТНОЕ ФИНАНСИРОВАНИЕ</t>
  </si>
  <si>
    <t>ВЛОЖЕНИЯ АКЦИОНЕРА</t>
  </si>
  <si>
    <t>ВОЗВРАТ ВЛОЖЕНИЙ АКЦИОНЕРА</t>
  </si>
  <si>
    <t>ПРОЦЕНТЫ ПО ВЛОЖЕНИЯМ АКЦИОНЕРА</t>
  </si>
  <si>
    <t>ВЫПЛАТЫ ПО ИНВЕСТИЦИОННОЙ ДЕЯТЕЛЬНОСТИ</t>
  </si>
  <si>
    <t>РЕАЛИЗАЦИЯ ПЛОЩАДЕЙ</t>
  </si>
  <si>
    <t>МАШИНОМЕСТА</t>
  </si>
  <si>
    <t>РИП</t>
  </si>
  <si>
    <t>в СЭД</t>
  </si>
  <si>
    <t>ГАСФОР ООО</t>
  </si>
  <si>
    <t xml:space="preserve"> c 10.02.2025</t>
  </si>
  <si>
    <r>
      <t xml:space="preserve">ОБЩАЯ ПЛОЩАДЬ ОБЪЕКТА </t>
    </r>
    <r>
      <rPr>
        <b/>
        <sz val="11"/>
        <color rgb="FFFF0000"/>
        <rFont val="Calibri"/>
        <family val="2"/>
        <charset val="204"/>
        <scheme val="minor"/>
      </rPr>
      <t>по станд. МРГ</t>
    </r>
  </si>
  <si>
    <t>% БГ</t>
  </si>
  <si>
    <t>БАЗА для БГ</t>
  </si>
  <si>
    <t>ПОКУПКА ЛЬГОТЫ</t>
  </si>
  <si>
    <t>Цена льготы, %</t>
  </si>
  <si>
    <t>Ставка БГ, %</t>
  </si>
  <si>
    <t>Срок БГ</t>
  </si>
  <si>
    <t>бридж</t>
  </si>
  <si>
    <t>проектное фин-ие</t>
  </si>
  <si>
    <t>комиссии банка</t>
  </si>
  <si>
    <t>СКИДКА</t>
  </si>
  <si>
    <t>СТОИМОСТЬ СМЕНЫ ВРИ к оплате</t>
  </si>
  <si>
    <t>РАСЧЕТ СТОИМОСТИ СМЕНЫ ВРИ</t>
  </si>
  <si>
    <t>РАСЧЕТ СТОИМОСТЬ СМЕНЫ ВРИ со скидкой</t>
  </si>
  <si>
    <t>ЛЬГОТА ВРИ</t>
  </si>
  <si>
    <t>Период</t>
  </si>
  <si>
    <t>Проект</t>
  </si>
  <si>
    <t>Статья оборотов</t>
  </si>
  <si>
    <t>Организация</t>
  </si>
  <si>
    <t>Контрагент</t>
  </si>
  <si>
    <t>Договор контрагента</t>
  </si>
  <si>
    <t>Код договора</t>
  </si>
  <si>
    <t>Банковский счет</t>
  </si>
  <si>
    <t>Валюта</t>
  </si>
  <si>
    <t>Курс</t>
  </si>
  <si>
    <t>НазначениеПлатежа</t>
  </si>
  <si>
    <t>Регистратор</t>
  </si>
  <si>
    <t>Приход в валюте</t>
  </si>
  <si>
    <t>Расход в валюте</t>
  </si>
  <si>
    <t>Приход в рублях</t>
  </si>
  <si>
    <t>Расход в рублях</t>
  </si>
  <si>
    <t>3511_Поступление средств в уставный капитал</t>
  </si>
  <si>
    <t>АБ Капитал Д.У. Комбинированным ЗПИФ Т Капитал АО</t>
  </si>
  <si>
    <t>4105_Банковское обслуживание</t>
  </si>
  <si>
    <t>ЛОКО-БАНК КБ (АО)</t>
  </si>
  <si>
    <t>Комиссионное вознаграждение за открытие банковского счета юр/лицу-резиденту, индивидуальному предпринимателю</t>
  </si>
  <si>
    <t>Комиссионное вознаграждение за регистрацию USB токена, предоставленного  КБ «ЛОКО-Банк»(АО)</t>
  </si>
  <si>
    <t>Комиссионное вознаграждение за удостоверение образцов подписей уполномоченных лиц корпоративных клиентов от 29.08.2024</t>
  </si>
  <si>
    <t>НДС с суммы комиссионного вознаграждения за удостоверение образцов подписей уполномоченных лиц корпоративных клиентов</t>
  </si>
  <si>
    <t>4107_Юридические услуги</t>
  </si>
  <si>
    <t>3202_Поступление займа от акционера</t>
  </si>
  <si>
    <t>4101_Аренда и обслуживание помещений, м/м</t>
  </si>
  <si>
    <t>4420_Расходы на приобретение ПО</t>
  </si>
  <si>
    <t>Без договора</t>
  </si>
  <si>
    <t>Нотариус города Москвы Марков Олег Валерьевич</t>
  </si>
  <si>
    <t>4106_Аудит и консалтинг</t>
  </si>
  <si>
    <t>Эфикс-Груп ООО</t>
  </si>
  <si>
    <t>МР Групп АО</t>
  </si>
  <si>
    <t>Платежи по продажам недвижимости</t>
  </si>
  <si>
    <t>IT-расходы и связь</t>
  </si>
  <si>
    <t>ФОТ персонала</t>
  </si>
  <si>
    <t>Содержание и обслуживание</t>
  </si>
  <si>
    <t>Прочие выплаты</t>
  </si>
  <si>
    <t>Приобретение проекта и обременения</t>
  </si>
  <si>
    <t>Проектирование</t>
  </si>
  <si>
    <t>Консалтинговые и юридические услуги</t>
  </si>
  <si>
    <t>Земельно-правовые вопросы</t>
  </si>
  <si>
    <t>Наружные сети и объекты</t>
  </si>
  <si>
    <t>Содержание строительной площадки</t>
  </si>
  <si>
    <t>Согласования, ТУ, Изыскания</t>
  </si>
  <si>
    <t>Управление проектом</t>
  </si>
  <si>
    <t>Непредвиденные расходы</t>
  </si>
  <si>
    <t>Маркетинговые расходы</t>
  </si>
  <si>
    <t>Офис продаж</t>
  </si>
  <si>
    <t>Налоги</t>
  </si>
  <si>
    <t>Реализация квартир</t>
  </si>
  <si>
    <t>Реализация ПСН</t>
  </si>
  <si>
    <t>Реализация торговых помещений</t>
  </si>
  <si>
    <t>Реализация м/м в жилых объектах</t>
  </si>
  <si>
    <t>Поступление заемных средств</t>
  </si>
  <si>
    <t>Поступление АФ</t>
  </si>
  <si>
    <t>Поступление кредитов</t>
  </si>
  <si>
    <t>Прочие поступления по ФД</t>
  </si>
  <si>
    <t>Выплата обязательств</t>
  </si>
  <si>
    <t>Выплата АФ</t>
  </si>
  <si>
    <t>Выплата по кредитам</t>
  </si>
  <si>
    <t>Прочие выплаты по ФД</t>
  </si>
  <si>
    <t>ПОСТКПЛЕНИЯ ПО ФИНАНСОВОЙ ДЕЯТЕЬНОСТИ</t>
  </si>
  <si>
    <t>Бюджет</t>
  </si>
  <si>
    <t>ПЛАН</t>
  </si>
  <si>
    <t>Сумма</t>
  </si>
  <si>
    <t>Статья</t>
  </si>
  <si>
    <t>БГ ЛЬГОТА</t>
  </si>
  <si>
    <t>ДГП</t>
  </si>
  <si>
    <t>-</t>
  </si>
  <si>
    <t>Девелопмент</t>
  </si>
  <si>
    <t>Мониторинги</t>
  </si>
  <si>
    <t>НАЧАЛО РАСЧЕТОВ</t>
  </si>
  <si>
    <t>НАЧАЛО ПРОЕКТА</t>
  </si>
  <si>
    <t>ПРИБЫЛЬ ( в т ч SF МРГ)</t>
  </si>
  <si>
    <t>Компенсация соц. объектов</t>
  </si>
  <si>
    <t>Бюджет остаток</t>
  </si>
  <si>
    <t>СОШ</t>
  </si>
  <si>
    <t>ДОО</t>
  </si>
  <si>
    <t>LLSR</t>
  </si>
  <si>
    <t>РАСХОДЫ НА ПРОДАЖУ</t>
  </si>
  <si>
    <t>IRR ПРОЕКТА (pre-tax)</t>
  </si>
  <si>
    <t>ПРОЕКТНОЕ ФИН-ИЕ (без учета реф бриджа)</t>
  </si>
  <si>
    <t>ПРОЕКТ</t>
  </si>
  <si>
    <t>2Q2032</t>
  </si>
  <si>
    <t>3Q2032</t>
  </si>
  <si>
    <t>4Q2032</t>
  </si>
  <si>
    <t>1Q2033</t>
  </si>
  <si>
    <t>2Q2033</t>
  </si>
  <si>
    <t>3Q2033</t>
  </si>
  <si>
    <t>4Q2033</t>
  </si>
  <si>
    <t>1Q2034</t>
  </si>
  <si>
    <t>2Q2034</t>
  </si>
  <si>
    <t>3Q2034</t>
  </si>
  <si>
    <t>4Q2034</t>
  </si>
  <si>
    <t>1Q2035</t>
  </si>
  <si>
    <t>тыс. руб.</t>
  </si>
  <si>
    <t>77:02:0019010:102</t>
  </si>
  <si>
    <t>КАСАТКИНА</t>
  </si>
  <si>
    <t xml:space="preserve"> ул. КАСАТКИНА, ВЛ. 7</t>
  </si>
  <si>
    <r>
      <t>СРОК</t>
    </r>
    <r>
      <rPr>
        <b/>
        <sz val="10"/>
        <color theme="1"/>
        <rFont val="Calibri"/>
        <family val="2"/>
        <charset val="204"/>
        <scheme val="minor"/>
      </rPr>
      <t xml:space="preserve"> ИРД</t>
    </r>
  </si>
  <si>
    <r>
      <t>СРОК</t>
    </r>
    <r>
      <rPr>
        <sz val="10"/>
        <rFont val="Calibri"/>
        <family val="2"/>
        <charset val="204"/>
        <scheme val="minor"/>
      </rPr>
      <t xml:space="preserve"> </t>
    </r>
    <r>
      <rPr>
        <b/>
        <sz val="10"/>
        <rFont val="Calibri"/>
        <family val="2"/>
        <charset val="204"/>
        <scheme val="minor"/>
      </rPr>
      <t>СМР</t>
    </r>
  </si>
  <si>
    <r>
      <t xml:space="preserve">м2 </t>
    </r>
    <r>
      <rPr>
        <b/>
        <sz val="10"/>
        <color theme="1" tint="0.249977111117893"/>
        <rFont val="Calibri"/>
        <family val="2"/>
        <charset val="204"/>
        <scheme val="minor"/>
      </rPr>
      <t>Sпол.</t>
    </r>
  </si>
  <si>
    <t>1 оч</t>
  </si>
  <si>
    <t>2 оч</t>
  </si>
  <si>
    <t>ОЧ</t>
  </si>
  <si>
    <t>Касаткина</t>
  </si>
  <si>
    <t>С1-Холдинг ООО</t>
  </si>
  <si>
    <t>БАНК ДОМ.РФ АО</t>
  </si>
  <si>
    <t>С1-Холдинг_ДОМ.РФ_руб</t>
  </si>
  <si>
    <t>Оплата комиссии за подключение к Тарифному плану "Стандарт"</t>
  </si>
  <si>
    <t>Списание с расчетного счета CHMR-000001 от 18.05.2023 22:38:31</t>
  </si>
  <si>
    <t>Оплата уставного капитала ООО С1-Холдинг по решению №1/2023 от 16.02.2023г. Без НДС</t>
  </si>
  <si>
    <t>Поступление на расчетный счет CHMR-000001 от 18.05.2023 22:38:32</t>
  </si>
  <si>
    <t>Списание с расчетного счета CHMR-000002 от 01.06.2023 23:59:59</t>
  </si>
  <si>
    <t>Проведение платежей через расчетную сеть Банка России с расчетного счета Клиента. НДС не облагается.</t>
  </si>
  <si>
    <t>Списание с расчетного счета CHMR-000019 от 05.06.2023 23:59:59</t>
  </si>
  <si>
    <t>Списание с расчетного счета CHMR-000020 от 05.06.2023 23:59:59</t>
  </si>
  <si>
    <t>MR-049261</t>
  </si>
  <si>
    <t>Опл.сч. 463 от 29.03.2023, заверение доверенности ТЛА, Тушино 1 оч. (М., Вишневая, вл. 7) Без налога (НДС)</t>
  </si>
  <si>
    <t>Списание с расчетного счета CHMR-000021 от 05.06.2023 23:59:59</t>
  </si>
  <si>
    <t>Договор №Г-59/23 от 22.02.23</t>
  </si>
  <si>
    <t>MR-049492</t>
  </si>
  <si>
    <t>Опл.сч.667 от 22.02.23,субаренда нежилого помещения по адресу: М., 4-я ул. 8 Марта, д.6а, за период с 22.02.2023г по 28.02.2023г., дог.Г-59/23 от 22.02.2023 Без налога (НДС)</t>
  </si>
  <si>
    <t>Списание с расчетного счета CHMR-000022 от 05.06.2023 23:59:59</t>
  </si>
  <si>
    <t>Договор №ИО-41 от 21.02.23</t>
  </si>
  <si>
    <t>MR-049619</t>
  </si>
  <si>
    <t>Опл.сч. 519 от 21.02.23, Исполнение полномочий единого исполнительного органа за период 21.02.2023 - 28.02.2023г. Договор ИО-41 от 21.02.23 (М., Вишневая, вл. 7) Без налога (НДС)</t>
  </si>
  <si>
    <t>Списание с расчетного счета CHMR-000023 от 05.06.2023 23:59:59</t>
  </si>
  <si>
    <t>Опл.сч.669 от 01.04.23,субаренда нежилого помещения предоплата за апрель 2023г., дог.Г-59/23 от 22.02.2023 Без налога (НДС)</t>
  </si>
  <si>
    <t>Списание с расчетного счета CHMR-000024 от 05.06.2023 23:59:59</t>
  </si>
  <si>
    <t>Опл.сч.668 от 01.03.23,субаренда нежилого помещения по адресу: г.Москва, 4-я ул. 8 Марта, д.6а,  за март 2023г., дог.Г-59/23 от 22.02.2023 Без налога (НДС)</t>
  </si>
  <si>
    <t>Списание с расчетного счета CHMR-000025 от 05.06.2023 23:59:59</t>
  </si>
  <si>
    <t>Опл.сч. 637 от 01.04.23, Исполнение полномочий единого исполнительного органа, предоплата за апрель 2023г. Дог.ИО-41 от 21.02.2023г. Тушино 1 оч. (М., Вишневая, вл. 7)  Без налога (НДС)</t>
  </si>
  <si>
    <t>Списание с расчетного счета CHMR-000026 от 05.06.2023 23:59:59</t>
  </si>
  <si>
    <t>Опл.сч. 520 от 01.03.23, Исполнение полномочий единого исполнительного органа за март 2023г. Договор ИО-41 от 21.02.23, Тушино 1 оч. (М., Вишневая, вл. 7) Без налога (НДС)</t>
  </si>
  <si>
    <t>Списание с расчетного счета CHMR-000027 от 05.06.2023 23:59:59</t>
  </si>
  <si>
    <t>Списание с расчетного счета CHMR-000028 от 29.06.2023 19:56:16</t>
  </si>
  <si>
    <t>Опл.сч. 817 от 31.05.2023, за совершение нотариальных действий (равнозначность листа записи), Без договора. Без налога (НДС)</t>
  </si>
  <si>
    <t>Списание с расчетного счета CHMR-000029 от 29.06.2023 19:56:17</t>
  </si>
  <si>
    <t>Списание с расчетного счета CHMR-000030 от 01.07.2023 9:00:25</t>
  </si>
  <si>
    <t>Списание с расчетного счета CHMR-000033 от 20.07.2023 20:41:47</t>
  </si>
  <si>
    <t>Списание с расчетного счета CHMR-000034 от 20.07.2023 20:41:48</t>
  </si>
  <si>
    <t>Списание с расчетного счета CHMR-000035 от 20.07.2023 20:41:49</t>
  </si>
  <si>
    <t>Списание с расчетного счета CHMR-000036 от 20.07.2023 20:41:50</t>
  </si>
  <si>
    <t>Списание с расчетного счета CHMR-000037 от 20.07.2023 20:41:51</t>
  </si>
  <si>
    <t>Списание с расчетного счета CHMR-000038 от 20.07.2023 20:41:52</t>
  </si>
  <si>
    <t>Списание с расчетного счета CHMR-000039 от 20.07.2023 20:41:53</t>
  </si>
  <si>
    <t>Договор №ГВУ-084 от 23.05.23</t>
  </si>
  <si>
    <t>MR-055453</t>
  </si>
  <si>
    <t>Опл.сч.1207 от 23.05.23,абонентское юридическое обслуживание за период с 23.05.23г по 22.05.24г, дог.ГВУ-084 от 23.05.23г. Тушино 1 оч. (М., Вишневая, вл. 7) Без налога (НДС)</t>
  </si>
  <si>
    <t>Списание с расчетного счета CHMR-000040 от 20.07.2023 20:41:54</t>
  </si>
  <si>
    <t>Договор №1/23-ЭФ-МР от 22.02.23</t>
  </si>
  <si>
    <t>MR-053148</t>
  </si>
  <si>
    <t>Оплата по счету 661 от 29.05.2023 за  бухгалтерское обслуживание по договору 1/23-ЭФ-МР от 22.02.23 за май 2023 г., Тушино 1 оч. (М., Вишневая, вл. 7) Без налога (НДС)</t>
  </si>
  <si>
    <t>Списание с расчетного счета CHMR-000041 от 20.07.2023 20:41:55</t>
  </si>
  <si>
    <t>Оплата по счету 756 от 27.06.2023 за  бухгалтерское обслуживание по договору 1/23-ЭФ-МР от 22.02.23 за июнь 2023 г., Тушино 1 оч. (М., Вишневая, вл. 7) Без налога (НДС)</t>
  </si>
  <si>
    <t>Списание с расчетного счета CHMR-000042 от 20.07.2023 20:41:56</t>
  </si>
  <si>
    <t>Оплата по счету 535 от 28.04.2023 за курьерские услуги и бухгалтерское обслуживание за апрель 2023 по договору  1/23-ЭФ-МР от 22.02.23. Без налога (НДС)</t>
  </si>
  <si>
    <t>Списание с расчетного счета CHMR-000043 от 20.07.2023 20:41:57</t>
  </si>
  <si>
    <t>Опл.сч.792 от 02.05.23, субаренда нежилого помещения предоплата за май 2023г., дог.Г-59/23 от 22.02.2023. Тушино 1 оч. (М., Вишневая, вл. 7) Без налога (НДС)</t>
  </si>
  <si>
    <t>Списание с расчетного счета CHMR-000044 от 20.07.2023 20:41:58</t>
  </si>
  <si>
    <t>Опл.сч. 775 от 23.05.2023, за совершение нотариальных действий (удостоверение ДКПД), Без договора. Без налога (НДС)</t>
  </si>
  <si>
    <t>Списание с расчетного счета CHMR-000045 от 20.07.2023 20:41:59</t>
  </si>
  <si>
    <t>Опл.сч.1054 от 01.06.23, субаренда нежилого помещения предоплата, за июнь 2023г., дог.Г-59/23 от 22.02.2023. Тушино 1 оч. (М., Вишневая, вл. 7) Без налога (НДС)</t>
  </si>
  <si>
    <t>Списание с расчетного счета CHMR-000046 от 20.07.2023 20:42:00</t>
  </si>
  <si>
    <t>Оплата по счету 412 от 03.04.2023 за ежегодное продление сертификата в "Контур.Экстерн" на 1 год и бухгалтерское обслуживание по договору 1/23-ЭФ-МР от 22.02.23, Тушино 1 оч. (М., Вишневая, вл. Без налога (НДС)</t>
  </si>
  <si>
    <t>Списание с расчетного счета CHMR-000047 от 20.07.2023 20:42:01</t>
  </si>
  <si>
    <t>Опл.сч.1208 от 23.05.23, пополнение депозита, дог.ГВУ-084 от 23.05.23г. Тушино 1 оч. (М., Вишневая, вл. 7) Без налога (НДС)</t>
  </si>
  <si>
    <t>Списание с расчетного счета CHMR-000048 от 20.07.2023 20:42:02</t>
  </si>
  <si>
    <t>Опл.сч. 1362 от 03.07.23, Исполнение полномочий единого исполнительного органа, предоплата за июль 2023г. Договор ИО-41 от 21.02.23, Тушино 1 оч. (М., Вишневая, вл. 7) Без налога (НДС)</t>
  </si>
  <si>
    <t>Списание с расчетного счета CHMR-000049 от 20.07.2023 20:42:03</t>
  </si>
  <si>
    <t>Опл.сч. 872 от 02.05.23, Исполнение полномочий единого исполнительного органа за май 2023г. Договор ИО-41 от 21.02.23, Тушино 1 оч. (М., Вишневая, вл. 7) Без налога (НДС)</t>
  </si>
  <si>
    <t>Списание с расчетного счета CHMR-000050 от 20.07.2023 20:42:04</t>
  </si>
  <si>
    <t>Опл.сч. 1073 от 01.06.23, Исполнение полномочий единого исполнительного органа за июнь 2023г. Договор ИО-41 от 21.02.23, Тушино 1 оч. (М., Вишневая, вл. 7) Без налога (НДС)</t>
  </si>
  <si>
    <t>Списание с расчетного счета CHMR-000051 от 20.07.2023 20:42:05</t>
  </si>
  <si>
    <t>3203_Поступление прочих займов</t>
  </si>
  <si>
    <t>СЗ С-Девелопмент ООО (до 05.02.2024 наименование С-Девелопмент ООО)</t>
  </si>
  <si>
    <t>Договор займа №СД-С1Х-23 от 17.07.23 (2 000 000 руб.) (13,5%) (31.12.37)</t>
  </si>
  <si>
    <t>MR-066564</t>
  </si>
  <si>
    <t>Частичная выдача процентного займа по договору СД-С1Х-23 от 17.07.23. (ставка 13,5%)  Без налога (НДС)</t>
  </si>
  <si>
    <t>Поступление на расчетный счет CHMR-000003 от 20.07.2023 20:42:06</t>
  </si>
  <si>
    <t>Списание с расчетного счета CHMR-000059 от 01.08.2023 23:59:59</t>
  </si>
  <si>
    <t>Оплата по счету 868 от 21.07.2023, за бухгалтерское обслуживание по договору 1/23-ЭФ-МР от 22.02.23 за июль 2023 г., Тушино 1 оч. (М., Вишневая, вл. 7) Без налога (НДС)</t>
  </si>
  <si>
    <t>Списание с расчетного счета CHMR-000061 от 07.08.2023 19:24:07</t>
  </si>
  <si>
    <t>Опл.сч.1420 от 03.07.23, субаренда нежилого помещения, предоплата за июль 2023г., дог.Г-59/23 от 22.02.2023. Тушино 1 оч. (М., Вишневая, вл. 7) Без налога (НДС)</t>
  </si>
  <si>
    <t>Списание с расчетного счета CHMR-000064 от 08.08.2023 19:30:00</t>
  </si>
  <si>
    <t>Опл.сч. 1606 от 01.08.23, Исполнение полномочий единого исполнительного органа, предоплата за август 2023г. Договор ИО-41 от 21.02.23, Тушино 1 оч. (М., Вишневая, вл. 7) Без налога (НДС)</t>
  </si>
  <si>
    <t>Списание с расчетного счета CHMR-000067 от 14.08.2023 18:44:38</t>
  </si>
  <si>
    <t>Списание с расчетного счета CHMR-000073 от 01.09.2023 19:15:45</t>
  </si>
  <si>
    <t>Оплата по счету 1052 от 28.08.2023, за бухгалтерское обслуживание по договору 1/23-ЭФ-МР от 22.02.23 за август 2023 г., Тушино 1 оч. (М., Вишневая, вл. 7) Без налога (НДС)</t>
  </si>
  <si>
    <t>Списание с расчетного счета CHMR-000076 от 08.09.2023 18:33:08</t>
  </si>
  <si>
    <t>Опл.сч.1719 от 01.08.23, субаренда нежилого помещения, предоплата за август 2023г., дог.Г-59/23 от 22.02.2023. Тушино 1 оч. (М., Вишневая, вл. 7) Без налога (НДС)</t>
  </si>
  <si>
    <t>Списание с расчетного счета CHMR-000077 от 08.09.2023 18:33:09</t>
  </si>
  <si>
    <t xml:space="preserve">Контур ПФ СКБ АО </t>
  </si>
  <si>
    <t>MR-070949</t>
  </si>
  <si>
    <t>Аванс по счет-оферте 23933689382 от 08.09.2023 за право использования программы для ЭВМ Контур.Диадок API-Лицензия сроком на 1 год. Без налога (НДС)</t>
  </si>
  <si>
    <t>Списание с расчетного счета CHMR-000078 от 15.09.2023 17:45:21</t>
  </si>
  <si>
    <t>Опл. сч. 2047 от 01.09.23, субаренда нежилого помещения, предоплата за сентябрь 2023г., дог.Г-59/23 от 22.02.2023. Тушино 1 оч. (М., Вишневая, вл. 7) Без налога (НДС)</t>
  </si>
  <si>
    <t>Списание с расчетного счета CHMR-000079 от 15.09.2023 17:45:22</t>
  </si>
  <si>
    <t>Опл.сч. 2019 от 01.09.23, Исполнение полномочий единого исполнительного органа, предоплата за сентябрь 2023г. Договор ИО-41 от 21.02.23, Тушино 1 оч. (М., Вишневая, вл. 7) Без налога (НДС)</t>
  </si>
  <si>
    <t>Списание с расчетного счета CHMR-000080 от 15.09.2023 17:45:23</t>
  </si>
  <si>
    <t>Списание с расчетного счета CHMR-000083 от 01.10.2023 9:00:05</t>
  </si>
  <si>
    <t>Списание с расчетного счета CHMR-000100 от 01.11.2023 23:59:59</t>
  </si>
  <si>
    <t>Поступление на расчетный счет CHMR-000007 от 02.11.2023 20:35:16</t>
  </si>
  <si>
    <t>Оплата по счету 1291 от 26.10.2023, за бухгалтерское обслуживание по договору 1/23-ЭФ-МР от 22.02.23 за октябрь 2023 г., Тушино 1 оч. (М., Вишневая, вл. 7).  Без налога (НДС)</t>
  </si>
  <si>
    <t>Списание с расчетного счета CHMR-000101 от 08.11.2023 23:21:07</t>
  </si>
  <si>
    <t>Оплата по счету 1197 от 02.10.2023, за бухгалтерское обслуживание по договору 1/23-ЭФ-МР от 22.02.23 за сентябрь 2023 г., Тушино 1 оч. (М., Вишневая, вл. 7).  Без налога (НДС)</t>
  </si>
  <si>
    <t>Списание с расчетного счета CHMR-000102 от 08.11.2023 23:21:08</t>
  </si>
  <si>
    <t>Опл. сч. 2345 от 01.10.23, субаренда нежилого помещения, предоплата за октябрь 2023г., дог.Г-59/23 от 22.02.2023. Тушино 1 оч. (М., Вишневая, вл. 7) Без налога (НДС)</t>
  </si>
  <si>
    <t>Списание с расчетного счета CHMR-000103 от 08.11.2023 23:21:09</t>
  </si>
  <si>
    <t>Опл.сч. 2272 от 01.10.23, Исполнение полномочий единого исполнительного органа, предоплата за октябрь 2023г. Договор ИО-41 от 21.02.23, Тушино 1 оч. (М., Вишневая, вл. 7) Без налога (НДС)</t>
  </si>
  <si>
    <t>Списание с расчетного счета CHMR-000104 от 08.11.2023 23:21:10</t>
  </si>
  <si>
    <t>Списание с расчетного счета CHMR-000105 от 23.11.2023 23:37:38</t>
  </si>
  <si>
    <t>Опл. сч. 2667 от 01.11.23, субаренда нежилого помещения, предоплата за ноябрь 2023г., дог. Г-59/23 от 22.02.2023. Тушино 1 оч. (М., Вишневая, вл. 7) Без налога (НДС)</t>
  </si>
  <si>
    <t>Списание с расчетного счета CHMR-000106 от 23.11.2023 23:37:39</t>
  </si>
  <si>
    <t>Опл.сч. 2658 от 01.11.23, Исполнение полномочий единого исполнительного органа, предоплата за ноябрь 2023г. Договор ИО-41 от 21.02.23, Тушино 1 оч. (М., Вишневая, вл. 7) Без налога (НДС)</t>
  </si>
  <si>
    <t>Списание с расчетного счета CHMR-000107 от 23.11.2023 23:37:40</t>
  </si>
  <si>
    <t>Списание с расчетного счета CHMR-000110 от 01.12.2023 23:59:59</t>
  </si>
  <si>
    <t>Поступление на расчетный счет CHMR-000008 от 15.12.2023 22:09:02</t>
  </si>
  <si>
    <t>Оплата по счету 1400 от 23.11.2023, за бухгалтерское обслуживание по договору 1/23-ЭФ-МР от 22.02.23 за 11.2023 и подготовку док-ов по запросу из СЭД, Тушино 1 оч. (М., Вишневая, вл. 7).  Без налога (НДС)</t>
  </si>
  <si>
    <t>Списание с расчетного счета CHMR-000111 от 20.12.2023 23:26:49</t>
  </si>
  <si>
    <t>Опл.сч. 2872 от 01.12.23, Исполнение полномочий единого исполнительного органа, предоплата за декабрь 2023г. Договор ИО-41 от 21.02.23, Тушино 1 оч. (М., Вишневая, вл. 7) Без налога (НДС)</t>
  </si>
  <si>
    <t>Списание с расчетного счета CHMR-000112 от 20.12.2023 23:26:50</t>
  </si>
  <si>
    <t>Аванс по сч.3052 от 01.12.23 субаренда нежилого помещения, предоплата за декабрь 2023г по дог.Г-59/23 от 22.02.23 Объект:М., Вишневая, вл. 7 Без налога (НДС)</t>
  </si>
  <si>
    <t>Списание с расчетного счета CHMR-000115 от 28.12.2023 22:52:23</t>
  </si>
  <si>
    <t>Списание с расчетного счета CHMR-000001 от 01.01.2024 14:56:32</t>
  </si>
  <si>
    <t>Аванс по сч.96 от 09.01.24 субаренда нежилого помещения, предоплата за январь, февраль, март 2024г  по дог.Г-59/23 от 22.02.23 Объект:М., Вишневая, вл. 7 Без налога (НДС)</t>
  </si>
  <si>
    <t>Списание с расчетного счета CHMR-000002 от 23.01.2024 18:53:54</t>
  </si>
  <si>
    <t>Аванс по сч.31 от 09.01.24 Исполнение полномочий единого исполнительного органа, предоплата за январь 2024г. по дог.ИО-41 от 21.02.23 Объект:М., Вишневая, вл. 7 Без налога (НДС)</t>
  </si>
  <si>
    <t>Списание с расчетного счета CHMR-000003 от 23.01.2024 18:53:55</t>
  </si>
  <si>
    <t>Списание с расчетного счета CHMR-000011 от 01.02.2024 20:35:09</t>
  </si>
  <si>
    <t>Оплата по счету 1623 от 21.12.2023, за бухгалтерское обслуживание по договору 1/23-ЭФ-МР от 22.02.23 за 12.2023, Тушино 1 оч. (М., Вишневая, вл. 7).  Без налога (НДС)</t>
  </si>
  <si>
    <t>Списание с расчетного счета CHMR-000014 от 09.02.2024 20:15:42</t>
  </si>
  <si>
    <t>Счет на оплату 83 от 23 января 2024г. Бухгалтерское обслуживание по договору № 1/23-ЭФ-МР от 22.02.2023 за январь 2024 года.  Без налога (НДС)</t>
  </si>
  <si>
    <t>Списание с расчетного счета CHMR-000015 от 09.02.2024 20:15:43</t>
  </si>
  <si>
    <t>Аванс по сч.291 от 01.02.24 Исполнение полномочий единого исполнительного органа, предоплата за февраль 2024г. по дог.ИО-41 от 21.02.23 Объект:М., Вишневая, вл. 7 Без налога (НДС)</t>
  </si>
  <si>
    <t>Списание с расчетного счета CHMR-000016 от 09.02.2024 20:15:44</t>
  </si>
  <si>
    <t>Списание с расчетного счета CHMR-000019 от 01.03.2024 23:59:59</t>
  </si>
  <si>
    <t>Договор №Д-55804 от 04.12.23</t>
  </si>
  <si>
    <t>MR-628938</t>
  </si>
  <si>
    <t>Оплата по договору Д-55804 от 04.12.23, хранение печатей, штампов и предоставление рабочего места за 2023 года.  В т.ч. НДС(20%) 1666-67</t>
  </si>
  <si>
    <t>Списание с расчетного счета CHMR-000020 от 04.03.2024 22:43:55</t>
  </si>
  <si>
    <t>Счет на оплату 248 от 22 февраля 2024 г. Бухгалтерское обслуживание по договору № 1/23-ЭФ-МР от  22.02.2023 за февраль 2024 года. Без налога (НДС)</t>
  </si>
  <si>
    <t>Списание с расчетного счета CHMR-000025 от 22.03.2024 21:04:05</t>
  </si>
  <si>
    <t>Аванс по сч.624 от 01.03.24 Исполнение полномочий единого исполнительного органа, предоплата за март 2024г. по дог.ИО-41 от 21.02.23 Объект:М., Вишневая, вл. 7 Без налога (НДС)</t>
  </si>
  <si>
    <t>Списание с расчетного счета CHMR-000026 от 22.03.2024 21:04:06</t>
  </si>
  <si>
    <t>Поступление на расчетный счет C1MR-000001 от 25.03.2024 23:59:59</t>
  </si>
  <si>
    <t>Списание с расчетного счета C1MR-000001 от 01.04.2024 23:59:59</t>
  </si>
  <si>
    <t>Аванс по сч.988 от 01.04.24 субаренда нежилого помещения, предоплата за апрель, май, июнь 2024г по дог.Г-59/23 от 22.02.23 Объект:М., Вишневая, вл. 7 Без налога (НДС)</t>
  </si>
  <si>
    <t>Списание с расчетного счета C1MR-000002 от 12.04.2024 23:59:59</t>
  </si>
  <si>
    <t>Аванс по сч.880 от 01.04.24 Исполнение полномочий единого исполнительного органа, предоплата за апрель 2024г. по дог.ИО-41 от 21.02.23 Объект:М., Вишневая, вл. 7 Без налога (НДС)</t>
  </si>
  <si>
    <t>Списание с расчетного счета C1MR-000003 от 12.04.2024 23:59:59</t>
  </si>
  <si>
    <t>Счет на оплату № 411 от 26 марта 2024 г.Бухгалтерское обслуживание по договору № 1/23-ЭФ-МР от 22.02.2023 за март 2024 года.Без налога НДС</t>
  </si>
  <si>
    <t>Списание с расчетного счета C1MR-000004 от 27.04.2024 23:59:59</t>
  </si>
  <si>
    <t>Списание с расчетного счета C1MR-000005 от 01.05.2024 19:21:36</t>
  </si>
  <si>
    <t>Аванс по сч.1263 от 02.05.24 Исполнение полномочий единого исполнительного органа, предоплата за май 2024г. по дог.ИО-41 от 21.02.23 Объект:М., Вишневая, вл. 7 Без налога (НДС)</t>
  </si>
  <si>
    <t>Списание с расчетного счета C1MR-000006 от 14.05.2024 23:42:20</t>
  </si>
  <si>
    <t>Оплата по счету  558 от 22 апреля 2024 г. Бух. обслуживание по договору 1/23-ЭФ-МР от22.02.2023 за апрель 2024 года.Подготовка документов по запросу на основании поручения №0839 из СЭД. Без налога (НДС)</t>
  </si>
  <si>
    <t>Списание с расчетного счета C1MR-000007 от 22.05.2024 22:32:20</t>
  </si>
  <si>
    <t>Списание с расчетного счета C1MR-000008 от 01.06.2024 18:55:42</t>
  </si>
  <si>
    <t>Аванс по сч.1567 от 01.06.24 Исполнение полномочий единого исполнительного органа, предоплата за июнь 2024г. по дог.ИО-41 от 21.02.23 Объект:М., Вишневая, вл. 7 Без налога (НДС)</t>
  </si>
  <si>
    <t>Списание с расчетного счета C1MR-000009 от 06.06.2024 23:24:49</t>
  </si>
  <si>
    <t>ФАС РОССИИ</t>
  </si>
  <si>
    <t>Государственная пошлина за рассмотрение ходатайства, предусмотренного антимонопольным законодательством. Без налога (НДС)</t>
  </si>
  <si>
    <t>Списание с расчетного счета C1MR-000010 от 21.06.2024 23:59:59</t>
  </si>
  <si>
    <t>Аванс по сч.1683 от 23.05.24 абонентское юридическое обслуживание за период с 23.05.24г по 22.05.25г по дог.ГВУ-084 от 23.05.23 Объект:М., Вишневая, вл. 7 Без налога (НДС)</t>
  </si>
  <si>
    <t>Списание с расчетного счета C1MR-000011 от 24.06.2024 23:59:59</t>
  </si>
  <si>
    <t>Оплата по счету № 790 от 22 мая 2024 гБух. обслуживание по договору № 1/23-ЭФ-МР от22.02.2023 за май 2024 годЛицензия на использ-е сервиса сдачи отчет-и Контур.Экстерн с 06.03.2024 по 2025..Без налога (НДС)</t>
  </si>
  <si>
    <t>Списание с расчетного счета C1MR-000012 от 24.06.2024 23:59:59</t>
  </si>
  <si>
    <t>Списание с расчетного счета C1MR-000013 от 01.07.2024 23:59:59</t>
  </si>
  <si>
    <t>Оплата по сч.2197 от 30.06.24 вознаграждение за администрирование за июнь 2024г. по дог.ГВУ-084 от 23.05.23 Объект:М., Вишневая, вл. 7 Без налога (НДС)</t>
  </si>
  <si>
    <t>Списание с расчетного счета C1MR-000014 от 19.07.2024 23:59:59</t>
  </si>
  <si>
    <t>Аванс по сч.2245 от 09.07.24 пополнение депозита по состоянию на 30.06.2024г по дог.ГВУ-084 от 23.05.23 Объект:М., Вишневая, вл. 7 Без налога (НДС)</t>
  </si>
  <si>
    <t>Списание с расчетного счета C1MR-000015 от 19.07.2024 23:59:59</t>
  </si>
  <si>
    <t>Поступление на расчетный счет C1MR-000002 от 23.07.2024 23:59:59</t>
  </si>
  <si>
    <t>Оплата по счету № 952 от 24 июня 2024г. Бухгалтерское обслуживание по договору № 1/23-ЭФ-МР от 22.02.2023 за июнь 2024 года Без налога (НДС)</t>
  </si>
  <si>
    <t>Списание с расчетного счета C1MR-000016 от 29.07.2024 23:59:59</t>
  </si>
  <si>
    <t>Аванс по сч.2072 от 01.07.24 субаренда нежилого помещения, предоплата за июль, август, сентябрь 2024г по дог.Г-59/23 от 22.02.23 Объект:М., Вишневая, вл. 7 Без налога (НДС)</t>
  </si>
  <si>
    <t>Списание с расчетного счета C1MR-000017 от 29.07.2024 23:59:59</t>
  </si>
  <si>
    <t>Аванс по сч.1930 от 01.07.24 Исполнение полномочий единого исполнительного органа, предоплата за июль 2024г. по дог.ИО-41 от 21.02.23 Объект:М., Вишневая, вл. 7 Без налога (НДС)</t>
  </si>
  <si>
    <t>Списание с расчетного счета C1MR-000018 от 29.07.2024 23:59:59</t>
  </si>
  <si>
    <t>Списание с расчетного счета C1MR-000019 от 01.08.2024 23:59:59</t>
  </si>
  <si>
    <t>Аванс по сч.2436 от 01.08.24 Исполнение полномочий единого исполнительного органа, предоплата за август 2024г. по дог.ИО-41 от 21.02.23 Объект:М., Вишневая, вл. 7 Без налога (НДС)</t>
  </si>
  <si>
    <t>Списание с расчетного счета C1MR-000020 от 12.08.2024 23:59:59</t>
  </si>
  <si>
    <t>Списание с расчетного счета C1MR-000021 от 01.09.2024 12:00:13</t>
  </si>
  <si>
    <t>У3-Холдинг ООО</t>
  </si>
  <si>
    <t>У3-Холдинг_ЛОКО_руб</t>
  </si>
  <si>
    <t>Комиссия за ведение счета КБ "ЛОКО-Банк" (АО) по счету №40701810700390260002 за август 2024 г.</t>
  </si>
  <si>
    <t>Списание с расчетного счета U3MR-000001 от 04.09.2024 23:59:59</t>
  </si>
  <si>
    <t>Списание с расчетного счета U3MR-000002 от 04.09.2024 23:59:59</t>
  </si>
  <si>
    <t>Оплата комиссии за обслуживание по системе Интернет-Банк КБ "ЛОКО-Банк (АО)" ООО "У3-ХОЛДИНГ" за период с 01.08.2024 по 31.08.2024</t>
  </si>
  <si>
    <t>Списание с расчетного счета U3MR-000003 от 04.09.2024 23:59:59</t>
  </si>
  <si>
    <t>Списание с расчетного счета U3MR-000004 от 04.09.2024 23:59:59</t>
  </si>
  <si>
    <t>Оплата уставного капитала согласно Решению об учреждении ООО "У3-Холдинг" от 06.08.2024.Без НДС;ТИМОХИН РОМАН СЕРГЕЕВИЧ;03/09/2024</t>
  </si>
  <si>
    <t>Поступление на расчетный счет U3MR-000001 от 04.09.2024 23:59:59</t>
  </si>
  <si>
    <t>Аванс по сч.24934040011 от 01.08.24г., 9714004825-771401001 ООО "С1-ХОЛДИНГ", Право использования программы для ЭВМ Контур.Диадок API-Лицензия сроком на 1 год, Объект:М., Вишневая, вл. 7 Без налога (НДС)</t>
  </si>
  <si>
    <t>Списание с расчетного счета C1MR-000022 от 05.09.2024 23:59:59</t>
  </si>
  <si>
    <t>Оплата по счету № 1159 от 23 июля 2024 г.Бухгалтерское обслуживание по договору № 1/23-ЭФ-МР от  22.02.2023 за июль 2024 года.Без налога (НДС)</t>
  </si>
  <si>
    <t>Списание с расчетного счета C1MR-000023 от 05.09.2024 23:59:59</t>
  </si>
  <si>
    <t>Списание с расчетного счета U3MR-000005 от 10.09.2024 23:59:59</t>
  </si>
  <si>
    <t>Списание с расчетного счета U3MR-000006 от 10.09.2024 23:59:59</t>
  </si>
  <si>
    <t>Аванс по сч.2637 от 01.09.24 Исполнение полномочий единого исполнительного органа, предоплата за сентябрь 2024г. по дог.ИО-41 от 21.02.23 Объект:М., Вишневая, вл. 7 Без налога (НДС)</t>
  </si>
  <si>
    <t>Списание с расчетного счета C1MR-000024 от 17.09.2024 20:33:51</t>
  </si>
  <si>
    <t>Договор №20/09/2024-5-ТК от 20.09.24 ( КС +1%) (1000000 руб.) (31.12.25)</t>
  </si>
  <si>
    <t>MR-669343</t>
  </si>
  <si>
    <t>Предоставление части займа по договору займа N20/09/2024-5-ТК от 20.09.24 согласно заявке N7990 от 20.09.2024 г. Без налога (НДС)</t>
  </si>
  <si>
    <t>Поступление на расчетный счет U3MR-000002 от 23.09.2024 21:53:18</t>
  </si>
  <si>
    <t>Оплата по счету № 1316 от 23 августа 2024г. Бух. обслуживание по договору № 1/23-ЭФ-МР от 22.02.2023 за август 2024 года.  Без налога (НДС)</t>
  </si>
  <si>
    <t>Списание с расчетного счета C1MR-000025 от 27.09.2024 20:39:10</t>
  </si>
  <si>
    <t>Аванс по сч.-оферте №24935155333 от 16.09.24, 9714004825-771401001 ООО "С1-ХОЛДИНГ" Право использования программы для ЭВМ "Контур.EDI" Объект:М., Вишневая, вл. 7 Без налога (НДС)</t>
  </si>
  <si>
    <t>Списание с расчетного счета C1MR-000026 от 27.09.2024 20:39:11</t>
  </si>
  <si>
    <t>Комиссия за ведение счета КБ "ЛОКО-Банк" (АО) по счету №40701810700390260002 за сентябрь 2024 г.</t>
  </si>
  <si>
    <t>Списание с расчетного счета U3MR-000007 от 30.09.2024 23:59:59</t>
  </si>
  <si>
    <t>Оплата комиссии за обслуживание по системе Интернет-Банк КБ "ЛОКО-Банк (АО)" ООО "У3-ХОЛДИНГ" за период с 01.09.2024 по 30.09.2024</t>
  </si>
  <si>
    <t>Списание с расчетного счета U3MR-000008 от 30.09.2024 23:59:59</t>
  </si>
  <si>
    <t>Списание с расчетного счета C1MR-000027 от 01.10.2024 22:26:53</t>
  </si>
  <si>
    <t>Договор №СБ-23/24 от 09.08.24</t>
  </si>
  <si>
    <t>MR-661787</t>
  </si>
  <si>
    <t>Аванс по сч.2882 от 09.08.24 Субаренда нежилого помещения, предоплата за период 09.08.2024 - 31.08.2024; сентябрь 2024 г. по дог.СБ-23/24 от 09.08.24
Без налога (НДС)</t>
  </si>
  <si>
    <t>Списание с расчетного счета U3MR-000009 от 08.10.2024 23:59:59</t>
  </si>
  <si>
    <t>Комиссия за платежи с р/с 40701810700390260002 Канал поступления - Интернет-банк ЮЛ (1 шт.) Сумма комиссии - 50.00.</t>
  </si>
  <si>
    <t>Списание с расчетного счета U3MR-000010 от 08.10.2024 23:59:59</t>
  </si>
  <si>
    <t>Предоставление части займа по договору займа N20/09/2024-5-ТК от 20.09.24 согласно заявке N8722 от 09.10.2024 г. Без налога (НДС)</t>
  </si>
  <si>
    <t>Поступление на расчетный счет U3MR-000003 от 10.10.2024 23:59:59</t>
  </si>
  <si>
    <t>Оплата по счету № 1483 от 23 сентября 2024 г. Бухгалтерское обслуживание по договору № 1/23-ЭФ-МР от  22.02.2023 за сентябрь 2024 года. Без налога (НДС)</t>
  </si>
  <si>
    <t>Списание с расчетного счета C1MR-000028 от 15.10.2024 21:40:06</t>
  </si>
  <si>
    <t>Аванс по сч.2996 от 01.10.24 субаренда нежилого помещения, предоплата за октябрь 2024г по дог.Г-59/23 от 22.02.23 Объект:М., Вишневая, вл. 7 Без налога (НДС)</t>
  </si>
  <si>
    <t>Списание с расчетного счета C1MR-000029 от 15.10.2024 21:40:07</t>
  </si>
  <si>
    <t>Аванс по сч.3070 от 01.10.24 Исполнение полномочий единого исполнительного органа, предоплата за октябрь 2024г. по дог.ИО-41 от 21.02.23 Объект:М., Вишневая, вл. 7 Без налога (НДС)</t>
  </si>
  <si>
    <t>Списание с расчетного счета C1MR-000030 от 15.10.2024 21:40:08</t>
  </si>
  <si>
    <t>Поступление на расчетный счет C1MR-000003 от 15.10.2024 21:40:09</t>
  </si>
  <si>
    <t>Аванс по сч.3111 от 01.10.24 Субаренда нежилого помещения, предоплата за октябрь 2024 г. по дог.СБ-23/24 от 09.08.24
Без налога (НДС)</t>
  </si>
  <si>
    <t>Списание с расчетного счета U3MR-000011 от 18.10.2024 19:59:00</t>
  </si>
  <si>
    <t>MR-668777</t>
  </si>
  <si>
    <t>Аванс по сч.-оферте 24934707446 от 28.08.24 Право исп. программы для ЭВМ "Контур.Диадок" API-Лицензия на 1г. 24934707446,9714056245-771401001 ООО "У3-ХОЛДИНГ"
Без налога (НДС)</t>
  </si>
  <si>
    <t>Списание с расчетного счета U3MR-000012 от 18.10.2024 19:59:01</t>
  </si>
  <si>
    <t>Комиссия за платежи с р/с 40701810700390260002 Канал поступления - Интернет-банк ЮЛ (2 шт.) Сумма комиссии - 100.00.</t>
  </si>
  <si>
    <t>Списание с расчетного счета U3MR-000013 от 18.10.2024 19:59:02</t>
  </si>
  <si>
    <t>Договор №ИО-80 от 09.08.24</t>
  </si>
  <si>
    <t>MR-662807</t>
  </si>
  <si>
    <t>Аванс по сч.3308 от 01.10.24 Исполнение полномочий единого исполнительного органа, предоплата за октябрь 2024г. по дог.ИО-80 от 09.08.24
Без налога (НДС)</t>
  </si>
  <si>
    <t>Списание с расчетного счета U3MR-000014 от 22.10.2024 23:59:59</t>
  </si>
  <si>
    <t>Оплата по сч.3306 от 09.08.24 Исполнение полномочий единого исполнительного органа, за период 09.08.2024 - 31.08.2024 гг. по дог.ИО-80 от 09.08.24
Без налога (НДС)</t>
  </si>
  <si>
    <t>Списание с расчетного счета U3MR-000016 от 22.10.2024 23:59:59</t>
  </si>
  <si>
    <t>Комиссия за платежи с р/с 40701810700390260002 Канал поступления - Интернет-банк ЮЛ (3 шт.) Сумма комиссии - 150.00.</t>
  </si>
  <si>
    <t>Списание с расчетного счета U3MR-000017 от 22.10.2024 23:59:59</t>
  </si>
  <si>
    <t>Оплата по сч.3307 от 01.09.24 Исполнение полномочий единого исполнительного органа за сентябрь 2024г. по дог.ИО-80 от 09.08.24
Без налога (НДС)</t>
  </si>
  <si>
    <t>Списание с расчетного счета U3MR-000015 от 22.10.2024 23:59:59</t>
  </si>
  <si>
    <t>Оплата по сч.3281 от 30.09.24 вознаграждение за администрирование за сентябрь 2024г. по дог.ГВУ-084 от 23.05.23 Объект:М., Вишневая, вл. 7 Без налога (НДС)</t>
  </si>
  <si>
    <t>Списание с расчетного счета C1MR-000031 от 24.10.2024 23:59:59</t>
  </si>
  <si>
    <t>Аванс по сч.3212 от 01.10.24 пополнение депозита по состоянию на 30.09.2024г по дог.ГВУ-084 от 23.05.23 Объект:М., Вишневая, вл. 7 Без налога (НДС)</t>
  </si>
  <si>
    <t>Списание с расчетного счета C1MR-000032 от 24.10.2024 23:59:59</t>
  </si>
  <si>
    <t>Комиссия за ведение счета КБ "ЛОКО-Банк" (АО) по счету №40701810700390260002 за октябрь 2024 г.</t>
  </si>
  <si>
    <t>Списание с расчетного счета U3MR-000018 от 31.10.2024 23:59:59</t>
  </si>
  <si>
    <t>Оплата комиссии за обслуживание по системе Интернет-Банк КБ "ЛОКО-Банк (АО)" ООО "У3-ХОЛДИНГ" за период с 01.10.2024 по 31.10.2024</t>
  </si>
  <si>
    <t>Списание с расчетного счета U3MR-000019 от 31.10.2024 23:59:59</t>
  </si>
  <si>
    <t>Списание с расчетного счета C1MR-000033 от 01.11.2024 23:59:59</t>
  </si>
  <si>
    <t>Аванс по сч.3499 от 01.11.24 Исполнение полномочий единого исполнительного органа, предоплата за ноябрь 2024г. по дог.ИО-80 от 09.08.24
Без налога (НДС)</t>
  </si>
  <si>
    <t>Списание с расчетного счета U3MR-000020 от 11.11.2024 21:01:41</t>
  </si>
  <si>
    <t>Комиссия за платежи с р/с 40701810700390260002 Канал поступления - Интернет-банк ЮЛ (1 шт.) Сумма комиссии - 40.00.</t>
  </si>
  <si>
    <t>Списание с расчетного счета U3MR-000021 от 11.11.2024 21:01:42</t>
  </si>
  <si>
    <t>Предоставление части займа по договору займа N20/09/2024-5-ТК от 20.09.24 согласно заявке N9688 от 14.11.2024 г. Без налога (НДС)</t>
  </si>
  <si>
    <t>Поступление на расчетный счет U3MR-000004 от 15.11.2024 23:59:59</t>
  </si>
  <si>
    <t>Оплата счёта №1731 от 23.10.2024 по дог №1/23-ЭФ-МР от 22.02.23 за бухгалтерское обслуживание за окт 2024г.  Без налога (НДС)</t>
  </si>
  <si>
    <t>Списание с расчетного счета C1MR-000034 от 21.11.2024 23:59:59</t>
  </si>
  <si>
    <t>Аванс по сч.3463 от 01.11.24 субаренда нежилого помещения, предоплата за ноябрь, декабрь 2024г по дог.Г-59/23 от 22.02.23 Объект:М., Вишневая, вл. 7 Без налога (НДС)</t>
  </si>
  <si>
    <t>Списание с расчетного счета C1MR-000035 от 21.11.2024 23:59:59</t>
  </si>
  <si>
    <t>Аванс по сч.3617 от 01.11.24 Субаренда нежилого помещения, предоплата за ноябрь, декабрь 2024 г. по дог.СБ-23/24 от 09.08.24
Без налога (НДС)</t>
  </si>
  <si>
    <t>Списание с расчетного счета U3MR-000022 от 27.11.2024 21:48:37</t>
  </si>
  <si>
    <t>Списание с расчетного счета U3MR-000023 от 27.11.2024 21:48:38</t>
  </si>
  <si>
    <t>Комиссия за ведение счета КБ "ЛОКО-Банк" (АО) по счету №40701810700390260002 за ноябрь 2024 г.</t>
  </si>
  <si>
    <t>Списание с расчетного счета U3MR-000024 от 29.11.2024 22:03:21</t>
  </si>
  <si>
    <t>Оплата комиссии за обслуживание по системе Интернет-Банк КБ "ЛОКО-Банк (АО)" ООО "У3-ХОЛДИНГ" за период с 01.11.2024 по 30.11.2024</t>
  </si>
  <si>
    <t>Списание с расчетного счета U3MR-000025 от 29.11.2024 22:03:22</t>
  </si>
  <si>
    <t>Списание с расчетного счета C1MR-000036 от 01.12.2024 19:28:38</t>
  </si>
  <si>
    <t>БИЗНЕС ИНТЕГРАЦИЯ АО</t>
  </si>
  <si>
    <t>Договор №БИ-13807/24 от 18.09.24</t>
  </si>
  <si>
    <t>MR-674238</t>
  </si>
  <si>
    <t>Оплата за Бухгалтерское обслуживание по Договору №БИ-13807/24 от 18.09.24  за октябрь 2024г по сч 152 от 31.10.2024г
Без налога (НДС)</t>
  </si>
  <si>
    <t>Списание с расчетного счета U3MR-000026 от 03.12.2024 23:00:01</t>
  </si>
  <si>
    <t>Оплата за Бухгалтерское обслуживание по Договору №БИ-13807/24 от 18.09.24  за сентябрь 2024г по сч 151 от 30.09.2024г
Без налога (НДС)</t>
  </si>
  <si>
    <t>Списание с расчетного счета U3MR-000027 от 03.12.2024 23:00:02</t>
  </si>
  <si>
    <t>Оплата за Бухгалтерское обслуживание по Договору №БИ-13807/24 от 18.09.24  за ноябрь 2024г по сч 190 от 28.11.2024г
Без налога (НДС)</t>
  </si>
  <si>
    <t>Списание с расчетного счета U3MR-000028 от 03.12.2024 23:00:03</t>
  </si>
  <si>
    <t>Оплата за Бухгалтерское обслуживание по Договору №БИ-13807/24 от 18.09.24 за период c 09.08.2024г по 31.08.24 по сч 150 от 01.10.2024г
Без налога (НДС)</t>
  </si>
  <si>
    <t>Списание с расчетного счета U3MR-000029 от 03.12.2024 23:00:04</t>
  </si>
  <si>
    <t>Комиссия за платежи с р/с 40701810700390260002 Канал поступления - Интернет-банк ЮЛ (4 шт.) Сумма комиссии - 160.00.</t>
  </si>
  <si>
    <t>Списание с расчетного счета U3MR-000030 от 03.12.2024 23:00:05</t>
  </si>
  <si>
    <t>Предоставление части займа по договору займа N20/09/2024-5-ТК от 20.09.24 согласно заявке N11435 от 05.12.2024 г. Без налога (НДС)</t>
  </si>
  <si>
    <t>Поступление на расчетный счет U3MR-000005 от 06.12.2024 23:59:59</t>
  </si>
  <si>
    <t>Аванс по сч.3700 от 01.12.24 Исполнение полномочий единого исполнительного органа, предоплата за декабрь 2024г. по дог.ИО-80 от 09.08.24
Без налога (НДС)</t>
  </si>
  <si>
    <t>Списание с расчетного счета U3MR-000031 от 10.12.2024 20:52:40</t>
  </si>
  <si>
    <t>Списание с расчетного счета U3MR-000032 от 10.12.2024 20:52:41</t>
  </si>
  <si>
    <t>Оплата по сч.3961 от 10.12.24 Возмещение расходов, понесенных при оказании услуг за ноябрь 2024г. по дог.ИО-80 от 09.08.24
Без налога (НДС)</t>
  </si>
  <si>
    <t>Списание с расчетного счета U3MR-000033 от 16.12.2024 23:59:59</t>
  </si>
  <si>
    <t>Оплата по сч.3966 от 30.11.24 Вознаграждение за администрирование за ноябрь 2024г. по дог.ИО-80 от 09.08.24
Без налога (НДС)</t>
  </si>
  <si>
    <t>Списание с расчетного счета U3MR-000034 от 16.12.2024 23:59:59</t>
  </si>
  <si>
    <t>Комиссия за платежи с р/с 40701810700390260002 Канал поступления - Интернет-банк ЮЛ (2 шт.) Сумма комиссии - 80.00.</t>
  </si>
  <si>
    <t>Списание с расчетного счета U3MR-000035 от 16.12.2024 23:59:59</t>
  </si>
  <si>
    <t>Комиссия за ведение счета КБ "ЛОКО-Банк" (АО) по счету №40701810700390260002 за декабрь 2024 г.</t>
  </si>
  <si>
    <t>Списание с расчетного счета U3MR-000036 от 28.12.2024 23:59:59</t>
  </si>
  <si>
    <t>Оплата комиссии за обслуживание по системе Интернет-Банк КБ "ЛОКО-Банк (АО)" ООО "У3-ХОЛДИНГ" за период с 01.12.2024 по 31.12.2024</t>
  </si>
  <si>
    <t>Списание с расчетного счета U3MR-000037 от 28.12.2024 23:59:59</t>
  </si>
  <si>
    <t>Списание с расчетного счета C1MR-000001 от 01.01.2025 19:17:50</t>
  </si>
  <si>
    <t xml:space="preserve">4102_Хозяйственные расходы </t>
  </si>
  <si>
    <t>Договор №7326 от 11.09.24</t>
  </si>
  <si>
    <t>MR-669150</t>
  </si>
  <si>
    <t>Оплата по договору Договор №7326 от 11.09.24. Хранение печатей, штампов, предоставление рабочего места за 2024 г.
В т.ч. НДС(20%) 1666-67</t>
  </si>
  <si>
    <t>Списание с расчетного счета U3MR-000001 от 15.01.2025 23:59:59</t>
  </si>
  <si>
    <t>Списание с расчетного счета U3MR-000002 от 15.01.2025 23:59:59</t>
  </si>
  <si>
    <t>Предоставление части займа по договору займа N20/09/2024-5-ТК от 20.09.24 согласно заявке N2479 от 20.01.2025 г. Без налога (НДС)</t>
  </si>
  <si>
    <t>Поступление на расчетный счет U3MR-000001 от 21.01.2025 23:59:59</t>
  </si>
  <si>
    <t>Аванс по сч.197 от 09.01.25 Исполнение полномочий единого исполнительного органа, предоплата за январь 2025г. по дог.ИО-80 от 09.08.24
В т.ч. НДС(5%) 3000-00</t>
  </si>
  <si>
    <t>Списание с расчетного счета U3MR-000003 от 23.01.2025 23:59:59</t>
  </si>
  <si>
    <t>Списание с расчетного счета U3MR-000004 от 23.01.2025 23:59:59</t>
  </si>
  <si>
    <t>Комиссия за ведение счета КБ "ЛОКО-Банк" (АО) по счету №40701810700390260002 за январь 2025 г.</t>
  </si>
  <si>
    <t>Списание с расчетного счета U3MR-000005 от 31.01.2025 23:59:59</t>
  </si>
  <si>
    <t>Оплата комиссии за обслуживание по системе Интернет-Банк КБ "ЛОКО-Банк (АО)" ООО "У3-ХОЛДИНГ" за период с 01.01.2025 по 31.01.2025</t>
  </si>
  <si>
    <t>Списание с расчетного счета U3MR-000006 от 31.01.2025 23:59:59</t>
  </si>
  <si>
    <t>Списание с расчетного счета C1MR-000002 от 01.02.2025 21:26:25</t>
  </si>
  <si>
    <t>Договор займа №БИ-13639/24 (КС+1%≥15% с ежекварт. капит.) (1 000 000 руб.) (31.12.25)</t>
  </si>
  <si>
    <t>MR-662710</t>
  </si>
  <si>
    <t>Предоставление части займа по договору займа N20/09/2024-5-ТК от 20.09.24 согласно заявке N3478 от 10.02.2025 г. Без налога (НДС)</t>
  </si>
  <si>
    <t>Поступление на расчетный счет U3MR-000002 от 11.02.2025 23:06:31</t>
  </si>
  <si>
    <t>Аванс по сч.243 от 09.01.25 Субаренда нежилого помещения, предоплата за январь, февраль, март 2025 г. по дог.СБ-23/24 от 09.08.24
В т.ч. НДС(5%) 4050-00</t>
  </si>
  <si>
    <t>Списание с расчетного счета U3MR-000007 от 20.02.2025 23:59:44</t>
  </si>
  <si>
    <t>Аванс по сч.450 от 01.02.25 Исполнение полномочий единого исполнительного органа, предоплата за февраль 2025г. по дог.ИО-80 от 09.08.24
В т.ч. НДС(5%) 3000-00</t>
  </si>
  <si>
    <t>Списание с расчетного счета U3MR-000008 от 20.02.2025 23:59:45</t>
  </si>
  <si>
    <t>Списание с расчетного счета U3MR-000009 от 20.02.2025 23:59:46</t>
  </si>
  <si>
    <t>Комиссия за ведение счета КБ "ЛОКО-Банк" (АО) по счету №40701810700390260002 за февраль 2025 г.</t>
  </si>
  <si>
    <t>Списание с расчетного счета U3MR-000010 от 28.02.2025 23:59:59</t>
  </si>
  <si>
    <t>Оплата комиссии за обслуживание по системе Интернет-Банк КБ "ЛОКО-Банк (АО)" ООО "У3-ХОЛДИНГ" за период с 01.02.2025 по 28.02.2025</t>
  </si>
  <si>
    <t>Списание с расчетного счета U3MR-000011 от 28.02.2025 23:59:59</t>
  </si>
  <si>
    <t>Списание с расчетного счета C1MR-000003 от 01.03.2025 15:04:18</t>
  </si>
  <si>
    <t>Предоставление части займа по договору займа N20/09/2024-5-ТК от 20.09.24 согласно заявке N4578 от 10.03.2025 г. Без налога (НДС)</t>
  </si>
  <si>
    <t>Поступление на расчетный счет U3MR-000003 от 11.03.2025 23:26:08</t>
  </si>
  <si>
    <t>Поступление на расчетный счет C1MR-000001 от 11.03.2025 23:59:59</t>
  </si>
  <si>
    <t>Оплата по договору №Д-55804 от 04.12.23. Хранение печатей, штампов и предоставление рабочего места за 2024 г. В т.ч. НДС(20%) 1666-67</t>
  </si>
  <si>
    <t>Списание с расчетного счета C1MR-000004 от 18.03.2025 22:43:40</t>
  </si>
  <si>
    <t>Оплата сч №1877 от 21.11.2024 по дог №1/23-ЭФ-МР от 22.02.23 за бухгалтер обслуж за ноябрь 2024г. Без налога (НДС)</t>
  </si>
  <si>
    <t>Списание с расчетного счета C1MR-000005 от 18.03.2025 22:43:41</t>
  </si>
  <si>
    <t>Оплата сч №2092 от 18.12.2024 по дог №1/23-ЭФ-МР от 22.02.23 за бухгалтер обслуж за декабрь 2024 в сумме 15 000,00 Без налога (НДС)</t>
  </si>
  <si>
    <t>Списание с расчетного счета C1MR-000006 от 18.03.2025 22:43:42</t>
  </si>
  <si>
    <t>Оплата сч №63 от 22.01.2025 по дог №1/23-ЭФ-МР от 22.02.23 за бухгалтер обслуж за янв 2025г.  В т.ч. НДС(5%) 1000-00</t>
  </si>
  <si>
    <t>Списание с расчетного счета C1MR-000007 от 18.03.2025 22:43:43</t>
  </si>
  <si>
    <t>Аванс по сч.139 от 09.01.25 субаренда нежилого помещения, предоплата за январь, февраль, март 2025г по дог.Г-59/23 от 22.02.23 Объект:М., Вишневая, вл. 7 В т.ч. НДС(5%) 2700-00</t>
  </si>
  <si>
    <t>Списание с расчетного счета C1MR-000008 от 18.03.2025 22:43:44</t>
  </si>
  <si>
    <t>Аванс по сч.3694 от 01.12.24 Исполнение полномочий единого исполнительного органа, предоплата за декабрь 2024г. по дог.ИО-41 от 21.02.23 Объект:М., Вишневая, вл. 7 Без налога (НДС)</t>
  </si>
  <si>
    <t>Списание с расчетного счета C1MR-000009 от 18.03.2025 22:43:45</t>
  </si>
  <si>
    <t>Аванс по сч.3493 от 01.11.24 Исполнение полномочий единого исполнительного органа, предоплата за ноябрь 2024г. по дог.ИО-41 от 21.02.23 Объект:М., Вишневая, вл. 7 Без налога (НДС)</t>
  </si>
  <si>
    <t>Списание с расчетного счета C1MR-000010 от 18.03.2025 22:43:46</t>
  </si>
  <si>
    <t>Аванс по сч.757 от 01.03.25 Исполнение полномочий единого исполнительного органа, предоплата за март 2025г. по дог.ИО-41 от 21.02.23 Объект:М., Вишневая, вл. 7 В т.ч. НДС(5%) 3000-00</t>
  </si>
  <si>
    <t>Списание с расчетного счета C1MR-000011 от 18.03.2025 22:43:47</t>
  </si>
  <si>
    <t>Аванс по сч.444 от 01.02.25 Исполнение полномочий единого исполнительного органа, предоплата за февраль 2025г. по дог.ИО-41 от 21.02.23 Объект:М., Вишневая, вл. 7 В т.ч. НДС(5%) 3000-00</t>
  </si>
  <si>
    <t>Списание с расчетного счета C1MR-000012 от 18.03.2025 22:43:48</t>
  </si>
  <si>
    <t>Аванс по сч.191 от 09.01.25 Исполнение полномочий единого исполнительного органа, предоплата за январь 2025г. по дог.ИО-41 от 21.02.23 Объект:М., Вишневая, вл. 7 В т.ч. НДС(5%) 3000-00</t>
  </si>
  <si>
    <t>Списание с расчетного счета C1MR-000013 от 18.03.2025 22:43:49</t>
  </si>
  <si>
    <t>Списание с расчетного счета C1MR-000014 от 27.03.2025 23:59:59</t>
  </si>
  <si>
    <t>Оплата сч №238 от 20.02.2025 по дог №1/23-ЭФ-МР от 22.02.23 за бухгалтер обслуж за февраль 2025г.  В т.ч. НДС(5%) 1000-00</t>
  </si>
  <si>
    <t>Списание с расчетного счета C1MR-000015 от 27.03.2025 23:59:59</t>
  </si>
  <si>
    <t>Комиссия за ведение счета КБ "ЛОКО-Банк" (АО) по счету №40701810700390260002 за март 2025 г.</t>
  </si>
  <si>
    <t>Списание с расчетного счета U3MR-000017 от 31.03.2025 23:59:59</t>
  </si>
  <si>
    <t>Оплата комиссии за обслуживание по системе Интернет-Банк КБ "ЛОКО-Банк (АО)" ООО "У3-ХОЛДИНГ" за период с 01.03.2025 по 31.03.2025</t>
  </si>
  <si>
    <t>Списание с расчетного счета U3MR-000018 от 31.03.2025 23:59:59</t>
  </si>
  <si>
    <t>4107</t>
  </si>
  <si>
    <t>4106</t>
  </si>
  <si>
    <t>4420</t>
  </si>
  <si>
    <t>4805</t>
  </si>
  <si>
    <t>4101</t>
  </si>
  <si>
    <t>4102</t>
  </si>
  <si>
    <t>Очередь</t>
  </si>
  <si>
    <t>Комиссии по продаже недвижимости в жилых объектах</t>
  </si>
  <si>
    <t>Оплата услуг по регистрации и передаче</t>
  </si>
  <si>
    <t>Госпошлины и прочие платежи по продаже недвижимости</t>
  </si>
  <si>
    <t>Субсидирование ипотеки</t>
  </si>
  <si>
    <t>Расходы на маркетинг и рекламу</t>
  </si>
  <si>
    <t>Налог на прибыль</t>
  </si>
  <si>
    <t>Разработка Мастер-плана 25Га</t>
  </si>
  <si>
    <t>Разработка ППТ, ПЗЗ</t>
  </si>
  <si>
    <t>МГГТ, геоподонова актуальная съемка (ЗУ 102, Ростех)</t>
  </si>
  <si>
    <t>Архивная Геоподоснова (ЗУ: ПИК, БМС, Таврос, Город соц.)</t>
  </si>
  <si>
    <t>Комплекс архивных изысканий для ППТ (инженерно-геологических и инженерно-экологических изысканий.</t>
  </si>
  <si>
    <t>Дендрологическое обследование ЗУ:102</t>
  </si>
  <si>
    <t>Комплекс изысканий для объекта на ЗУ 102 (инженерно-геологических и инженерно-экологических изысканий.</t>
  </si>
  <si>
    <t>Археологические изыскания, справки ДКН, ГИКЭ</t>
  </si>
  <si>
    <t>Гидрологические изыскания (в виду близости р.Яузы)</t>
  </si>
  <si>
    <t>Схема транспортного обеспечения 
(консультанты типа Сити Мейкерс)</t>
  </si>
  <si>
    <t>КСИО - Комплексная схема инженерного обеспечения</t>
  </si>
  <si>
    <t>КСИО - Комплексная схема электоснабжения</t>
  </si>
  <si>
    <t>Разработка схемы теплоснабжения для подключения перспективных объектов жилой застройки к системе теплоснабжения ПАО «МОЭК</t>
  </si>
  <si>
    <t>Вертикальная планировка всего МП, увязка с Дорогами и сетями</t>
  </si>
  <si>
    <t>Вынос осей в натуру подземных сооружений и коммуникаций, при наличии (ЗУ Ростех)</t>
  </si>
  <si>
    <t>Справка о СЗЗ (Генплан)</t>
  </si>
  <si>
    <t xml:space="preserve">Сокращение санитарно-защитной зоны с обоснованием возможности размещения в границах участка проектируемого объекта (СЗЗ УДС) </t>
  </si>
  <si>
    <t xml:space="preserve">Аналитика по размещению проектируемых укрытий ГО, согласование ТЗ на мастер-план в Департаменте ГО и ЧС </t>
  </si>
  <si>
    <t>Сторожевой дом (реконтрукция, интерьер)</t>
  </si>
  <si>
    <t>Проект парка - модерация конкурса</t>
  </si>
  <si>
    <t>СПиЧ</t>
  </si>
  <si>
    <t>ГлавАПУ/Генплан</t>
  </si>
  <si>
    <t>МГГТ</t>
  </si>
  <si>
    <t>АИСТ</t>
  </si>
  <si>
    <t>CM International</t>
  </si>
  <si>
    <t>ПРОЧИЕ РАБОТЫ ПО ЗУ</t>
  </si>
  <si>
    <t>АРЕНДА ЗУ/ПРОЧИЕ РАБОТЫ ПО ЗУ</t>
  </si>
  <si>
    <t>Рыжкин Александр Евгеньевич ИП</t>
  </si>
  <si>
    <t>Кадастровые работы</t>
  </si>
  <si>
    <t>ООО "ГЕОМЕНЕДЖЕР СИТИ"</t>
  </si>
  <si>
    <t>Приобретение ОКСов основного ЗУ</t>
  </si>
  <si>
    <t>Приобретение домика сторожа</t>
  </si>
  <si>
    <t>Выкуп ЗУ ТАВРОС площадью 0, 96 га</t>
  </si>
  <si>
    <t>Архитектурная концепция (фасады) на ЗУ:102 (АГК) 1оч.</t>
  </si>
  <si>
    <t>Стадия П 1оч.</t>
  </si>
  <si>
    <t>Аудит Концепции, Стадии П (КР, ВИС, СС) 1 очереди (до РНС)</t>
  </si>
  <si>
    <t>Независимый расчет КР</t>
  </si>
  <si>
    <t>Научно-техническое сопровождение НТС КР для МГЭ</t>
  </si>
  <si>
    <t>Отчет Stack Effect (только по секциям выше 100м)</t>
  </si>
  <si>
    <t>ГО и ЧС Разработка раздела проектной документации в части "перечня мероприятий по гражданской обороне, мероприятий по предупреждению чрезвычайных ситуаций природного и техногенного характера"</t>
  </si>
  <si>
    <t xml:space="preserve">Определение расчетных ветровых нагрузок, действующих на проектируемый многофункциональный жилой комплекс </t>
  </si>
  <si>
    <t>Альбом АГР</t>
  </si>
  <si>
    <t>Альбом ПСО</t>
  </si>
  <si>
    <t>Транспортная схема (ПОДД)</t>
  </si>
  <si>
    <t>Дизайн-проект Благоустройства 1-й очереди</t>
  </si>
  <si>
    <t>Дизайн- проект благоустройства внутренней территории</t>
  </si>
  <si>
    <t>Дизайн- проект МОП 1-й очереди</t>
  </si>
  <si>
    <t>Разработка "Альбома планировок типовых квартир"</t>
  </si>
  <si>
    <t xml:space="preserve">Расчет фоновых концентраций загрязн.вещ-в в атмосферн.воздухе по данным гос.наблюд.сети </t>
  </si>
  <si>
    <t>Справки для Стадии П (НИиПи Генплана, ДКН, ФГБУ "Центральное УГМС" и пр.</t>
  </si>
  <si>
    <t>Обследование окружающей Застройки ЗУ:102</t>
  </si>
  <si>
    <t>СТУ на проектирование противопожарной защиты - Сопровождение</t>
  </si>
  <si>
    <t>СТУ на проектирование противопожарной защиты</t>
  </si>
  <si>
    <t>СЗ на ТП (трансофрматорную подстанцию)</t>
  </si>
  <si>
    <t>Оплата МГЭ (Мосгосэкспертизы)</t>
  </si>
  <si>
    <t xml:space="preserve">ПОС </t>
  </si>
  <si>
    <t>ПОС на подготовительный период (ПКТИ)</t>
  </si>
  <si>
    <t>Стадия П 2оч.</t>
  </si>
  <si>
    <t>Аудит Концепции, Стадии П (КР, ВИС, СС) 2 очереди (до РНС)</t>
  </si>
  <si>
    <t>Архитектурная концепция (фасады) на ЗУ:102 (АГК) 2оч.</t>
  </si>
  <si>
    <t>Рабочая документация , в т.ч. "Стройгенплан" и его согласование ОПС</t>
  </si>
  <si>
    <t>Разработка рабочей документации на устройство ограждения котлована и свайного фундамента</t>
  </si>
  <si>
    <t>Вынос сетей (проектирование ЗУ:102) (Газ,ТП,электрика,теплосеть)</t>
  </si>
  <si>
    <t>РД на снос зданий (ПОД, ПОР) 1 оч.</t>
  </si>
  <si>
    <t>Вырубка деревьев(ЗУ 102) 1 очередь</t>
  </si>
  <si>
    <t xml:space="preserve">Вынос ЭОМ </t>
  </si>
  <si>
    <t xml:space="preserve">Вынос СС </t>
  </si>
  <si>
    <t>Вынос водопровода</t>
  </si>
  <si>
    <t>Вынос хоз.бытовой канализации</t>
  </si>
  <si>
    <t xml:space="preserve">Вынос дождевой канализации </t>
  </si>
  <si>
    <t xml:space="preserve">Вынос теплосети </t>
  </si>
  <si>
    <t xml:space="preserve">Перенос ГРП (МОСГАЗ) стоимость уточняется* </t>
  </si>
  <si>
    <t>Вынос ТП (3 шт.)</t>
  </si>
  <si>
    <t xml:space="preserve">Снос зданий </t>
  </si>
  <si>
    <t xml:space="preserve">Нулевой цикл: 
опытные сваи, разработка котлована, ограждение котлована СВГ, основное свайное поле </t>
  </si>
  <si>
    <t>Вырубка деревьев(ЗУ 102), 2 очередь</t>
  </si>
  <si>
    <t xml:space="preserve">Снос зданий, 2 очередь </t>
  </si>
  <si>
    <t>Бюджет на проектирование РД</t>
  </si>
  <si>
    <t>Бюджет на проектирование Концепция и Стадия П</t>
  </si>
  <si>
    <t>НИИЖБ</t>
  </si>
  <si>
    <t>Стройконтроль за основными СМР</t>
  </si>
  <si>
    <t>Строительный контроль за ИГИ</t>
  </si>
  <si>
    <t>Строительный контроль</t>
  </si>
  <si>
    <t>Бюджет на согласования</t>
  </si>
  <si>
    <t>Проектирование наружных сетей Стадия П</t>
  </si>
  <si>
    <t>Бюджет на сети</t>
  </si>
  <si>
    <t>Управление продажами</t>
  </si>
  <si>
    <t>РНС 1</t>
  </si>
  <si>
    <t>РНВ 2</t>
  </si>
  <si>
    <t>1+2 очереди</t>
  </si>
  <si>
    <t>МАРЖ-СТЬ после Н/О</t>
  </si>
  <si>
    <t>ПРОЕКТИРОВАНИЕ (П+РД)</t>
  </si>
  <si>
    <t>СМР жилье</t>
  </si>
  <si>
    <t>СМР офисы</t>
  </si>
  <si>
    <t>СМР ТЦ</t>
  </si>
  <si>
    <t>ПРОЕКТИРОВАНИЕ (К+П+РД)</t>
  </si>
  <si>
    <t>доля рассрочки</t>
  </si>
  <si>
    <t>ПВ</t>
  </si>
  <si>
    <t>остаток</t>
  </si>
  <si>
    <t>поступление остатка</t>
  </si>
  <si>
    <t>рассрочка</t>
  </si>
  <si>
    <t>1+2 оч</t>
  </si>
  <si>
    <t>БРОКЕРИДЖ и РАСХОДЫ НА ПРОДАЖУ</t>
  </si>
  <si>
    <t>(м2/Га)</t>
  </si>
  <si>
    <t>КОМИССИЯ БРОКЕРА</t>
  </si>
  <si>
    <t>КОМИССИЯ ЗА УП</t>
  </si>
  <si>
    <t>ПРОЦЕНТ ОТ ПРОДАЖ</t>
  </si>
  <si>
    <t>УУПСС</t>
  </si>
  <si>
    <t>77:02:0019010</t>
  </si>
  <si>
    <t>ИТОГО</t>
  </si>
  <si>
    <t>ИТОГО с индексацией:</t>
  </si>
  <si>
    <t>*Коэф. инфляции в соответствии с распоряжение ДЭПР от 28.12.2024 №ДПР-Р-34/24</t>
  </si>
  <si>
    <t>КОМПЕНСАЦИЯ</t>
  </si>
  <si>
    <t>Маркетинг до РНС</t>
  </si>
  <si>
    <t>ВИД ПРАВА</t>
  </si>
  <si>
    <t>РД ген. подрядчик</t>
  </si>
  <si>
    <t>Водопонижение</t>
  </si>
  <si>
    <t>Бюджет на содержание площадки</t>
  </si>
  <si>
    <t>Механизация</t>
  </si>
  <si>
    <t>Эксплуатация механизации</t>
  </si>
  <si>
    <t>Обеспечение средств безопасности контура ограждения (сигнализация, видеонаблюдение, освещение)</t>
  </si>
  <si>
    <t>Строительное водопонижение</t>
  </si>
  <si>
    <t>Устранение замечаний регистрации ОКСов</t>
  </si>
  <si>
    <t>Строительство соц. объектов</t>
  </si>
  <si>
    <t>Вощзмещение затрат соц. объектов</t>
  </si>
  <si>
    <t>СМР соц. объектов (компенсация)</t>
  </si>
  <si>
    <t>БГ для соц. объектов</t>
  </si>
  <si>
    <t>темп 1 оч</t>
  </si>
  <si>
    <t>инфляция</t>
  </si>
  <si>
    <t>темп 2 оч</t>
  </si>
  <si>
    <t>темп 3 оч</t>
  </si>
  <si>
    <t>темп 4 оч</t>
  </si>
  <si>
    <t>темп 5 оч</t>
  </si>
  <si>
    <t>темп 6 оч</t>
  </si>
  <si>
    <t>темп 7 оч</t>
  </si>
  <si>
    <t>темп 8 оч</t>
  </si>
  <si>
    <t>темп 9 оч</t>
  </si>
  <si>
    <t>темп 10 оч</t>
  </si>
  <si>
    <t>темп 11 оч</t>
  </si>
  <si>
    <t>темп 12 оч</t>
  </si>
  <si>
    <t>темп 13 оч</t>
  </si>
  <si>
    <t>темп 14 оч</t>
  </si>
  <si>
    <t>темп 15 оч</t>
  </si>
  <si>
    <t>бизнес</t>
  </si>
  <si>
    <r>
      <t>50 - 53 м</t>
    </r>
    <r>
      <rPr>
        <vertAlign val="superscript"/>
        <sz val="9"/>
        <color theme="0"/>
        <rFont val="Grtsk Giga"/>
        <charset val="204"/>
      </rPr>
      <t>2</t>
    </r>
  </si>
  <si>
    <t>3 оч</t>
  </si>
  <si>
    <t>4 оч</t>
  </si>
  <si>
    <t>5 оч</t>
  </si>
  <si>
    <t>6 оч</t>
  </si>
  <si>
    <t>7 оч</t>
  </si>
  <si>
    <t>8 оч</t>
  </si>
  <si>
    <t>9 оч</t>
  </si>
  <si>
    <t>10 оч</t>
  </si>
  <si>
    <t>11 оч</t>
  </si>
  <si>
    <t>12 оч</t>
  </si>
  <si>
    <t>13 оч</t>
  </si>
  <si>
    <t>14 оч</t>
  </si>
  <si>
    <t>15 оч</t>
  </si>
  <si>
    <t>РнС</t>
  </si>
  <si>
    <t>РНВ 1</t>
  </si>
  <si>
    <t>РНВ 4</t>
  </si>
  <si>
    <t>Сезонность</t>
  </si>
  <si>
    <t>ТЭП жилья</t>
  </si>
  <si>
    <t>3Q 26</t>
  </si>
  <si>
    <t>4Q 26</t>
  </si>
  <si>
    <t>1Q 27</t>
  </si>
  <si>
    <t>2Q 27</t>
  </si>
  <si>
    <t>3Q 27</t>
  </si>
  <si>
    <t>4Q 27</t>
  </si>
  <si>
    <t>1Q 28</t>
  </si>
  <si>
    <t>2Q 28</t>
  </si>
  <si>
    <t>3Q 28</t>
  </si>
  <si>
    <t>4Q 28</t>
  </si>
  <si>
    <t>1Q 29</t>
  </si>
  <si>
    <t>2Q 29</t>
  </si>
  <si>
    <t>3Q 29</t>
  </si>
  <si>
    <t>4Q 29</t>
  </si>
  <si>
    <t>1Q 30</t>
  </si>
  <si>
    <t>2Q 30</t>
  </si>
  <si>
    <t>3Q 30</t>
  </si>
  <si>
    <t>4Q 30</t>
  </si>
  <si>
    <t>1Q 31</t>
  </si>
  <si>
    <t>2Q 31</t>
  </si>
  <si>
    <t>3Q 31</t>
  </si>
  <si>
    <t>4Q 31</t>
  </si>
  <si>
    <t>1Q 32</t>
  </si>
  <si>
    <t>2Q 32</t>
  </si>
  <si>
    <t>3Q 32</t>
  </si>
  <si>
    <t>4Q 32</t>
  </si>
  <si>
    <t>1Q 33</t>
  </si>
  <si>
    <t>2Q 33</t>
  </si>
  <si>
    <t>3Q 33</t>
  </si>
  <si>
    <t>4Q 33</t>
  </si>
  <si>
    <t>1Q 34</t>
  </si>
  <si>
    <t>2Q 34</t>
  </si>
  <si>
    <t>3Q 34</t>
  </si>
  <si>
    <t>4Q 34</t>
  </si>
  <si>
    <t>1Q 35</t>
  </si>
  <si>
    <t>2Q 35</t>
  </si>
  <si>
    <t>3Q 35</t>
  </si>
  <si>
    <t>4Q 35</t>
  </si>
  <si>
    <t>1Q 36</t>
  </si>
  <si>
    <t>2Q 36</t>
  </si>
  <si>
    <t>3Q 36</t>
  </si>
  <si>
    <t>4Q 36</t>
  </si>
  <si>
    <t>1Q 37</t>
  </si>
  <si>
    <t>2Q 37</t>
  </si>
  <si>
    <t>3Q 37</t>
  </si>
  <si>
    <t>4Q 37</t>
  </si>
  <si>
    <t>1Q 38</t>
  </si>
  <si>
    <t>2Q 38</t>
  </si>
  <si>
    <t>3Q 38</t>
  </si>
  <si>
    <t>4Q 38</t>
  </si>
  <si>
    <t>Итого</t>
  </si>
  <si>
    <t>MIRA (информационно)</t>
  </si>
  <si>
    <t>темп</t>
  </si>
  <si>
    <t>СВЦ</t>
  </si>
  <si>
    <t>СВЦ - с учетом наценки на рассрочку</t>
  </si>
  <si>
    <t>MIRA</t>
  </si>
  <si>
    <t>Сезонный коэффициент</t>
  </si>
  <si>
    <t>1Q</t>
  </si>
  <si>
    <t>2Q</t>
  </si>
  <si>
    <t>3Q</t>
  </si>
  <si>
    <t>4Q</t>
  </si>
  <si>
    <t>База расчета</t>
  </si>
  <si>
    <r>
      <t>Темп, м</t>
    </r>
    <r>
      <rPr>
        <b/>
        <vertAlign val="superscript"/>
        <sz val="8"/>
        <color theme="1"/>
        <rFont val="Suisse Intl Light"/>
        <family val="2"/>
      </rPr>
      <t>2</t>
    </r>
    <r>
      <rPr>
        <b/>
        <sz val="8"/>
        <color theme="1"/>
        <rFont val="Suisse Intl Light"/>
        <family val="2"/>
      </rPr>
      <t>/кв-л</t>
    </r>
  </si>
  <si>
    <r>
      <t>Цена старта 1-оч, тыс.руб/м</t>
    </r>
    <r>
      <rPr>
        <b/>
        <vertAlign val="superscript"/>
        <sz val="8"/>
        <color theme="0" tint="-0.34998626667073579"/>
        <rFont val="Suisse Intl Light"/>
        <family val="2"/>
      </rPr>
      <t>2</t>
    </r>
  </si>
  <si>
    <t>Рост цены, %</t>
  </si>
  <si>
    <t>старт цены</t>
  </si>
  <si>
    <t>финал цены</t>
  </si>
  <si>
    <t>К восстановление рынка</t>
  </si>
  <si>
    <t>ТЭП</t>
  </si>
  <si>
    <t>Прирост проверка,%</t>
  </si>
  <si>
    <t>СОЦИАЛЬНЫЕ ОБЪЕКТЫ</t>
  </si>
  <si>
    <t>Эксплуатация ОКСов (см. бюджет эксплуатации)</t>
  </si>
  <si>
    <t>Эксплуатация непроданых площадей</t>
  </si>
  <si>
    <t>Бюджет на мониторинги</t>
  </si>
  <si>
    <t>ГАУ "ИНСТИТУТ ГЕНПЛАНА МОСКВЫ"</t>
  </si>
  <si>
    <t>Разработка предварительного сводного плана (концепции) наружных инженерных сетей</t>
  </si>
  <si>
    <t>ЦИВИЛ ПРОЕКТ ООО</t>
  </si>
  <si>
    <t>c/c</t>
  </si>
  <si>
    <t>ПИК</t>
  </si>
  <si>
    <t>Кодификатор</t>
  </si>
  <si>
    <t>БДДС</t>
  </si>
  <si>
    <t>0000</t>
  </si>
  <si>
    <t>0000_СЛУЖЕБНЫЕ</t>
  </si>
  <si>
    <t>0110</t>
  </si>
  <si>
    <t>0110_Ввод остатков</t>
  </si>
  <si>
    <t>1000</t>
  </si>
  <si>
    <t>1000_ПОСТУПЛЕНИЯ ПО ОПЕРАЦИОННОЙ ДЕЯТЕЛЬНОСТИ</t>
  </si>
  <si>
    <t>1101</t>
  </si>
  <si>
    <t>1101_Услуги агента (авансовые платежи)</t>
  </si>
  <si>
    <t>1102</t>
  </si>
  <si>
    <t>1102_Услуги заказчика (оплата этапов)</t>
  </si>
  <si>
    <t>1103</t>
  </si>
  <si>
    <t>1103_Вознаграждение за поиск проекта (Finder's fee)</t>
  </si>
  <si>
    <t>1300</t>
  </si>
  <si>
    <t>1300_Прочие поступления</t>
  </si>
  <si>
    <t>1200</t>
  </si>
  <si>
    <t>1200_Поступления по аренде</t>
  </si>
  <si>
    <t>1201</t>
  </si>
  <si>
    <t>1201_Поступления по аренде жилой недвижимости</t>
  </si>
  <si>
    <t>1202</t>
  </si>
  <si>
    <t>1202_Поступления по аренде коммерческой недвижимости</t>
  </si>
  <si>
    <t>1203</t>
  </si>
  <si>
    <t>1203_Поступления обеспечительных платежей</t>
  </si>
  <si>
    <t>1301</t>
  </si>
  <si>
    <t>1301_Поступления по услугам эксплуатации</t>
  </si>
  <si>
    <t>1304</t>
  </si>
  <si>
    <t>1304_Поступления по возмещениям от подрядчиков</t>
  </si>
  <si>
    <t>1305</t>
  </si>
  <si>
    <t>1305_Прочий приход</t>
  </si>
  <si>
    <t>1306</t>
  </si>
  <si>
    <t>1306_Поступление ошибочно перечисленных средств</t>
  </si>
  <si>
    <t>1308</t>
  </si>
  <si>
    <t>1308_Штрафы, пени к получению</t>
  </si>
  <si>
    <t>1309</t>
  </si>
  <si>
    <t>1309_Реализация основных средств</t>
  </si>
  <si>
    <t>1312</t>
  </si>
  <si>
    <t>1312_Поступления по возмещениям от собственников и арендаторов</t>
  </si>
  <si>
    <t>1401</t>
  </si>
  <si>
    <t>1401_Вознаграждение за успех</t>
  </si>
  <si>
    <t>1501</t>
  </si>
  <si>
    <t>1501_Поступления по агентским договорам</t>
  </si>
  <si>
    <t>1601</t>
  </si>
  <si>
    <t>1601_Организация регистрации и передачи</t>
  </si>
  <si>
    <t>1602</t>
  </si>
  <si>
    <t>1602_Поступления от эксплуатационного бизнеса</t>
  </si>
  <si>
    <t>1701</t>
  </si>
  <si>
    <t>1701_Организация привлечения эскроу/проектных кредитов (до РнВ)</t>
  </si>
  <si>
    <t>1707</t>
  </si>
  <si>
    <t>1707_Организация привлечения бридж кредитов (до РнС)</t>
  </si>
  <si>
    <t>2000</t>
  </si>
  <si>
    <t>2000_ПОСТУПЛЕНИЯ ПО ИНВЕСТИЦИОННОЙ ДЕЯТЕЛЬНОСТИ</t>
  </si>
  <si>
    <t>2200</t>
  </si>
  <si>
    <t>2200_Реализация площадей</t>
  </si>
  <si>
    <t>2201</t>
  </si>
  <si>
    <t>2201_Реализация квартир</t>
  </si>
  <si>
    <t>2202</t>
  </si>
  <si>
    <t>2202_Реализация апартаментов</t>
  </si>
  <si>
    <t>2203</t>
  </si>
  <si>
    <t>2204</t>
  </si>
  <si>
    <t>2205</t>
  </si>
  <si>
    <t>2205_Реализация торговых помещений (стрит-ритейл)</t>
  </si>
  <si>
    <t>2206</t>
  </si>
  <si>
    <t>2206_Реализация частных домов</t>
  </si>
  <si>
    <t>2207</t>
  </si>
  <si>
    <t>2207_Реализация торгового комплекса</t>
  </si>
  <si>
    <t>2208</t>
  </si>
  <si>
    <t>2208_Реализация машиномест в жилых объектах</t>
  </si>
  <si>
    <t>2209</t>
  </si>
  <si>
    <t>2209_Реализация земельных участков</t>
  </si>
  <si>
    <t>2210</t>
  </si>
  <si>
    <t>2210_Реализации объектов инженерной инфраструктуры</t>
  </si>
  <si>
    <t>2211</t>
  </si>
  <si>
    <t>2211_Реализация ДОУ</t>
  </si>
  <si>
    <t>2212</t>
  </si>
  <si>
    <t>2212_Реализация школ</t>
  </si>
  <si>
    <t>2213</t>
  </si>
  <si>
    <t>2213_Реализация машиномест в коммерческих объектах</t>
  </si>
  <si>
    <t>2214</t>
  </si>
  <si>
    <t>2214_Реализация мотомест в жилых объектах</t>
  </si>
  <si>
    <t>2215</t>
  </si>
  <si>
    <t>2215_Реализация мотомест в коммерческих объектах</t>
  </si>
  <si>
    <t>2216</t>
  </si>
  <si>
    <t>2216_Реализация складских помещений</t>
  </si>
  <si>
    <t>2217</t>
  </si>
  <si>
    <t>2217_Реализация производственных помещений</t>
  </si>
  <si>
    <t>2400</t>
  </si>
  <si>
    <t>2400_Реализация объектов недвижимости (ВНЕ РЫНКА)</t>
  </si>
  <si>
    <t>3000</t>
  </si>
  <si>
    <t>3000_ПОСТУПЛЕНИЯ ПО ФИНАНСОВОЙ ДЕЯТЕЛЬНОСТИ</t>
  </si>
  <si>
    <t>3200</t>
  </si>
  <si>
    <t>3203</t>
  </si>
  <si>
    <t>3206</t>
  </si>
  <si>
    <t>3206_Возврат ранее выданного прочего займа</t>
  </si>
  <si>
    <t>3208</t>
  </si>
  <si>
    <t>3208_Поступление процентов по выданным прочим займам</t>
  </si>
  <si>
    <t>3500</t>
  </si>
  <si>
    <t>3500_Поступления акционерного финансирования</t>
  </si>
  <si>
    <t>3510</t>
  </si>
  <si>
    <t>3510_Поступление капитала</t>
  </si>
  <si>
    <t>3511</t>
  </si>
  <si>
    <t>3520</t>
  </si>
  <si>
    <t>3520_Поступление вложений/возврат займов</t>
  </si>
  <si>
    <t>3202</t>
  </si>
  <si>
    <t>3205</t>
  </si>
  <si>
    <t>3205_Возврат займа ранее выданного акционеру</t>
  </si>
  <si>
    <t>3209</t>
  </si>
  <si>
    <t>3209_Возврат займа ранее выданного акционеру в виде дивидендов</t>
  </si>
  <si>
    <t>3405</t>
  </si>
  <si>
    <t>3405_Поступление процентов по займам выданным акционеру</t>
  </si>
  <si>
    <t>3409</t>
  </si>
  <si>
    <t>3409_Поступление процентов по займам выданным акционеру в виде дивидендов</t>
  </si>
  <si>
    <t>3600</t>
  </si>
  <si>
    <t>3600_Поступление кредитов</t>
  </si>
  <si>
    <t>3201</t>
  </si>
  <si>
    <t>3201_Поступления эскроу/проектных кредитов (до РнВ)</t>
  </si>
  <si>
    <t>3207</t>
  </si>
  <si>
    <t>3207_Поступления бридж кредитов (до РнС)</t>
  </si>
  <si>
    <t>3700</t>
  </si>
  <si>
    <t>3701</t>
  </si>
  <si>
    <t>3701_Получение финансовой помощи</t>
  </si>
  <si>
    <t>3702</t>
  </si>
  <si>
    <t>3702_Положительная курсовая разница</t>
  </si>
  <si>
    <t>3703</t>
  </si>
  <si>
    <t>3703_Реализация акций, долей</t>
  </si>
  <si>
    <t>3704</t>
  </si>
  <si>
    <t>3704_Возврат депозита</t>
  </si>
  <si>
    <t>3705</t>
  </si>
  <si>
    <t>3705_Поступление процентов по депозиту</t>
  </si>
  <si>
    <t>7218</t>
  </si>
  <si>
    <t>4000</t>
  </si>
  <si>
    <t>4000_ВЫПЛАТЫ ПО ОПЕРАЦИОННОЙ ДЕЯТЕЛЬНОСТИ</t>
  </si>
  <si>
    <t>4100</t>
  </si>
  <si>
    <t>4100_Консалтинговые и юридические услуги</t>
  </si>
  <si>
    <t>4109</t>
  </si>
  <si>
    <t>4109_Услуги по подбору и обучению персонала</t>
  </si>
  <si>
    <t>4109.1</t>
  </si>
  <si>
    <t>4109.1_Подбор персонала</t>
  </si>
  <si>
    <t>4109.2</t>
  </si>
  <si>
    <t>4109.2_Обучение персонала</t>
  </si>
  <si>
    <t>4112</t>
  </si>
  <si>
    <t>4112_Оценка имущества и обязательств</t>
  </si>
  <si>
    <t>4906</t>
  </si>
  <si>
    <t>4906_Управление проектом</t>
  </si>
  <si>
    <t>4200</t>
  </si>
  <si>
    <t>4200_Платежи по продажам недвижимости</t>
  </si>
  <si>
    <t>4201</t>
  </si>
  <si>
    <t>4201_Комиссии по продаже недвижимости в жилых объектах</t>
  </si>
  <si>
    <t>4202</t>
  </si>
  <si>
    <t>4202_Комиссии по сдаче недвижимости в аренду</t>
  </si>
  <si>
    <t>4203</t>
  </si>
  <si>
    <t>4203_Комиссии по продаже недвижимости в коммерческих объектах</t>
  </si>
  <si>
    <t>4204</t>
  </si>
  <si>
    <t>4204_Комиссии по продаже недвижимости в составе технопарка</t>
  </si>
  <si>
    <t>4205</t>
  </si>
  <si>
    <t>4205_Оплата агентского вознаграждения за управление продажами</t>
  </si>
  <si>
    <t>4206</t>
  </si>
  <si>
    <t>4206_Оплата услуг по регистрации и передаче</t>
  </si>
  <si>
    <t>4207</t>
  </si>
  <si>
    <t>4207_Госпошлины и прочие платежи по продаже недвижимости</t>
  </si>
  <si>
    <t>4208</t>
  </si>
  <si>
    <t>4208_Субсидирование ипотеки</t>
  </si>
  <si>
    <t>4300</t>
  </si>
  <si>
    <t>4300_Маркетинговые расходы</t>
  </si>
  <si>
    <t>4301</t>
  </si>
  <si>
    <t>4301_Анализ рынка</t>
  </si>
  <si>
    <t>4305</t>
  </si>
  <si>
    <t>4305_Диджитал маркетинг</t>
  </si>
  <si>
    <t>4306</t>
  </si>
  <si>
    <t>4306_ATL</t>
  </si>
  <si>
    <t>4306.1</t>
  </si>
  <si>
    <t>4306.1_Реклама в прессе</t>
  </si>
  <si>
    <t>4306.2</t>
  </si>
  <si>
    <t>4306.2_Наружная реклама</t>
  </si>
  <si>
    <t>4306.2.1</t>
  </si>
  <si>
    <t>4306.2.1_Outdoor</t>
  </si>
  <si>
    <t>4306.2.2</t>
  </si>
  <si>
    <t>4306.2.2_Indoor</t>
  </si>
  <si>
    <t>4306.3</t>
  </si>
  <si>
    <t>4306.3_Реклама в Интернете</t>
  </si>
  <si>
    <t>4306.5</t>
  </si>
  <si>
    <t>4306.5_Реклама на радио</t>
  </si>
  <si>
    <t>4306.6</t>
  </si>
  <si>
    <t>4306.6_Реклама на ТВ</t>
  </si>
  <si>
    <t>4306.7</t>
  </si>
  <si>
    <t>4306.7_SMM</t>
  </si>
  <si>
    <t>4306.8</t>
  </si>
  <si>
    <t>4306.8_Спецпроекты</t>
  </si>
  <si>
    <t>4307</t>
  </si>
  <si>
    <t>4307_BTL</t>
  </si>
  <si>
    <t>4307.1</t>
  </si>
  <si>
    <t>4307.1_Услуги по оформлению объектов (стр. площадок и оф. продаж)</t>
  </si>
  <si>
    <t>4307.2</t>
  </si>
  <si>
    <t>4307.2_Услуги по разр. дизайна и произв. рекл. материалов</t>
  </si>
  <si>
    <t>4307.3</t>
  </si>
  <si>
    <t>4307.3_PR</t>
  </si>
  <si>
    <t>4307.4</t>
  </si>
  <si>
    <t>4307.4_Мероприятия, выставки и конференции</t>
  </si>
  <si>
    <t>4350</t>
  </si>
  <si>
    <t>4350_Офис продаж</t>
  </si>
  <si>
    <t>4351</t>
  </si>
  <si>
    <t>4351_Отделка постоянного офиса продаж</t>
  </si>
  <si>
    <t>4352</t>
  </si>
  <si>
    <t>4352_Оснащение постоянного офиса продаж (мебель)</t>
  </si>
  <si>
    <t>4353</t>
  </si>
  <si>
    <t>4353_Оснащение постоянного офиса продаж (техника)</t>
  </si>
  <si>
    <t>4354</t>
  </si>
  <si>
    <t>4354_Расходы на временный офис продаж</t>
  </si>
  <si>
    <t>4400</t>
  </si>
  <si>
    <t>4400_IТ-расходы и связь</t>
  </si>
  <si>
    <t>4410</t>
  </si>
  <si>
    <t>4410_Инфраструктура и связь</t>
  </si>
  <si>
    <t>4411</t>
  </si>
  <si>
    <t>4411_Офисное оборудование</t>
  </si>
  <si>
    <t>4411.1</t>
  </si>
  <si>
    <t>4411.1_Приобретение офисного оборудования</t>
  </si>
  <si>
    <t>4411.2</t>
  </si>
  <si>
    <t>4411.2_Содержание офисного оборудования</t>
  </si>
  <si>
    <t>4411.3</t>
  </si>
  <si>
    <t>4411.3_Аренда оборудования для IT</t>
  </si>
  <si>
    <t>4412</t>
  </si>
  <si>
    <t>4412_Услуги связи</t>
  </si>
  <si>
    <t>4412.1</t>
  </si>
  <si>
    <t>4412.1_Услуги связи Интернет</t>
  </si>
  <si>
    <t>4412.2</t>
  </si>
  <si>
    <t>4412.2_Услуги телефонной связи</t>
  </si>
  <si>
    <t>4412.3</t>
  </si>
  <si>
    <t>4412.3_Расходы на хостинг</t>
  </si>
  <si>
    <t>4430</t>
  </si>
  <si>
    <t>4430_Сопровождение и разработка IT систем</t>
  </si>
  <si>
    <t>4440</t>
  </si>
  <si>
    <t>4440_Аутсорсинговые услуги в сфере IT</t>
  </si>
  <si>
    <t>4450</t>
  </si>
  <si>
    <t>4450_Консалтинг в сфере IT</t>
  </si>
  <si>
    <t>4500</t>
  </si>
  <si>
    <t>4500_ФОТ персонала</t>
  </si>
  <si>
    <t>4501</t>
  </si>
  <si>
    <t>4501_ФОТ ДГПХ</t>
  </si>
  <si>
    <t>4502</t>
  </si>
  <si>
    <t>4502_ФОТ штатных сотрудников</t>
  </si>
  <si>
    <t>4503</t>
  </si>
  <si>
    <t>4503_Бонус (премии) АУП</t>
  </si>
  <si>
    <t>4504</t>
  </si>
  <si>
    <t>4504_Вознаграждение совета директоров</t>
  </si>
  <si>
    <t>4505</t>
  </si>
  <si>
    <t>4505_Выплата доли девелопера</t>
  </si>
  <si>
    <t>4704</t>
  </si>
  <si>
    <t>4704_Взносы в фонды</t>
  </si>
  <si>
    <t>4705</t>
  </si>
  <si>
    <t>4705_НДФЛ</t>
  </si>
  <si>
    <t>4600</t>
  </si>
  <si>
    <t>4600_Содержание и обслуживание</t>
  </si>
  <si>
    <t>4113</t>
  </si>
  <si>
    <t>4113_Приобретение и содержание собственного транспорта</t>
  </si>
  <si>
    <t>4601</t>
  </si>
  <si>
    <t>4601_Коммунальные платежи</t>
  </si>
  <si>
    <t>4602</t>
  </si>
  <si>
    <t xml:space="preserve">4602_Эксплуатационные расходы </t>
  </si>
  <si>
    <t>4603</t>
  </si>
  <si>
    <t>4603_Услуги по безопасности</t>
  </si>
  <si>
    <t>4605</t>
  </si>
  <si>
    <t>4605_Эксплуатационные расходы управляемого объекта</t>
  </si>
  <si>
    <t>5910</t>
  </si>
  <si>
    <t>5910_Приобретение и содержание ОС и МЦ имущества</t>
  </si>
  <si>
    <t>4700</t>
  </si>
  <si>
    <t>4700_Налоги</t>
  </si>
  <si>
    <t>4701</t>
  </si>
  <si>
    <t>4701_Налог на прибыль</t>
  </si>
  <si>
    <t>4702</t>
  </si>
  <si>
    <t>4702_НДС</t>
  </si>
  <si>
    <t>4703</t>
  </si>
  <si>
    <t>4703_Налог на имущество</t>
  </si>
  <si>
    <t>4706</t>
  </si>
  <si>
    <t>4706_Прочие налоги</t>
  </si>
  <si>
    <t>4707</t>
  </si>
  <si>
    <t>4707_Штрафы, пени по налогам</t>
  </si>
  <si>
    <t>4800</t>
  </si>
  <si>
    <t>4800_Прочие выплаты</t>
  </si>
  <si>
    <t>4105</t>
  </si>
  <si>
    <t>4110</t>
  </si>
  <si>
    <t>4110_Социальные расходы</t>
  </si>
  <si>
    <t>4114</t>
  </si>
  <si>
    <t>4114_Командировочные расходы</t>
  </si>
  <si>
    <t>4115</t>
  </si>
  <si>
    <t>4115_Представительские расходы</t>
  </si>
  <si>
    <t>4405</t>
  </si>
  <si>
    <t>4405_Спонсорство и благотворительность</t>
  </si>
  <si>
    <t>4801</t>
  </si>
  <si>
    <t>4801_Неустойки, компенсации</t>
  </si>
  <si>
    <t>4802</t>
  </si>
  <si>
    <t>4802_Коммунальные платежи (возмещаемые по офисам продаж)</t>
  </si>
  <si>
    <t>4805_Другие прочие расходы</t>
  </si>
  <si>
    <t>4806</t>
  </si>
  <si>
    <t>4806_Возврат ошибочно перечисленных средств</t>
  </si>
  <si>
    <t>4808</t>
  </si>
  <si>
    <t>4808_Расходы на новые проекты</t>
  </si>
  <si>
    <t>5000</t>
  </si>
  <si>
    <t>5000_ВЫПЛАТЫ ПО ИНВЕСТИЦИОННОЙ ДЕЯТЕЛЬНОСТИ</t>
  </si>
  <si>
    <t>5100</t>
  </si>
  <si>
    <t>5100_Приобретение проекта и обременения</t>
  </si>
  <si>
    <t>5101</t>
  </si>
  <si>
    <t>5101_Приобретение объекта</t>
  </si>
  <si>
    <t>5102</t>
  </si>
  <si>
    <t>5102_Обременения</t>
  </si>
  <si>
    <t>5103</t>
  </si>
  <si>
    <t>5103_Дополнительные расходы на приобретение объекта</t>
  </si>
  <si>
    <t>5200</t>
  </si>
  <si>
    <t>5200_Проектирование</t>
  </si>
  <si>
    <t>5201</t>
  </si>
  <si>
    <t>5201_Концепция</t>
  </si>
  <si>
    <t>5202</t>
  </si>
  <si>
    <t>5202_Стадия проект</t>
  </si>
  <si>
    <t>5203</t>
  </si>
  <si>
    <t>5203_Рабочая документация</t>
  </si>
  <si>
    <t>5204</t>
  </si>
  <si>
    <t>5204_Дизайн-проект</t>
  </si>
  <si>
    <t>5312</t>
  </si>
  <si>
    <t>5312_Согласования, ТУ, изыскания</t>
  </si>
  <si>
    <t>5320</t>
  </si>
  <si>
    <t>5320_Земельно-правовые вопросы</t>
  </si>
  <si>
    <t>5303</t>
  </si>
  <si>
    <t>5303_Доля города (снятие запрета, смена ВРИ)</t>
  </si>
  <si>
    <t>5321</t>
  </si>
  <si>
    <t>5321_Кадастровые работы, тех. планы и прочее</t>
  </si>
  <si>
    <t>5322</t>
  </si>
  <si>
    <t>5322_Банковская гарантия</t>
  </si>
  <si>
    <t>5801</t>
  </si>
  <si>
    <t>5801_Аренда земельного участка/Земельный налог</t>
  </si>
  <si>
    <t>5400</t>
  </si>
  <si>
    <t>5400_СМР</t>
  </si>
  <si>
    <t>5401</t>
  </si>
  <si>
    <t>5401_Подготовительные работы, содержание площадки</t>
  </si>
  <si>
    <t>5402</t>
  </si>
  <si>
    <t>5402_Котлован</t>
  </si>
  <si>
    <t>5403</t>
  </si>
  <si>
    <t>5403_Устройство гидроизоляции подземной части</t>
  </si>
  <si>
    <t>5404</t>
  </si>
  <si>
    <t>5404_Конструктивные решения</t>
  </si>
  <si>
    <t>5405</t>
  </si>
  <si>
    <t>5405_Общестроительные работы (без отделки)</t>
  </si>
  <si>
    <t>5406</t>
  </si>
  <si>
    <t>5406_Фасадные работы</t>
  </si>
  <si>
    <t>5407</t>
  </si>
  <si>
    <t>5407_Кровля</t>
  </si>
  <si>
    <t>5408</t>
  </si>
  <si>
    <t>5408_Отделочные работы (паркинг, надземная часть МОП)</t>
  </si>
  <si>
    <t>5409</t>
  </si>
  <si>
    <t>5409_Лифты, подъемники</t>
  </si>
  <si>
    <t>5410</t>
  </si>
  <si>
    <t>5410_ВИС - механические системы</t>
  </si>
  <si>
    <t>5411</t>
  </si>
  <si>
    <t>5411_ВИС - Электрические и слаботочные системы</t>
  </si>
  <si>
    <t>5412</t>
  </si>
  <si>
    <t>5412_Благоустройство, дороги</t>
  </si>
  <si>
    <t>5413</t>
  </si>
  <si>
    <t>5413_ТХ</t>
  </si>
  <si>
    <t>5414</t>
  </si>
  <si>
    <t>5414_MR-base</t>
  </si>
  <si>
    <t>5415</t>
  </si>
  <si>
    <t>5415_MR-ready</t>
  </si>
  <si>
    <t>5417</t>
  </si>
  <si>
    <t>5417_Офис продаж (СМР)</t>
  </si>
  <si>
    <t>5419</t>
  </si>
  <si>
    <t>5419_СМР по социальным объектам</t>
  </si>
  <si>
    <t>5429</t>
  </si>
  <si>
    <t>5429_Работы по реконструкции и реставрации</t>
  </si>
  <si>
    <t>5420</t>
  </si>
  <si>
    <t>5420_Наружные инженерные сети и объекты</t>
  </si>
  <si>
    <t>5304</t>
  </si>
  <si>
    <t>5304_Электроснабжение</t>
  </si>
  <si>
    <t>5305</t>
  </si>
  <si>
    <t>5305_Водоснабжение и канализация</t>
  </si>
  <si>
    <t>5306</t>
  </si>
  <si>
    <t>5306_Теплоснабжение</t>
  </si>
  <si>
    <t>5307</t>
  </si>
  <si>
    <t>5307_Газоснабжение</t>
  </si>
  <si>
    <t>5308</t>
  </si>
  <si>
    <t>5308_Прочие наружные сети</t>
  </si>
  <si>
    <t>5421</t>
  </si>
  <si>
    <t>5421_Водоотведение (водосток)</t>
  </si>
  <si>
    <t>5800</t>
  </si>
  <si>
    <t>5800_Содержание строительной площадки</t>
  </si>
  <si>
    <t>5803</t>
  </si>
  <si>
    <t>5803_Коммунальные расходы по объекту</t>
  </si>
  <si>
    <t>5804</t>
  </si>
  <si>
    <t>5804_Прочие расходы по обслуживанию строительной площадки</t>
  </si>
  <si>
    <t>5920</t>
  </si>
  <si>
    <t>5920_Управление проектом</t>
  </si>
  <si>
    <t>5700</t>
  </si>
  <si>
    <t>5700_Девелопмент</t>
  </si>
  <si>
    <t>5702</t>
  </si>
  <si>
    <t>5702_Оплата услуг агента (авансовые платежи)</t>
  </si>
  <si>
    <t>5703</t>
  </si>
  <si>
    <t>5703_Оплата услуг заказчика (оплата этапов)</t>
  </si>
  <si>
    <t>5704</t>
  </si>
  <si>
    <t>5704_Выплата премии за успех (SF в РИП)</t>
  </si>
  <si>
    <t>5705</t>
  </si>
  <si>
    <t>5705_Выплата вознаграждения за поиск проекта (Finder's fee)</t>
  </si>
  <si>
    <t>6701</t>
  </si>
  <si>
    <t>6701_Комиссия за организацию эскроу/проектных кредитов (до РнВ)</t>
  </si>
  <si>
    <t>6707</t>
  </si>
  <si>
    <t>6707_Комиссия за организацию бридж кредитов (до РнС)</t>
  </si>
  <si>
    <t>5701</t>
  </si>
  <si>
    <t>5701_Мониторинг, авторский и технадзор, страхование строительства</t>
  </si>
  <si>
    <t>5990</t>
  </si>
  <si>
    <t>5990_Непредвиденные расходы (только ПЛАН)</t>
  </si>
  <si>
    <t>6000</t>
  </si>
  <si>
    <t>6000_ВЫПЛАТЫ ПО ФИНАНСОВОЙ ДЕЯТЕЛЬНОСТИ</t>
  </si>
  <si>
    <t>6200</t>
  </si>
  <si>
    <t>5903</t>
  </si>
  <si>
    <t>5903_Выплата процентов по полученным прочим займам</t>
  </si>
  <si>
    <t>6203</t>
  </si>
  <si>
    <t>6203_Погашение полученных прочих займов</t>
  </si>
  <si>
    <t>6206</t>
  </si>
  <si>
    <t>6206_Выдача прочих заимствований</t>
  </si>
  <si>
    <t>6500</t>
  </si>
  <si>
    <t>6500_Выплаты акционерного финансирования</t>
  </si>
  <si>
    <t>6510</t>
  </si>
  <si>
    <t>6510_Возврат капитала</t>
  </si>
  <si>
    <t>6501</t>
  </si>
  <si>
    <t>6501_Возврат капитала</t>
  </si>
  <si>
    <t>6520</t>
  </si>
  <si>
    <t>6520_Возврат вложений/выдача займов</t>
  </si>
  <si>
    <t>5902</t>
  </si>
  <si>
    <t>5902_Выплата процентов по займам полученным от акционеров</t>
  </si>
  <si>
    <t>5905</t>
  </si>
  <si>
    <t>5905_НДФЛ с процентов по займу</t>
  </si>
  <si>
    <t>6202</t>
  </si>
  <si>
    <t>6202_Погашение займа полученного от акционера</t>
  </si>
  <si>
    <t>6205</t>
  </si>
  <si>
    <t>6205_Выдача займов акционерам</t>
  </si>
  <si>
    <t>6530</t>
  </si>
  <si>
    <t>6530_Выплата дивидендов/прибыли</t>
  </si>
  <si>
    <t>4708</t>
  </si>
  <si>
    <t>6100</t>
  </si>
  <si>
    <t>6503</t>
  </si>
  <si>
    <t>6503_Выплата дивидендов/прибыли в натуральной форме</t>
  </si>
  <si>
    <t>6509</t>
  </si>
  <si>
    <t>6509_Выдача займов в виде дивидендов/прибыли</t>
  </si>
  <si>
    <t>6600</t>
  </si>
  <si>
    <t>6600_Выплаты по кредитам</t>
  </si>
  <si>
    <t>5901</t>
  </si>
  <si>
    <t>5901_Инвестиционные проценты по эскроу/проектным кредитам (до РнВ)</t>
  </si>
  <si>
    <t>5904</t>
  </si>
  <si>
    <t>5904_Банковские комиссии по кредитам эскроу/проектным кредитам (до РнВ)</t>
  </si>
  <si>
    <t>5907</t>
  </si>
  <si>
    <t>5907_Инвестиционные проценты по бридж кредитам (до РнС)</t>
  </si>
  <si>
    <t>5908</t>
  </si>
  <si>
    <t>5908_Банковские комиссии по бридж кредитам (до РнС)</t>
  </si>
  <si>
    <t>6201</t>
  </si>
  <si>
    <t>6201_Погашение эскроу/проектных кредитов (до РнВ)</t>
  </si>
  <si>
    <t>6207</t>
  </si>
  <si>
    <t>6207_Погашение бридж кредитов (до РнС)</t>
  </si>
  <si>
    <t>6901</t>
  </si>
  <si>
    <t>6901_Операционные проценты по банковским кредитам</t>
  </si>
  <si>
    <t>6904</t>
  </si>
  <si>
    <t>6904_Операционные комиссионные расходы по кредитам</t>
  </si>
  <si>
    <t>6700</t>
  </si>
  <si>
    <t>0210</t>
  </si>
  <si>
    <t>4807</t>
  </si>
  <si>
    <t>4807_Платежи, связанные с финансовыми вложениями</t>
  </si>
  <si>
    <t>6704</t>
  </si>
  <si>
    <t>6704_Размещение депозита</t>
  </si>
  <si>
    <t>7228</t>
  </si>
  <si>
    <t>7000</t>
  </si>
  <si>
    <t>7000_ВНУТРЕННИЕ ОБОРОТЫ</t>
  </si>
  <si>
    <t>7210</t>
  </si>
  <si>
    <t>7210_Поступления по внутренним оборотам</t>
  </si>
  <si>
    <t>7211</t>
  </si>
  <si>
    <t>7211_Поступления от поставщика</t>
  </si>
  <si>
    <t>7212</t>
  </si>
  <si>
    <t>7212_Перевод средств со счета на счет</t>
  </si>
  <si>
    <t>7213</t>
  </si>
  <si>
    <t>7213_Поступления от подотчетных лиц</t>
  </si>
  <si>
    <t>7214</t>
  </si>
  <si>
    <t>7214_Внутрипроектный перевод</t>
  </si>
  <si>
    <t>7215</t>
  </si>
  <si>
    <t>7215_Целевое финансирование</t>
  </si>
  <si>
    <t>7220</t>
  </si>
  <si>
    <t>7220_Выплаты по внутренним оборотам</t>
  </si>
  <si>
    <t>7221</t>
  </si>
  <si>
    <t>7221_Выплаты поставщику</t>
  </si>
  <si>
    <t>7222</t>
  </si>
  <si>
    <t>7222_Перевод средств со счета на счет</t>
  </si>
  <si>
    <t>7223</t>
  </si>
  <si>
    <t>7223_Выплаты подотчетным лицам</t>
  </si>
  <si>
    <t>7224</t>
  </si>
  <si>
    <t>7224_Внутрипроектный перевод</t>
  </si>
  <si>
    <t>7225</t>
  </si>
  <si>
    <t>7225_Целевое финансирование</t>
  </si>
  <si>
    <t>ЭСКРОУ</t>
  </si>
  <si>
    <t>Поступления на эскроу-счета</t>
  </si>
  <si>
    <t>Э2214_Реализация мотомест в жилых объектах</t>
  </si>
  <si>
    <t>Э2202_Реализация апартаментов</t>
  </si>
  <si>
    <t>Э2207_Реализация торгового комплекса</t>
  </si>
  <si>
    <t>Э2213_Реализация машиномест в коммерческих объектах</t>
  </si>
  <si>
    <t>Э2204_Реализация помещений свободного назначения</t>
  </si>
  <si>
    <t>Э2205_Реализация торговых помещений (стрит-ритейл)</t>
  </si>
  <si>
    <t>Э2203_Реализация офисных помещений</t>
  </si>
  <si>
    <t>Э2201_Реализация квартир</t>
  </si>
  <si>
    <t>Э2215_Реализация мотомест в коммерческих объектах</t>
  </si>
  <si>
    <t>Э2206_Реализация частных домов</t>
  </si>
  <si>
    <t>Э2208_Реализация машиномест в жилых объектах</t>
  </si>
  <si>
    <t>И65</t>
  </si>
  <si>
    <t>И104</t>
  </si>
  <si>
    <t>И95</t>
  </si>
  <si>
    <t>И01</t>
  </si>
  <si>
    <t>И777</t>
  </si>
  <si>
    <t>3Q2024</t>
  </si>
  <si>
    <t>4Q2024</t>
  </si>
  <si>
    <t>1Q2025</t>
  </si>
  <si>
    <t>2Q2025</t>
  </si>
  <si>
    <t>3Q2025</t>
  </si>
  <si>
    <t>4Q2025</t>
  </si>
  <si>
    <t>1Q2026</t>
  </si>
  <si>
    <t>2Q2026</t>
  </si>
  <si>
    <t>3Q2026</t>
  </si>
  <si>
    <t>4Q2026</t>
  </si>
  <si>
    <t>1Q2027</t>
  </si>
  <si>
    <t>2Q2027</t>
  </si>
  <si>
    <t>3Q2027</t>
  </si>
  <si>
    <t>4Q2027</t>
  </si>
  <si>
    <t>1Q2028</t>
  </si>
  <si>
    <t>2Q2028</t>
  </si>
  <si>
    <t>3Q2028</t>
  </si>
  <si>
    <t>4Q2028</t>
  </si>
  <si>
    <t>1Q2029</t>
  </si>
  <si>
    <t>2Q2029</t>
  </si>
  <si>
    <t>3Q2029</t>
  </si>
  <si>
    <t>4Q2029</t>
  </si>
  <si>
    <t>1Q2030</t>
  </si>
  <si>
    <t>2Q2030</t>
  </si>
  <si>
    <t>3Q2030</t>
  </si>
  <si>
    <t>4Q2030</t>
  </si>
  <si>
    <t>1Q2031</t>
  </si>
  <si>
    <t>2Q2031</t>
  </si>
  <si>
    <t>1оч</t>
  </si>
  <si>
    <t>2оч</t>
  </si>
  <si>
    <t>жилье</t>
  </si>
  <si>
    <t>нежилье</t>
  </si>
  <si>
    <t>ВИД ОО</t>
  </si>
  <si>
    <t>ПОТРЕБНОСТЬ</t>
  </si>
  <si>
    <t>НОМЕР ЗУ</t>
  </si>
  <si>
    <t>М2/МЕСТО</t>
  </si>
  <si>
    <t>ЗУ М2</t>
  </si>
  <si>
    <t>ЖИЛОЙ ГНС</t>
  </si>
  <si>
    <t>ЖИТЕЛИ</t>
  </si>
  <si>
    <t>ИНФЛЯЦИЯ ПРИ КОМПЕНСАЦИИ</t>
  </si>
  <si>
    <t>СУММА</t>
  </si>
  <si>
    <t>МР ГРУПП</t>
  </si>
  <si>
    <r>
      <t xml:space="preserve">ИТОГО </t>
    </r>
    <r>
      <rPr>
        <b/>
        <sz val="11"/>
        <color rgb="FFFF0000"/>
        <rFont val="Calibri (Основной текст)"/>
        <charset val="204"/>
      </rPr>
      <t>!(ДОО и СОШ с коэф 1,2)</t>
    </r>
  </si>
  <si>
    <t>PV</t>
  </si>
  <si>
    <t>Вариант 1</t>
  </si>
  <si>
    <t>Вариант 2</t>
  </si>
  <si>
    <t>Вариант 3</t>
  </si>
  <si>
    <t>Вариант 4</t>
  </si>
  <si>
    <t>ПРОФИЦИТ</t>
  </si>
  <si>
    <t>БМС</t>
  </si>
  <si>
    <t>КОМПЕНСАЦИЯ ПИК</t>
  </si>
  <si>
    <t>КОМПЕНСАЦИЯ БМС</t>
  </si>
  <si>
    <t>КОМПЕНСАЦИЯ МР</t>
  </si>
  <si>
    <t>РАСЧЕТ ЗАЧЕТА</t>
  </si>
  <si>
    <t>ДЕВЕЛОПЕР</t>
  </si>
  <si>
    <t>СУММА ЗАЧЕТА</t>
  </si>
  <si>
    <t>ДОЛЯ</t>
  </si>
  <si>
    <t>СУММА ГАРАНТИИ</t>
  </si>
  <si>
    <t>УУПСС (МР ГРУПП)</t>
  </si>
  <si>
    <t>ПОЛИКЛИНИКА</t>
  </si>
  <si>
    <t>жители</t>
  </si>
  <si>
    <t>СТАВКА БГ</t>
  </si>
  <si>
    <t>%% БГ</t>
  </si>
  <si>
    <t>СРОК СОГЛ</t>
  </si>
  <si>
    <t>ЗАТРАТЫ МР ГРУПП НА СОЦИАЛКУ (СМР + БГ)</t>
  </si>
  <si>
    <t>РАСЧЕТ СОЦИАЛКИ ПО СЦЕНАРИЮ: СТРОИТЕЛЬСТВО СОШ НА 1000 МЕСТ + ЗАЧЕТ СОШ ПИКов и БМС</t>
  </si>
  <si>
    <r>
      <t xml:space="preserve">СОШ </t>
    </r>
    <r>
      <rPr>
        <b/>
        <sz val="12"/>
        <color rgb="FF8158EF"/>
        <rFont val="Calibri (Основной текст)"/>
        <charset val="204"/>
      </rPr>
      <t>(БМС)</t>
    </r>
  </si>
  <si>
    <r>
      <t xml:space="preserve">СОШ </t>
    </r>
    <r>
      <rPr>
        <b/>
        <sz val="12"/>
        <color rgb="FF8158EF"/>
        <rFont val="Calibri (Основной текст)"/>
        <charset val="204"/>
      </rPr>
      <t>(ПИК)</t>
    </r>
  </si>
  <si>
    <r>
      <t xml:space="preserve">СОШ </t>
    </r>
    <r>
      <rPr>
        <b/>
        <sz val="12"/>
        <color rgb="FF8158EF"/>
        <rFont val="Calibri (Основной текст)"/>
        <charset val="204"/>
      </rPr>
      <t>(МР ГРУПП)</t>
    </r>
  </si>
  <si>
    <r>
      <t xml:space="preserve">ДОО + ПОЛ. </t>
    </r>
    <r>
      <rPr>
        <b/>
        <sz val="12"/>
        <color rgb="FF8158EF"/>
        <rFont val="Calibri (Основной текст)"/>
        <charset val="204"/>
      </rPr>
      <t>(МР ГРУПП)</t>
    </r>
  </si>
  <si>
    <t>БГ с момента закллючения договора с городом до ввода - 54 мес.</t>
  </si>
  <si>
    <t>в т ч ЛЬГОТА ВНУТРЕННЯЯ</t>
  </si>
  <si>
    <t>Вопросы:</t>
  </si>
  <si>
    <t>СОШ - сроки</t>
  </si>
  <si>
    <t>м/м - кол-во в подземной части? Площадь подземки на 1 м/м</t>
  </si>
  <si>
    <t>средняя площадь квартиры</t>
  </si>
  <si>
    <t>ТЭПы 50 / 50</t>
  </si>
  <si>
    <t>ЦЕНЫ ОТ АНАЛИТИКОВ - НЕ ИСПОЛЬЗУЕМ</t>
  </si>
  <si>
    <t>по квартирам</t>
  </si>
  <si>
    <t>общий вход</t>
  </si>
  <si>
    <t>ЧУВСТВИТЕЛЬНОСТЬ</t>
  </si>
  <si>
    <t>ПРИБЫЛИ к ср. цене квартир и СМР</t>
  </si>
  <si>
    <t>ПРИБЫЛИ к соотношению ПЛОЩАДИ ОЧЕРЕДЕЙ а ПЛОЩАДИ ЗУ</t>
  </si>
  <si>
    <t xml:space="preserve"> PRESENT VALUE к соотношению ПЛОЩАДИ ОЧЕРЕДЕЙ а ПЛОЩАДИ ЗУ</t>
  </si>
  <si>
    <r>
      <t>СРОК</t>
    </r>
    <r>
      <rPr>
        <b/>
        <sz val="10"/>
        <color theme="1"/>
        <rFont val="Aptos Narrow"/>
      </rPr>
      <t xml:space="preserve"> ИРД</t>
    </r>
  </si>
  <si>
    <r>
      <t>СРОК</t>
    </r>
    <r>
      <rPr>
        <sz val="10"/>
        <rFont val="Aptos Narrow"/>
      </rPr>
      <t xml:space="preserve"> </t>
    </r>
    <r>
      <rPr>
        <b/>
        <sz val="10"/>
        <rFont val="Aptos Narrow"/>
      </rPr>
      <t>СМР</t>
    </r>
  </si>
  <si>
    <t>ПРОФИЦИТ/ДЕФИЦИТ</t>
  </si>
  <si>
    <t xml:space="preserve"> +5% индексации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</si>
</sst>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3" formatCode="_-* #,##0.00_-;\-* #,##0.00_-;_-* &quot;-&quot;??_-;_-@_-"/>
    <numFmt numFmtId="164" formatCode="#,##0;\(#,##0\);"/>
    <numFmt numFmtId="165" formatCode="_-* #,##0_р_._-;\-* #,##0_р_._-;_-* &quot;-&quot;??_р_._-;_-@_-"/>
    <numFmt numFmtId="166" formatCode="#,##0;[Red]\-\ #,##0;_-* &quot;-&quot;?;_-@_-"/>
    <numFmt numFmtId="167" formatCode="0.0%"/>
    <numFmt numFmtId="168" formatCode="0&quot; м2&quot;"/>
    <numFmt numFmtId="169" formatCode="0_ ;\-0\ "/>
    <numFmt numFmtId="170" formatCode="_-* #,##0.00\ _₽_-;\-* #,##0.00\ _₽_-;_-* &quot;-&quot;??\ _₽_-;_-@_-"/>
    <numFmt numFmtId="171" formatCode="&quot;обеспеч. &quot;0%"/>
    <numFmt numFmtId="172" formatCode="#,##0_ ;\-#,##0\ "/>
    <numFmt numFmtId="173" formatCode="0&quot; кв после РнВ&quot;"/>
    <numFmt numFmtId="174" formatCode="#,##0&quot; млн. руб.&quot;"/>
    <numFmt numFmtId="175" formatCode="0&quot; очередь&quot;"/>
    <numFmt numFmtId="176" formatCode="#,##0.0&quot; Га&quot;"/>
    <numFmt numFmtId="177" formatCode="#,##0.0"/>
    <numFmt numFmtId="178" formatCode="0.00000"/>
    <numFmt numFmtId="179" formatCode="#,##0.00;[Red]#,##0.00"/>
    <numFmt numFmtId="180" formatCode="#,##0;\-#,##0;"/>
    <numFmt numFmtId="181" formatCode="\(0\)"/>
    <numFmt numFmtId="182" formatCode="#,##0&quot; кв.&quot;"/>
    <numFmt numFmtId="183" formatCode="#,##0.0&quot; л&quot;"/>
    <numFmt numFmtId="184" formatCode="&quot;+ &quot;0.0%"/>
    <numFmt numFmtId="185" formatCode="&quot;КС = &quot;0.0%"/>
    <numFmt numFmtId="186" formatCode="0&quot; кв после РнС&quot;"/>
    <numFmt numFmtId="187" formatCode="#,##0.000"/>
    <numFmt numFmtId="188" formatCode="#,##0.00;\-#,##0.00;"/>
    <numFmt numFmtId="189" formatCode="#,##0.00;\(#,##0.00\);"/>
    <numFmt numFmtId="190" formatCode="0&quot; жителей&quot;"/>
    <numFmt numFmtId="191" formatCode="0&quot; чел&quot;"/>
    <numFmt numFmtId="192" formatCode="_-* #,##0\ _₽_-;\-* #,##0\ _₽_-;_-* &quot;-&quot;??\ _₽_-;_-@_-"/>
    <numFmt numFmtId="193" formatCode="_-* #,##0.0\ _₽_-;\-* #,##0.0\ _₽_-;_-* &quot;-&quot;??\ _₽_-;_-@_-"/>
    <numFmt numFmtId="194" formatCode="&quot;+ &quot;#,##0"/>
    <numFmt numFmtId="195" formatCode="#,##0&quot; мес.&quot;"/>
  </numFmts>
  <fonts count="23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2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charset val="204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theme="1"/>
      <name val="Calibri (Основной текст)"/>
      <charset val="204"/>
    </font>
    <font>
      <sz val="10"/>
      <color theme="1"/>
      <name val="Calibri (Основной текст)"/>
      <charset val="204"/>
    </font>
    <font>
      <b/>
      <sz val="10"/>
      <color theme="1" tint="0.249977111117893"/>
      <name val="Calibri (Основной текст)"/>
      <charset val="204"/>
    </font>
    <font>
      <sz val="10"/>
      <color theme="0" tint="-0.499984740745262"/>
      <name val="Calibri (Основной текст)"/>
      <charset val="204"/>
    </font>
    <font>
      <sz val="10"/>
      <color theme="1" tint="0.249977111117893"/>
      <name val="Calibri (Основной текст)"/>
      <charset val="204"/>
    </font>
    <font>
      <b/>
      <sz val="10"/>
      <name val="Calibri (Основной текст)"/>
      <charset val="204"/>
    </font>
    <font>
      <sz val="10"/>
      <color theme="1"/>
      <name val="Calibri"/>
      <family val="2"/>
      <charset val="204"/>
      <scheme val="minor"/>
    </font>
    <font>
      <sz val="10"/>
      <color theme="1" tint="0.249977111117893"/>
      <name val="Calibri"/>
      <family val="2"/>
      <charset val="204"/>
      <scheme val="minor"/>
    </font>
    <font>
      <sz val="10"/>
      <name val="Calibri (Основной текст)"/>
      <charset val="204"/>
    </font>
    <font>
      <sz val="10"/>
      <color theme="0"/>
      <name val="Calibri (Основной текст)"/>
      <charset val="204"/>
    </font>
    <font>
      <b/>
      <sz val="10"/>
      <color rgb="FFFF0000"/>
      <name val="Calibri (Основной текст)"/>
      <charset val="204"/>
    </font>
    <font>
      <sz val="10"/>
      <color theme="1" tint="0.34998626667073579"/>
      <name val="Calibri (Основной текст)"/>
      <charset val="204"/>
    </font>
    <font>
      <b/>
      <sz val="10"/>
      <color rgb="FFFF000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6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b/>
      <sz val="11"/>
      <color theme="0" tint="-0.499984740745262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b/>
      <sz val="8"/>
      <color rgb="FFFF0000"/>
      <name val="Calibri"/>
      <family val="2"/>
      <charset val="204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i/>
      <sz val="12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10"/>
      <color theme="0" tint="-0.499984740745262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b/>
      <i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i/>
      <sz val="11"/>
      <color theme="0"/>
      <name val="Calibri"/>
      <family val="2"/>
      <charset val="204"/>
      <scheme val="minor"/>
    </font>
    <font>
      <i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0"/>
      <color theme="0" tint="-0.499984740745262"/>
      <name val="Calibri"/>
      <family val="2"/>
      <scheme val="minor"/>
    </font>
    <font>
      <b/>
      <i/>
      <sz val="8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83D6CD"/>
      <name val="Calibri"/>
      <family val="2"/>
      <charset val="204"/>
      <scheme val="minor"/>
    </font>
    <font>
      <sz val="10"/>
      <color theme="0" tint="-0.1499984740745262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10"/>
      <color theme="0" tint="-0.499984740745262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2"/>
      <color theme="1" tint="0.249977111117893"/>
      <name val="Calibri"/>
      <family val="2"/>
      <charset val="204"/>
      <scheme val="minor"/>
    </font>
    <font>
      <b/>
      <sz val="12"/>
      <color rgb="FFFFFFFF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color theme="0" tint="-0.249977111117893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i/>
      <sz val="12"/>
      <color theme="0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0"/>
      <color theme="0" tint="-0.14999847407452621"/>
      <name val="Calibri"/>
      <family val="2"/>
      <charset val="204"/>
      <scheme val="minor"/>
    </font>
    <font>
      <sz val="8"/>
      <color theme="0"/>
      <name val="Calibri"/>
      <family val="2"/>
      <charset val="204"/>
      <scheme val="minor"/>
    </font>
    <font>
      <sz val="8"/>
      <color theme="1" tint="0.249977111117893"/>
      <name val="Calibri"/>
      <family val="2"/>
      <charset val="204"/>
      <scheme val="minor"/>
    </font>
    <font>
      <sz val="10"/>
      <color theme="0" tint="-4.9989318521683403E-2"/>
      <name val="Calibri"/>
      <family val="2"/>
      <charset val="204"/>
      <scheme val="minor"/>
    </font>
    <font>
      <b/>
      <sz val="9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0"/>
      <name val="Calibri"/>
      <family val="2"/>
      <scheme val="minor"/>
    </font>
    <font>
      <i/>
      <sz val="12"/>
      <name val="Calibri"/>
      <family val="2"/>
      <scheme val="minor"/>
    </font>
    <font>
      <b/>
      <sz val="8"/>
      <color theme="0" tint="-0.499984740745262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theme="0"/>
      <name val="Grtsk Giga"/>
      <charset val="204"/>
    </font>
    <font>
      <b/>
      <sz val="9"/>
      <color theme="1"/>
      <name val="Suisse Intl Light"/>
      <family val="2"/>
    </font>
    <font>
      <b/>
      <sz val="8"/>
      <color theme="1"/>
      <name val="Suisse Intl Light"/>
      <family val="2"/>
    </font>
    <font>
      <i/>
      <sz val="9"/>
      <name val="Suisse Intl Light"/>
      <family val="2"/>
    </font>
    <font>
      <i/>
      <sz val="9"/>
      <color theme="0" tint="-0.249977111117893"/>
      <name val="Suisse Intl Light"/>
      <family val="2"/>
    </font>
    <font>
      <b/>
      <sz val="9"/>
      <color theme="0" tint="-0.249977111117893"/>
      <name val="Suisse Intl Light"/>
      <family val="2"/>
    </font>
    <font>
      <b/>
      <sz val="9"/>
      <color rgb="FF3B228A"/>
      <name val="Suisse Intl Light"/>
      <family val="2"/>
    </font>
    <font>
      <b/>
      <sz val="8"/>
      <color rgb="FF3B228A"/>
      <name val="Suisse Intl Light"/>
      <family val="2"/>
    </font>
    <font>
      <i/>
      <sz val="9"/>
      <color rgb="FF3B228A"/>
      <name val="Suisse Intl Light"/>
      <family val="2"/>
    </font>
    <font>
      <i/>
      <sz val="9"/>
      <color theme="2" tint="-9.9978637043366805E-2"/>
      <name val="Suisse Intl Light"/>
      <family val="2"/>
    </font>
    <font>
      <b/>
      <sz val="9"/>
      <color theme="0"/>
      <name val="Suisse Intl Light"/>
      <family val="2"/>
    </font>
    <font>
      <b/>
      <sz val="9"/>
      <name val="Suisse Intl Light"/>
      <family val="2"/>
    </font>
    <font>
      <b/>
      <sz val="9"/>
      <color theme="0" tint="-0.14999847407452621"/>
      <name val="Suisse Intl Light"/>
      <family val="2"/>
    </font>
    <font>
      <b/>
      <sz val="9"/>
      <color rgb="FF4A2BAF"/>
      <name val="Suisse Intl Light"/>
      <family val="2"/>
    </font>
    <font>
      <b/>
      <sz val="8"/>
      <color theme="0"/>
      <name val="Suisse Intl Light"/>
      <family val="2"/>
    </font>
    <font>
      <b/>
      <sz val="9"/>
      <color rgb="FF795BD7"/>
      <name val="Suisse Intl Light"/>
      <family val="2"/>
    </font>
    <font>
      <b/>
      <sz val="8"/>
      <color theme="0" tint="-0.14999847407452621"/>
      <name val="Suisse Intl Light"/>
      <family val="2"/>
    </font>
    <font>
      <sz val="9"/>
      <color theme="0" tint="-0.14999847407452621"/>
      <name val="Suisse Intl Light"/>
      <family val="2"/>
    </font>
    <font>
      <sz val="9"/>
      <color theme="0" tint="-0.249977111117893"/>
      <name val="Suisse Intl Light"/>
      <family val="2"/>
    </font>
    <font>
      <sz val="9"/>
      <color theme="1"/>
      <name val="Suisse Intl Light"/>
      <family val="2"/>
    </font>
    <font>
      <sz val="9"/>
      <color theme="0"/>
      <name val="Grtsk Giga"/>
      <charset val="204"/>
    </font>
    <font>
      <vertAlign val="superscript"/>
      <sz val="9"/>
      <color theme="0"/>
      <name val="Grtsk Giga"/>
      <charset val="204"/>
    </font>
    <font>
      <b/>
      <sz val="9"/>
      <color theme="3"/>
      <name val="Suisse Intl Light"/>
      <family val="2"/>
    </font>
    <font>
      <b/>
      <sz val="8"/>
      <color theme="3"/>
      <name val="Suisse Intl Light"/>
      <family val="2"/>
    </font>
    <font>
      <b/>
      <sz val="8"/>
      <color rgb="FF4A2BAF"/>
      <name val="Suisse Intl Light"/>
      <family val="2"/>
    </font>
    <font>
      <b/>
      <sz val="9"/>
      <color rgb="FF594DC7"/>
      <name val="Suisse Intl Light"/>
      <family val="2"/>
    </font>
    <font>
      <b/>
      <sz val="8"/>
      <color rgb="FF795BD7"/>
      <name val="Suisse Intl Light"/>
      <family val="2"/>
    </font>
    <font>
      <b/>
      <sz val="8"/>
      <color theme="0" tint="-0.249977111117893"/>
      <name val="Suisse Intl Light"/>
      <family val="2"/>
    </font>
    <font>
      <b/>
      <sz val="9"/>
      <color rgb="FFC5B8EE"/>
      <name val="Suisse Intl Light"/>
      <family val="2"/>
    </font>
    <font>
      <b/>
      <sz val="8"/>
      <color rgb="FFC5B8EE"/>
      <name val="Suisse Intl Light"/>
      <family val="2"/>
    </font>
    <font>
      <b/>
      <sz val="9"/>
      <color rgb="FFA996E6"/>
      <name val="Suisse Intl Light"/>
      <family val="2"/>
    </font>
    <font>
      <b/>
      <i/>
      <sz val="9"/>
      <color theme="3"/>
      <name val="Suisse Intl Light"/>
      <family val="2"/>
    </font>
    <font>
      <b/>
      <sz val="9"/>
      <color theme="2" tint="-0.499984740745262"/>
      <name val="Suisse Intl Light"/>
      <family val="2"/>
    </font>
    <font>
      <sz val="9"/>
      <color theme="2" tint="-0.499984740745262"/>
      <name val="Suisse Intl Light"/>
      <family val="2"/>
    </font>
    <font>
      <b/>
      <strike/>
      <sz val="8"/>
      <color theme="2"/>
      <name val="Suisse Intl Light"/>
      <family val="2"/>
    </font>
    <font>
      <sz val="8"/>
      <color theme="1"/>
      <name val="Suisse Intl Light"/>
      <family val="2"/>
    </font>
    <font>
      <b/>
      <sz val="11"/>
      <color theme="1"/>
      <name val="Suisse Intl Light"/>
      <family val="2"/>
    </font>
    <font>
      <sz val="10"/>
      <color theme="1"/>
      <name val="Suisse Intl Light"/>
      <family val="2"/>
    </font>
    <font>
      <b/>
      <sz val="9"/>
      <color rgb="FFEAEAEA"/>
      <name val="Suisse Intl Light"/>
      <family val="2"/>
    </font>
    <font>
      <sz val="9"/>
      <color theme="3"/>
      <name val="Suisse Intl Light"/>
      <family val="2"/>
    </font>
    <font>
      <b/>
      <sz val="11"/>
      <color theme="0"/>
      <name val="Suisse Intl Light"/>
      <family val="2"/>
    </font>
    <font>
      <b/>
      <sz val="9"/>
      <color rgb="FFFF0000"/>
      <name val="Suisse Intl Light"/>
      <family val="2"/>
    </font>
    <font>
      <b/>
      <sz val="8"/>
      <color theme="0"/>
      <name val="Grtsk Giga"/>
      <charset val="204"/>
    </font>
    <font>
      <sz val="9"/>
      <color theme="2" tint="-9.9978637043366805E-2"/>
      <name val="Suisse Intl Light"/>
      <family val="2"/>
    </font>
    <font>
      <b/>
      <sz val="9"/>
      <color rgb="FFC00000"/>
      <name val="Suisse Intl Light"/>
      <family val="2"/>
    </font>
    <font>
      <sz val="9"/>
      <color rgb="FFC00000"/>
      <name val="Suisse Intl Light"/>
      <family val="2"/>
    </font>
    <font>
      <b/>
      <i/>
      <sz val="9"/>
      <color theme="1"/>
      <name val="Suisse Intl Light"/>
      <family val="2"/>
    </font>
    <font>
      <b/>
      <strike/>
      <sz val="9"/>
      <color theme="0" tint="-4.9989318521683403E-2"/>
      <name val="Suisse Intl Light"/>
      <family val="2"/>
    </font>
    <font>
      <b/>
      <sz val="10"/>
      <color theme="1"/>
      <name val="Suisse Intl Light"/>
      <family val="2"/>
    </font>
    <font>
      <sz val="9"/>
      <color theme="2" tint="-0.249977111117893"/>
      <name val="Suisse Intl Light"/>
      <family val="2"/>
    </font>
    <font>
      <strike/>
      <sz val="9"/>
      <color theme="0" tint="-4.9989318521683403E-2"/>
      <name val="Suisse Intl Light"/>
      <family val="2"/>
    </font>
    <font>
      <b/>
      <strike/>
      <sz val="9"/>
      <color theme="0" tint="-0.249977111117893"/>
      <name val="Suisse Intl Light"/>
      <family val="2"/>
    </font>
    <font>
      <strike/>
      <sz val="9"/>
      <color theme="0" tint="-0.249977111117893"/>
      <name val="Suisse Intl Light"/>
      <family val="2"/>
    </font>
    <font>
      <sz val="9"/>
      <color theme="0"/>
      <name val="Suisse Intl Light"/>
      <family val="2"/>
    </font>
    <font>
      <b/>
      <strike/>
      <sz val="9"/>
      <color theme="1"/>
      <name val="Suisse Intl Light"/>
      <family val="2"/>
    </font>
    <font>
      <b/>
      <sz val="10"/>
      <color theme="0"/>
      <name val="Grtsk Giga"/>
      <charset val="204"/>
    </font>
    <font>
      <b/>
      <sz val="11"/>
      <color rgb="FF4A2BAF"/>
      <name val="Suisse Intl Light"/>
      <family val="2"/>
    </font>
    <font>
      <b/>
      <sz val="10"/>
      <color rgb="FF4A2BAF"/>
      <name val="Suisse Intl Light"/>
      <family val="2"/>
    </font>
    <font>
      <b/>
      <vertAlign val="superscript"/>
      <sz val="8"/>
      <color theme="1"/>
      <name val="Suisse Intl Light"/>
      <family val="2"/>
    </font>
    <font>
      <b/>
      <sz val="8"/>
      <color theme="0" tint="-0.34998626667073579"/>
      <name val="Suisse Intl Light"/>
      <family val="2"/>
    </font>
    <font>
      <b/>
      <vertAlign val="superscript"/>
      <sz val="8"/>
      <color theme="0" tint="-0.34998626667073579"/>
      <name val="Suisse Intl Light"/>
      <family val="2"/>
    </font>
    <font>
      <b/>
      <sz val="9"/>
      <color theme="0" tint="-0.34998626667073579"/>
      <name val="Suisse Intl Light"/>
      <family val="2"/>
    </font>
    <font>
      <b/>
      <i/>
      <sz val="8"/>
      <color theme="0" tint="-0.34998626667073579"/>
      <name val="Suisse Intl Light"/>
      <family val="2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 (Основной текст)"/>
      <charset val="204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rgb="FF8158EF"/>
      <name val="Calibri (Основной текст)"/>
      <charset val="204"/>
    </font>
    <font>
      <sz val="10"/>
      <color theme="1"/>
      <name val="Aptos Narrow"/>
    </font>
    <font>
      <b/>
      <sz val="12"/>
      <color theme="1" tint="0.249977111117893"/>
      <name val="Aptos Narrow"/>
    </font>
    <font>
      <b/>
      <sz val="12"/>
      <color theme="0"/>
      <name val="Aptos Narrow"/>
    </font>
    <font>
      <b/>
      <sz val="12"/>
      <color rgb="FFFFFFFF"/>
      <name val="Aptos Narrow"/>
    </font>
    <font>
      <b/>
      <sz val="10"/>
      <color theme="1" tint="0.249977111117893"/>
      <name val="Aptos Narrow"/>
    </font>
    <font>
      <sz val="8"/>
      <color theme="1"/>
      <name val="Aptos Narrow"/>
    </font>
    <font>
      <b/>
      <sz val="10"/>
      <color theme="1"/>
      <name val="Aptos Narrow"/>
    </font>
    <font>
      <sz val="10"/>
      <color theme="1" tint="0.249977111117893"/>
      <name val="Aptos Narrow"/>
    </font>
    <font>
      <sz val="8"/>
      <color theme="0" tint="-0.249977111117893"/>
      <name val="Aptos Narrow"/>
    </font>
    <font>
      <b/>
      <i/>
      <sz val="10"/>
      <color theme="1"/>
      <name val="Aptos Narrow"/>
    </font>
    <font>
      <b/>
      <sz val="10"/>
      <name val="Aptos Narrow"/>
    </font>
    <font>
      <b/>
      <sz val="10"/>
      <color theme="0" tint="-0.499984740745262"/>
      <name val="Aptos Narrow"/>
    </font>
    <font>
      <b/>
      <sz val="12"/>
      <name val="Aptos Narrow"/>
    </font>
    <font>
      <sz val="10"/>
      <name val="Aptos Narrow"/>
    </font>
    <font>
      <sz val="10"/>
      <color rgb="FFFF0000"/>
      <name val="Aptos Narrow"/>
    </font>
    <font>
      <sz val="10"/>
      <color theme="0" tint="-4.9989318521683403E-2"/>
      <name val="Aptos Narrow"/>
    </font>
    <font>
      <sz val="12"/>
      <name val="Aptos Narrow"/>
    </font>
    <font>
      <sz val="10"/>
      <color theme="0" tint="-0.499984740745262"/>
      <name val="Aptos Narrow"/>
    </font>
    <font>
      <b/>
      <i/>
      <sz val="12"/>
      <color theme="0"/>
      <name val="Aptos Narrow"/>
    </font>
    <font>
      <sz val="12"/>
      <color theme="1"/>
      <name val="Aptos Narrow"/>
    </font>
    <font>
      <sz val="12"/>
      <color theme="0"/>
      <name val="Aptos Narrow"/>
    </font>
    <font>
      <b/>
      <sz val="14"/>
      <color rgb="FF83D6CD"/>
      <name val="Aptos Narrow"/>
    </font>
    <font>
      <b/>
      <sz val="10"/>
      <color theme="0"/>
      <name val="Aptos Narrow"/>
    </font>
    <font>
      <b/>
      <sz val="10"/>
      <color rgb="FFFF0000"/>
      <name val="Aptos Narrow"/>
    </font>
    <font>
      <sz val="10"/>
      <color theme="0" tint="-0.14999847407452621"/>
      <name val="Aptos Narrow"/>
    </font>
    <font>
      <sz val="9"/>
      <color theme="1"/>
      <name val="Aptos Narrow"/>
    </font>
    <font>
      <sz val="9"/>
      <name val="Aptos Narrow"/>
    </font>
    <font>
      <b/>
      <sz val="12"/>
      <color theme="1"/>
      <name val="Aptos Narrow"/>
    </font>
    <font>
      <sz val="8"/>
      <color theme="0"/>
      <name val="Aptos Narrow"/>
    </font>
    <font>
      <sz val="8"/>
      <color theme="1" tint="0.249977111117893"/>
      <name val="Aptos Narrow"/>
    </font>
    <font>
      <sz val="12"/>
      <color rgb="FFFF0000"/>
      <name val="Aptos Narrow"/>
    </font>
    <font>
      <sz val="8"/>
      <name val="Aptos Narrow"/>
    </font>
    <font>
      <b/>
      <sz val="12"/>
      <color rgb="FFFF0000"/>
      <name val="Aptos Narrow"/>
    </font>
    <font>
      <b/>
      <sz val="8"/>
      <color theme="0" tint="-4.9989318521683403E-2"/>
      <name val="Aptos Narrow"/>
    </font>
    <font>
      <sz val="8"/>
      <color theme="0" tint="-4.9989318521683403E-2"/>
      <name val="Aptos Narrow"/>
    </font>
    <font>
      <sz val="11"/>
      <color theme="1"/>
      <name val="Aptos Narrow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gradientFill>
        <stop position="0">
          <color theme="0"/>
        </stop>
        <stop position="1">
          <color theme="0" tint="-0.25098422193060094"/>
        </stop>
      </gradientFill>
    </fill>
    <fill>
      <gradientFill>
        <stop position="0">
          <color theme="0"/>
        </stop>
        <stop position="1">
          <color theme="0" tint="-0.1490218817712943"/>
        </stop>
      </gradientFill>
    </fill>
    <fill>
      <gradientFill>
        <stop position="0">
          <color theme="0"/>
        </stop>
        <stop position="1">
          <color rgb="FFFF0000"/>
        </stop>
      </gradientFill>
    </fill>
    <fill>
      <patternFill patternType="solid">
        <fgColor theme="0"/>
        <bgColor auto="1"/>
      </patternFill>
    </fill>
    <fill>
      <patternFill patternType="solid">
        <fgColor rgb="FF8158EE"/>
        <bgColor rgb="FF000000"/>
      </patternFill>
    </fill>
    <fill>
      <patternFill patternType="solid">
        <fgColor rgb="FF8158EF"/>
        <bgColor indexed="64"/>
      </patternFill>
    </fill>
    <fill>
      <patternFill patternType="solid">
        <fgColor rgb="FF83D6CD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158E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82D6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94DC7"/>
        <bgColor indexed="64"/>
      </patternFill>
    </fill>
    <fill>
      <patternFill patternType="solid">
        <fgColor rgb="FFEEEAFA"/>
        <bgColor indexed="64"/>
      </patternFill>
    </fill>
    <fill>
      <patternFill patternType="solid">
        <fgColor rgb="FFF2EFFB"/>
        <bgColor indexed="64"/>
      </patternFill>
    </fill>
    <fill>
      <patternFill patternType="solid">
        <fgColor rgb="FFC5B8EE"/>
        <bgColor indexed="64"/>
      </patternFill>
    </fill>
    <fill>
      <patternFill patternType="solid">
        <fgColor theme="4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ACD7D2"/>
        <bgColor indexed="64"/>
      </patternFill>
    </fill>
    <fill>
      <patternFill patternType="solid">
        <fgColor rgb="FFFFFF00"/>
        <bgColor auto="1"/>
      </patternFill>
    </fill>
  </fills>
  <borders count="7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8158EF"/>
      </left>
      <right style="thin">
        <color rgb="FF8158EF"/>
      </right>
      <top style="thin">
        <color rgb="FF8158EF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rgb="FF8158EF"/>
      </left>
      <right style="thin">
        <color rgb="FF8158EF"/>
      </right>
      <top style="thin">
        <color rgb="FF8158EF"/>
      </top>
      <bottom style="thin">
        <color rgb="FF8158EF"/>
      </bottom>
      <diagonal/>
    </border>
    <border>
      <left style="thin">
        <color theme="0" tint="-0.24994659260841701"/>
      </left>
      <right style="thin">
        <color rgb="FF8158EF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hair">
        <color indexed="64"/>
      </right>
      <top style="thin">
        <color rgb="FF8158EF"/>
      </top>
      <bottom style="thin">
        <color rgb="FF8158EF"/>
      </bottom>
      <diagonal/>
    </border>
    <border>
      <left/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/>
      <top/>
      <bottom/>
      <diagonal/>
    </border>
    <border>
      <left/>
      <right/>
      <top style="thin">
        <color rgb="FF8158EF"/>
      </top>
      <bottom style="thin">
        <color rgb="FF8158EF"/>
      </bottom>
      <diagonal/>
    </border>
    <border>
      <left style="hair">
        <color indexed="64"/>
      </left>
      <right/>
      <top style="thin">
        <color rgb="FF8158EF"/>
      </top>
      <bottom style="thin">
        <color rgb="FF8158EF"/>
      </bottom>
      <diagonal/>
    </border>
    <border>
      <left/>
      <right/>
      <top style="thin">
        <color rgb="FF8158EF"/>
      </top>
      <bottom/>
      <diagonal/>
    </border>
    <border>
      <left/>
      <right/>
      <top/>
      <bottom style="thin">
        <color rgb="FF8158EF"/>
      </bottom>
      <diagonal/>
    </border>
    <border>
      <left style="hair">
        <color rgb="FF8158EF"/>
      </left>
      <right style="hair">
        <color rgb="FF8158EF"/>
      </right>
      <top/>
      <bottom style="thin">
        <color rgb="FF8158EF"/>
      </bottom>
      <diagonal/>
    </border>
    <border>
      <left style="hair">
        <color rgb="FF8158EF"/>
      </left>
      <right/>
      <top style="thin">
        <color rgb="FF8158EF"/>
      </top>
      <bottom style="thin">
        <color rgb="FF8158EF"/>
      </bottom>
      <diagonal/>
    </border>
    <border>
      <left style="hair">
        <color rgb="FF8158EF"/>
      </left>
      <right/>
      <top/>
      <bottom/>
      <diagonal/>
    </border>
    <border>
      <left style="hair">
        <color rgb="FF8158EF"/>
      </left>
      <right/>
      <top/>
      <bottom style="thin">
        <color rgb="FF8158EF"/>
      </bottom>
      <diagonal/>
    </border>
    <border>
      <left style="hair">
        <color indexed="64"/>
      </left>
      <right/>
      <top style="thin">
        <color rgb="FF8158EF"/>
      </top>
      <bottom/>
      <diagonal/>
    </border>
    <border>
      <left style="hair">
        <color indexed="64"/>
      </left>
      <right/>
      <top/>
      <bottom style="thin">
        <color rgb="FF8158EF"/>
      </bottom>
      <diagonal/>
    </border>
    <border>
      <left/>
      <right style="hair">
        <color indexed="64"/>
      </right>
      <top style="thin">
        <color rgb="FF8158EF"/>
      </top>
      <bottom/>
      <diagonal/>
    </border>
    <border>
      <left/>
      <right style="hair">
        <color indexed="64"/>
      </right>
      <top/>
      <bottom style="thin">
        <color rgb="FF8158EF"/>
      </bottom>
      <diagonal/>
    </border>
    <border>
      <left style="hair">
        <color rgb="FF8158EF"/>
      </left>
      <right style="hair">
        <color rgb="FF8158EF"/>
      </right>
      <top/>
      <bottom/>
      <diagonal/>
    </border>
    <border>
      <left style="hair">
        <color rgb="FF8158EF"/>
      </left>
      <right style="hair">
        <color rgb="FF8158EF"/>
      </right>
      <top style="thin">
        <color rgb="FF8158EF"/>
      </top>
      <bottom style="thin">
        <color rgb="FF8158EF"/>
      </bottom>
      <diagonal/>
    </border>
    <border>
      <left style="hair">
        <color rgb="FF8158EF"/>
      </left>
      <right style="hair">
        <color rgb="FF8158EF"/>
      </right>
      <top style="thin">
        <color rgb="FF8158EF"/>
      </top>
      <bottom/>
      <diagonal/>
    </border>
    <border>
      <left/>
      <right/>
      <top style="thin">
        <color rgb="FF8158EF"/>
      </top>
      <bottom style="hair">
        <color rgb="FF8158EF"/>
      </bottom>
      <diagonal/>
    </border>
    <border>
      <left style="hair">
        <color rgb="FF8158EF"/>
      </left>
      <right/>
      <top style="thin">
        <color rgb="FF8158EF"/>
      </top>
      <bottom style="hair">
        <color rgb="FF8158EF"/>
      </bottom>
      <diagonal/>
    </border>
    <border>
      <left/>
      <right style="hair">
        <color rgb="FF8158EF"/>
      </right>
      <top style="thin">
        <color rgb="FF8158EF"/>
      </top>
      <bottom style="hair">
        <color rgb="FF8158EF"/>
      </bottom>
      <diagonal/>
    </border>
    <border>
      <left style="hair">
        <color rgb="FF8158EF"/>
      </left>
      <right style="hair">
        <color rgb="FF8158EF"/>
      </right>
      <top style="thin">
        <color rgb="FF8158EF"/>
      </top>
      <bottom style="hair">
        <color rgb="FF8158EF"/>
      </bottom>
      <diagonal/>
    </border>
    <border>
      <left/>
      <right style="hair">
        <color indexed="64"/>
      </right>
      <top style="thin">
        <color rgb="FF8158EF"/>
      </top>
      <bottom style="hair">
        <color rgb="FF8158EF"/>
      </bottom>
      <diagonal/>
    </border>
    <border>
      <left style="hair">
        <color indexed="64"/>
      </left>
      <right/>
      <top style="thin">
        <color rgb="FF8158EF"/>
      </top>
      <bottom style="hair">
        <color rgb="FF8158EF"/>
      </bottom>
      <diagonal/>
    </border>
    <border>
      <left/>
      <right/>
      <top style="hair">
        <color rgb="FF8158EF"/>
      </top>
      <bottom style="hair">
        <color rgb="FF8158EF"/>
      </bottom>
      <diagonal/>
    </border>
    <border>
      <left style="hair">
        <color rgb="FF8158EF"/>
      </left>
      <right/>
      <top style="hair">
        <color rgb="FF8158EF"/>
      </top>
      <bottom style="hair">
        <color rgb="FF8158EF"/>
      </bottom>
      <diagonal/>
    </border>
    <border>
      <left/>
      <right style="hair">
        <color rgb="FF8158EF"/>
      </right>
      <top style="hair">
        <color rgb="FF8158EF"/>
      </top>
      <bottom style="hair">
        <color rgb="FF8158EF"/>
      </bottom>
      <diagonal/>
    </border>
    <border>
      <left style="hair">
        <color rgb="FF8158EF"/>
      </left>
      <right style="hair">
        <color rgb="FF8158EF"/>
      </right>
      <top style="hair">
        <color rgb="FF8158EF"/>
      </top>
      <bottom style="hair">
        <color rgb="FF8158EF"/>
      </bottom>
      <diagonal/>
    </border>
    <border>
      <left/>
      <right style="hair">
        <color indexed="64"/>
      </right>
      <top style="hair">
        <color rgb="FF8158EF"/>
      </top>
      <bottom style="hair">
        <color rgb="FF8158EF"/>
      </bottom>
      <diagonal/>
    </border>
    <border>
      <left style="hair">
        <color indexed="64"/>
      </left>
      <right/>
      <top style="hair">
        <color rgb="FF8158EF"/>
      </top>
      <bottom style="hair">
        <color rgb="FF8158EF"/>
      </bottom>
      <diagonal/>
    </border>
    <border>
      <left/>
      <right/>
      <top style="hair">
        <color rgb="FF8158EF"/>
      </top>
      <bottom style="thin">
        <color rgb="FF8158EF"/>
      </bottom>
      <diagonal/>
    </border>
    <border>
      <left style="hair">
        <color rgb="FF8158EF"/>
      </left>
      <right/>
      <top style="hair">
        <color rgb="FF8158EF"/>
      </top>
      <bottom style="thin">
        <color rgb="FF8158EF"/>
      </bottom>
      <diagonal/>
    </border>
    <border>
      <left/>
      <right style="hair">
        <color rgb="FF8158EF"/>
      </right>
      <top style="hair">
        <color rgb="FF8158EF"/>
      </top>
      <bottom style="thin">
        <color rgb="FF8158EF"/>
      </bottom>
      <diagonal/>
    </border>
    <border>
      <left style="hair">
        <color rgb="FF8158EF"/>
      </left>
      <right style="hair">
        <color rgb="FF8158EF"/>
      </right>
      <top style="hair">
        <color rgb="FF8158EF"/>
      </top>
      <bottom style="thin">
        <color rgb="FF8158EF"/>
      </bottom>
      <diagonal/>
    </border>
    <border>
      <left style="hair">
        <color indexed="64"/>
      </left>
      <right/>
      <top style="hair">
        <color rgb="FF8158EF"/>
      </top>
      <bottom style="thin">
        <color rgb="FF8158E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158EF"/>
      </left>
      <right/>
      <top style="thin">
        <color rgb="FF8158EF"/>
      </top>
      <bottom style="thin">
        <color rgb="FF8158E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tted">
        <color theme="1" tint="0.749961851863155"/>
      </top>
      <bottom/>
      <diagonal/>
    </border>
    <border>
      <left/>
      <right/>
      <top/>
      <bottom style="dotted">
        <color theme="1" tint="0.749961851863155"/>
      </bottom>
      <diagonal/>
    </border>
    <border>
      <left/>
      <right/>
      <top/>
      <bottom style="thin">
        <color theme="0"/>
      </bottom>
      <diagonal/>
    </border>
  </borders>
  <cellStyleXfs count="15">
    <xf numFmtId="0" fontId="0" fillId="0" borderId="0"/>
    <xf numFmtId="9" fontId="4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11" fillId="0" borderId="0"/>
    <xf numFmtId="0" fontId="2" fillId="0" borderId="0"/>
    <xf numFmtId="0" fontId="12" fillId="0" borderId="0"/>
    <xf numFmtId="0" fontId="13" fillId="0" borderId="0"/>
    <xf numFmtId="0" fontId="12" fillId="0" borderId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24">
    <xf numFmtId="0" fontId="0" fillId="0" borderId="0" xfId="0"/>
    <xf numFmtId="0" fontId="5" fillId="0" borderId="0" xfId="0" applyFont="1"/>
    <xf numFmtId="0" fontId="7" fillId="2" borderId="0" xfId="0" applyFont="1" applyFill="1"/>
    <xf numFmtId="0" fontId="8" fillId="0" borderId="0" xfId="0" applyFont="1"/>
    <xf numFmtId="0" fontId="14" fillId="0" borderId="0" xfId="0" applyFont="1" applyAlignment="1">
      <alignment horizontal="left" indent="2"/>
    </xf>
    <xf numFmtId="0" fontId="8" fillId="12" borderId="0" xfId="2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165" fontId="8" fillId="12" borderId="0" xfId="0" applyNumberFormat="1" applyFont="1" applyFill="1" applyAlignment="1">
      <alignment horizontal="center" vertical="center" wrapText="1"/>
    </xf>
    <xf numFmtId="0" fontId="23" fillId="12" borderId="2" xfId="2" applyFont="1" applyFill="1" applyBorder="1" applyAlignment="1">
      <alignment horizontal="center" vertical="center"/>
    </xf>
    <xf numFmtId="0" fontId="23" fillId="12" borderId="3" xfId="2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164" fontId="8" fillId="12" borderId="3" xfId="0" applyNumberFormat="1" applyFont="1" applyFill="1" applyBorder="1" applyAlignment="1">
      <alignment horizontal="center" vertical="center"/>
    </xf>
    <xf numFmtId="165" fontId="8" fillId="12" borderId="3" xfId="0" applyNumberFormat="1" applyFont="1" applyFill="1" applyBorder="1" applyAlignment="1">
      <alignment horizontal="center" vertical="center" wrapText="1"/>
    </xf>
    <xf numFmtId="165" fontId="8" fillId="12" borderId="4" xfId="0" applyNumberFormat="1" applyFont="1" applyFill="1" applyBorder="1" applyAlignment="1">
      <alignment horizontal="center" vertical="center" wrapText="1"/>
    </xf>
    <xf numFmtId="165" fontId="8" fillId="12" borderId="2" xfId="0" applyNumberFormat="1" applyFont="1" applyFill="1" applyBorder="1" applyAlignment="1">
      <alignment horizontal="center" vertical="center" wrapText="1"/>
    </xf>
    <xf numFmtId="165" fontId="7" fillId="12" borderId="0" xfId="0" applyNumberFormat="1" applyFont="1" applyFill="1" applyAlignment="1">
      <alignment horizontal="left" vertical="center"/>
    </xf>
    <xf numFmtId="165" fontId="7" fillId="12" borderId="0" xfId="0" applyNumberFormat="1" applyFont="1" applyFill="1" applyAlignment="1">
      <alignment horizontal="center" vertical="center" wrapText="1"/>
    </xf>
    <xf numFmtId="165" fontId="22" fillId="12" borderId="0" xfId="0" applyNumberFormat="1" applyFont="1" applyFill="1" applyAlignment="1">
      <alignment horizontal="center" vertical="center" wrapText="1"/>
    </xf>
    <xf numFmtId="165" fontId="8" fillId="12" borderId="2" xfId="0" applyNumberFormat="1" applyFont="1" applyFill="1" applyBorder="1" applyAlignment="1">
      <alignment horizontal="left" vertical="center" indent="3"/>
    </xf>
    <xf numFmtId="165" fontId="22" fillId="12" borderId="0" xfId="0" applyNumberFormat="1" applyFont="1" applyFill="1" applyAlignment="1">
      <alignment horizontal="left" vertical="center"/>
    </xf>
    <xf numFmtId="0" fontId="19" fillId="14" borderId="0" xfId="0" applyFont="1" applyFill="1" applyAlignment="1">
      <alignment horizontal="left" indent="2"/>
    </xf>
    <xf numFmtId="0" fontId="19" fillId="11" borderId="0" xfId="0" applyFont="1" applyFill="1" applyAlignment="1">
      <alignment horizontal="left" indent="2"/>
    </xf>
    <xf numFmtId="0" fontId="25" fillId="11" borderId="0" xfId="0" applyFont="1" applyFill="1"/>
    <xf numFmtId="0" fontId="7" fillId="0" borderId="0" xfId="0" applyFont="1"/>
    <xf numFmtId="3" fontId="16" fillId="2" borderId="3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indent="3"/>
    </xf>
    <xf numFmtId="3" fontId="28" fillId="0" borderId="1" xfId="0" applyNumberFormat="1" applyFont="1" applyBorder="1" applyAlignment="1">
      <alignment horizontal="center" vertical="center"/>
    </xf>
    <xf numFmtId="0" fontId="7" fillId="0" borderId="3" xfId="0" applyFont="1" applyBorder="1"/>
    <xf numFmtId="0" fontId="29" fillId="0" borderId="3" xfId="0" applyFont="1" applyBorder="1"/>
    <xf numFmtId="0" fontId="32" fillId="2" borderId="2" xfId="0" applyFont="1" applyFill="1" applyBorder="1" applyAlignment="1">
      <alignment horizontal="left" vertical="center" indent="3"/>
    </xf>
    <xf numFmtId="0" fontId="32" fillId="2" borderId="3" xfId="0" applyFont="1" applyFill="1" applyBorder="1" applyAlignment="1">
      <alignment horizontal="left" indent="2"/>
    </xf>
    <xf numFmtId="167" fontId="33" fillId="7" borderId="4" xfId="0" applyNumberFormat="1" applyFont="1" applyFill="1" applyBorder="1" applyAlignment="1">
      <alignment horizontal="center" vertical="center"/>
    </xf>
    <xf numFmtId="10" fontId="33" fillId="7" borderId="4" xfId="0" applyNumberFormat="1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 vertical="center" indent="3"/>
    </xf>
    <xf numFmtId="0" fontId="37" fillId="2" borderId="3" xfId="0" applyFont="1" applyFill="1" applyBorder="1" applyAlignment="1">
      <alignment horizontal="left" indent="1"/>
    </xf>
    <xf numFmtId="0" fontId="37" fillId="2" borderId="3" xfId="0" applyFont="1" applyFill="1" applyBorder="1"/>
    <xf numFmtId="177" fontId="18" fillId="7" borderId="3" xfId="0" applyNumberFormat="1" applyFont="1" applyFill="1" applyBorder="1" applyAlignment="1">
      <alignment horizontal="center" vertical="center"/>
    </xf>
    <xf numFmtId="0" fontId="38" fillId="2" borderId="4" xfId="0" applyFont="1" applyFill="1" applyBorder="1" applyAlignment="1">
      <alignment vertical="center"/>
    </xf>
    <xf numFmtId="3" fontId="15" fillId="2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7" fontId="18" fillId="7" borderId="3" xfId="1" applyNumberFormat="1" applyFont="1" applyFill="1" applyBorder="1" applyAlignment="1">
      <alignment horizontal="center" vertical="center"/>
    </xf>
    <xf numFmtId="3" fontId="18" fillId="7" borderId="3" xfId="0" applyNumberFormat="1" applyFont="1" applyFill="1" applyBorder="1" applyAlignment="1">
      <alignment horizontal="center" vertical="center"/>
    </xf>
    <xf numFmtId="0" fontId="37" fillId="0" borderId="3" xfId="0" applyFont="1" applyBorder="1" applyAlignment="1">
      <alignment horizontal="left" indent="1"/>
    </xf>
    <xf numFmtId="0" fontId="37" fillId="0" borderId="3" xfId="0" applyFont="1" applyBorder="1"/>
    <xf numFmtId="0" fontId="37" fillId="0" borderId="4" xfId="0" applyFont="1" applyBorder="1"/>
    <xf numFmtId="3" fontId="17" fillId="7" borderId="4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center" indent="3"/>
    </xf>
    <xf numFmtId="0" fontId="20" fillId="2" borderId="3" xfId="0" applyFont="1" applyFill="1" applyBorder="1" applyAlignment="1">
      <alignment horizontal="left" vertical="center" indent="3"/>
    </xf>
    <xf numFmtId="0" fontId="14" fillId="2" borderId="3" xfId="0" applyFont="1" applyFill="1" applyBorder="1"/>
    <xf numFmtId="9" fontId="14" fillId="0" borderId="1" xfId="1" applyFont="1" applyBorder="1" applyAlignment="1">
      <alignment horizontal="center" vertical="center"/>
    </xf>
    <xf numFmtId="165" fontId="19" fillId="13" borderId="0" xfId="0" applyNumberFormat="1" applyFont="1" applyFill="1" applyAlignment="1">
      <alignment horizontal="left" vertical="center"/>
    </xf>
    <xf numFmtId="165" fontId="19" fillId="13" borderId="0" xfId="0" applyNumberFormat="1" applyFont="1" applyFill="1" applyAlignment="1">
      <alignment horizontal="center" vertical="center" wrapText="1"/>
    </xf>
    <xf numFmtId="9" fontId="39" fillId="0" borderId="0" xfId="1" applyFont="1" applyBorder="1" applyAlignment="1">
      <alignment horizontal="left"/>
    </xf>
    <xf numFmtId="14" fontId="33" fillId="8" borderId="0" xfId="0" applyNumberFormat="1" applyFont="1" applyFill="1" applyAlignment="1">
      <alignment horizontal="right" vertical="center"/>
    </xf>
    <xf numFmtId="0" fontId="32" fillId="0" borderId="0" xfId="0" applyFont="1"/>
    <xf numFmtId="0" fontId="32" fillId="0" borderId="3" xfId="0" applyFont="1" applyBorder="1"/>
    <xf numFmtId="0" fontId="35" fillId="0" borderId="3" xfId="0" applyFont="1" applyBorder="1" applyAlignment="1">
      <alignment horizontal="center"/>
    </xf>
    <xf numFmtId="9" fontId="32" fillId="0" borderId="3" xfId="1" applyFont="1" applyBorder="1" applyAlignment="1">
      <alignment horizontal="center"/>
    </xf>
    <xf numFmtId="9" fontId="32" fillId="0" borderId="0" xfId="0" applyNumberFormat="1" applyFont="1" applyAlignment="1">
      <alignment horizontal="center"/>
    </xf>
    <xf numFmtId="14" fontId="32" fillId="0" borderId="3" xfId="0" applyNumberFormat="1" applyFont="1" applyBorder="1" applyAlignment="1">
      <alignment horizontal="center"/>
    </xf>
    <xf numFmtId="3" fontId="32" fillId="0" borderId="3" xfId="0" applyNumberFormat="1" applyFont="1" applyBorder="1" applyAlignment="1">
      <alignment horizontal="center"/>
    </xf>
    <xf numFmtId="3" fontId="32" fillId="0" borderId="3" xfId="1" applyNumberFormat="1" applyFont="1" applyBorder="1" applyAlignment="1">
      <alignment horizontal="center" vertical="center" wrapText="1"/>
    </xf>
    <xf numFmtId="1" fontId="35" fillId="0" borderId="3" xfId="1" applyNumberFormat="1" applyFont="1" applyBorder="1"/>
    <xf numFmtId="1" fontId="34" fillId="0" borderId="3" xfId="1" applyNumberFormat="1" applyFont="1" applyBorder="1"/>
    <xf numFmtId="1" fontId="34" fillId="0" borderId="3" xfId="1" applyNumberFormat="1" applyFont="1" applyBorder="1" applyAlignment="1">
      <alignment horizontal="center" vertical="center" wrapText="1"/>
    </xf>
    <xf numFmtId="1" fontId="34" fillId="0" borderId="0" xfId="1" applyNumberFormat="1" applyFont="1"/>
    <xf numFmtId="0" fontId="35" fillId="0" borderId="0" xfId="0" applyFont="1"/>
    <xf numFmtId="10" fontId="33" fillId="8" borderId="0" xfId="0" applyNumberFormat="1" applyFont="1" applyFill="1" applyAlignment="1">
      <alignment horizontal="right" vertical="center"/>
    </xf>
    <xf numFmtId="0" fontId="35" fillId="0" borderId="0" xfId="0" applyFont="1" applyAlignment="1">
      <alignment horizontal="right"/>
    </xf>
    <xf numFmtId="10" fontId="33" fillId="7" borderId="0" xfId="0" applyNumberFormat="1" applyFont="1" applyFill="1" applyAlignment="1">
      <alignment horizontal="right" vertical="center"/>
    </xf>
    <xf numFmtId="0" fontId="35" fillId="0" borderId="0" xfId="4" applyFont="1" applyAlignment="1">
      <alignment horizontal="right"/>
    </xf>
    <xf numFmtId="10" fontId="32" fillId="0" borderId="0" xfId="5" applyNumberFormat="1" applyFont="1" applyAlignment="1">
      <alignment horizontal="center"/>
    </xf>
    <xf numFmtId="14" fontId="32" fillId="0" borderId="0" xfId="4" applyNumberFormat="1" applyFont="1" applyAlignment="1">
      <alignment horizontal="center"/>
    </xf>
    <xf numFmtId="0" fontId="32" fillId="0" borderId="0" xfId="0" applyFont="1" applyAlignment="1">
      <alignment wrapText="1"/>
    </xf>
    <xf numFmtId="3" fontId="39" fillId="0" borderId="5" xfId="1" applyNumberFormat="1" applyFont="1" applyBorder="1" applyAlignment="1"/>
    <xf numFmtId="0" fontId="32" fillId="0" borderId="2" xfId="0" applyFont="1" applyBorder="1"/>
    <xf numFmtId="3" fontId="39" fillId="0" borderId="5" xfId="1" applyNumberFormat="1" applyFont="1" applyBorder="1" applyAlignment="1">
      <alignment horizontal="center"/>
    </xf>
    <xf numFmtId="3" fontId="32" fillId="0" borderId="3" xfId="0" applyNumberFormat="1" applyFont="1" applyBorder="1"/>
    <xf numFmtId="0" fontId="32" fillId="0" borderId="0" xfId="4" applyFont="1" applyAlignment="1">
      <alignment horizontal="center"/>
    </xf>
    <xf numFmtId="0" fontId="32" fillId="0" borderId="6" xfId="4" applyFont="1" applyBorder="1"/>
    <xf numFmtId="14" fontId="32" fillId="0" borderId="6" xfId="4" applyNumberFormat="1" applyFont="1" applyBorder="1" applyAlignment="1">
      <alignment horizontal="center"/>
    </xf>
    <xf numFmtId="3" fontId="41" fillId="0" borderId="6" xfId="4" applyNumberFormat="1" applyFont="1" applyBorder="1" applyAlignment="1">
      <alignment horizontal="center"/>
    </xf>
    <xf numFmtId="0" fontId="41" fillId="0" borderId="6" xfId="4" applyFont="1" applyBorder="1" applyAlignment="1">
      <alignment horizontal="center"/>
    </xf>
    <xf numFmtId="0" fontId="41" fillId="0" borderId="6" xfId="4" applyFont="1" applyBorder="1"/>
    <xf numFmtId="10" fontId="32" fillId="0" borderId="6" xfId="1" applyNumberFormat="1" applyFont="1" applyBorder="1" applyAlignment="1">
      <alignment horizontal="center" vertical="center"/>
    </xf>
    <xf numFmtId="0" fontId="42" fillId="4" borderId="0" xfId="0" applyFont="1" applyFill="1"/>
    <xf numFmtId="0" fontId="42" fillId="4" borderId="0" xfId="0" applyFont="1" applyFill="1" applyAlignment="1">
      <alignment horizontal="center"/>
    </xf>
    <xf numFmtId="0" fontId="31" fillId="2" borderId="5" xfId="0" applyFont="1" applyFill="1" applyBorder="1" applyAlignment="1">
      <alignment horizontal="center" vertical="center"/>
    </xf>
    <xf numFmtId="14" fontId="39" fillId="0" borderId="5" xfId="4" applyNumberFormat="1" applyFont="1" applyBorder="1" applyAlignment="1">
      <alignment horizontal="center"/>
    </xf>
    <xf numFmtId="3" fontId="32" fillId="0" borderId="5" xfId="4" applyNumberFormat="1" applyFont="1" applyBorder="1" applyAlignment="1">
      <alignment horizontal="center" vertical="center"/>
    </xf>
    <xf numFmtId="3" fontId="32" fillId="2" borderId="5" xfId="4" applyNumberFormat="1" applyFont="1" applyFill="1" applyBorder="1" applyAlignment="1">
      <alignment horizontal="center" vertical="center"/>
    </xf>
    <xf numFmtId="10" fontId="32" fillId="0" borderId="5" xfId="1" applyNumberFormat="1" applyFont="1" applyBorder="1" applyAlignment="1">
      <alignment horizontal="center" vertical="center"/>
    </xf>
    <xf numFmtId="4" fontId="32" fillId="0" borderId="5" xfId="4" applyNumberFormat="1" applyFont="1" applyBorder="1" applyAlignment="1">
      <alignment horizontal="center" vertical="center"/>
    </xf>
    <xf numFmtId="3" fontId="33" fillId="8" borderId="0" xfId="0" applyNumberFormat="1" applyFont="1" applyFill="1" applyAlignment="1">
      <alignment horizontal="right" vertical="center"/>
    </xf>
    <xf numFmtId="3" fontId="36" fillId="2" borderId="5" xfId="1" applyNumberFormat="1" applyFont="1" applyFill="1" applyBorder="1" applyAlignment="1">
      <alignment horizontal="center"/>
    </xf>
    <xf numFmtId="0" fontId="35" fillId="0" borderId="0" xfId="0" applyFont="1" applyAlignment="1">
      <alignment horizontal="left"/>
    </xf>
    <xf numFmtId="10" fontId="33" fillId="8" borderId="0" xfId="0" applyNumberFormat="1" applyFont="1" applyFill="1" applyAlignment="1">
      <alignment horizontal="left" vertical="center"/>
    </xf>
    <xf numFmtId="3" fontId="42" fillId="4" borderId="8" xfId="0" applyNumberFormat="1" applyFont="1" applyFill="1" applyBorder="1" applyAlignment="1">
      <alignment horizontal="center"/>
    </xf>
    <xf numFmtId="0" fontId="42" fillId="5" borderId="0" xfId="0" applyFont="1" applyFill="1"/>
    <xf numFmtId="3" fontId="42" fillId="5" borderId="0" xfId="0" applyNumberFormat="1" applyFont="1" applyFill="1" applyAlignment="1">
      <alignment horizontal="center"/>
    </xf>
    <xf numFmtId="3" fontId="32" fillId="0" borderId="0" xfId="0" applyNumberFormat="1" applyFont="1"/>
    <xf numFmtId="3" fontId="31" fillId="0" borderId="4" xfId="0" applyNumberFormat="1" applyFont="1" applyBorder="1" applyAlignment="1">
      <alignment horizontal="center" vertical="center"/>
    </xf>
    <xf numFmtId="3" fontId="32" fillId="0" borderId="4" xfId="0" applyNumberFormat="1" applyFont="1" applyBorder="1"/>
    <xf numFmtId="170" fontId="32" fillId="0" borderId="0" xfId="0" applyNumberFormat="1" applyFont="1"/>
    <xf numFmtId="0" fontId="32" fillId="2" borderId="2" xfId="0" applyFont="1" applyFill="1" applyBorder="1"/>
    <xf numFmtId="3" fontId="32" fillId="2" borderId="3" xfId="0" applyNumberFormat="1" applyFont="1" applyFill="1" applyBorder="1"/>
    <xf numFmtId="0" fontId="42" fillId="4" borderId="8" xfId="0" applyFont="1" applyFill="1" applyBorder="1"/>
    <xf numFmtId="0" fontId="42" fillId="4" borderId="8" xfId="0" applyFont="1" applyFill="1" applyBorder="1" applyAlignment="1">
      <alignment horizontal="center"/>
    </xf>
    <xf numFmtId="3" fontId="42" fillId="4" borderId="3" xfId="0" applyNumberFormat="1" applyFont="1" applyFill="1" applyBorder="1" applyAlignment="1">
      <alignment horizontal="center"/>
    </xf>
    <xf numFmtId="170" fontId="41" fillId="0" borderId="0" xfId="0" applyNumberFormat="1" applyFont="1"/>
    <xf numFmtId="167" fontId="32" fillId="0" borderId="0" xfId="1" applyNumberFormat="1" applyFont="1" applyAlignment="1">
      <alignment horizontal="center"/>
    </xf>
    <xf numFmtId="3" fontId="42" fillId="4" borderId="0" xfId="0" applyNumberFormat="1" applyFont="1" applyFill="1" applyAlignment="1">
      <alignment horizontal="center"/>
    </xf>
    <xf numFmtId="3" fontId="32" fillId="0" borderId="0" xfId="0" applyNumberFormat="1" applyFont="1" applyAlignment="1">
      <alignment horizontal="center"/>
    </xf>
    <xf numFmtId="165" fontId="7" fillId="12" borderId="0" xfId="0" applyNumberFormat="1" applyFont="1" applyFill="1" applyAlignment="1">
      <alignment horizontal="left" vertical="center" wrapText="1"/>
    </xf>
    <xf numFmtId="14" fontId="7" fillId="12" borderId="0" xfId="0" applyNumberFormat="1" applyFont="1" applyFill="1" applyAlignment="1">
      <alignment horizontal="center"/>
    </xf>
    <xf numFmtId="169" fontId="7" fillId="12" borderId="0" xfId="0" applyNumberFormat="1" applyFont="1" applyFill="1" applyAlignment="1">
      <alignment horizontal="center" vertical="center" wrapText="1"/>
    </xf>
    <xf numFmtId="165" fontId="7" fillId="12" borderId="9" xfId="0" applyNumberFormat="1" applyFont="1" applyFill="1" applyBorder="1" applyAlignment="1">
      <alignment horizontal="center" vertical="center"/>
    </xf>
    <xf numFmtId="43" fontId="7" fillId="12" borderId="0" xfId="3" applyFont="1" applyFill="1" applyAlignment="1"/>
    <xf numFmtId="3" fontId="7" fillId="12" borderId="3" xfId="0" applyNumberFormat="1" applyFont="1" applyFill="1" applyBorder="1" applyAlignment="1">
      <alignment horizontal="center"/>
    </xf>
    <xf numFmtId="3" fontId="40" fillId="12" borderId="3" xfId="0" applyNumberFormat="1" applyFont="1" applyFill="1" applyBorder="1" applyAlignment="1">
      <alignment horizontal="center"/>
    </xf>
    <xf numFmtId="0" fontId="32" fillId="0" borderId="0" xfId="0" applyFont="1" applyAlignment="1">
      <alignment horizontal="left"/>
    </xf>
    <xf numFmtId="0" fontId="10" fillId="14" borderId="0" xfId="4" applyFont="1" applyFill="1" applyAlignment="1">
      <alignment horizontal="left"/>
    </xf>
    <xf numFmtId="0" fontId="24" fillId="11" borderId="0" xfId="0" applyFont="1" applyFill="1"/>
    <xf numFmtId="0" fontId="10" fillId="14" borderId="0" xfId="0" applyFont="1" applyFill="1" applyAlignment="1">
      <alignment horizontal="left"/>
    </xf>
    <xf numFmtId="0" fontId="22" fillId="0" borderId="0" xfId="0" applyFont="1"/>
    <xf numFmtId="0" fontId="43" fillId="0" borderId="0" xfId="0" applyFont="1" applyAlignment="1">
      <alignment horizontal="right"/>
    </xf>
    <xf numFmtId="0" fontId="43" fillId="0" borderId="0" xfId="0" applyFont="1" applyAlignment="1">
      <alignment horizontal="left"/>
    </xf>
    <xf numFmtId="14" fontId="22" fillId="0" borderId="0" xfId="0" applyNumberFormat="1" applyFont="1"/>
    <xf numFmtId="0" fontId="7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29" fillId="0" borderId="3" xfId="0" applyFont="1" applyBorder="1" applyAlignment="1">
      <alignment horizontal="left" indent="2"/>
    </xf>
    <xf numFmtId="0" fontId="29" fillId="0" borderId="3" xfId="0" applyFont="1" applyBorder="1" applyAlignment="1">
      <alignment horizontal="center"/>
    </xf>
    <xf numFmtId="3" fontId="17" fillId="0" borderId="1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 vertical="center"/>
    </xf>
    <xf numFmtId="0" fontId="44" fillId="0" borderId="0" xfId="0" applyFont="1"/>
    <xf numFmtId="0" fontId="44" fillId="0" borderId="0" xfId="0" applyFont="1" applyAlignment="1">
      <alignment horizontal="center"/>
    </xf>
    <xf numFmtId="3" fontId="45" fillId="0" borderId="0" xfId="0" applyNumberFormat="1" applyFont="1" applyAlignment="1">
      <alignment horizontal="center" vertical="center"/>
    </xf>
    <xf numFmtId="3" fontId="44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horizontal="left" indent="2"/>
    </xf>
    <xf numFmtId="3" fontId="22" fillId="0" borderId="1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22" fillId="0" borderId="3" xfId="0" applyFont="1" applyBorder="1" applyAlignment="1">
      <alignment horizontal="left" indent="2"/>
    </xf>
    <xf numFmtId="10" fontId="46" fillId="0" borderId="3" xfId="1" applyNumberFormat="1" applyFont="1" applyBorder="1" applyAlignment="1">
      <alignment horizontal="center"/>
    </xf>
    <xf numFmtId="9" fontId="46" fillId="0" borderId="3" xfId="1" applyFont="1" applyBorder="1" applyAlignment="1">
      <alignment horizontal="center"/>
    </xf>
    <xf numFmtId="3" fontId="22" fillId="0" borderId="0" xfId="0" applyNumberFormat="1" applyFont="1"/>
    <xf numFmtId="3" fontId="7" fillId="0" borderId="0" xfId="0" applyNumberFormat="1" applyFont="1"/>
    <xf numFmtId="0" fontId="44" fillId="0" borderId="3" xfId="0" applyFont="1" applyBorder="1" applyAlignment="1">
      <alignment horizontal="center"/>
    </xf>
    <xf numFmtId="0" fontId="45" fillId="0" borderId="0" xfId="0" applyFont="1"/>
    <xf numFmtId="0" fontId="45" fillId="0" borderId="3" xfId="0" applyFont="1" applyBorder="1"/>
    <xf numFmtId="0" fontId="45" fillId="0" borderId="3" xfId="0" applyFont="1" applyBorder="1" applyAlignment="1">
      <alignment horizontal="right"/>
    </xf>
    <xf numFmtId="3" fontId="45" fillId="0" borderId="1" xfId="0" applyNumberFormat="1" applyFont="1" applyBorder="1" applyAlignment="1">
      <alignment horizontal="center" vertical="center"/>
    </xf>
    <xf numFmtId="3" fontId="45" fillId="0" borderId="3" xfId="0" applyNumberFormat="1" applyFont="1" applyBorder="1" applyAlignment="1">
      <alignment horizontal="center" vertical="center"/>
    </xf>
    <xf numFmtId="3" fontId="44" fillId="0" borderId="0" xfId="0" applyNumberFormat="1" applyFont="1"/>
    <xf numFmtId="0" fontId="44" fillId="0" borderId="3" xfId="0" applyFont="1" applyBorder="1"/>
    <xf numFmtId="0" fontId="44" fillId="0" borderId="3" xfId="0" applyFont="1" applyBorder="1" applyAlignment="1">
      <alignment horizontal="right"/>
    </xf>
    <xf numFmtId="3" fontId="44" fillId="0" borderId="3" xfId="0" applyNumberFormat="1" applyFont="1" applyBorder="1" applyAlignment="1">
      <alignment horizontal="center" vertical="center"/>
    </xf>
    <xf numFmtId="3" fontId="45" fillId="0" borderId="0" xfId="0" applyNumberFormat="1" applyFont="1"/>
    <xf numFmtId="3" fontId="7" fillId="2" borderId="3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right"/>
    </xf>
    <xf numFmtId="0" fontId="28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3" xfId="0" applyFont="1" applyBorder="1"/>
    <xf numFmtId="0" fontId="16" fillId="0" borderId="3" xfId="0" applyFont="1" applyBorder="1" applyAlignment="1">
      <alignment horizontal="left"/>
    </xf>
    <xf numFmtId="3" fontId="16" fillId="0" borderId="1" xfId="0" applyNumberFormat="1" applyFont="1" applyBorder="1" applyAlignment="1">
      <alignment horizontal="center" vertical="center"/>
    </xf>
    <xf numFmtId="0" fontId="28" fillId="0" borderId="3" xfId="0" applyFont="1" applyBorder="1"/>
    <xf numFmtId="0" fontId="28" fillId="0" borderId="3" xfId="0" applyFont="1" applyBorder="1" applyAlignment="1">
      <alignment horizontal="left"/>
    </xf>
    <xf numFmtId="3" fontId="28" fillId="0" borderId="4" xfId="0" applyNumberFormat="1" applyFont="1" applyBorder="1" applyAlignment="1">
      <alignment horizontal="center" vertical="center"/>
    </xf>
    <xf numFmtId="10" fontId="28" fillId="2" borderId="3" xfId="1" applyNumberFormat="1" applyFont="1" applyFill="1" applyBorder="1" applyAlignment="1">
      <alignment horizontal="center" vertical="center"/>
    </xf>
    <xf numFmtId="0" fontId="47" fillId="0" borderId="0" xfId="0" applyFont="1"/>
    <xf numFmtId="0" fontId="22" fillId="12" borderId="0" xfId="0" applyFont="1" applyFill="1" applyAlignment="1">
      <alignment horizontal="left"/>
    </xf>
    <xf numFmtId="0" fontId="22" fillId="12" borderId="0" xfId="0" applyFont="1" applyFill="1" applyAlignment="1">
      <alignment horizontal="center"/>
    </xf>
    <xf numFmtId="14" fontId="22" fillId="12" borderId="0" xfId="0" applyNumberFormat="1" applyFont="1" applyFill="1" applyAlignment="1">
      <alignment horizontal="center"/>
    </xf>
    <xf numFmtId="0" fontId="22" fillId="12" borderId="0" xfId="0" applyFont="1" applyFill="1" applyAlignment="1">
      <alignment vertical="center"/>
    </xf>
    <xf numFmtId="0" fontId="22" fillId="12" borderId="0" xfId="0" applyFont="1" applyFill="1" applyAlignment="1">
      <alignment horizontal="center" vertical="center"/>
    </xf>
    <xf numFmtId="3" fontId="22" fillId="12" borderId="7" xfId="0" applyNumberFormat="1" applyFont="1" applyFill="1" applyBorder="1" applyAlignment="1">
      <alignment horizontal="center" vertical="center"/>
    </xf>
    <xf numFmtId="3" fontId="22" fillId="12" borderId="0" xfId="0" applyNumberFormat="1" applyFont="1" applyFill="1" applyAlignment="1">
      <alignment horizontal="center" vertical="center"/>
    </xf>
    <xf numFmtId="0" fontId="22" fillId="12" borderId="0" xfId="0" applyFont="1" applyFill="1"/>
    <xf numFmtId="10" fontId="17" fillId="7" borderId="1" xfId="1" applyNumberFormat="1" applyFont="1" applyFill="1" applyBorder="1" applyAlignment="1">
      <alignment horizontal="center" vertical="center"/>
    </xf>
    <xf numFmtId="178" fontId="17" fillId="7" borderId="1" xfId="1" applyNumberFormat="1" applyFont="1" applyFill="1" applyBorder="1" applyAlignment="1">
      <alignment horizontal="center" vertical="center"/>
    </xf>
    <xf numFmtId="167" fontId="31" fillId="2" borderId="4" xfId="1" applyNumberFormat="1" applyFont="1" applyFill="1" applyBorder="1"/>
    <xf numFmtId="9" fontId="7" fillId="0" borderId="3" xfId="1" applyFont="1" applyBorder="1"/>
    <xf numFmtId="9" fontId="7" fillId="0" borderId="3" xfId="1" applyFont="1" applyBorder="1" applyAlignment="1">
      <alignment horizontal="center"/>
    </xf>
    <xf numFmtId="9" fontId="7" fillId="0" borderId="3" xfId="1" applyFont="1" applyBorder="1" applyAlignment="1">
      <alignment horizontal="center" vertical="center" wrapText="1"/>
    </xf>
    <xf numFmtId="9" fontId="7" fillId="0" borderId="0" xfId="1" applyFont="1"/>
    <xf numFmtId="14" fontId="7" fillId="0" borderId="3" xfId="0" applyNumberFormat="1" applyFont="1" applyBorder="1" applyAlignment="1">
      <alignment horizontal="center"/>
    </xf>
    <xf numFmtId="3" fontId="7" fillId="0" borderId="3" xfId="0" applyNumberFormat="1" applyFont="1" applyBorder="1" applyAlignment="1">
      <alignment horizontal="center"/>
    </xf>
    <xf numFmtId="165" fontId="22" fillId="12" borderId="9" xfId="0" applyNumberFormat="1" applyFont="1" applyFill="1" applyBorder="1" applyAlignment="1">
      <alignment horizontal="center" vertical="center"/>
    </xf>
    <xf numFmtId="165" fontId="22" fillId="12" borderId="9" xfId="0" applyNumberFormat="1" applyFont="1" applyFill="1" applyBorder="1" applyAlignment="1">
      <alignment horizontal="center" vertical="center" wrapText="1"/>
    </xf>
    <xf numFmtId="3" fontId="22" fillId="12" borderId="0" xfId="0" applyNumberFormat="1" applyFont="1" applyFill="1" applyAlignment="1">
      <alignment horizontal="center"/>
    </xf>
    <xf numFmtId="0" fontId="32" fillId="0" borderId="3" xfId="0" applyFont="1" applyBorder="1" applyAlignment="1">
      <alignment vertical="center"/>
    </xf>
    <xf numFmtId="1" fontId="17" fillId="7" borderId="1" xfId="1" applyNumberFormat="1" applyFont="1" applyFill="1" applyBorder="1" applyAlignment="1">
      <alignment horizontal="center" vertical="center"/>
    </xf>
    <xf numFmtId="0" fontId="10" fillId="14" borderId="0" xfId="0" applyFont="1" applyFill="1"/>
    <xf numFmtId="0" fontId="46" fillId="0" borderId="3" xfId="0" applyFont="1" applyBorder="1" applyAlignment="1">
      <alignment horizontal="right"/>
    </xf>
    <xf numFmtId="0" fontId="46" fillId="0" borderId="0" xfId="0" applyFont="1"/>
    <xf numFmtId="9" fontId="46" fillId="0" borderId="0" xfId="1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21" fillId="0" borderId="0" xfId="0" applyFont="1"/>
    <xf numFmtId="3" fontId="7" fillId="5" borderId="3" xfId="0" applyNumberFormat="1" applyFont="1" applyFill="1" applyBorder="1" applyAlignment="1">
      <alignment horizontal="center" vertical="center"/>
    </xf>
    <xf numFmtId="9" fontId="7" fillId="0" borderId="0" xfId="0" applyNumberFormat="1" applyFont="1"/>
    <xf numFmtId="10" fontId="7" fillId="0" borderId="0" xfId="1" applyNumberFormat="1" applyFont="1"/>
    <xf numFmtId="167" fontId="43" fillId="7" borderId="3" xfId="1" applyNumberFormat="1" applyFont="1" applyFill="1" applyBorder="1" applyAlignment="1">
      <alignment horizontal="center" vertical="center"/>
    </xf>
    <xf numFmtId="179" fontId="49" fillId="2" borderId="0" xfId="0" applyNumberFormat="1" applyFont="1" applyFill="1"/>
    <xf numFmtId="179" fontId="50" fillId="2" borderId="0" xfId="0" applyNumberFormat="1" applyFont="1" applyFill="1"/>
    <xf numFmtId="179" fontId="51" fillId="2" borderId="0" xfId="0" applyNumberFormat="1" applyFont="1" applyFill="1"/>
    <xf numFmtId="179" fontId="52" fillId="2" borderId="0" xfId="0" applyNumberFormat="1" applyFont="1" applyFill="1" applyAlignment="1">
      <alignment horizontal="center"/>
    </xf>
    <xf numFmtId="179" fontId="53" fillId="2" borderId="0" xfId="0" applyNumberFormat="1" applyFont="1" applyFill="1"/>
    <xf numFmtId="0" fontId="54" fillId="2" borderId="0" xfId="0" applyFont="1" applyFill="1"/>
    <xf numFmtId="0" fontId="55" fillId="2" borderId="0" xfId="0" applyFont="1" applyFill="1"/>
    <xf numFmtId="0" fontId="4" fillId="2" borderId="0" xfId="0" applyFont="1" applyFill="1"/>
    <xf numFmtId="0" fontId="56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7" fillId="2" borderId="0" xfId="0" applyFont="1" applyFill="1"/>
    <xf numFmtId="0" fontId="59" fillId="2" borderId="0" xfId="0" applyFont="1" applyFill="1"/>
    <xf numFmtId="0" fontId="60" fillId="2" borderId="0" xfId="0" applyFont="1" applyFill="1"/>
    <xf numFmtId="17" fontId="53" fillId="2" borderId="11" xfId="0" applyNumberFormat="1" applyFont="1" applyFill="1" applyBorder="1" applyAlignment="1">
      <alignment horizontal="center" vertical="center"/>
    </xf>
    <xf numFmtId="0" fontId="61" fillId="2" borderId="0" xfId="0" applyFont="1" applyFill="1" applyAlignment="1">
      <alignment horizontal="center"/>
    </xf>
    <xf numFmtId="172" fontId="53" fillId="2" borderId="13" xfId="3" applyNumberFormat="1" applyFont="1" applyFill="1" applyBorder="1" applyAlignment="1">
      <alignment horizontal="center" vertical="center"/>
    </xf>
    <xf numFmtId="0" fontId="2" fillId="2" borderId="0" xfId="0" applyFont="1" applyFill="1"/>
    <xf numFmtId="0" fontId="66" fillId="2" borderId="0" xfId="0" applyFont="1" applyFill="1" applyAlignment="1">
      <alignment horizontal="left"/>
    </xf>
    <xf numFmtId="0" fontId="65" fillId="2" borderId="0" xfId="0" applyFont="1" applyFill="1" applyAlignment="1">
      <alignment horizontal="right" indent="2"/>
    </xf>
    <xf numFmtId="0" fontId="66" fillId="2" borderId="0" xfId="0" applyFont="1" applyFill="1"/>
    <xf numFmtId="0" fontId="66" fillId="2" borderId="0" xfId="0" applyFont="1" applyFill="1" applyAlignment="1">
      <alignment horizontal="left" indent="4"/>
    </xf>
    <xf numFmtId="0" fontId="2" fillId="2" borderId="0" xfId="0" applyFont="1" applyFill="1" applyAlignment="1">
      <alignment horizontal="left" indent="2"/>
    </xf>
    <xf numFmtId="172" fontId="64" fillId="2" borderId="16" xfId="3" applyNumberFormat="1" applyFont="1" applyFill="1" applyBorder="1" applyAlignment="1">
      <alignment horizontal="center" vertical="center"/>
    </xf>
    <xf numFmtId="0" fontId="69" fillId="2" borderId="0" xfId="0" applyFont="1" applyFill="1"/>
    <xf numFmtId="0" fontId="71" fillId="2" borderId="0" xfId="0" applyFont="1" applyFill="1" applyAlignment="1">
      <alignment horizontal="center"/>
    </xf>
    <xf numFmtId="172" fontId="53" fillId="2" borderId="16" xfId="3" applyNumberFormat="1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72" fontId="64" fillId="16" borderId="16" xfId="3" applyNumberFormat="1" applyFont="1" applyFill="1" applyBorder="1" applyAlignment="1">
      <alignment horizontal="center" vertical="center"/>
    </xf>
    <xf numFmtId="43" fontId="2" fillId="2" borderId="0" xfId="3" applyFont="1" applyFill="1" applyAlignment="1">
      <alignment horizontal="center"/>
    </xf>
    <xf numFmtId="0" fontId="73" fillId="2" borderId="0" xfId="0" applyFont="1" applyFill="1" applyAlignment="1">
      <alignment horizontal="center"/>
    </xf>
    <xf numFmtId="0" fontId="0" fillId="2" borderId="0" xfId="0" applyFill="1" applyAlignment="1">
      <alignment horizontal="left" indent="4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indent="2"/>
    </xf>
    <xf numFmtId="0" fontId="74" fillId="2" borderId="0" xfId="0" applyFont="1" applyFill="1" applyAlignment="1">
      <alignment horizontal="right" indent="2"/>
    </xf>
    <xf numFmtId="167" fontId="68" fillId="2" borderId="13" xfId="1" applyNumberFormat="1" applyFont="1" applyFill="1" applyBorder="1" applyAlignment="1">
      <alignment horizontal="center" vertical="center"/>
    </xf>
    <xf numFmtId="167" fontId="68" fillId="2" borderId="16" xfId="3" applyNumberFormat="1" applyFont="1" applyFill="1" applyBorder="1" applyAlignment="1">
      <alignment horizontal="center" vertical="center"/>
    </xf>
    <xf numFmtId="172" fontId="68" fillId="2" borderId="16" xfId="3" applyNumberFormat="1" applyFont="1" applyFill="1" applyBorder="1" applyAlignment="1">
      <alignment horizontal="center" vertical="center"/>
    </xf>
    <xf numFmtId="9" fontId="68" fillId="2" borderId="13" xfId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indent="4"/>
    </xf>
    <xf numFmtId="0" fontId="2" fillId="2" borderId="0" xfId="0" applyFont="1" applyFill="1" applyAlignment="1">
      <alignment horizontal="left"/>
    </xf>
    <xf numFmtId="180" fontId="53" fillId="2" borderId="18" xfId="0" applyNumberFormat="1" applyFont="1" applyFill="1" applyBorder="1" applyAlignment="1">
      <alignment horizontal="center" vertical="center"/>
    </xf>
    <xf numFmtId="3" fontId="54" fillId="2" borderId="0" xfId="0" applyNumberFormat="1" applyFont="1" applyFill="1" applyAlignment="1">
      <alignment horizontal="left"/>
    </xf>
    <xf numFmtId="180" fontId="53" fillId="2" borderId="16" xfId="0" applyNumberFormat="1" applyFont="1" applyFill="1" applyBorder="1" applyAlignment="1">
      <alignment horizontal="center" vertical="center"/>
    </xf>
    <xf numFmtId="0" fontId="68" fillId="2" borderId="0" xfId="0" applyFont="1" applyFill="1" applyAlignment="1">
      <alignment horizontal="left" indent="2"/>
    </xf>
    <xf numFmtId="9" fontId="54" fillId="2" borderId="0" xfId="1" applyFont="1" applyFill="1"/>
    <xf numFmtId="180" fontId="68" fillId="2" borderId="16" xfId="0" applyNumberFormat="1" applyFont="1" applyFill="1" applyBorder="1" applyAlignment="1">
      <alignment horizontal="center" vertical="center"/>
    </xf>
    <xf numFmtId="0" fontId="75" fillId="2" borderId="0" xfId="0" applyFont="1" applyFill="1" applyAlignment="1">
      <alignment horizontal="right"/>
    </xf>
    <xf numFmtId="0" fontId="64" fillId="2" borderId="0" xfId="0" applyFont="1" applyFill="1" applyAlignment="1">
      <alignment horizontal="left" indent="2"/>
    </xf>
    <xf numFmtId="180" fontId="53" fillId="2" borderId="13" xfId="0" applyNumberFormat="1" applyFont="1" applyFill="1" applyBorder="1" applyAlignment="1">
      <alignment horizontal="center" vertical="center"/>
    </xf>
    <xf numFmtId="0" fontId="76" fillId="2" borderId="0" xfId="0" applyFont="1" applyFill="1" applyAlignment="1">
      <alignment horizontal="left" indent="2"/>
    </xf>
    <xf numFmtId="3" fontId="2" fillId="2" borderId="0" xfId="0" applyNumberFormat="1" applyFont="1" applyFill="1" applyAlignment="1">
      <alignment horizontal="left"/>
    </xf>
    <xf numFmtId="0" fontId="0" fillId="2" borderId="0" xfId="0" applyFill="1"/>
    <xf numFmtId="0" fontId="63" fillId="2" borderId="0" xfId="0" applyFont="1" applyFill="1" applyAlignment="1">
      <alignment horizontal="right"/>
    </xf>
    <xf numFmtId="0" fontId="77" fillId="2" borderId="0" xfId="0" applyFont="1" applyFill="1"/>
    <xf numFmtId="0" fontId="77" fillId="2" borderId="0" xfId="0" applyFont="1" applyFill="1" applyAlignment="1">
      <alignment horizontal="left" indent="2"/>
    </xf>
    <xf numFmtId="167" fontId="77" fillId="0" borderId="16" xfId="1" applyNumberFormat="1" applyFont="1" applyFill="1" applyBorder="1" applyAlignment="1">
      <alignment horizontal="center" vertical="center"/>
    </xf>
    <xf numFmtId="0" fontId="75" fillId="2" borderId="0" xfId="0" applyFont="1" applyFill="1" applyAlignment="1">
      <alignment horizontal="right" vertical="center"/>
    </xf>
    <xf numFmtId="0" fontId="68" fillId="2" borderId="0" xfId="0" applyFont="1" applyFill="1" applyAlignment="1">
      <alignment horizontal="left" vertical="center" indent="2"/>
    </xf>
    <xf numFmtId="3" fontId="2" fillId="2" borderId="0" xfId="0" applyNumberFormat="1" applyFont="1" applyFill="1" applyAlignment="1">
      <alignment horizontal="left" vertical="center"/>
    </xf>
    <xf numFmtId="17" fontId="78" fillId="2" borderId="0" xfId="0" applyNumberFormat="1" applyFont="1" applyFill="1" applyAlignment="1">
      <alignment horizontal="center"/>
    </xf>
    <xf numFmtId="0" fontId="54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0" fillId="2" borderId="0" xfId="0" applyFont="1" applyFill="1"/>
    <xf numFmtId="0" fontId="30" fillId="2" borderId="0" xfId="0" applyFont="1" applyFill="1" applyAlignment="1">
      <alignment horizontal="left" indent="2"/>
    </xf>
    <xf numFmtId="180" fontId="77" fillId="0" borderId="16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180" fontId="68" fillId="2" borderId="13" xfId="0" applyNumberFormat="1" applyFont="1" applyFill="1" applyBorder="1" applyAlignment="1">
      <alignment horizontal="center" vertical="center"/>
    </xf>
    <xf numFmtId="0" fontId="79" fillId="2" borderId="0" xfId="0" applyFont="1" applyFill="1" applyAlignment="1">
      <alignment horizontal="right"/>
    </xf>
    <xf numFmtId="0" fontId="75" fillId="0" borderId="0" xfId="0" applyFont="1" applyAlignment="1">
      <alignment horizontal="right"/>
    </xf>
    <xf numFmtId="0" fontId="0" fillId="0" borderId="12" xfId="0" applyBorder="1"/>
    <xf numFmtId="0" fontId="53" fillId="2" borderId="17" xfId="0" applyFont="1" applyFill="1" applyBorder="1" applyAlignment="1">
      <alignment horizontal="left" indent="2"/>
    </xf>
    <xf numFmtId="0" fontId="53" fillId="2" borderId="10" xfId="0" applyFont="1" applyFill="1" applyBorder="1" applyAlignment="1">
      <alignment horizontal="left" indent="2"/>
    </xf>
    <xf numFmtId="0" fontId="37" fillId="2" borderId="0" xfId="0" applyFont="1" applyFill="1"/>
    <xf numFmtId="0" fontId="82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52" fillId="2" borderId="0" xfId="0" applyFont="1" applyFill="1" applyAlignment="1">
      <alignment horizontal="center"/>
    </xf>
    <xf numFmtId="9" fontId="53" fillId="2" borderId="13" xfId="1" applyFont="1" applyFill="1" applyBorder="1" applyAlignment="1">
      <alignment horizontal="center" vertical="center"/>
    </xf>
    <xf numFmtId="172" fontId="64" fillId="17" borderId="16" xfId="3" applyNumberFormat="1" applyFont="1" applyFill="1" applyBorder="1" applyAlignment="1">
      <alignment horizontal="center" vertical="center"/>
    </xf>
    <xf numFmtId="172" fontId="68" fillId="17" borderId="16" xfId="3" applyNumberFormat="1" applyFont="1" applyFill="1" applyBorder="1" applyAlignment="1">
      <alignment horizontal="center" vertical="center"/>
    </xf>
    <xf numFmtId="172" fontId="68" fillId="17" borderId="11" xfId="3" applyNumberFormat="1" applyFont="1" applyFill="1" applyBorder="1" applyAlignment="1">
      <alignment horizontal="center" vertical="center"/>
    </xf>
    <xf numFmtId="17" fontId="68" fillId="17" borderId="16" xfId="3" applyNumberFormat="1" applyFont="1" applyFill="1" applyBorder="1" applyAlignment="1">
      <alignment horizontal="center" vertical="center"/>
    </xf>
    <xf numFmtId="180" fontId="68" fillId="17" borderId="16" xfId="0" applyNumberFormat="1" applyFont="1" applyFill="1" applyBorder="1" applyAlignment="1">
      <alignment horizontal="center" vertical="center"/>
    </xf>
    <xf numFmtId="180" fontId="64" fillId="17" borderId="16" xfId="0" applyNumberFormat="1" applyFont="1" applyFill="1" applyBorder="1" applyAlignment="1">
      <alignment horizontal="center" vertical="center"/>
    </xf>
    <xf numFmtId="180" fontId="64" fillId="17" borderId="11" xfId="0" applyNumberFormat="1" applyFont="1" applyFill="1" applyBorder="1" applyAlignment="1">
      <alignment horizontal="center" vertical="center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3" fontId="28" fillId="3" borderId="7" xfId="0" applyNumberFormat="1" applyFont="1" applyFill="1" applyBorder="1" applyAlignment="1">
      <alignment horizontal="center" vertical="center"/>
    </xf>
    <xf numFmtId="3" fontId="28" fillId="3" borderId="0" xfId="0" applyNumberFormat="1" applyFont="1" applyFill="1" applyAlignment="1">
      <alignment horizontal="center" vertical="center"/>
    </xf>
    <xf numFmtId="183" fontId="19" fillId="13" borderId="0" xfId="0" applyNumberFormat="1" applyFont="1" applyFill="1" applyAlignment="1">
      <alignment horizontal="center"/>
    </xf>
    <xf numFmtId="0" fontId="65" fillId="2" borderId="0" xfId="0" applyFont="1" applyFill="1" applyAlignment="1">
      <alignment horizontal="left"/>
    </xf>
    <xf numFmtId="0" fontId="74" fillId="2" borderId="0" xfId="0" applyFont="1" applyFill="1" applyAlignment="1">
      <alignment horizontal="left"/>
    </xf>
    <xf numFmtId="0" fontId="74" fillId="2" borderId="0" xfId="0" applyFont="1" applyFill="1"/>
    <xf numFmtId="0" fontId="84" fillId="2" borderId="0" xfId="0" applyFont="1" applyFill="1" applyAlignment="1">
      <alignment horizontal="left"/>
    </xf>
    <xf numFmtId="0" fontId="65" fillId="2" borderId="0" xfId="0" applyFont="1" applyFill="1"/>
    <xf numFmtId="0" fontId="76" fillId="2" borderId="0" xfId="0" applyFont="1" applyFill="1" applyAlignment="1">
      <alignment horizontal="left"/>
    </xf>
    <xf numFmtId="177" fontId="81" fillId="2" borderId="13" xfId="1" applyNumberFormat="1" applyFont="1" applyFill="1" applyBorder="1" applyAlignment="1">
      <alignment horizontal="center" vertical="center"/>
    </xf>
    <xf numFmtId="0" fontId="19" fillId="14" borderId="0" xfId="0" applyFont="1" applyFill="1" applyAlignment="1">
      <alignment horizontal="left" vertical="center" indent="2"/>
    </xf>
    <xf numFmtId="180" fontId="4" fillId="2" borderId="14" xfId="0" applyNumberFormat="1" applyFont="1" applyFill="1" applyBorder="1" applyAlignment="1">
      <alignment horizontal="center" vertical="center"/>
    </xf>
    <xf numFmtId="0" fontId="29" fillId="0" borderId="0" xfId="0" applyFont="1"/>
    <xf numFmtId="0" fontId="29" fillId="0" borderId="3" xfId="0" applyFont="1" applyBorder="1" applyAlignment="1">
      <alignment horizontal="left"/>
    </xf>
    <xf numFmtId="3" fontId="29" fillId="0" borderId="1" xfId="0" applyNumberFormat="1" applyFont="1" applyBorder="1" applyAlignment="1">
      <alignment horizontal="center" vertical="center"/>
    </xf>
    <xf numFmtId="3" fontId="29" fillId="0" borderId="4" xfId="0" applyNumberFormat="1" applyFont="1" applyBorder="1" applyAlignment="1">
      <alignment horizontal="center" vertical="center"/>
    </xf>
    <xf numFmtId="167" fontId="29" fillId="2" borderId="3" xfId="1" applyNumberFormat="1" applyFont="1" applyFill="1" applyBorder="1" applyAlignment="1">
      <alignment horizontal="center" vertical="center"/>
    </xf>
    <xf numFmtId="9" fontId="28" fillId="2" borderId="3" xfId="1" applyFont="1" applyFill="1" applyBorder="1" applyAlignment="1">
      <alignment horizontal="center" vertical="center"/>
    </xf>
    <xf numFmtId="165" fontId="22" fillId="12" borderId="9" xfId="0" applyNumberFormat="1" applyFont="1" applyFill="1" applyBorder="1" applyAlignment="1">
      <alignment vertical="center" wrapText="1"/>
    </xf>
    <xf numFmtId="10" fontId="33" fillId="8" borderId="9" xfId="0" applyNumberFormat="1" applyFont="1" applyFill="1" applyBorder="1" applyAlignment="1">
      <alignment horizontal="right" vertical="center"/>
    </xf>
    <xf numFmtId="165" fontId="22" fillId="12" borderId="9" xfId="0" applyNumberFormat="1" applyFont="1" applyFill="1" applyBorder="1" applyAlignment="1">
      <alignment horizontal="left" vertical="center"/>
    </xf>
    <xf numFmtId="0" fontId="25" fillId="14" borderId="19" xfId="0" applyFont="1" applyFill="1" applyBorder="1" applyAlignment="1">
      <alignment horizontal="left" vertical="center" indent="2"/>
    </xf>
    <xf numFmtId="0" fontId="0" fillId="0" borderId="1" xfId="0" applyBorder="1"/>
    <xf numFmtId="0" fontId="30" fillId="2" borderId="0" xfId="0" applyFont="1" applyFill="1" applyAlignment="1">
      <alignment horizontal="left" indent="4"/>
    </xf>
    <xf numFmtId="0" fontId="84" fillId="2" borderId="0" xfId="0" applyFont="1" applyFill="1" applyAlignment="1">
      <alignment horizontal="left" indent="4"/>
    </xf>
    <xf numFmtId="0" fontId="82" fillId="2" borderId="0" xfId="0" applyFont="1" applyFill="1" applyAlignment="1">
      <alignment horizontal="left" indent="4"/>
    </xf>
    <xf numFmtId="0" fontId="84" fillId="2" borderId="0" xfId="0" applyFont="1" applyFill="1" applyAlignment="1">
      <alignment horizontal="left" indent="2"/>
    </xf>
    <xf numFmtId="0" fontId="82" fillId="2" borderId="0" xfId="0" applyFont="1" applyFill="1" applyAlignment="1">
      <alignment horizontal="left" indent="2"/>
    </xf>
    <xf numFmtId="0" fontId="84" fillId="2" borderId="17" xfId="0" applyFont="1" applyFill="1" applyBorder="1" applyAlignment="1">
      <alignment horizontal="left" indent="2"/>
    </xf>
    <xf numFmtId="0" fontId="84" fillId="2" borderId="10" xfId="0" applyFont="1" applyFill="1" applyBorder="1" applyAlignment="1">
      <alignment horizontal="left" indent="2"/>
    </xf>
    <xf numFmtId="0" fontId="27" fillId="2" borderId="0" xfId="0" applyFont="1" applyFill="1"/>
    <xf numFmtId="165" fontId="86" fillId="13" borderId="0" xfId="0" applyNumberFormat="1" applyFont="1" applyFill="1" applyAlignment="1">
      <alignment horizontal="left" vertical="center"/>
    </xf>
    <xf numFmtId="172" fontId="86" fillId="13" borderId="0" xfId="0" applyNumberFormat="1" applyFont="1" applyFill="1" applyAlignment="1">
      <alignment horizontal="right" vertical="center" wrapText="1"/>
    </xf>
    <xf numFmtId="3" fontId="86" fillId="13" borderId="0" xfId="0" applyNumberFormat="1" applyFont="1" applyFill="1" applyAlignment="1">
      <alignment horizontal="center" vertical="center" wrapText="1"/>
    </xf>
    <xf numFmtId="0" fontId="46" fillId="0" borderId="3" xfId="0" applyFont="1" applyBorder="1"/>
    <xf numFmtId="0" fontId="46" fillId="0" borderId="3" xfId="0" applyFont="1" applyBorder="1" applyAlignment="1">
      <alignment horizontal="left"/>
    </xf>
    <xf numFmtId="3" fontId="46" fillId="0" borderId="4" xfId="0" applyNumberFormat="1" applyFont="1" applyBorder="1" applyAlignment="1">
      <alignment horizontal="center" vertical="center"/>
    </xf>
    <xf numFmtId="3" fontId="46" fillId="0" borderId="1" xfId="0" applyNumberFormat="1" applyFont="1" applyBorder="1" applyAlignment="1">
      <alignment horizontal="center" vertical="center"/>
    </xf>
    <xf numFmtId="167" fontId="46" fillId="2" borderId="3" xfId="1" applyNumberFormat="1" applyFont="1" applyFill="1" applyBorder="1" applyAlignment="1">
      <alignment horizontal="center" vertical="center"/>
    </xf>
    <xf numFmtId="9" fontId="46" fillId="2" borderId="3" xfId="1" applyFont="1" applyFill="1" applyBorder="1" applyAlignment="1">
      <alignment horizontal="center" vertical="center"/>
    </xf>
    <xf numFmtId="178" fontId="17" fillId="7" borderId="20" xfId="1" applyNumberFormat="1" applyFont="1" applyFill="1" applyBorder="1" applyAlignment="1">
      <alignment horizontal="center" vertical="center"/>
    </xf>
    <xf numFmtId="0" fontId="87" fillId="2" borderId="2" xfId="0" applyFont="1" applyFill="1" applyBorder="1" applyAlignment="1">
      <alignment horizontal="left" vertical="center" indent="3"/>
    </xf>
    <xf numFmtId="10" fontId="33" fillId="7" borderId="21" xfId="0" applyNumberFormat="1" applyFont="1" applyFill="1" applyBorder="1" applyAlignment="1">
      <alignment horizontal="center" vertical="center"/>
    </xf>
    <xf numFmtId="14" fontId="33" fillId="2" borderId="0" xfId="0" applyNumberFormat="1" applyFont="1" applyFill="1" applyAlignment="1">
      <alignment horizontal="right" vertical="center"/>
    </xf>
    <xf numFmtId="3" fontId="39" fillId="2" borderId="5" xfId="1" applyNumberFormat="1" applyFont="1" applyFill="1" applyBorder="1" applyAlignment="1"/>
    <xf numFmtId="0" fontId="31" fillId="2" borderId="2" xfId="0" applyFont="1" applyFill="1" applyBorder="1"/>
    <xf numFmtId="3" fontId="31" fillId="2" borderId="3" xfId="0" applyNumberFormat="1" applyFont="1" applyFill="1" applyBorder="1"/>
    <xf numFmtId="3" fontId="31" fillId="0" borderId="4" xfId="0" applyNumberFormat="1" applyFont="1" applyBorder="1"/>
    <xf numFmtId="0" fontId="9" fillId="0" borderId="22" xfId="0" applyFont="1" applyBorder="1" applyAlignment="1">
      <alignment horizontal="left" vertical="top" wrapText="1"/>
    </xf>
    <xf numFmtId="1" fontId="9" fillId="0" borderId="22" xfId="0" applyNumberFormat="1" applyFont="1" applyBorder="1" applyAlignment="1">
      <alignment horizontal="right" vertical="top" wrapText="1"/>
    </xf>
    <xf numFmtId="0" fontId="9" fillId="0" borderId="22" xfId="0" applyFont="1" applyBorder="1" applyAlignment="1">
      <alignment horizontal="right" vertical="top"/>
    </xf>
    <xf numFmtId="3" fontId="9" fillId="0" borderId="22" xfId="0" applyNumberFormat="1" applyFont="1" applyBorder="1" applyAlignment="1">
      <alignment horizontal="right" vertical="top"/>
    </xf>
    <xf numFmtId="4" fontId="9" fillId="0" borderId="22" xfId="0" applyNumberFormat="1" applyFont="1" applyBorder="1" applyAlignment="1">
      <alignment horizontal="right" vertical="top"/>
    </xf>
    <xf numFmtId="2" fontId="9" fillId="0" borderId="22" xfId="0" applyNumberFormat="1" applyFont="1" applyBorder="1" applyAlignment="1">
      <alignment horizontal="right" vertical="top"/>
    </xf>
    <xf numFmtId="1" fontId="9" fillId="0" borderId="22" xfId="0" applyNumberFormat="1" applyFont="1" applyBorder="1" applyAlignment="1">
      <alignment horizontal="right" vertical="top"/>
    </xf>
    <xf numFmtId="9" fontId="46" fillId="0" borderId="0" xfId="0" applyNumberFormat="1" applyFont="1" applyAlignment="1">
      <alignment horizontal="center"/>
    </xf>
    <xf numFmtId="0" fontId="28" fillId="18" borderId="22" xfId="0" applyFont="1" applyFill="1" applyBorder="1" applyAlignment="1">
      <alignment horizontal="center" vertical="center" wrapText="1"/>
    </xf>
    <xf numFmtId="4" fontId="89" fillId="18" borderId="22" xfId="0" applyNumberFormat="1" applyFont="1" applyFill="1" applyBorder="1" applyAlignment="1">
      <alignment horizontal="center" vertical="center"/>
    </xf>
    <xf numFmtId="0" fontId="90" fillId="0" borderId="0" xfId="0" applyFont="1"/>
    <xf numFmtId="0" fontId="80" fillId="0" borderId="0" xfId="0" applyFont="1"/>
    <xf numFmtId="0" fontId="91" fillId="13" borderId="0" xfId="0" applyFont="1" applyFill="1" applyAlignment="1">
      <alignment horizontal="center" vertical="center"/>
    </xf>
    <xf numFmtId="0" fontId="90" fillId="0" borderId="0" xfId="0" applyFont="1" applyAlignment="1">
      <alignment horizontal="center"/>
    </xf>
    <xf numFmtId="0" fontId="91" fillId="11" borderId="9" xfId="0" applyFont="1" applyFill="1" applyBorder="1" applyAlignment="1">
      <alignment horizontal="center" vertical="center"/>
    </xf>
    <xf numFmtId="0" fontId="91" fillId="11" borderId="9" xfId="0" applyFont="1" applyFill="1" applyBorder="1" applyAlignment="1">
      <alignment horizontal="left" vertical="center" indent="1"/>
    </xf>
    <xf numFmtId="0" fontId="90" fillId="0" borderId="1" xfId="0" applyFont="1" applyBorder="1" applyAlignment="1">
      <alignment horizontal="center"/>
    </xf>
    <xf numFmtId="0" fontId="80" fillId="0" borderId="1" xfId="0" applyFont="1" applyBorder="1"/>
    <xf numFmtId="0" fontId="91" fillId="11" borderId="0" xfId="0" applyFont="1" applyFill="1" applyAlignment="1">
      <alignment horizontal="center" vertical="center"/>
    </xf>
    <xf numFmtId="0" fontId="91" fillId="11" borderId="0" xfId="0" applyFont="1" applyFill="1" applyAlignment="1">
      <alignment horizontal="left" vertical="center" indent="1"/>
    </xf>
    <xf numFmtId="0" fontId="92" fillId="12" borderId="9" xfId="0" applyFont="1" applyFill="1" applyBorder="1" applyAlignment="1">
      <alignment horizontal="center"/>
    </xf>
    <xf numFmtId="0" fontId="92" fillId="12" borderId="9" xfId="0" applyFont="1" applyFill="1" applyBorder="1"/>
    <xf numFmtId="0" fontId="90" fillId="3" borderId="1" xfId="0" applyFont="1" applyFill="1" applyBorder="1" applyAlignment="1">
      <alignment horizontal="center"/>
    </xf>
    <xf numFmtId="0" fontId="90" fillId="3" borderId="1" xfId="0" applyFont="1" applyFill="1" applyBorder="1"/>
    <xf numFmtId="3" fontId="80" fillId="0" borderId="1" xfId="0" applyNumberFormat="1" applyFont="1" applyBorder="1"/>
    <xf numFmtId="0" fontId="28" fillId="18" borderId="1" xfId="0" applyFont="1" applyFill="1" applyBorder="1" applyAlignment="1">
      <alignment horizontal="center" vertical="center" wrapText="1"/>
    </xf>
    <xf numFmtId="0" fontId="28" fillId="18" borderId="2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14" fontId="9" fillId="0" borderId="22" xfId="0" applyNumberFormat="1" applyFont="1" applyBorder="1" applyAlignment="1">
      <alignment horizontal="left" vertical="top" wrapText="1"/>
    </xf>
    <xf numFmtId="3" fontId="9" fillId="0" borderId="1" xfId="0" applyNumberFormat="1" applyFont="1" applyBorder="1" applyAlignment="1">
      <alignment horizontal="left" vertical="top" wrapText="1"/>
    </xf>
    <xf numFmtId="0" fontId="90" fillId="0" borderId="1" xfId="0" applyFont="1" applyBorder="1"/>
    <xf numFmtId="3" fontId="62" fillId="0" borderId="0" xfId="0" applyNumberFormat="1" applyFont="1"/>
    <xf numFmtId="3" fontId="91" fillId="11" borderId="9" xfId="0" applyNumberFormat="1" applyFont="1" applyFill="1" applyBorder="1" applyAlignment="1">
      <alignment horizontal="center" vertical="center"/>
    </xf>
    <xf numFmtId="3" fontId="91" fillId="11" borderId="0" xfId="0" applyNumberFormat="1" applyFont="1" applyFill="1" applyAlignment="1">
      <alignment horizontal="center" vertical="center"/>
    </xf>
    <xf numFmtId="3" fontId="80" fillId="0" borderId="1" xfId="0" applyNumberFormat="1" applyFont="1" applyBorder="1" applyAlignment="1">
      <alignment horizontal="center" vertical="center"/>
    </xf>
    <xf numFmtId="3" fontId="92" fillId="12" borderId="9" xfId="0" applyNumberFormat="1" applyFont="1" applyFill="1" applyBorder="1" applyAlignment="1">
      <alignment horizontal="center" vertical="center"/>
    </xf>
    <xf numFmtId="3" fontId="90" fillId="3" borderId="1" xfId="0" applyNumberFormat="1" applyFont="1" applyFill="1" applyBorder="1" applyAlignment="1">
      <alignment horizontal="center" vertical="center"/>
    </xf>
    <xf numFmtId="3" fontId="80" fillId="0" borderId="0" xfId="0" applyNumberFormat="1" applyFont="1" applyAlignment="1">
      <alignment horizontal="center" vertical="center"/>
    </xf>
    <xf numFmtId="0" fontId="94" fillId="0" borderId="0" xfId="0" applyFont="1" applyAlignment="1">
      <alignment horizontal="center"/>
    </xf>
    <xf numFmtId="3" fontId="7" fillId="5" borderId="0" xfId="0" applyNumberFormat="1" applyFont="1" applyFill="1" applyAlignment="1">
      <alignment horizontal="center"/>
    </xf>
    <xf numFmtId="3" fontId="80" fillId="5" borderId="1" xfId="0" applyNumberFormat="1" applyFont="1" applyFill="1" applyBorder="1" applyAlignment="1">
      <alignment horizontal="center" vertical="center"/>
    </xf>
    <xf numFmtId="3" fontId="16" fillId="5" borderId="3" xfId="0" applyNumberFormat="1" applyFont="1" applyFill="1" applyBorder="1" applyAlignment="1">
      <alignment horizontal="center" vertical="center"/>
    </xf>
    <xf numFmtId="3" fontId="28" fillId="5" borderId="3" xfId="0" applyNumberFormat="1" applyFont="1" applyFill="1" applyBorder="1" applyAlignment="1">
      <alignment horizontal="center" vertical="center"/>
    </xf>
    <xf numFmtId="9" fontId="28" fillId="5" borderId="3" xfId="1" applyFont="1" applyFill="1" applyBorder="1" applyAlignment="1">
      <alignment horizontal="center" vertical="center"/>
    </xf>
    <xf numFmtId="167" fontId="46" fillId="5" borderId="3" xfId="1" applyNumberFormat="1" applyFont="1" applyFill="1" applyBorder="1" applyAlignment="1">
      <alignment horizontal="center" vertical="center"/>
    </xf>
    <xf numFmtId="167" fontId="29" fillId="5" borderId="3" xfId="1" applyNumberFormat="1" applyFont="1" applyFill="1" applyBorder="1" applyAlignment="1">
      <alignment horizontal="center" vertical="center"/>
    </xf>
    <xf numFmtId="10" fontId="28" fillId="5" borderId="3" xfId="1" applyNumberFormat="1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14" fillId="0" borderId="1" xfId="1" applyNumberFormat="1" applyFont="1" applyBorder="1" applyAlignment="1">
      <alignment horizontal="center" vertical="center"/>
    </xf>
    <xf numFmtId="0" fontId="91" fillId="11" borderId="0" xfId="0" applyFont="1" applyFill="1" applyAlignment="1">
      <alignment horizontal="left" vertical="center" indent="2"/>
    </xf>
    <xf numFmtId="187" fontId="7" fillId="0" borderId="0" xfId="0" applyNumberFormat="1" applyFont="1" applyAlignment="1">
      <alignment horizontal="center" vertical="center"/>
    </xf>
    <xf numFmtId="187" fontId="22" fillId="0" borderId="0" xfId="0" applyNumberFormat="1" applyFont="1" applyAlignment="1">
      <alignment horizontal="center" vertical="center"/>
    </xf>
    <xf numFmtId="180" fontId="64" fillId="17" borderId="18" xfId="0" applyNumberFormat="1" applyFont="1" applyFill="1" applyBorder="1" applyAlignment="1">
      <alignment horizontal="center" vertical="center"/>
    </xf>
    <xf numFmtId="0" fontId="19" fillId="11" borderId="0" xfId="0" applyFont="1" applyFill="1" applyAlignment="1">
      <alignment horizontal="left" vertical="center" indent="2"/>
    </xf>
    <xf numFmtId="174" fontId="38" fillId="2" borderId="3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indent="1"/>
    </xf>
    <xf numFmtId="0" fontId="8" fillId="2" borderId="3" xfId="0" applyFont="1" applyFill="1" applyBorder="1" applyAlignment="1">
      <alignment horizontal="left" vertical="center" indent="1"/>
    </xf>
    <xf numFmtId="0" fontId="8" fillId="2" borderId="3" xfId="0" applyFont="1" applyFill="1" applyBorder="1"/>
    <xf numFmtId="185" fontId="63" fillId="2" borderId="4" xfId="0" applyNumberFormat="1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right"/>
    </xf>
    <xf numFmtId="184" fontId="18" fillId="7" borderId="3" xfId="0" applyNumberFormat="1" applyFont="1" applyFill="1" applyBorder="1" applyAlignment="1">
      <alignment horizontal="center" vertical="center"/>
    </xf>
    <xf numFmtId="167" fontId="97" fillId="7" borderId="4" xfId="0" applyNumberFormat="1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right" indent="2"/>
    </xf>
    <xf numFmtId="10" fontId="37" fillId="2" borderId="3" xfId="0" applyNumberFormat="1" applyFont="1" applyFill="1" applyBorder="1" applyAlignment="1">
      <alignment horizontal="left"/>
    </xf>
    <xf numFmtId="167" fontId="18" fillId="7" borderId="4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indent="1"/>
    </xf>
    <xf numFmtId="167" fontId="63" fillId="0" borderId="4" xfId="0" applyNumberFormat="1" applyFont="1" applyBorder="1" applyAlignment="1">
      <alignment horizontal="center" vertical="center"/>
    </xf>
    <xf numFmtId="0" fontId="37" fillId="2" borderId="3" xfId="0" applyFont="1" applyFill="1" applyBorder="1" applyAlignment="1">
      <alignment horizontal="left" indent="2"/>
    </xf>
    <xf numFmtId="10" fontId="6" fillId="7" borderId="4" xfId="0" applyNumberFormat="1" applyFont="1" applyFill="1" applyBorder="1" applyAlignment="1">
      <alignment horizontal="center" vertical="center"/>
    </xf>
    <xf numFmtId="10" fontId="96" fillId="7" borderId="4" xfId="0" applyNumberFormat="1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left" indent="3"/>
    </xf>
    <xf numFmtId="0" fontId="38" fillId="2" borderId="3" xfId="0" applyFont="1" applyFill="1" applyBorder="1" applyAlignment="1">
      <alignment horizontal="right" vertical="center"/>
    </xf>
    <xf numFmtId="3" fontId="6" fillId="2" borderId="4" xfId="0" applyNumberFormat="1" applyFont="1" applyFill="1" applyBorder="1" applyAlignment="1">
      <alignment horizontal="center" vertical="center"/>
    </xf>
    <xf numFmtId="0" fontId="98" fillId="2" borderId="3" xfId="0" applyFont="1" applyFill="1" applyBorder="1" applyAlignment="1">
      <alignment horizontal="left" vertical="center" indent="3"/>
    </xf>
    <xf numFmtId="3" fontId="99" fillId="2" borderId="4" xfId="0" applyNumberFormat="1" applyFont="1" applyFill="1" applyBorder="1" applyAlignment="1">
      <alignment horizontal="center" vertical="center"/>
    </xf>
    <xf numFmtId="0" fontId="95" fillId="0" borderId="0" xfId="0" applyFont="1"/>
    <xf numFmtId="0" fontId="100" fillId="0" borderId="0" xfId="0" applyFont="1" applyAlignment="1">
      <alignment horizontal="left" vertical="center"/>
    </xf>
    <xf numFmtId="0" fontId="101" fillId="10" borderId="0" xfId="0" applyFont="1" applyFill="1" applyAlignment="1">
      <alignment horizontal="center"/>
    </xf>
    <xf numFmtId="0" fontId="100" fillId="0" borderId="0" xfId="0" applyFont="1" applyAlignment="1">
      <alignment horizontal="right" vertical="center"/>
    </xf>
    <xf numFmtId="175" fontId="19" fillId="11" borderId="0" xfId="0" applyNumberFormat="1" applyFont="1" applyFill="1" applyAlignment="1">
      <alignment horizontal="center" vertical="center"/>
    </xf>
    <xf numFmtId="0" fontId="100" fillId="11" borderId="0" xfId="0" applyFont="1" applyFill="1" applyAlignment="1">
      <alignment horizontal="left" vertical="center"/>
    </xf>
    <xf numFmtId="0" fontId="102" fillId="0" borderId="0" xfId="0" applyFont="1" applyAlignment="1">
      <alignment vertical="center"/>
    </xf>
    <xf numFmtId="176" fontId="19" fillId="11" borderId="0" xfId="0" applyNumberFormat="1" applyFont="1" applyFill="1" applyAlignment="1">
      <alignment horizontal="center" vertical="center"/>
    </xf>
    <xf numFmtId="3" fontId="19" fillId="11" borderId="0" xfId="0" applyNumberFormat="1" applyFont="1" applyFill="1" applyAlignment="1">
      <alignment horizontal="center" vertical="center"/>
    </xf>
    <xf numFmtId="0" fontId="19" fillId="11" borderId="0" xfId="0" applyFont="1" applyFill="1" applyAlignment="1">
      <alignment horizontal="left" vertical="center"/>
    </xf>
    <xf numFmtId="14" fontId="100" fillId="7" borderId="0" xfId="0" applyNumberFormat="1" applyFont="1" applyFill="1" applyAlignment="1">
      <alignment horizontal="center" vertical="center"/>
    </xf>
    <xf numFmtId="0" fontId="38" fillId="0" borderId="0" xfId="0" applyFont="1" applyAlignment="1">
      <alignment horizontal="right" vertical="center"/>
    </xf>
    <xf numFmtId="167" fontId="18" fillId="7" borderId="9" xfId="1" applyNumberFormat="1" applyFont="1" applyFill="1" applyBorder="1" applyAlignment="1">
      <alignment horizontal="center" vertical="center"/>
    </xf>
    <xf numFmtId="0" fontId="103" fillId="0" borderId="0" xfId="0" applyFont="1" applyAlignment="1">
      <alignment horizontal="right"/>
    </xf>
    <xf numFmtId="167" fontId="103" fillId="0" borderId="0" xfId="0" applyNumberFormat="1" applyFont="1" applyAlignment="1">
      <alignment horizontal="left"/>
    </xf>
    <xf numFmtId="9" fontId="103" fillId="0" borderId="0" xfId="0" applyNumberFormat="1" applyFont="1" applyAlignment="1">
      <alignment horizontal="center"/>
    </xf>
    <xf numFmtId="9" fontId="8" fillId="12" borderId="3" xfId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indent="1"/>
    </xf>
    <xf numFmtId="0" fontId="6" fillId="2" borderId="3" xfId="0" applyFont="1" applyFill="1" applyBorder="1" applyAlignment="1">
      <alignment horizontal="left" vertical="center"/>
    </xf>
    <xf numFmtId="166" fontId="97" fillId="2" borderId="3" xfId="0" applyNumberFormat="1" applyFont="1" applyFill="1" applyBorder="1" applyAlignment="1">
      <alignment vertical="center"/>
    </xf>
    <xf numFmtId="166" fontId="38" fillId="2" borderId="3" xfId="0" applyNumberFormat="1" applyFont="1" applyFill="1" applyBorder="1" applyAlignment="1">
      <alignment horizontal="center" vertical="center"/>
    </xf>
    <xf numFmtId="164" fontId="14" fillId="2" borderId="3" xfId="0" applyNumberFormat="1" applyFont="1" applyFill="1" applyBorder="1" applyAlignment="1">
      <alignment horizontal="center" vertical="center"/>
    </xf>
    <xf numFmtId="167" fontId="6" fillId="2" borderId="3" xfId="1" applyNumberFormat="1" applyFont="1" applyFill="1" applyBorder="1" applyAlignment="1">
      <alignment horizontal="center" vertical="center"/>
    </xf>
    <xf numFmtId="164" fontId="15" fillId="2" borderId="4" xfId="0" applyNumberFormat="1" applyFont="1" applyFill="1" applyBorder="1" applyAlignment="1">
      <alignment horizontal="center" vertical="center"/>
    </xf>
    <xf numFmtId="0" fontId="37" fillId="0" borderId="0" xfId="0" applyFont="1"/>
    <xf numFmtId="3" fontId="15" fillId="2" borderId="3" xfId="0" applyNumberFormat="1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>
      <alignment horizontal="center" vertical="center"/>
    </xf>
    <xf numFmtId="3" fontId="15" fillId="2" borderId="4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left" vertical="center" indent="1"/>
    </xf>
    <xf numFmtId="167" fontId="18" fillId="9" borderId="3" xfId="1" applyNumberFormat="1" applyFont="1" applyFill="1" applyBorder="1" applyAlignment="1">
      <alignment horizontal="center" vertical="center"/>
    </xf>
    <xf numFmtId="168" fontId="18" fillId="7" borderId="3" xfId="0" applyNumberFormat="1" applyFont="1" applyFill="1" applyBorder="1" applyAlignment="1">
      <alignment horizontal="center"/>
    </xf>
    <xf numFmtId="164" fontId="104" fillId="2" borderId="1" xfId="0" applyNumberFormat="1" applyFont="1" applyFill="1" applyBorder="1" applyAlignment="1">
      <alignment horizontal="center" vertical="center"/>
    </xf>
    <xf numFmtId="167" fontId="18" fillId="7" borderId="1" xfId="1" applyNumberFormat="1" applyFont="1" applyFill="1" applyBorder="1" applyAlignment="1">
      <alignment horizontal="center" vertical="center"/>
    </xf>
    <xf numFmtId="14" fontId="18" fillId="7" borderId="3" xfId="0" applyNumberFormat="1" applyFont="1" applyFill="1" applyBorder="1" applyAlignment="1">
      <alignment horizontal="right" vertical="center"/>
    </xf>
    <xf numFmtId="9" fontId="18" fillId="6" borderId="3" xfId="0" applyNumberFormat="1" applyFont="1" applyFill="1" applyBorder="1" applyAlignment="1">
      <alignment horizontal="center"/>
    </xf>
    <xf numFmtId="9" fontId="18" fillId="6" borderId="4" xfId="0" applyNumberFormat="1" applyFont="1" applyFill="1" applyBorder="1" applyAlignment="1">
      <alignment horizontal="center"/>
    </xf>
    <xf numFmtId="3" fontId="38" fillId="2" borderId="1" xfId="0" applyNumberFormat="1" applyFont="1" applyFill="1" applyBorder="1" applyAlignment="1">
      <alignment horizontal="center" vertical="center"/>
    </xf>
    <xf numFmtId="3" fontId="100" fillId="6" borderId="1" xfId="0" applyNumberFormat="1" applyFont="1" applyFill="1" applyBorder="1" applyAlignment="1">
      <alignment horizontal="center" vertical="center"/>
    </xf>
    <xf numFmtId="3" fontId="14" fillId="2" borderId="4" xfId="0" applyNumberFormat="1" applyFont="1" applyFill="1" applyBorder="1" applyAlignment="1">
      <alignment horizontal="center" vertical="center"/>
    </xf>
    <xf numFmtId="9" fontId="18" fillId="2" borderId="2" xfId="1" applyFont="1" applyFill="1" applyBorder="1" applyAlignment="1">
      <alignment horizontal="center" vertical="center"/>
    </xf>
    <xf numFmtId="3" fontId="18" fillId="6" borderId="1" xfId="0" applyNumberFormat="1" applyFont="1" applyFill="1" applyBorder="1" applyAlignment="1">
      <alignment horizontal="center" vertical="center"/>
    </xf>
    <xf numFmtId="173" fontId="18" fillId="2" borderId="3" xfId="0" applyNumberFormat="1" applyFont="1" applyFill="1" applyBorder="1"/>
    <xf numFmtId="9" fontId="97" fillId="2" borderId="4" xfId="0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right" vertical="center" indent="1"/>
    </xf>
    <xf numFmtId="3" fontId="18" fillId="6" borderId="4" xfId="0" applyNumberFormat="1" applyFont="1" applyFill="1" applyBorder="1" applyAlignment="1">
      <alignment horizontal="center" vertical="center"/>
    </xf>
    <xf numFmtId="0" fontId="63" fillId="2" borderId="3" xfId="0" applyFont="1" applyFill="1" applyBorder="1"/>
    <xf numFmtId="167" fontId="63" fillId="2" borderId="1" xfId="1" applyNumberFormat="1" applyFont="1" applyFill="1" applyBorder="1" applyAlignment="1">
      <alignment horizontal="center" vertical="center"/>
    </xf>
    <xf numFmtId="14" fontId="63" fillId="2" borderId="3" xfId="0" applyNumberFormat="1" applyFont="1" applyFill="1" applyBorder="1"/>
    <xf numFmtId="9" fontId="63" fillId="2" borderId="3" xfId="0" applyNumberFormat="1" applyFont="1" applyFill="1" applyBorder="1" applyAlignment="1">
      <alignment horizontal="center"/>
    </xf>
    <xf numFmtId="9" fontId="63" fillId="2" borderId="4" xfId="0" applyNumberFormat="1" applyFont="1" applyFill="1" applyBorder="1" applyAlignment="1">
      <alignment horizontal="center"/>
    </xf>
    <xf numFmtId="3" fontId="14" fillId="2" borderId="1" xfId="0" applyNumberFormat="1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167" fontId="15" fillId="2" borderId="3" xfId="1" applyNumberFormat="1" applyFont="1" applyFill="1" applyBorder="1" applyAlignment="1">
      <alignment horizontal="center" vertical="center"/>
    </xf>
    <xf numFmtId="166" fontId="63" fillId="2" borderId="3" xfId="0" applyNumberFormat="1" applyFont="1" applyFill="1" applyBorder="1" applyAlignment="1">
      <alignment horizontal="center" vertical="center"/>
    </xf>
    <xf numFmtId="3" fontId="38" fillId="2" borderId="3" xfId="0" applyNumberFormat="1" applyFont="1" applyFill="1" applyBorder="1" applyAlignment="1">
      <alignment horizontal="center" vertical="center"/>
    </xf>
    <xf numFmtId="3" fontId="104" fillId="2" borderId="3" xfId="0" applyNumberFormat="1" applyFont="1" applyFill="1" applyBorder="1" applyAlignment="1">
      <alignment horizontal="center" vertical="center"/>
    </xf>
    <xf numFmtId="3" fontId="14" fillId="2" borderId="3" xfId="0" applyNumberFormat="1" applyFont="1" applyFill="1" applyBorder="1" applyAlignment="1">
      <alignment horizontal="center" vertical="center"/>
    </xf>
    <xf numFmtId="171" fontId="18" fillId="7" borderId="3" xfId="0" applyNumberFormat="1" applyFont="1" applyFill="1" applyBorder="1"/>
    <xf numFmtId="167" fontId="15" fillId="2" borderId="1" xfId="1" applyNumberFormat="1" applyFont="1" applyFill="1" applyBorder="1" applyAlignment="1">
      <alignment horizontal="center" vertical="center"/>
    </xf>
    <xf numFmtId="186" fontId="18" fillId="2" borderId="3" xfId="0" applyNumberFormat="1" applyFont="1" applyFill="1" applyBorder="1"/>
    <xf numFmtId="1" fontId="37" fillId="0" borderId="0" xfId="0" applyNumberFormat="1" applyFont="1"/>
    <xf numFmtId="164" fontId="15" fillId="2" borderId="1" xfId="0" applyNumberFormat="1" applyFont="1" applyFill="1" applyBorder="1" applyAlignment="1">
      <alignment horizontal="center" vertical="center"/>
    </xf>
    <xf numFmtId="0" fontId="102" fillId="0" borderId="0" xfId="0" applyFont="1"/>
    <xf numFmtId="3" fontId="8" fillId="12" borderId="3" xfId="0" applyNumberFormat="1" applyFont="1" applyFill="1" applyBorder="1" applyAlignment="1">
      <alignment horizontal="center" vertical="center"/>
    </xf>
    <xf numFmtId="3" fontId="18" fillId="2" borderId="3" xfId="0" applyNumberFormat="1" applyFont="1" applyFill="1" applyBorder="1" applyAlignment="1">
      <alignment horizontal="center" vertical="center"/>
    </xf>
    <xf numFmtId="0" fontId="38" fillId="2" borderId="3" xfId="0" applyFont="1" applyFill="1" applyBorder="1"/>
    <xf numFmtId="0" fontId="37" fillId="2" borderId="3" xfId="0" applyFont="1" applyFill="1" applyBorder="1" applyAlignment="1">
      <alignment horizontal="left" vertical="center" indent="3"/>
    </xf>
    <xf numFmtId="166" fontId="15" fillId="2" borderId="4" xfId="0" applyNumberFormat="1" applyFont="1" applyFill="1" applyBorder="1" applyAlignment="1">
      <alignment vertical="center"/>
    </xf>
    <xf numFmtId="14" fontId="18" fillId="7" borderId="1" xfId="0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 indent="1"/>
    </xf>
    <xf numFmtId="10" fontId="18" fillId="7" borderId="3" xfId="1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/>
    </xf>
    <xf numFmtId="0" fontId="18" fillId="2" borderId="3" xfId="0" applyFont="1" applyFill="1" applyBorder="1"/>
    <xf numFmtId="182" fontId="38" fillId="7" borderId="1" xfId="0" applyNumberFormat="1" applyFont="1" applyFill="1" applyBorder="1" applyAlignment="1">
      <alignment horizontal="center" vertical="center"/>
    </xf>
    <xf numFmtId="0" fontId="38" fillId="0" borderId="3" xfId="0" applyFont="1" applyBorder="1"/>
    <xf numFmtId="10" fontId="38" fillId="0" borderId="3" xfId="0" applyNumberFormat="1" applyFont="1" applyBorder="1"/>
    <xf numFmtId="0" fontId="6" fillId="2" borderId="2" xfId="0" applyFont="1" applyFill="1" applyBorder="1" applyAlignment="1">
      <alignment horizontal="left" vertical="center" indent="3"/>
    </xf>
    <xf numFmtId="0" fontId="6" fillId="2" borderId="3" xfId="0" applyFont="1" applyFill="1" applyBorder="1" applyAlignment="1">
      <alignment horizontal="left" vertical="center" indent="3"/>
    </xf>
    <xf numFmtId="0" fontId="6" fillId="2" borderId="4" xfId="0" applyFont="1" applyFill="1" applyBorder="1"/>
    <xf numFmtId="14" fontId="6" fillId="0" borderId="1" xfId="0" applyNumberFormat="1" applyFont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indent="3"/>
    </xf>
    <xf numFmtId="0" fontId="8" fillId="2" borderId="3" xfId="0" applyFont="1" applyFill="1" applyBorder="1" applyAlignment="1">
      <alignment horizontal="left" vertical="center" indent="3"/>
    </xf>
    <xf numFmtId="14" fontId="8" fillId="0" borderId="1" xfId="0" applyNumberFormat="1" applyFont="1" applyBorder="1" applyAlignment="1">
      <alignment horizontal="center" vertical="center"/>
    </xf>
    <xf numFmtId="0" fontId="15" fillId="0" borderId="3" xfId="0" applyFont="1" applyBorder="1"/>
    <xf numFmtId="0" fontId="15" fillId="2" borderId="4" xfId="0" applyFont="1" applyFill="1" applyBorder="1"/>
    <xf numFmtId="14" fontId="37" fillId="0" borderId="1" xfId="0" applyNumberFormat="1" applyFont="1" applyBorder="1" applyAlignment="1">
      <alignment horizontal="center" vertical="center"/>
    </xf>
    <xf numFmtId="167" fontId="38" fillId="2" borderId="3" xfId="0" applyNumberFormat="1" applyFont="1" applyFill="1" applyBorder="1" applyAlignment="1">
      <alignment horizontal="center" vertical="center"/>
    </xf>
    <xf numFmtId="165" fontId="8" fillId="12" borderId="2" xfId="0" applyNumberFormat="1" applyFont="1" applyFill="1" applyBorder="1" applyAlignment="1">
      <alignment horizontal="left" vertical="center"/>
    </xf>
    <xf numFmtId="165" fontId="8" fillId="12" borderId="0" xfId="0" applyNumberFormat="1" applyFont="1" applyFill="1" applyAlignment="1">
      <alignment horizontal="left" vertical="center"/>
    </xf>
    <xf numFmtId="165" fontId="37" fillId="12" borderId="0" xfId="0" applyNumberFormat="1" applyFont="1" applyFill="1" applyAlignment="1">
      <alignment horizontal="center" vertical="center" wrapText="1"/>
    </xf>
    <xf numFmtId="0" fontId="107" fillId="2" borderId="2" xfId="0" applyFont="1" applyFill="1" applyBorder="1" applyAlignment="1">
      <alignment horizontal="left" vertical="center" indent="3"/>
    </xf>
    <xf numFmtId="177" fontId="38" fillId="9" borderId="3" xfId="0" applyNumberFormat="1" applyFont="1" applyFill="1" applyBorder="1" applyAlignment="1">
      <alignment horizontal="right" vertical="center"/>
    </xf>
    <xf numFmtId="0" fontId="38" fillId="2" borderId="3" xfId="0" applyFont="1" applyFill="1" applyBorder="1" applyAlignment="1">
      <alignment vertical="center"/>
    </xf>
    <xf numFmtId="0" fontId="95" fillId="0" borderId="0" xfId="0" applyFont="1" applyAlignment="1">
      <alignment vertical="center"/>
    </xf>
    <xf numFmtId="0" fontId="108" fillId="11" borderId="0" xfId="0" applyFont="1" applyFill="1" applyAlignment="1">
      <alignment vertical="center"/>
    </xf>
    <xf numFmtId="165" fontId="109" fillId="12" borderId="2" xfId="0" applyNumberFormat="1" applyFont="1" applyFill="1" applyBorder="1" applyAlignment="1">
      <alignment horizontal="center" vertical="center" wrapText="1"/>
    </xf>
    <xf numFmtId="165" fontId="109" fillId="12" borderId="3" xfId="0" applyNumberFormat="1" applyFont="1" applyFill="1" applyBorder="1" applyAlignment="1">
      <alignment horizontal="center" vertical="center" wrapText="1"/>
    </xf>
    <xf numFmtId="165" fontId="109" fillId="12" borderId="4" xfId="0" applyNumberFormat="1" applyFont="1" applyFill="1" applyBorder="1" applyAlignment="1">
      <alignment horizontal="center" vertical="center" wrapText="1"/>
    </xf>
    <xf numFmtId="165" fontId="37" fillId="12" borderId="0" xfId="0" applyNumberFormat="1" applyFont="1" applyFill="1" applyAlignment="1">
      <alignment horizontal="left" vertical="center"/>
    </xf>
    <xf numFmtId="167" fontId="38" fillId="0" borderId="3" xfId="1" applyNumberFormat="1" applyFont="1" applyFill="1" applyBorder="1" applyAlignment="1">
      <alignment horizontal="right" vertical="center" indent="2"/>
    </xf>
    <xf numFmtId="167" fontId="18" fillId="7" borderId="4" xfId="1" applyNumberFormat="1" applyFont="1" applyFill="1" applyBorder="1" applyAlignment="1">
      <alignment horizontal="right" vertical="center" indent="2"/>
    </xf>
    <xf numFmtId="0" fontId="37" fillId="2" borderId="3" xfId="0" applyFont="1" applyFill="1" applyBorder="1" applyAlignment="1">
      <alignment horizontal="right" indent="1"/>
    </xf>
    <xf numFmtId="14" fontId="18" fillId="7" borderId="4" xfId="0" applyNumberFormat="1" applyFont="1" applyFill="1" applyBorder="1" applyAlignment="1">
      <alignment horizontal="center" vertical="center"/>
    </xf>
    <xf numFmtId="167" fontId="18" fillId="7" borderId="4" xfId="1" applyNumberFormat="1" applyFont="1" applyFill="1" applyBorder="1" applyAlignment="1">
      <alignment horizontal="center" vertical="center"/>
    </xf>
    <xf numFmtId="3" fontId="18" fillId="7" borderId="4" xfId="0" applyNumberFormat="1" applyFont="1" applyFill="1" applyBorder="1" applyAlignment="1">
      <alignment horizontal="center" vertical="center"/>
    </xf>
    <xf numFmtId="3" fontId="38" fillId="0" borderId="3" xfId="0" applyNumberFormat="1" applyFont="1" applyBorder="1" applyAlignment="1">
      <alignment horizontal="right" vertical="center" indent="2"/>
    </xf>
    <xf numFmtId="3" fontId="110" fillId="0" borderId="0" xfId="0" applyNumberFormat="1" applyFont="1"/>
    <xf numFmtId="0" fontId="95" fillId="11" borderId="0" xfId="0" applyFont="1" applyFill="1"/>
    <xf numFmtId="0" fontId="18" fillId="0" borderId="3" xfId="0" applyFont="1" applyBorder="1" applyAlignment="1">
      <alignment horizontal="left" indent="2"/>
    </xf>
    <xf numFmtId="0" fontId="18" fillId="0" borderId="3" xfId="0" applyFont="1" applyBorder="1"/>
    <xf numFmtId="0" fontId="18" fillId="0" borderId="3" xfId="0" applyFont="1" applyBorder="1" applyAlignment="1">
      <alignment horizontal="center"/>
    </xf>
    <xf numFmtId="3" fontId="18" fillId="0" borderId="1" xfId="0" applyNumberFormat="1" applyFont="1" applyBorder="1" applyAlignment="1">
      <alignment horizontal="center" vertical="center"/>
    </xf>
    <xf numFmtId="3" fontId="18" fillId="0" borderId="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top" wrapText="1"/>
    </xf>
    <xf numFmtId="0" fontId="111" fillId="0" borderId="0" xfId="0" applyFont="1"/>
    <xf numFmtId="0" fontId="111" fillId="13" borderId="0" xfId="0" applyFont="1" applyFill="1" applyAlignment="1">
      <alignment horizontal="center" vertical="center"/>
    </xf>
    <xf numFmtId="3" fontId="111" fillId="11" borderId="9" xfId="0" applyNumberFormat="1" applyFont="1" applyFill="1" applyBorder="1" applyAlignment="1">
      <alignment horizontal="center" vertical="center"/>
    </xf>
    <xf numFmtId="3" fontId="111" fillId="0" borderId="1" xfId="0" applyNumberFormat="1" applyFont="1" applyBorder="1" applyAlignment="1">
      <alignment horizontal="center" vertical="center"/>
    </xf>
    <xf numFmtId="3" fontId="111" fillId="12" borderId="9" xfId="0" applyNumberFormat="1" applyFont="1" applyFill="1" applyBorder="1" applyAlignment="1">
      <alignment horizontal="center" vertical="center"/>
    </xf>
    <xf numFmtId="3" fontId="111" fillId="11" borderId="0" xfId="0" applyNumberFormat="1" applyFont="1" applyFill="1" applyAlignment="1">
      <alignment horizontal="center" vertical="center"/>
    </xf>
    <xf numFmtId="3" fontId="111" fillId="3" borderId="1" xfId="0" applyNumberFormat="1" applyFont="1" applyFill="1" applyBorder="1" applyAlignment="1">
      <alignment horizontal="center" vertical="center"/>
    </xf>
    <xf numFmtId="3" fontId="111" fillId="15" borderId="1" xfId="0" applyNumberFormat="1" applyFont="1" applyFill="1" applyBorder="1" applyAlignment="1">
      <alignment horizontal="center" vertical="center"/>
    </xf>
    <xf numFmtId="3" fontId="111" fillId="0" borderId="0" xfId="0" applyNumberFormat="1" applyFont="1" applyAlignment="1">
      <alignment horizontal="center" vertical="center"/>
    </xf>
    <xf numFmtId="0" fontId="112" fillId="0" borderId="0" xfId="0" applyFont="1"/>
    <xf numFmtId="0" fontId="94" fillId="13" borderId="0" xfId="0" applyFont="1" applyFill="1" applyAlignment="1">
      <alignment horizontal="center" vertical="center"/>
    </xf>
    <xf numFmtId="3" fontId="94" fillId="11" borderId="9" xfId="0" applyNumberFormat="1" applyFont="1" applyFill="1" applyBorder="1" applyAlignment="1">
      <alignment horizontal="center" vertical="center"/>
    </xf>
    <xf numFmtId="3" fontId="112" fillId="0" borderId="1" xfId="0" applyNumberFormat="1" applyFont="1" applyBorder="1" applyAlignment="1">
      <alignment horizontal="center" vertical="center"/>
    </xf>
    <xf numFmtId="3" fontId="94" fillId="12" borderId="9" xfId="0" applyNumberFormat="1" applyFont="1" applyFill="1" applyBorder="1" applyAlignment="1">
      <alignment horizontal="center" vertical="center"/>
    </xf>
    <xf numFmtId="3" fontId="94" fillId="11" borderId="0" xfId="0" applyNumberFormat="1" applyFont="1" applyFill="1" applyAlignment="1">
      <alignment horizontal="center" vertical="center"/>
    </xf>
    <xf numFmtId="3" fontId="94" fillId="3" borderId="1" xfId="0" applyNumberFormat="1" applyFont="1" applyFill="1" applyBorder="1" applyAlignment="1">
      <alignment horizontal="center" vertical="center"/>
    </xf>
    <xf numFmtId="3" fontId="112" fillId="0" borderId="0" xfId="0" applyNumberFormat="1" applyFont="1" applyAlignment="1">
      <alignment horizontal="center" vertical="center"/>
    </xf>
    <xf numFmtId="3" fontId="29" fillId="5" borderId="3" xfId="0" applyNumberFormat="1" applyFont="1" applyFill="1" applyBorder="1" applyAlignment="1">
      <alignment horizontal="center" vertical="center"/>
    </xf>
    <xf numFmtId="0" fontId="80" fillId="15" borderId="1" xfId="0" applyFont="1" applyFill="1" applyBorder="1"/>
    <xf numFmtId="0" fontId="111" fillId="0" borderId="1" xfId="0" applyFont="1" applyBorder="1"/>
    <xf numFmtId="0" fontId="19" fillId="11" borderId="0" xfId="0" applyFont="1" applyFill="1" applyAlignment="1">
      <alignment horizontal="center" vertical="center"/>
    </xf>
    <xf numFmtId="3" fontId="92" fillId="3" borderId="1" xfId="0" applyNumberFormat="1" applyFont="1" applyFill="1" applyBorder="1" applyAlignment="1">
      <alignment horizontal="center" vertical="center"/>
    </xf>
    <xf numFmtId="9" fontId="93" fillId="0" borderId="0" xfId="0" applyNumberFormat="1" applyFont="1" applyAlignment="1">
      <alignment horizontal="center"/>
    </xf>
    <xf numFmtId="3" fontId="111" fillId="0" borderId="24" xfId="0" applyNumberFormat="1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center" vertical="center"/>
    </xf>
    <xf numFmtId="9" fontId="28" fillId="0" borderId="3" xfId="1" applyFont="1" applyFill="1" applyBorder="1" applyAlignment="1">
      <alignment horizontal="center" vertical="center"/>
    </xf>
    <xf numFmtId="167" fontId="46" fillId="0" borderId="3" xfId="1" applyNumberFormat="1" applyFont="1" applyFill="1" applyBorder="1" applyAlignment="1">
      <alignment horizontal="center" vertical="center"/>
    </xf>
    <xf numFmtId="167" fontId="29" fillId="0" borderId="3" xfId="1" applyNumberFormat="1" applyFont="1" applyFill="1" applyBorder="1" applyAlignment="1">
      <alignment horizontal="center" vertical="center"/>
    </xf>
    <xf numFmtId="10" fontId="28" fillId="0" borderId="3" xfId="1" applyNumberFormat="1" applyFont="1" applyFill="1" applyBorder="1" applyAlignment="1">
      <alignment horizontal="center" vertical="center"/>
    </xf>
    <xf numFmtId="3" fontId="18" fillId="5" borderId="3" xfId="0" applyNumberFormat="1" applyFont="1" applyFill="1" applyBorder="1" applyAlignment="1">
      <alignment horizontal="center" vertical="center"/>
    </xf>
    <xf numFmtId="3" fontId="45" fillId="5" borderId="3" xfId="0" applyNumberFormat="1" applyFont="1" applyFill="1" applyBorder="1" applyAlignment="1">
      <alignment horizontal="center" vertical="center"/>
    </xf>
    <xf numFmtId="3" fontId="44" fillId="5" borderId="3" xfId="0" applyNumberFormat="1" applyFont="1" applyFill="1" applyBorder="1" applyAlignment="1">
      <alignment horizontal="center" vertical="center"/>
    </xf>
    <xf numFmtId="3" fontId="24" fillId="19" borderId="3" xfId="0" applyNumberFormat="1" applyFont="1" applyFill="1" applyBorder="1" applyAlignment="1">
      <alignment horizontal="center" vertical="center"/>
    </xf>
    <xf numFmtId="9" fontId="46" fillId="0" borderId="3" xfId="0" applyNumberFormat="1" applyFont="1" applyBorder="1" applyAlignment="1">
      <alignment horizontal="center" vertical="center"/>
    </xf>
    <xf numFmtId="9" fontId="7" fillId="0" borderId="3" xfId="0" applyNumberFormat="1" applyFont="1" applyBorder="1" applyAlignment="1">
      <alignment horizontal="center" vertical="center"/>
    </xf>
    <xf numFmtId="0" fontId="48" fillId="0" borderId="3" xfId="0" applyFont="1" applyBorder="1" applyAlignment="1">
      <alignment horizontal="left"/>
    </xf>
    <xf numFmtId="167" fontId="81" fillId="2" borderId="13" xfId="1" applyNumberFormat="1" applyFont="1" applyFill="1" applyBorder="1" applyAlignment="1">
      <alignment horizontal="center" vertical="center"/>
    </xf>
    <xf numFmtId="179" fontId="49" fillId="2" borderId="0" xfId="0" applyNumberFormat="1" applyFont="1" applyFill="1" applyAlignment="1">
      <alignment horizontal="center"/>
    </xf>
    <xf numFmtId="2" fontId="53" fillId="2" borderId="13" xfId="1" applyNumberFormat="1" applyFont="1" applyFill="1" applyBorder="1" applyAlignment="1">
      <alignment horizontal="center" vertical="center"/>
    </xf>
    <xf numFmtId="0" fontId="81" fillId="2" borderId="0" xfId="0" applyFont="1" applyFill="1" applyAlignment="1">
      <alignment horizontal="center"/>
    </xf>
    <xf numFmtId="3" fontId="82" fillId="17" borderId="0" xfId="0" applyNumberFormat="1" applyFont="1" applyFill="1" applyAlignment="1">
      <alignment horizontal="center"/>
    </xf>
    <xf numFmtId="0" fontId="113" fillId="2" borderId="0" xfId="0" applyFont="1" applyFill="1" applyAlignment="1">
      <alignment horizontal="center"/>
    </xf>
    <xf numFmtId="3" fontId="82" fillId="2" borderId="0" xfId="0" applyNumberFormat="1" applyFont="1" applyFill="1" applyAlignment="1">
      <alignment horizontal="center"/>
    </xf>
    <xf numFmtId="167" fontId="115" fillId="2" borderId="0" xfId="1" applyNumberFormat="1" applyFont="1" applyFill="1" applyBorder="1" applyAlignment="1">
      <alignment horizontal="center"/>
    </xf>
    <xf numFmtId="167" fontId="82" fillId="2" borderId="0" xfId="1" applyNumberFormat="1" applyFont="1" applyFill="1" applyBorder="1" applyAlignment="1">
      <alignment horizontal="center"/>
    </xf>
    <xf numFmtId="3" fontId="81" fillId="2" borderId="0" xfId="0" applyNumberFormat="1" applyFont="1" applyFill="1" applyAlignment="1">
      <alignment horizontal="center"/>
    </xf>
    <xf numFmtId="3" fontId="82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81" fillId="2" borderId="17" xfId="0" applyFont="1" applyFill="1" applyBorder="1" applyAlignment="1">
      <alignment horizontal="center"/>
    </xf>
    <xf numFmtId="0" fontId="81" fillId="2" borderId="10" xfId="0" applyFont="1" applyFill="1" applyBorder="1" applyAlignment="1">
      <alignment horizontal="center"/>
    </xf>
    <xf numFmtId="0" fontId="116" fillId="2" borderId="0" xfId="0" applyFont="1" applyFill="1" applyAlignment="1">
      <alignment horizontal="center"/>
    </xf>
    <xf numFmtId="0" fontId="82" fillId="2" borderId="0" xfId="0" applyFont="1" applyFill="1"/>
    <xf numFmtId="0" fontId="82" fillId="17" borderId="0" xfId="0" applyFont="1" applyFill="1"/>
    <xf numFmtId="3" fontId="82" fillId="17" borderId="0" xfId="0" applyNumberFormat="1" applyFont="1" applyFill="1"/>
    <xf numFmtId="0" fontId="113" fillId="2" borderId="0" xfId="0" applyFont="1" applyFill="1"/>
    <xf numFmtId="0" fontId="81" fillId="2" borderId="0" xfId="0" applyFont="1" applyFill="1"/>
    <xf numFmtId="3" fontId="82" fillId="2" borderId="0" xfId="0" applyNumberFormat="1" applyFont="1" applyFill="1"/>
    <xf numFmtId="0" fontId="115" fillId="2" borderId="0" xfId="0" applyFont="1" applyFill="1"/>
    <xf numFmtId="3" fontId="81" fillId="2" borderId="0" xfId="0" applyNumberFormat="1" applyFont="1" applyFill="1"/>
    <xf numFmtId="3" fontId="82" fillId="2" borderId="0" xfId="0" applyNumberFormat="1" applyFont="1" applyFill="1" applyAlignment="1">
      <alignment vertical="center"/>
    </xf>
    <xf numFmtId="0" fontId="16" fillId="2" borderId="0" xfId="0" applyFont="1" applyFill="1"/>
    <xf numFmtId="0" fontId="81" fillId="2" borderId="17" xfId="0" applyFont="1" applyFill="1" applyBorder="1"/>
    <xf numFmtId="0" fontId="81" fillId="2" borderId="10" xfId="0" applyFont="1" applyFill="1" applyBorder="1"/>
    <xf numFmtId="0" fontId="116" fillId="2" borderId="0" xfId="0" applyFont="1" applyFill="1"/>
    <xf numFmtId="0" fontId="54" fillId="2" borderId="26" xfId="0" applyFont="1" applyFill="1" applyBorder="1"/>
    <xf numFmtId="0" fontId="54" fillId="2" borderId="27" xfId="0" applyFont="1" applyFill="1" applyBorder="1"/>
    <xf numFmtId="0" fontId="54" fillId="2" borderId="28" xfId="0" applyFont="1" applyFill="1" applyBorder="1"/>
    <xf numFmtId="0" fontId="54" fillId="2" borderId="29" xfId="0" applyFont="1" applyFill="1" applyBorder="1"/>
    <xf numFmtId="0" fontId="81" fillId="2" borderId="29" xfId="0" applyFont="1" applyFill="1" applyBorder="1"/>
    <xf numFmtId="0" fontId="81" fillId="2" borderId="29" xfId="0" applyFont="1" applyFill="1" applyBorder="1" applyAlignment="1">
      <alignment horizontal="center"/>
    </xf>
    <xf numFmtId="0" fontId="82" fillId="2" borderId="29" xfId="0" applyFont="1" applyFill="1" applyBorder="1"/>
    <xf numFmtId="0" fontId="65" fillId="2" borderId="29" xfId="0" applyFont="1" applyFill="1" applyBorder="1"/>
    <xf numFmtId="0" fontId="70" fillId="2" borderId="29" xfId="0" applyFont="1" applyFill="1" applyBorder="1" applyAlignment="1">
      <alignment horizontal="right" indent="2"/>
    </xf>
    <xf numFmtId="3" fontId="54" fillId="2" borderId="10" xfId="0" applyNumberFormat="1" applyFont="1" applyFill="1" applyBorder="1" applyAlignment="1">
      <alignment horizontal="left"/>
    </xf>
    <xf numFmtId="3" fontId="81" fillId="2" borderId="10" xfId="0" applyNumberFormat="1" applyFont="1" applyFill="1" applyBorder="1" applyAlignment="1">
      <alignment horizontal="center"/>
    </xf>
    <xf numFmtId="3" fontId="81" fillId="2" borderId="10" xfId="0" applyNumberFormat="1" applyFont="1" applyFill="1" applyBorder="1"/>
    <xf numFmtId="0" fontId="114" fillId="2" borderId="29" xfId="0" applyFont="1" applyFill="1" applyBorder="1" applyAlignment="1">
      <alignment horizontal="center"/>
    </xf>
    <xf numFmtId="3" fontId="54" fillId="2" borderId="31" xfId="0" applyNumberFormat="1" applyFont="1" applyFill="1" applyBorder="1" applyAlignment="1">
      <alignment horizontal="left"/>
    </xf>
    <xf numFmtId="3" fontId="81" fillId="2" borderId="31" xfId="0" applyNumberFormat="1" applyFont="1" applyFill="1" applyBorder="1" applyAlignment="1">
      <alignment horizontal="center"/>
    </xf>
    <xf numFmtId="3" fontId="81" fillId="2" borderId="31" xfId="0" applyNumberFormat="1" applyFont="1" applyFill="1" applyBorder="1"/>
    <xf numFmtId="0" fontId="53" fillId="2" borderId="0" xfId="0" applyFont="1" applyFill="1" applyAlignment="1">
      <alignment horizontal="left" indent="2"/>
    </xf>
    <xf numFmtId="0" fontId="0" fillId="2" borderId="32" xfId="0" applyFill="1" applyBorder="1" applyAlignment="1">
      <alignment horizontal="left" indent="4"/>
    </xf>
    <xf numFmtId="0" fontId="64" fillId="2" borderId="32" xfId="0" applyFont="1" applyFill="1" applyBorder="1" applyAlignment="1">
      <alignment horizontal="left" indent="2"/>
    </xf>
    <xf numFmtId="0" fontId="113" fillId="2" borderId="32" xfId="0" applyFont="1" applyFill="1" applyBorder="1" applyAlignment="1">
      <alignment horizontal="center"/>
    </xf>
    <xf numFmtId="0" fontId="113" fillId="2" borderId="32" xfId="0" applyFont="1" applyFill="1" applyBorder="1"/>
    <xf numFmtId="3" fontId="54" fillId="2" borderId="29" xfId="0" applyNumberFormat="1" applyFont="1" applyFill="1" applyBorder="1" applyAlignment="1">
      <alignment horizontal="left"/>
    </xf>
    <xf numFmtId="3" fontId="81" fillId="2" borderId="29" xfId="0" applyNumberFormat="1" applyFont="1" applyFill="1" applyBorder="1" applyAlignment="1">
      <alignment horizontal="center"/>
    </xf>
    <xf numFmtId="3" fontId="81" fillId="2" borderId="29" xfId="0" applyNumberFormat="1" applyFont="1" applyFill="1" applyBorder="1"/>
    <xf numFmtId="3" fontId="83" fillId="2" borderId="29" xfId="0" applyNumberFormat="1" applyFont="1" applyFill="1" applyBorder="1" applyAlignment="1">
      <alignment horizontal="left"/>
    </xf>
    <xf numFmtId="0" fontId="82" fillId="2" borderId="31" xfId="0" applyFont="1" applyFill="1" applyBorder="1" applyAlignment="1">
      <alignment horizontal="left" indent="2"/>
    </xf>
    <xf numFmtId="0" fontId="68" fillId="2" borderId="31" xfId="0" applyFont="1" applyFill="1" applyBorder="1" applyAlignment="1">
      <alignment horizontal="left" indent="2"/>
    </xf>
    <xf numFmtId="0" fontId="82" fillId="2" borderId="31" xfId="0" applyFont="1" applyFill="1" applyBorder="1" applyAlignment="1">
      <alignment horizontal="center"/>
    </xf>
    <xf numFmtId="0" fontId="82" fillId="2" borderId="31" xfId="0" applyFont="1" applyFill="1" applyBorder="1"/>
    <xf numFmtId="0" fontId="82" fillId="2" borderId="32" xfId="0" applyFont="1" applyFill="1" applyBorder="1" applyAlignment="1">
      <alignment horizontal="left" indent="4"/>
    </xf>
    <xf numFmtId="3" fontId="85" fillId="2" borderId="10" xfId="0" applyNumberFormat="1" applyFont="1" applyFill="1" applyBorder="1" applyAlignment="1">
      <alignment horizontal="left"/>
    </xf>
    <xf numFmtId="0" fontId="0" fillId="0" borderId="29" xfId="0" applyBorder="1"/>
    <xf numFmtId="0" fontId="82" fillId="0" borderId="29" xfId="0" applyFont="1" applyBorder="1" applyAlignment="1">
      <alignment horizontal="center"/>
    </xf>
    <xf numFmtId="0" fontId="82" fillId="0" borderId="29" xfId="0" applyFont="1" applyBorder="1"/>
    <xf numFmtId="0" fontId="114" fillId="2" borderId="29" xfId="0" applyFont="1" applyFill="1" applyBorder="1"/>
    <xf numFmtId="167" fontId="77" fillId="5" borderId="41" xfId="1" applyNumberFormat="1" applyFont="1" applyFill="1" applyBorder="1" applyAlignment="1">
      <alignment horizontal="center"/>
    </xf>
    <xf numFmtId="180" fontId="77" fillId="5" borderId="41" xfId="0" applyNumberFormat="1" applyFont="1" applyFill="1" applyBorder="1" applyAlignment="1">
      <alignment horizontal="center"/>
    </xf>
    <xf numFmtId="180" fontId="81" fillId="5" borderId="42" xfId="0" applyNumberFormat="1" applyFont="1" applyFill="1" applyBorder="1" applyAlignment="1">
      <alignment horizontal="center"/>
    </xf>
    <xf numFmtId="180" fontId="81" fillId="12" borderId="42" xfId="0" applyNumberFormat="1" applyFont="1" applyFill="1" applyBorder="1" applyAlignment="1">
      <alignment horizontal="center"/>
    </xf>
    <xf numFmtId="3" fontId="83" fillId="2" borderId="44" xfId="0" applyNumberFormat="1" applyFont="1" applyFill="1" applyBorder="1" applyAlignment="1">
      <alignment horizontal="left"/>
    </xf>
    <xf numFmtId="3" fontId="54" fillId="2" borderId="44" xfId="0" applyNumberFormat="1" applyFont="1" applyFill="1" applyBorder="1" applyAlignment="1">
      <alignment horizontal="left"/>
    </xf>
    <xf numFmtId="3" fontId="81" fillId="2" borderId="44" xfId="0" applyNumberFormat="1" applyFont="1" applyFill="1" applyBorder="1" applyAlignment="1">
      <alignment horizontal="center"/>
    </xf>
    <xf numFmtId="3" fontId="81" fillId="2" borderId="44" xfId="0" applyNumberFormat="1" applyFont="1" applyFill="1" applyBorder="1"/>
    <xf numFmtId="3" fontId="83" fillId="2" borderId="50" xfId="0" applyNumberFormat="1" applyFont="1" applyFill="1" applyBorder="1" applyAlignment="1">
      <alignment horizontal="left"/>
    </xf>
    <xf numFmtId="3" fontId="54" fillId="2" borderId="50" xfId="0" applyNumberFormat="1" applyFont="1" applyFill="1" applyBorder="1" applyAlignment="1">
      <alignment horizontal="left"/>
    </xf>
    <xf numFmtId="3" fontId="81" fillId="2" borderId="50" xfId="0" applyNumberFormat="1" applyFont="1" applyFill="1" applyBorder="1" applyAlignment="1">
      <alignment horizontal="center"/>
    </xf>
    <xf numFmtId="3" fontId="81" fillId="2" borderId="50" xfId="0" applyNumberFormat="1" applyFont="1" applyFill="1" applyBorder="1"/>
    <xf numFmtId="3" fontId="83" fillId="2" borderId="56" xfId="0" applyNumberFormat="1" applyFont="1" applyFill="1" applyBorder="1" applyAlignment="1">
      <alignment horizontal="left"/>
    </xf>
    <xf numFmtId="9" fontId="67" fillId="2" borderId="56" xfId="1" applyFont="1" applyFill="1" applyBorder="1" applyAlignment="1">
      <alignment horizontal="left"/>
    </xf>
    <xf numFmtId="3" fontId="54" fillId="2" borderId="56" xfId="0" applyNumberFormat="1" applyFont="1" applyFill="1" applyBorder="1" applyAlignment="1">
      <alignment horizontal="left"/>
    </xf>
    <xf numFmtId="3" fontId="81" fillId="2" borderId="56" xfId="0" applyNumberFormat="1" applyFont="1" applyFill="1" applyBorder="1" applyAlignment="1">
      <alignment horizontal="center"/>
    </xf>
    <xf numFmtId="3" fontId="81" fillId="2" borderId="56" xfId="0" applyNumberFormat="1" applyFont="1" applyFill="1" applyBorder="1"/>
    <xf numFmtId="188" fontId="81" fillId="12" borderId="59" xfId="0" applyNumberFormat="1" applyFont="1" applyFill="1" applyBorder="1" applyAlignment="1">
      <alignment horizontal="center"/>
    </xf>
    <xf numFmtId="188" fontId="81" fillId="5" borderId="59" xfId="0" applyNumberFormat="1" applyFont="1" applyFill="1" applyBorder="1" applyAlignment="1">
      <alignment horizontal="center"/>
    </xf>
    <xf numFmtId="0" fontId="117" fillId="2" borderId="0" xfId="0" applyFont="1" applyFill="1" applyAlignment="1">
      <alignment horizontal="center" vertical="center" wrapText="1"/>
    </xf>
    <xf numFmtId="17" fontId="118" fillId="2" borderId="33" xfId="0" applyNumberFormat="1" applyFont="1" applyFill="1" applyBorder="1" applyAlignment="1">
      <alignment horizontal="center"/>
    </xf>
    <xf numFmtId="17" fontId="118" fillId="2" borderId="36" xfId="0" applyNumberFormat="1" applyFont="1" applyFill="1" applyBorder="1" applyAlignment="1">
      <alignment horizontal="center"/>
    </xf>
    <xf numFmtId="0" fontId="5" fillId="2" borderId="0" xfId="0" applyFont="1" applyFill="1"/>
    <xf numFmtId="3" fontId="119" fillId="2" borderId="43" xfId="10" applyNumberFormat="1" applyFont="1" applyFill="1" applyBorder="1" applyAlignment="1">
      <alignment horizontal="center" vertical="center"/>
    </xf>
    <xf numFmtId="3" fontId="119" fillId="2" borderId="41" xfId="10" applyNumberFormat="1" applyFont="1" applyFill="1" applyBorder="1" applyAlignment="1">
      <alignment horizontal="center" vertical="center"/>
    </xf>
    <xf numFmtId="3" fontId="119" fillId="2" borderId="42" xfId="10" applyNumberFormat="1" applyFont="1" applyFill="1" applyBorder="1" applyAlignment="1">
      <alignment horizontal="center" vertical="center"/>
    </xf>
    <xf numFmtId="0" fontId="119" fillId="2" borderId="0" xfId="0" applyFont="1" applyFill="1" applyAlignment="1">
      <alignment horizontal="center" vertical="center"/>
    </xf>
    <xf numFmtId="3" fontId="119" fillId="2" borderId="16" xfId="10" applyNumberFormat="1" applyFont="1" applyFill="1" applyBorder="1" applyAlignment="1">
      <alignment horizontal="center" vertical="center"/>
    </xf>
    <xf numFmtId="0" fontId="5" fillId="0" borderId="29" xfId="0" applyFont="1" applyBorder="1"/>
    <xf numFmtId="3" fontId="119" fillId="2" borderId="11" xfId="10" applyNumberFormat="1" applyFont="1" applyFill="1" applyBorder="1" applyAlignment="1">
      <alignment horizontal="center" vertical="center"/>
    </xf>
    <xf numFmtId="3" fontId="119" fillId="2" borderId="18" xfId="10" applyNumberFormat="1" applyFont="1" applyFill="1" applyBorder="1" applyAlignment="1">
      <alignment horizontal="center" vertical="center"/>
    </xf>
    <xf numFmtId="10" fontId="7" fillId="0" borderId="0" xfId="0" applyNumberFormat="1" applyFont="1"/>
    <xf numFmtId="3" fontId="16" fillId="15" borderId="3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9" fontId="82" fillId="2" borderId="0" xfId="0" applyNumberFormat="1" applyFont="1" applyFill="1" applyAlignment="1">
      <alignment horizontal="left" indent="4"/>
    </xf>
    <xf numFmtId="0" fontId="120" fillId="0" borderId="29" xfId="0" applyFont="1" applyBorder="1"/>
    <xf numFmtId="0" fontId="120" fillId="0" borderId="0" xfId="0" applyFont="1"/>
    <xf numFmtId="3" fontId="120" fillId="0" borderId="0" xfId="0" applyNumberFormat="1" applyFont="1" applyAlignment="1">
      <alignment horizontal="center"/>
    </xf>
    <xf numFmtId="0" fontId="120" fillId="0" borderId="0" xfId="0" applyFont="1" applyAlignment="1">
      <alignment horizontal="center"/>
    </xf>
    <xf numFmtId="1" fontId="120" fillId="0" borderId="0" xfId="0" applyNumberFormat="1" applyFont="1" applyAlignment="1">
      <alignment horizontal="center"/>
    </xf>
    <xf numFmtId="0" fontId="122" fillId="12" borderId="32" xfId="0" applyFont="1" applyFill="1" applyBorder="1" applyAlignment="1">
      <alignment horizontal="center" vertical="center" wrapText="1"/>
    </xf>
    <xf numFmtId="3" fontId="27" fillId="5" borderId="22" xfId="0" applyNumberFormat="1" applyFont="1" applyFill="1" applyBorder="1" applyAlignment="1">
      <alignment horizontal="center" vertical="center"/>
    </xf>
    <xf numFmtId="3" fontId="27" fillId="0" borderId="22" xfId="0" applyNumberFormat="1" applyFont="1" applyBorder="1" applyAlignment="1">
      <alignment horizontal="center" vertical="center"/>
    </xf>
    <xf numFmtId="4" fontId="4" fillId="0" borderId="0" xfId="11" applyNumberFormat="1" applyFont="1" applyAlignment="1">
      <alignment horizontal="center" vertical="center"/>
    </xf>
    <xf numFmtId="3" fontId="19" fillId="13" borderId="8" xfId="0" applyNumberFormat="1" applyFont="1" applyFill="1" applyBorder="1" applyAlignment="1">
      <alignment horizontal="center" vertical="center"/>
    </xf>
    <xf numFmtId="0" fontId="19" fillId="13" borderId="8" xfId="0" applyFont="1" applyFill="1" applyBorder="1" applyAlignment="1">
      <alignment horizontal="left" vertical="center" indent="1"/>
    </xf>
    <xf numFmtId="0" fontId="19" fillId="13" borderId="8" xfId="0" applyFont="1" applyFill="1" applyBorder="1" applyAlignment="1">
      <alignment vertical="center"/>
    </xf>
    <xf numFmtId="0" fontId="19" fillId="13" borderId="8" xfId="0" applyFont="1" applyFill="1" applyBorder="1"/>
    <xf numFmtId="164" fontId="19" fillId="13" borderId="8" xfId="0" applyNumberFormat="1" applyFont="1" applyFill="1" applyBorder="1" applyAlignment="1">
      <alignment horizontal="center" vertical="center"/>
    </xf>
    <xf numFmtId="167" fontId="19" fillId="13" borderId="8" xfId="1" applyNumberFormat="1" applyFont="1" applyFill="1" applyBorder="1" applyAlignment="1">
      <alignment horizontal="center" vertical="center"/>
    </xf>
    <xf numFmtId="164" fontId="105" fillId="13" borderId="8" xfId="0" applyNumberFormat="1" applyFont="1" applyFill="1" applyBorder="1" applyAlignment="1">
      <alignment horizontal="center" vertical="center"/>
    </xf>
    <xf numFmtId="3" fontId="106" fillId="13" borderId="8" xfId="0" applyNumberFormat="1" applyFont="1" applyFill="1" applyBorder="1" applyAlignment="1">
      <alignment horizontal="center" vertical="center"/>
    </xf>
    <xf numFmtId="164" fontId="86" fillId="13" borderId="8" xfId="0" applyNumberFormat="1" applyFont="1" applyFill="1" applyBorder="1" applyAlignment="1">
      <alignment horizontal="center" vertical="center"/>
    </xf>
    <xf numFmtId="9" fontId="106" fillId="13" borderId="8" xfId="1" applyFont="1" applyFill="1" applyBorder="1" applyAlignment="1">
      <alignment horizontal="center" vertical="center"/>
    </xf>
    <xf numFmtId="165" fontId="19" fillId="13" borderId="8" xfId="0" applyNumberFormat="1" applyFont="1" applyFill="1" applyBorder="1" applyAlignment="1">
      <alignment horizontal="left" vertical="center"/>
    </xf>
    <xf numFmtId="165" fontId="19" fillId="13" borderId="8" xfId="0" applyNumberFormat="1" applyFont="1" applyFill="1" applyBorder="1" applyAlignment="1">
      <alignment horizontal="center" vertical="center" wrapText="1"/>
    </xf>
    <xf numFmtId="183" fontId="19" fillId="13" borderId="8" xfId="0" applyNumberFormat="1" applyFont="1" applyFill="1" applyBorder="1" applyAlignment="1">
      <alignment horizontal="center"/>
    </xf>
    <xf numFmtId="164" fontId="19" fillId="13" borderId="8" xfId="0" applyNumberFormat="1" applyFont="1" applyFill="1" applyBorder="1" applyAlignment="1">
      <alignment horizontal="center"/>
    </xf>
    <xf numFmtId="165" fontId="86" fillId="13" borderId="8" xfId="0" applyNumberFormat="1" applyFont="1" applyFill="1" applyBorder="1" applyAlignment="1">
      <alignment horizontal="left" vertical="center"/>
    </xf>
    <xf numFmtId="164" fontId="25" fillId="13" borderId="8" xfId="0" applyNumberFormat="1" applyFont="1" applyFill="1" applyBorder="1" applyAlignment="1">
      <alignment horizontal="center"/>
    </xf>
    <xf numFmtId="3" fontId="86" fillId="13" borderId="8" xfId="0" applyNumberFormat="1" applyFont="1" applyFill="1" applyBorder="1" applyAlignment="1">
      <alignment horizontal="center" vertical="center"/>
    </xf>
    <xf numFmtId="3" fontId="95" fillId="15" borderId="0" xfId="0" applyNumberFormat="1" applyFont="1" applyFill="1" applyAlignment="1">
      <alignment horizontal="center" vertical="center"/>
    </xf>
    <xf numFmtId="0" fontId="124" fillId="0" borderId="0" xfId="0" applyFont="1" applyAlignment="1">
      <alignment horizontal="center"/>
    </xf>
    <xf numFmtId="3" fontId="90" fillId="0" borderId="1" xfId="0" applyNumberFormat="1" applyFont="1" applyBorder="1"/>
    <xf numFmtId="0" fontId="87" fillId="0" borderId="3" xfId="0" applyFont="1" applyBorder="1" applyAlignment="1">
      <alignment horizontal="left" indent="2"/>
    </xf>
    <xf numFmtId="190" fontId="19" fillId="13" borderId="8" xfId="0" applyNumberFormat="1" applyFont="1" applyFill="1" applyBorder="1" applyAlignment="1">
      <alignment horizontal="left"/>
    </xf>
    <xf numFmtId="191" fontId="15" fillId="2" borderId="3" xfId="0" applyNumberFormat="1" applyFont="1" applyFill="1" applyBorder="1" applyAlignment="1">
      <alignment horizontal="left" vertical="center" indent="1"/>
    </xf>
    <xf numFmtId="9" fontId="126" fillId="20" borderId="0" xfId="12" applyFont="1" applyFill="1" applyAlignment="1">
      <alignment horizontal="center" vertical="center"/>
    </xf>
    <xf numFmtId="0" fontId="127" fillId="0" borderId="0" xfId="11" applyFont="1"/>
    <xf numFmtId="0" fontId="128" fillId="0" borderId="0" xfId="11" applyFont="1"/>
    <xf numFmtId="0" fontId="127" fillId="0" borderId="0" xfId="11" applyFont="1" applyAlignment="1">
      <alignment horizontal="center"/>
    </xf>
    <xf numFmtId="0" fontId="129" fillId="21" borderId="0" xfId="11" applyFont="1" applyFill="1" applyAlignment="1">
      <alignment horizontal="center"/>
    </xf>
    <xf numFmtId="0" fontId="129" fillId="21" borderId="63" xfId="11" applyFont="1" applyFill="1" applyBorder="1" applyAlignment="1">
      <alignment horizontal="center"/>
    </xf>
    <xf numFmtId="0" fontId="130" fillId="21" borderId="0" xfId="11" applyFont="1" applyFill="1" applyAlignment="1">
      <alignment horizontal="center"/>
    </xf>
    <xf numFmtId="0" fontId="130" fillId="21" borderId="63" xfId="11" applyFont="1" applyFill="1" applyBorder="1" applyAlignment="1">
      <alignment horizontal="center"/>
    </xf>
    <xf numFmtId="0" fontId="131" fillId="0" borderId="0" xfId="11" applyFont="1" applyAlignment="1">
      <alignment horizontal="center"/>
    </xf>
    <xf numFmtId="0" fontId="127" fillId="0" borderId="64" xfId="11" applyFont="1" applyBorder="1" applyAlignment="1">
      <alignment horizontal="center"/>
    </xf>
    <xf numFmtId="0" fontId="126" fillId="20" borderId="0" xfId="11" applyFont="1" applyFill="1" applyAlignment="1">
      <alignment horizontal="center" vertical="center"/>
    </xf>
    <xf numFmtId="0" fontId="132" fillId="0" borderId="0" xfId="11" applyFont="1"/>
    <xf numFmtId="0" fontId="133" fillId="0" borderId="0" xfId="11" applyFont="1"/>
    <xf numFmtId="0" fontId="132" fillId="21" borderId="0" xfId="11" applyFont="1" applyFill="1" applyAlignment="1">
      <alignment horizontal="center"/>
    </xf>
    <xf numFmtId="0" fontId="134" fillId="21" borderId="0" xfId="11" applyFont="1" applyFill="1" applyAlignment="1">
      <alignment horizontal="center"/>
    </xf>
    <xf numFmtId="0" fontId="135" fillId="21" borderId="0" xfId="11" applyFont="1" applyFill="1" applyAlignment="1">
      <alignment horizontal="center"/>
    </xf>
    <xf numFmtId="0" fontId="135" fillId="15" borderId="0" xfId="11" applyFont="1" applyFill="1" applyAlignment="1">
      <alignment horizontal="center"/>
    </xf>
    <xf numFmtId="0" fontId="131" fillId="0" borderId="64" xfId="11" applyFont="1" applyBorder="1" applyAlignment="1">
      <alignment horizontal="center"/>
    </xf>
    <xf numFmtId="0" fontId="132" fillId="0" borderId="0" xfId="11" applyFont="1" applyAlignment="1">
      <alignment horizontal="center"/>
    </xf>
    <xf numFmtId="0" fontId="1" fillId="0" borderId="0" xfId="11"/>
    <xf numFmtId="0" fontId="136" fillId="0" borderId="0" xfId="11" applyFont="1" applyAlignment="1">
      <alignment horizontal="center"/>
    </xf>
    <xf numFmtId="0" fontId="136" fillId="0" borderId="0" xfId="11" applyFont="1"/>
    <xf numFmtId="0" fontId="137" fillId="0" borderId="0" xfId="11" applyFont="1" applyAlignment="1">
      <alignment horizontal="center"/>
    </xf>
    <xf numFmtId="0" fontId="137" fillId="0" borderId="63" xfId="11" applyFont="1" applyBorder="1" applyAlignment="1">
      <alignment horizontal="center"/>
    </xf>
    <xf numFmtId="0" fontId="138" fillId="0" borderId="0" xfId="11" applyFont="1" applyAlignment="1">
      <alignment horizontal="center"/>
    </xf>
    <xf numFmtId="0" fontId="139" fillId="0" borderId="0" xfId="11" applyFont="1"/>
    <xf numFmtId="0" fontId="140" fillId="0" borderId="0" xfId="11" applyFont="1"/>
    <xf numFmtId="0" fontId="136" fillId="0" borderId="63" xfId="11" applyFont="1" applyBorder="1" applyAlignment="1">
      <alignment horizontal="center"/>
    </xf>
    <xf numFmtId="0" fontId="138" fillId="0" borderId="64" xfId="11" applyFont="1" applyBorder="1" applyAlignment="1">
      <alignment horizontal="center"/>
    </xf>
    <xf numFmtId="0" fontId="138" fillId="0" borderId="0" xfId="11" applyFont="1"/>
    <xf numFmtId="0" fontId="126" fillId="13" borderId="0" xfId="11" applyFont="1" applyFill="1" applyAlignment="1">
      <alignment horizontal="center" vertical="center"/>
    </xf>
    <xf numFmtId="0" fontId="141" fillId="0" borderId="0" xfId="11" applyFont="1"/>
    <xf numFmtId="0" fontId="131" fillId="0" borderId="0" xfId="11" applyFont="1"/>
    <xf numFmtId="0" fontId="142" fillId="0" borderId="0" xfId="11" applyFont="1"/>
    <xf numFmtId="0" fontId="138" fillId="0" borderId="63" xfId="11" applyFont="1" applyBorder="1" applyAlignment="1">
      <alignment horizontal="center"/>
    </xf>
    <xf numFmtId="0" fontId="138" fillId="0" borderId="63" xfId="11" applyFont="1" applyBorder="1"/>
    <xf numFmtId="0" fontId="143" fillId="0" borderId="0" xfId="11" applyFont="1" applyAlignment="1">
      <alignment horizontal="center"/>
    </xf>
    <xf numFmtId="0" fontId="143" fillId="0" borderId="63" xfId="11" applyFont="1" applyBorder="1" applyAlignment="1">
      <alignment horizontal="center"/>
    </xf>
    <xf numFmtId="0" fontId="143" fillId="0" borderId="0" xfId="11" applyFont="1"/>
    <xf numFmtId="0" fontId="144" fillId="0" borderId="0" xfId="11" applyFont="1"/>
    <xf numFmtId="0" fontId="143" fillId="0" borderId="64" xfId="11" applyFont="1" applyBorder="1" applyAlignment="1">
      <alignment horizontal="center"/>
    </xf>
    <xf numFmtId="0" fontId="145" fillId="0" borderId="0" xfId="11" applyFont="1" applyAlignment="1">
      <alignment horizontal="center"/>
    </xf>
    <xf numFmtId="0" fontId="145" fillId="0" borderId="63" xfId="11" applyFont="1" applyBorder="1" applyAlignment="1">
      <alignment horizontal="center"/>
    </xf>
    <xf numFmtId="0" fontId="145" fillId="0" borderId="64" xfId="11" applyFont="1" applyBorder="1" applyAlignment="1">
      <alignment horizontal="center"/>
    </xf>
    <xf numFmtId="0" fontId="145" fillId="0" borderId="0" xfId="11" applyFont="1"/>
    <xf numFmtId="0" fontId="146" fillId="13" borderId="0" xfId="11" applyFont="1" applyFill="1" applyAlignment="1">
      <alignment horizontal="center" vertical="center"/>
    </xf>
    <xf numFmtId="3" fontId="148" fillId="0" borderId="0" xfId="11" applyNumberFormat="1" applyFont="1"/>
    <xf numFmtId="3" fontId="149" fillId="0" borderId="0" xfId="11" applyNumberFormat="1" applyFont="1"/>
    <xf numFmtId="3" fontId="148" fillId="0" borderId="65" xfId="11" applyNumberFormat="1" applyFont="1" applyBorder="1" applyAlignment="1">
      <alignment horizontal="center"/>
    </xf>
    <xf numFmtId="3" fontId="148" fillId="0" borderId="0" xfId="11" applyNumberFormat="1" applyFont="1" applyAlignment="1">
      <alignment horizontal="center"/>
    </xf>
    <xf numFmtId="3" fontId="148" fillId="0" borderId="63" xfId="11" applyNumberFormat="1" applyFont="1" applyBorder="1" applyAlignment="1">
      <alignment horizontal="center"/>
    </xf>
    <xf numFmtId="3" fontId="148" fillId="0" borderId="64" xfId="11" applyNumberFormat="1" applyFont="1" applyBorder="1" applyAlignment="1">
      <alignment horizontal="center"/>
    </xf>
    <xf numFmtId="3" fontId="132" fillId="0" borderId="0" xfId="11" applyNumberFormat="1" applyFont="1"/>
    <xf numFmtId="3" fontId="133" fillId="0" borderId="0" xfId="11" applyNumberFormat="1" applyFont="1"/>
    <xf numFmtId="3" fontId="132" fillId="0" borderId="0" xfId="11" applyNumberFormat="1" applyFont="1" applyAlignment="1">
      <alignment horizontal="center"/>
    </xf>
    <xf numFmtId="3" fontId="136" fillId="0" borderId="0" xfId="11" applyNumberFormat="1" applyFont="1" applyAlignment="1">
      <alignment horizontal="center"/>
    </xf>
    <xf numFmtId="3" fontId="132" fillId="0" borderId="63" xfId="11" applyNumberFormat="1" applyFont="1" applyBorder="1" applyAlignment="1">
      <alignment horizontal="center"/>
    </xf>
    <xf numFmtId="3" fontId="132" fillId="0" borderId="64" xfId="11" applyNumberFormat="1" applyFont="1" applyBorder="1" applyAlignment="1">
      <alignment horizontal="center"/>
    </xf>
    <xf numFmtId="3" fontId="139" fillId="0" borderId="0" xfId="11" applyNumberFormat="1" applyFont="1"/>
    <xf numFmtId="3" fontId="150" fillId="0" borderId="0" xfId="11" applyNumberFormat="1" applyFont="1"/>
    <xf numFmtId="3" fontId="139" fillId="0" borderId="0" xfId="11" applyNumberFormat="1" applyFont="1" applyAlignment="1">
      <alignment horizontal="center"/>
    </xf>
    <xf numFmtId="3" fontId="151" fillId="0" borderId="0" xfId="11" applyNumberFormat="1" applyFont="1" applyAlignment="1">
      <alignment horizontal="center"/>
    </xf>
    <xf numFmtId="3" fontId="151" fillId="0" borderId="63" xfId="11" applyNumberFormat="1" applyFont="1" applyBorder="1" applyAlignment="1">
      <alignment horizontal="center"/>
    </xf>
    <xf numFmtId="3" fontId="151" fillId="0" borderId="64" xfId="11" applyNumberFormat="1" applyFont="1" applyBorder="1" applyAlignment="1">
      <alignment horizontal="center"/>
    </xf>
    <xf numFmtId="3" fontId="141" fillId="0" borderId="0" xfId="11" applyNumberFormat="1" applyFont="1"/>
    <xf numFmtId="3" fontId="152" fillId="0" borderId="0" xfId="11" applyNumberFormat="1" applyFont="1"/>
    <xf numFmtId="3" fontId="141" fillId="0" borderId="0" xfId="11" applyNumberFormat="1" applyFont="1" applyAlignment="1">
      <alignment horizontal="center"/>
    </xf>
    <xf numFmtId="3" fontId="141" fillId="0" borderId="63" xfId="11" applyNumberFormat="1" applyFont="1" applyBorder="1" applyAlignment="1">
      <alignment horizontal="center"/>
    </xf>
    <xf numFmtId="3" fontId="141" fillId="0" borderId="64" xfId="11" applyNumberFormat="1" applyFont="1" applyBorder="1" applyAlignment="1">
      <alignment horizontal="center"/>
    </xf>
    <xf numFmtId="3" fontId="131" fillId="0" borderId="0" xfId="11" applyNumberFormat="1" applyFont="1"/>
    <xf numFmtId="3" fontId="153" fillId="0" borderId="0" xfId="11" applyNumberFormat="1" applyFont="1"/>
    <xf numFmtId="3" fontId="131" fillId="0" borderId="65" xfId="11" applyNumberFormat="1" applyFont="1" applyBorder="1" applyAlignment="1">
      <alignment horizontal="center"/>
    </xf>
    <xf numFmtId="3" fontId="131" fillId="0" borderId="0" xfId="11" applyNumberFormat="1" applyFont="1" applyAlignment="1">
      <alignment horizontal="center"/>
    </xf>
    <xf numFmtId="3" fontId="131" fillId="0" borderId="63" xfId="11" applyNumberFormat="1" applyFont="1" applyBorder="1" applyAlignment="1">
      <alignment horizontal="center"/>
    </xf>
    <xf numFmtId="3" fontId="131" fillId="0" borderId="64" xfId="11" applyNumberFormat="1" applyFont="1" applyBorder="1" applyAlignment="1">
      <alignment horizontal="center"/>
    </xf>
    <xf numFmtId="3" fontId="154" fillId="0" borderId="0" xfId="11" applyNumberFormat="1" applyFont="1"/>
    <xf numFmtId="3" fontId="155" fillId="0" borderId="0" xfId="11" applyNumberFormat="1" applyFont="1"/>
    <xf numFmtId="3" fontId="154" fillId="0" borderId="0" xfId="11" applyNumberFormat="1" applyFont="1" applyAlignment="1">
      <alignment horizontal="center"/>
    </xf>
    <xf numFmtId="3" fontId="156" fillId="0" borderId="0" xfId="11" applyNumberFormat="1" applyFont="1" applyAlignment="1">
      <alignment horizontal="center"/>
    </xf>
    <xf numFmtId="3" fontId="156" fillId="0" borderId="63" xfId="11" applyNumberFormat="1" applyFont="1" applyBorder="1" applyAlignment="1">
      <alignment horizontal="center"/>
    </xf>
    <xf numFmtId="3" fontId="156" fillId="0" borderId="64" xfId="11" applyNumberFormat="1" applyFont="1" applyBorder="1" applyAlignment="1">
      <alignment horizontal="center"/>
    </xf>
    <xf numFmtId="3" fontId="154" fillId="0" borderId="63" xfId="11" applyNumberFormat="1" applyFont="1" applyBorder="1"/>
    <xf numFmtId="177" fontId="157" fillId="5" borderId="0" xfId="11" applyNumberFormat="1" applyFont="1" applyFill="1"/>
    <xf numFmtId="177" fontId="157" fillId="5" borderId="0" xfId="11" applyNumberFormat="1" applyFont="1" applyFill="1" applyAlignment="1">
      <alignment horizontal="center"/>
    </xf>
    <xf numFmtId="177" fontId="157" fillId="5" borderId="63" xfId="11" applyNumberFormat="1" applyFont="1" applyFill="1" applyBorder="1" applyAlignment="1">
      <alignment horizontal="center"/>
    </xf>
    <xf numFmtId="177" fontId="157" fillId="5" borderId="64" xfId="11" applyNumberFormat="1" applyFont="1" applyFill="1" applyBorder="1" applyAlignment="1">
      <alignment horizontal="center"/>
    </xf>
    <xf numFmtId="0" fontId="158" fillId="0" borderId="0" xfId="11" applyFont="1"/>
    <xf numFmtId="0" fontId="159" fillId="0" borderId="0" xfId="11" applyFont="1" applyAlignment="1">
      <alignment horizontal="center"/>
    </xf>
    <xf numFmtId="0" fontId="159" fillId="0" borderId="63" xfId="11" applyFont="1" applyBorder="1" applyAlignment="1">
      <alignment horizontal="center"/>
    </xf>
    <xf numFmtId="0" fontId="159" fillId="0" borderId="64" xfId="11" applyFont="1" applyBorder="1" applyAlignment="1">
      <alignment horizontal="center"/>
    </xf>
    <xf numFmtId="0" fontId="159" fillId="0" borderId="0" xfId="11" applyFont="1"/>
    <xf numFmtId="0" fontId="128" fillId="0" borderId="0" xfId="11" applyFont="1" applyAlignment="1">
      <alignment horizontal="center" vertical="center"/>
    </xf>
    <xf numFmtId="0" fontId="128" fillId="0" borderId="12" xfId="11" applyFont="1" applyBorder="1" applyAlignment="1">
      <alignment horizontal="center"/>
    </xf>
    <xf numFmtId="0" fontId="128" fillId="0" borderId="66" xfId="11" applyFont="1" applyBorder="1" applyAlignment="1">
      <alignment horizontal="center"/>
    </xf>
    <xf numFmtId="0" fontId="128" fillId="0" borderId="67" xfId="11" applyFont="1" applyBorder="1" applyAlignment="1">
      <alignment horizontal="center"/>
    </xf>
    <xf numFmtId="0" fontId="160" fillId="0" borderId="12" xfId="11" applyFont="1" applyBorder="1" applyAlignment="1">
      <alignment horizontal="center"/>
    </xf>
    <xf numFmtId="0" fontId="161" fillId="0" borderId="12" xfId="11" applyFont="1" applyBorder="1" applyAlignment="1">
      <alignment horizontal="center"/>
    </xf>
    <xf numFmtId="0" fontId="161" fillId="0" borderId="0" xfId="11" applyFont="1"/>
    <xf numFmtId="3" fontId="145" fillId="0" borderId="0" xfId="11" applyNumberFormat="1" applyFont="1"/>
    <xf numFmtId="3" fontId="127" fillId="0" borderId="10" xfId="11" applyNumberFormat="1" applyFont="1" applyBorder="1"/>
    <xf numFmtId="3" fontId="145" fillId="0" borderId="10" xfId="11" applyNumberFormat="1" applyFont="1" applyBorder="1" applyAlignment="1">
      <alignment horizontal="center"/>
    </xf>
    <xf numFmtId="3" fontId="162" fillId="0" borderId="0" xfId="11" applyNumberFormat="1" applyFont="1" applyAlignment="1">
      <alignment horizontal="center" vertical="center"/>
    </xf>
    <xf numFmtId="3" fontId="162" fillId="0" borderId="12" xfId="11" applyNumberFormat="1" applyFont="1" applyBorder="1" applyAlignment="1">
      <alignment horizontal="center" vertical="center"/>
    </xf>
    <xf numFmtId="3" fontId="162" fillId="0" borderId="66" xfId="11" applyNumberFormat="1" applyFont="1" applyBorder="1" applyAlignment="1">
      <alignment horizontal="center" vertical="center"/>
    </xf>
    <xf numFmtId="3" fontId="162" fillId="0" borderId="67" xfId="11" applyNumberFormat="1" applyFont="1" applyBorder="1" applyAlignment="1">
      <alignment horizontal="center" vertical="center"/>
    </xf>
    <xf numFmtId="3" fontId="163" fillId="0" borderId="12" xfId="11" applyNumberFormat="1" applyFont="1" applyBorder="1" applyAlignment="1">
      <alignment horizontal="center" vertical="center"/>
    </xf>
    <xf numFmtId="3" fontId="127" fillId="0" borderId="10" xfId="11" applyNumberFormat="1" applyFont="1" applyBorder="1" applyAlignment="1">
      <alignment horizontal="center" vertical="center"/>
    </xf>
    <xf numFmtId="3" fontId="148" fillId="21" borderId="0" xfId="11" applyNumberFormat="1" applyFont="1" applyFill="1" applyAlignment="1">
      <alignment horizontal="center" vertical="center"/>
    </xf>
    <xf numFmtId="3" fontId="164" fillId="22" borderId="0" xfId="11" applyNumberFormat="1" applyFont="1" applyFill="1" applyAlignment="1">
      <alignment horizontal="center" vertical="center"/>
    </xf>
    <xf numFmtId="3" fontId="148" fillId="22" borderId="0" xfId="11" applyNumberFormat="1" applyFont="1" applyFill="1" applyAlignment="1">
      <alignment vertical="center"/>
    </xf>
    <xf numFmtId="49" fontId="165" fillId="0" borderId="0" xfId="11" applyNumberFormat="1" applyFont="1" applyAlignment="1">
      <alignment horizontal="center" vertical="center"/>
    </xf>
    <xf numFmtId="3" fontId="165" fillId="5" borderId="17" xfId="11" applyNumberFormat="1" applyFont="1" applyFill="1" applyBorder="1" applyAlignment="1">
      <alignment horizontal="center" vertical="center"/>
    </xf>
    <xf numFmtId="3" fontId="165" fillId="5" borderId="0" xfId="11" applyNumberFormat="1" applyFont="1" applyFill="1" applyAlignment="1">
      <alignment horizontal="center" vertical="center"/>
    </xf>
    <xf numFmtId="3" fontId="165" fillId="5" borderId="63" xfId="11" applyNumberFormat="1" applyFont="1" applyFill="1" applyBorder="1" applyAlignment="1">
      <alignment horizontal="center" vertical="center"/>
    </xf>
    <xf numFmtId="3" fontId="165" fillId="0" borderId="0" xfId="11" applyNumberFormat="1" applyFont="1" applyAlignment="1">
      <alignment horizontal="center" vertical="center"/>
    </xf>
    <xf numFmtId="3" fontId="165" fillId="0" borderId="64" xfId="11" applyNumberFormat="1" applyFont="1" applyBorder="1" applyAlignment="1">
      <alignment horizontal="center" vertical="center"/>
    </xf>
    <xf numFmtId="3" fontId="148" fillId="0" borderId="0" xfId="11" applyNumberFormat="1" applyFont="1" applyAlignment="1">
      <alignment horizontal="center" vertical="center"/>
    </xf>
    <xf numFmtId="3" fontId="165" fillId="0" borderId="0" xfId="11" applyNumberFormat="1" applyFont="1" applyAlignment="1">
      <alignment vertical="center"/>
    </xf>
    <xf numFmtId="3" fontId="165" fillId="5" borderId="61" xfId="11" applyNumberFormat="1" applyFont="1" applyFill="1" applyBorder="1" applyAlignment="1">
      <alignment horizontal="center" vertical="center"/>
    </xf>
    <xf numFmtId="3" fontId="165" fillId="23" borderId="0" xfId="11" applyNumberFormat="1" applyFont="1" applyFill="1" applyAlignment="1">
      <alignment horizontal="center" vertical="center"/>
    </xf>
    <xf numFmtId="3" fontId="148" fillId="22" borderId="0" xfId="11" applyNumberFormat="1" applyFont="1" applyFill="1" applyAlignment="1">
      <alignment horizontal="center" vertical="center"/>
    </xf>
    <xf numFmtId="49" fontId="165" fillId="0" borderId="0" xfId="11" applyNumberFormat="1" applyFont="1" applyAlignment="1">
      <alignment horizontal="center"/>
    </xf>
    <xf numFmtId="3" fontId="165" fillId="0" borderId="0" xfId="11" applyNumberFormat="1" applyFont="1" applyAlignment="1">
      <alignment horizontal="center"/>
    </xf>
    <xf numFmtId="3" fontId="165" fillId="0" borderId="61" xfId="11" applyNumberFormat="1" applyFont="1" applyBorder="1" applyAlignment="1">
      <alignment horizontal="center"/>
    </xf>
    <xf numFmtId="3" fontId="165" fillId="0" borderId="63" xfId="11" applyNumberFormat="1" applyFont="1" applyBorder="1" applyAlignment="1">
      <alignment horizontal="center"/>
    </xf>
    <xf numFmtId="3" fontId="165" fillId="23" borderId="64" xfId="11" applyNumberFormat="1" applyFont="1" applyFill="1" applyBorder="1" applyAlignment="1">
      <alignment horizontal="center" vertical="center"/>
    </xf>
    <xf numFmtId="3" fontId="165" fillId="0" borderId="0" xfId="11" applyNumberFormat="1" applyFont="1"/>
    <xf numFmtId="3" fontId="148" fillId="22" borderId="0" xfId="11" applyNumberFormat="1" applyFont="1" applyFill="1"/>
    <xf numFmtId="3" fontId="165" fillId="0" borderId="66" xfId="11" applyNumberFormat="1" applyFont="1" applyBorder="1" applyAlignment="1">
      <alignment horizontal="center"/>
    </xf>
    <xf numFmtId="49" fontId="144" fillId="0" borderId="0" xfId="11" applyNumberFormat="1" applyFont="1" applyAlignment="1">
      <alignment horizontal="center"/>
    </xf>
    <xf numFmtId="3" fontId="144" fillId="0" borderId="0" xfId="11" applyNumberFormat="1" applyFont="1" applyAlignment="1">
      <alignment horizontal="center"/>
    </xf>
    <xf numFmtId="3" fontId="144" fillId="5" borderId="67" xfId="11" applyNumberFormat="1" applyFont="1" applyFill="1" applyBorder="1" applyAlignment="1">
      <alignment horizontal="center"/>
    </xf>
    <xf numFmtId="3" fontId="144" fillId="5" borderId="61" xfId="11" applyNumberFormat="1" applyFont="1" applyFill="1" applyBorder="1" applyAlignment="1">
      <alignment horizontal="center"/>
    </xf>
    <xf numFmtId="3" fontId="144" fillId="5" borderId="12" xfId="11" applyNumberFormat="1" applyFont="1" applyFill="1" applyBorder="1" applyAlignment="1">
      <alignment horizontal="center"/>
    </xf>
    <xf numFmtId="3" fontId="144" fillId="5" borderId="0" xfId="11" applyNumberFormat="1" applyFont="1" applyFill="1" applyAlignment="1">
      <alignment horizontal="center"/>
    </xf>
    <xf numFmtId="3" fontId="144" fillId="23" borderId="0" xfId="11" applyNumberFormat="1" applyFont="1" applyFill="1" applyAlignment="1">
      <alignment horizontal="center"/>
    </xf>
    <xf numFmtId="3" fontId="144" fillId="0" borderId="0" xfId="11" applyNumberFormat="1" applyFont="1"/>
    <xf numFmtId="49" fontId="131" fillId="0" borderId="0" xfId="11" applyNumberFormat="1" applyFont="1" applyAlignment="1">
      <alignment horizontal="center"/>
    </xf>
    <xf numFmtId="3" fontId="144" fillId="0" borderId="63" xfId="11" applyNumberFormat="1" applyFont="1" applyBorder="1" applyAlignment="1">
      <alignment horizontal="center"/>
    </xf>
    <xf numFmtId="3" fontId="136" fillId="0" borderId="0" xfId="11" applyNumberFormat="1" applyFont="1" applyAlignment="1">
      <alignment horizontal="center" vertical="center"/>
    </xf>
    <xf numFmtId="3" fontId="166" fillId="24" borderId="0" xfId="11" applyNumberFormat="1" applyFont="1" applyFill="1" applyAlignment="1">
      <alignment horizontal="left" vertical="center"/>
    </xf>
    <xf numFmtId="3" fontId="148" fillId="24" borderId="0" xfId="11" applyNumberFormat="1" applyFont="1" applyFill="1" applyAlignment="1">
      <alignment horizontal="center"/>
    </xf>
    <xf numFmtId="3" fontId="148" fillId="24" borderId="0" xfId="11" applyNumberFormat="1" applyFont="1" applyFill="1"/>
    <xf numFmtId="3" fontId="165" fillId="24" borderId="0" xfId="11" applyNumberFormat="1" applyFont="1" applyFill="1" applyAlignment="1">
      <alignment horizontal="center"/>
    </xf>
    <xf numFmtId="3" fontId="136" fillId="24" borderId="0" xfId="11" applyNumberFormat="1" applyFont="1" applyFill="1" applyAlignment="1">
      <alignment horizontal="center" vertical="center"/>
    </xf>
    <xf numFmtId="3" fontId="165" fillId="2" borderId="0" xfId="11" applyNumberFormat="1" applyFont="1" applyFill="1" applyAlignment="1">
      <alignment horizontal="center"/>
    </xf>
    <xf numFmtId="3" fontId="165" fillId="2" borderId="63" xfId="11" applyNumberFormat="1" applyFont="1" applyFill="1" applyBorder="1" applyAlignment="1">
      <alignment horizontal="center"/>
    </xf>
    <xf numFmtId="3" fontId="167" fillId="0" borderId="0" xfId="11" applyNumberFormat="1" applyFont="1" applyAlignment="1">
      <alignment horizontal="center"/>
    </xf>
    <xf numFmtId="0" fontId="168" fillId="13" borderId="0" xfId="11" applyFont="1" applyFill="1" applyAlignment="1">
      <alignment horizontal="right" vertical="center"/>
    </xf>
    <xf numFmtId="3" fontId="168" fillId="13" borderId="0" xfId="11" applyNumberFormat="1" applyFont="1" applyFill="1" applyAlignment="1">
      <alignment horizontal="left" vertical="center"/>
    </xf>
    <xf numFmtId="0" fontId="169" fillId="0" borderId="0" xfId="11" applyFont="1" applyAlignment="1">
      <alignment horizontal="center"/>
    </xf>
    <xf numFmtId="0" fontId="169" fillId="0" borderId="63" xfId="11" applyFont="1" applyBorder="1" applyAlignment="1">
      <alignment horizontal="center"/>
    </xf>
    <xf numFmtId="3" fontId="139" fillId="0" borderId="0" xfId="11" applyNumberFormat="1" applyFont="1" applyAlignment="1">
      <alignment horizontal="center" vertical="center"/>
    </xf>
    <xf numFmtId="192" fontId="127" fillId="0" borderId="0" xfId="13" applyNumberFormat="1" applyFont="1"/>
    <xf numFmtId="0" fontId="136" fillId="2" borderId="0" xfId="11" applyFont="1" applyFill="1"/>
    <xf numFmtId="0" fontId="127" fillId="2" borderId="0" xfId="11" applyFont="1" applyFill="1"/>
    <xf numFmtId="192" fontId="136" fillId="0" borderId="0" xfId="13" applyNumberFormat="1" applyFont="1"/>
    <xf numFmtId="193" fontId="127" fillId="0" borderId="0" xfId="13" applyNumberFormat="1" applyFont="1"/>
    <xf numFmtId="193" fontId="127" fillId="0" borderId="0" xfId="11" applyNumberFormat="1" applyFont="1"/>
    <xf numFmtId="10" fontId="170" fillId="0" borderId="0" xfId="11" applyNumberFormat="1" applyFont="1"/>
    <xf numFmtId="0" fontId="170" fillId="0" borderId="0" xfId="11" applyFont="1"/>
    <xf numFmtId="167" fontId="171" fillId="0" borderId="0" xfId="11" applyNumberFormat="1" applyFont="1" applyAlignment="1">
      <alignment horizontal="center"/>
    </xf>
    <xf numFmtId="167" fontId="171" fillId="0" borderId="63" xfId="11" applyNumberFormat="1" applyFont="1" applyBorder="1" applyAlignment="1">
      <alignment horizontal="center"/>
    </xf>
    <xf numFmtId="167" fontId="145" fillId="0" borderId="0" xfId="11" applyNumberFormat="1" applyFont="1" applyAlignment="1">
      <alignment horizontal="center"/>
    </xf>
    <xf numFmtId="0" fontId="127" fillId="0" borderId="10" xfId="11" applyFont="1" applyBorder="1" applyAlignment="1">
      <alignment horizontal="center"/>
    </xf>
    <xf numFmtId="0" fontId="127" fillId="0" borderId="12" xfId="11" applyFont="1" applyBorder="1" applyAlignment="1">
      <alignment horizontal="center"/>
    </xf>
    <xf numFmtId="3" fontId="127" fillId="5" borderId="69" xfId="11" applyNumberFormat="1" applyFont="1" applyFill="1" applyBorder="1" applyAlignment="1">
      <alignment horizontal="center" vertical="center"/>
    </xf>
    <xf numFmtId="3" fontId="172" fillId="5" borderId="0" xfId="11" applyNumberFormat="1" applyFont="1" applyFill="1" applyAlignment="1">
      <alignment vertical="center"/>
    </xf>
    <xf numFmtId="3" fontId="145" fillId="5" borderId="0" xfId="11" applyNumberFormat="1" applyFont="1" applyFill="1" applyAlignment="1">
      <alignment horizontal="center" vertical="center"/>
    </xf>
    <xf numFmtId="3" fontId="145" fillId="5" borderId="63" xfId="11" applyNumberFormat="1" applyFont="1" applyFill="1" applyBorder="1" applyAlignment="1">
      <alignment horizontal="center" vertical="center"/>
    </xf>
    <xf numFmtId="3" fontId="173" fillId="0" borderId="0" xfId="11" applyNumberFormat="1" applyFont="1" applyAlignment="1">
      <alignment horizontal="center" vertical="center"/>
    </xf>
    <xf numFmtId="3" fontId="174" fillId="0" borderId="0" xfId="11" applyNumberFormat="1" applyFont="1" applyAlignment="1">
      <alignment horizontal="center" vertical="center"/>
    </xf>
    <xf numFmtId="0" fontId="145" fillId="0" borderId="0" xfId="11" applyFont="1" applyAlignment="1">
      <alignment vertical="center"/>
    </xf>
    <xf numFmtId="0" fontId="127" fillId="2" borderId="69" xfId="11" applyFont="1" applyFill="1" applyBorder="1" applyAlignment="1">
      <alignment horizontal="center"/>
    </xf>
    <xf numFmtId="0" fontId="172" fillId="2" borderId="0" xfId="11" applyFont="1" applyFill="1"/>
    <xf numFmtId="0" fontId="169" fillId="2" borderId="0" xfId="11" applyFont="1" applyFill="1" applyAlignment="1">
      <alignment horizontal="center"/>
    </xf>
    <xf numFmtId="10" fontId="169" fillId="0" borderId="0" xfId="11" applyNumberFormat="1" applyFont="1" applyAlignment="1">
      <alignment horizontal="center"/>
    </xf>
    <xf numFmtId="10" fontId="175" fillId="25" borderId="0" xfId="11" applyNumberFormat="1" applyFont="1" applyFill="1" applyAlignment="1">
      <alignment horizontal="center"/>
    </xf>
    <xf numFmtId="10" fontId="175" fillId="25" borderId="63" xfId="11" applyNumberFormat="1" applyFont="1" applyFill="1" applyBorder="1" applyAlignment="1">
      <alignment horizontal="center"/>
    </xf>
    <xf numFmtId="10" fontId="176" fillId="0" borderId="0" xfId="11" applyNumberFormat="1" applyFont="1" applyAlignment="1">
      <alignment horizontal="center"/>
    </xf>
    <xf numFmtId="0" fontId="169" fillId="5" borderId="0" xfId="11" applyFont="1" applyFill="1" applyAlignment="1">
      <alignment horizontal="center" vertical="center"/>
    </xf>
    <xf numFmtId="10" fontId="169" fillId="5" borderId="0" xfId="11" applyNumberFormat="1" applyFont="1" applyFill="1" applyAlignment="1">
      <alignment horizontal="center" vertical="center"/>
    </xf>
    <xf numFmtId="3" fontId="145" fillId="3" borderId="0" xfId="11" applyNumberFormat="1" applyFont="1" applyFill="1" applyAlignment="1">
      <alignment horizontal="center" vertical="center"/>
    </xf>
    <xf numFmtId="3" fontId="177" fillId="0" borderId="0" xfId="11" applyNumberFormat="1" applyFont="1" applyAlignment="1">
      <alignment horizontal="center" vertical="center"/>
    </xf>
    <xf numFmtId="0" fontId="169" fillId="0" borderId="0" xfId="11" applyFont="1" applyAlignment="1">
      <alignment horizontal="center" vertical="center"/>
    </xf>
    <xf numFmtId="0" fontId="145" fillId="0" borderId="0" xfId="11" applyFont="1" applyAlignment="1">
      <alignment horizontal="center" vertical="center"/>
    </xf>
    <xf numFmtId="10" fontId="178" fillId="0" borderId="0" xfId="11" applyNumberFormat="1" applyFont="1" applyAlignment="1">
      <alignment horizontal="center"/>
    </xf>
    <xf numFmtId="3" fontId="127" fillId="5" borderId="69" xfId="11" applyNumberFormat="1" applyFont="1" applyFill="1" applyBorder="1" applyAlignment="1">
      <alignment horizontal="center"/>
    </xf>
    <xf numFmtId="3" fontId="127" fillId="5" borderId="0" xfId="11" applyNumberFormat="1" applyFont="1" applyFill="1"/>
    <xf numFmtId="0" fontId="169" fillId="5" borderId="0" xfId="11" applyFont="1" applyFill="1" applyAlignment="1">
      <alignment horizontal="center"/>
    </xf>
    <xf numFmtId="10" fontId="169" fillId="5" borderId="0" xfId="11" applyNumberFormat="1" applyFont="1" applyFill="1" applyAlignment="1">
      <alignment horizontal="center"/>
    </xf>
    <xf numFmtId="3" fontId="145" fillId="5" borderId="0" xfId="11" applyNumberFormat="1" applyFont="1" applyFill="1" applyAlignment="1">
      <alignment horizontal="center"/>
    </xf>
    <xf numFmtId="3" fontId="145" fillId="5" borderId="63" xfId="11" applyNumberFormat="1" applyFont="1" applyFill="1" applyBorder="1" applyAlignment="1">
      <alignment horizontal="center"/>
    </xf>
    <xf numFmtId="3" fontId="173" fillId="0" borderId="0" xfId="11" applyNumberFormat="1" applyFont="1" applyAlignment="1">
      <alignment horizontal="center"/>
    </xf>
    <xf numFmtId="3" fontId="177" fillId="0" borderId="0" xfId="11" applyNumberFormat="1" applyFont="1" applyAlignment="1">
      <alignment horizontal="center"/>
    </xf>
    <xf numFmtId="0" fontId="179" fillId="0" borderId="0" xfId="11" applyFont="1" applyAlignment="1">
      <alignment horizontal="center"/>
    </xf>
    <xf numFmtId="3" fontId="178" fillId="0" borderId="0" xfId="11" applyNumberFormat="1" applyFont="1" applyAlignment="1">
      <alignment horizontal="center"/>
    </xf>
    <xf numFmtId="3" fontId="145" fillId="3" borderId="0" xfId="11" applyNumberFormat="1" applyFont="1" applyFill="1" applyAlignment="1">
      <alignment horizontal="center"/>
    </xf>
    <xf numFmtId="3" fontId="127" fillId="5" borderId="0" xfId="11" applyNumberFormat="1" applyFont="1" applyFill="1" applyAlignment="1">
      <alignment horizontal="center"/>
    </xf>
    <xf numFmtId="3" fontId="176" fillId="0" borderId="0" xfId="11" applyNumberFormat="1" applyFont="1" applyAlignment="1">
      <alignment horizontal="center"/>
    </xf>
    <xf numFmtId="3" fontId="127" fillId="0" borderId="69" xfId="11" applyNumberFormat="1" applyFont="1" applyBorder="1" applyAlignment="1">
      <alignment horizontal="center"/>
    </xf>
    <xf numFmtId="3" fontId="127" fillId="0" borderId="0" xfId="11" applyNumberFormat="1" applyFont="1"/>
    <xf numFmtId="0" fontId="169" fillId="5" borderId="70" xfId="11" applyFont="1" applyFill="1" applyBorder="1" applyAlignment="1">
      <alignment horizontal="center"/>
    </xf>
    <xf numFmtId="10" fontId="169" fillId="5" borderId="70" xfId="11" applyNumberFormat="1" applyFont="1" applyFill="1" applyBorder="1" applyAlignment="1">
      <alignment horizontal="center"/>
    </xf>
    <xf numFmtId="3" fontId="145" fillId="3" borderId="63" xfId="11" applyNumberFormat="1" applyFont="1" applyFill="1" applyBorder="1" applyAlignment="1">
      <alignment horizontal="center"/>
    </xf>
    <xf numFmtId="3" fontId="127" fillId="5" borderId="70" xfId="11" applyNumberFormat="1" applyFont="1" applyFill="1" applyBorder="1" applyAlignment="1">
      <alignment horizontal="center"/>
    </xf>
    <xf numFmtId="3" fontId="176" fillId="0" borderId="70" xfId="11" applyNumberFormat="1" applyFont="1" applyBorder="1" applyAlignment="1">
      <alignment horizontal="center"/>
    </xf>
    <xf numFmtId="3" fontId="178" fillId="0" borderId="70" xfId="11" applyNumberFormat="1" applyFont="1" applyBorder="1" applyAlignment="1">
      <alignment horizontal="center"/>
    </xf>
    <xf numFmtId="0" fontId="179" fillId="0" borderId="70" xfId="11" applyFont="1" applyBorder="1" applyAlignment="1">
      <alignment horizontal="center"/>
    </xf>
    <xf numFmtId="0" fontId="169" fillId="0" borderId="70" xfId="11" applyFont="1" applyBorder="1" applyAlignment="1">
      <alignment horizontal="center"/>
    </xf>
    <xf numFmtId="9" fontId="136" fillId="0" borderId="0" xfId="11" applyNumberFormat="1" applyFont="1" applyAlignment="1">
      <alignment horizontal="center" vertical="center"/>
    </xf>
    <xf numFmtId="10" fontId="169" fillId="0" borderId="63" xfId="11" applyNumberFormat="1" applyFont="1" applyBorder="1" applyAlignment="1">
      <alignment horizontal="center"/>
    </xf>
    <xf numFmtId="0" fontId="145" fillId="5" borderId="0" xfId="11" applyFont="1" applyFill="1" applyAlignment="1">
      <alignment horizontal="center"/>
    </xf>
    <xf numFmtId="10" fontId="175" fillId="5" borderId="0" xfId="11" applyNumberFormat="1" applyFont="1" applyFill="1" applyAlignment="1">
      <alignment horizontal="center"/>
    </xf>
    <xf numFmtId="10" fontId="169" fillId="5" borderId="63" xfId="11" applyNumberFormat="1" applyFont="1" applyFill="1" applyBorder="1" applyAlignment="1">
      <alignment horizontal="center"/>
    </xf>
    <xf numFmtId="10" fontId="175" fillId="0" borderId="0" xfId="11" applyNumberFormat="1" applyFont="1" applyAlignment="1">
      <alignment horizontal="center"/>
    </xf>
    <xf numFmtId="3" fontId="145" fillId="0" borderId="0" xfId="11" applyNumberFormat="1" applyFont="1" applyAlignment="1">
      <alignment horizontal="center"/>
    </xf>
    <xf numFmtId="0" fontId="145" fillId="0" borderId="71" xfId="11" applyFont="1" applyBorder="1" applyAlignment="1">
      <alignment horizontal="center"/>
    </xf>
    <xf numFmtId="10" fontId="169" fillId="0" borderId="71" xfId="11" applyNumberFormat="1" applyFont="1" applyBorder="1" applyAlignment="1">
      <alignment horizontal="center"/>
    </xf>
    <xf numFmtId="10" fontId="175" fillId="0" borderId="71" xfId="11" applyNumberFormat="1" applyFont="1" applyBorder="1" applyAlignment="1">
      <alignment horizontal="center"/>
    </xf>
    <xf numFmtId="10" fontId="175" fillId="25" borderId="71" xfId="11" applyNumberFormat="1" applyFont="1" applyFill="1" applyBorder="1" applyAlignment="1">
      <alignment horizontal="center"/>
    </xf>
    <xf numFmtId="0" fontId="180" fillId="0" borderId="0" xfId="11" applyFont="1"/>
    <xf numFmtId="3" fontId="166" fillId="24" borderId="0" xfId="11" applyNumberFormat="1" applyFont="1" applyFill="1" applyAlignment="1">
      <alignment horizontal="center" vertical="center"/>
    </xf>
    <xf numFmtId="0" fontId="180" fillId="24" borderId="0" xfId="11" applyFont="1" applyFill="1"/>
    <xf numFmtId="0" fontId="127" fillId="24" borderId="0" xfId="11" applyFont="1" applyFill="1"/>
    <xf numFmtId="0" fontId="145" fillId="24" borderId="0" xfId="11" applyFont="1" applyFill="1" applyAlignment="1">
      <alignment horizontal="center"/>
    </xf>
    <xf numFmtId="10" fontId="169" fillId="2" borderId="0" xfId="11" applyNumberFormat="1" applyFont="1" applyFill="1" applyAlignment="1">
      <alignment horizontal="center"/>
    </xf>
    <xf numFmtId="10" fontId="175" fillId="2" borderId="0" xfId="11" applyNumberFormat="1" applyFont="1" applyFill="1" applyAlignment="1">
      <alignment horizontal="center"/>
    </xf>
    <xf numFmtId="10" fontId="169" fillId="2" borderId="63" xfId="11" applyNumberFormat="1" applyFont="1" applyFill="1" applyBorder="1" applyAlignment="1">
      <alignment horizontal="center"/>
    </xf>
    <xf numFmtId="3" fontId="181" fillId="13" borderId="72" xfId="11" applyNumberFormat="1" applyFont="1" applyFill="1" applyBorder="1" applyAlignment="1">
      <alignment horizontal="center" vertical="center"/>
    </xf>
    <xf numFmtId="0" fontId="181" fillId="13" borderId="72" xfId="11" applyFont="1" applyFill="1" applyBorder="1" applyAlignment="1">
      <alignment horizontal="center" vertical="center"/>
    </xf>
    <xf numFmtId="3" fontId="182" fillId="5" borderId="0" xfId="11" applyNumberFormat="1" applyFont="1" applyFill="1" applyAlignment="1">
      <alignment horizontal="center" vertical="center"/>
    </xf>
    <xf numFmtId="3" fontId="182" fillId="5" borderId="63" xfId="11" applyNumberFormat="1" applyFont="1" applyFill="1" applyBorder="1" applyAlignment="1">
      <alignment horizontal="center" vertical="center"/>
    </xf>
    <xf numFmtId="3" fontId="183" fillId="5" borderId="0" xfId="11" applyNumberFormat="1" applyFont="1" applyFill="1" applyAlignment="1">
      <alignment horizontal="center" vertical="center"/>
    </xf>
    <xf numFmtId="3" fontId="145" fillId="0" borderId="63" xfId="11" applyNumberFormat="1" applyFont="1" applyBorder="1" applyAlignment="1">
      <alignment horizontal="center"/>
    </xf>
    <xf numFmtId="3" fontId="179" fillId="0" borderId="0" xfId="11" applyNumberFormat="1" applyFont="1" applyAlignment="1">
      <alignment horizontal="center"/>
    </xf>
    <xf numFmtId="4" fontId="145" fillId="0" borderId="0" xfId="11" applyNumberFormat="1" applyFont="1"/>
    <xf numFmtId="0" fontId="170" fillId="0" borderId="0" xfId="11" applyFont="1" applyAlignment="1">
      <alignment horizontal="left"/>
    </xf>
    <xf numFmtId="0" fontId="127" fillId="0" borderId="10" xfId="11" applyFont="1" applyBorder="1"/>
    <xf numFmtId="3" fontId="127" fillId="0" borderId="0" xfId="11" applyNumberFormat="1" applyFont="1" applyAlignment="1">
      <alignment horizontal="left" vertical="center"/>
    </xf>
    <xf numFmtId="0" fontId="185" fillId="0" borderId="0" xfId="11" applyFont="1" applyAlignment="1">
      <alignment wrapText="1"/>
    </xf>
    <xf numFmtId="3" fontId="187" fillId="15" borderId="0" xfId="11" applyNumberFormat="1" applyFont="1" applyFill="1" applyAlignment="1">
      <alignment horizontal="left" vertical="center"/>
    </xf>
    <xf numFmtId="9" fontId="127" fillId="0" borderId="0" xfId="11" applyNumberFormat="1" applyFont="1" applyAlignment="1">
      <alignment horizontal="left" vertical="center"/>
    </xf>
    <xf numFmtId="0" fontId="127" fillId="0" borderId="0" xfId="11" applyFont="1" applyAlignment="1">
      <alignment horizontal="left" vertical="center"/>
    </xf>
    <xf numFmtId="3" fontId="151" fillId="0" borderId="0" xfId="11" applyNumberFormat="1" applyFont="1" applyAlignment="1">
      <alignment horizontal="left" vertical="center"/>
    </xf>
    <xf numFmtId="167" fontId="127" fillId="0" borderId="0" xfId="12" applyNumberFormat="1" applyFont="1"/>
    <xf numFmtId="0" fontId="188" fillId="0" borderId="0" xfId="11" applyFont="1"/>
    <xf numFmtId="9" fontId="188" fillId="0" borderId="0" xfId="12" applyFont="1" applyAlignment="1">
      <alignment horizontal="left"/>
    </xf>
    <xf numFmtId="179" fontId="121" fillId="2" borderId="29" xfId="0" applyNumberFormat="1" applyFont="1" applyFill="1" applyBorder="1" applyAlignment="1">
      <alignment horizontal="right"/>
    </xf>
    <xf numFmtId="3" fontId="120" fillId="0" borderId="29" xfId="0" applyNumberFormat="1" applyFont="1" applyBorder="1" applyAlignment="1">
      <alignment horizontal="right"/>
    </xf>
    <xf numFmtId="0" fontId="81" fillId="2" borderId="29" xfId="0" applyFont="1" applyFill="1" applyBorder="1" applyAlignment="1">
      <alignment horizontal="right"/>
    </xf>
    <xf numFmtId="0" fontId="82" fillId="2" borderId="0" xfId="0" applyFont="1" applyFill="1" applyAlignment="1">
      <alignment horizontal="right"/>
    </xf>
    <xf numFmtId="0" fontId="82" fillId="2" borderId="29" xfId="0" applyFont="1" applyFill="1" applyBorder="1" applyAlignment="1">
      <alignment horizontal="right"/>
    </xf>
    <xf numFmtId="10" fontId="120" fillId="0" borderId="0" xfId="0" applyNumberFormat="1" applyFont="1" applyAlignment="1">
      <alignment horizontal="right"/>
    </xf>
    <xf numFmtId="10" fontId="120" fillId="0" borderId="29" xfId="0" applyNumberFormat="1" applyFont="1" applyBorder="1" applyAlignment="1">
      <alignment horizontal="right"/>
    </xf>
    <xf numFmtId="3" fontId="120" fillId="0" borderId="0" xfId="0" applyNumberFormat="1" applyFont="1" applyAlignment="1">
      <alignment horizontal="right"/>
    </xf>
    <xf numFmtId="3" fontId="82" fillId="17" borderId="0" xfId="0" applyNumberFormat="1" applyFont="1" applyFill="1" applyAlignment="1">
      <alignment horizontal="right"/>
    </xf>
    <xf numFmtId="0" fontId="81" fillId="2" borderId="0" xfId="0" applyFont="1" applyFill="1" applyAlignment="1">
      <alignment horizontal="right"/>
    </xf>
    <xf numFmtId="0" fontId="121" fillId="2" borderId="0" xfId="0" applyFont="1" applyFill="1"/>
    <xf numFmtId="167" fontId="95" fillId="15" borderId="0" xfId="1" applyNumberFormat="1" applyFont="1" applyFill="1" applyAlignment="1">
      <alignment horizontal="center" vertical="center"/>
    </xf>
    <xf numFmtId="0" fontId="119" fillId="2" borderId="0" xfId="0" applyFont="1" applyFill="1" applyAlignment="1">
      <alignment horizontal="center"/>
    </xf>
    <xf numFmtId="3" fontId="46" fillId="2" borderId="3" xfId="0" applyNumberFormat="1" applyFont="1" applyFill="1" applyBorder="1" applyAlignment="1">
      <alignment horizontal="center" vertical="center"/>
    </xf>
    <xf numFmtId="0" fontId="191" fillId="2" borderId="0" xfId="0" applyFont="1" applyFill="1"/>
    <xf numFmtId="3" fontId="119" fillId="2" borderId="33" xfId="10" applyNumberFormat="1" applyFont="1" applyFill="1" applyBorder="1" applyAlignment="1">
      <alignment horizontal="center" vertical="center"/>
    </xf>
    <xf numFmtId="3" fontId="119" fillId="0" borderId="41" xfId="10" applyNumberFormat="1" applyFont="1" applyBorder="1" applyAlignment="1">
      <alignment horizontal="center" vertical="center"/>
    </xf>
    <xf numFmtId="17" fontId="114" fillId="5" borderId="41" xfId="0" applyNumberFormat="1" applyFont="1" applyFill="1" applyBorder="1" applyAlignment="1">
      <alignment horizontal="center"/>
    </xf>
    <xf numFmtId="180" fontId="114" fillId="5" borderId="42" xfId="0" applyNumberFormat="1" applyFont="1" applyFill="1" applyBorder="1" applyAlignment="1">
      <alignment horizontal="center"/>
    </xf>
    <xf numFmtId="180" fontId="113" fillId="5" borderId="41" xfId="0" applyNumberFormat="1" applyFont="1" applyFill="1" applyBorder="1" applyAlignment="1">
      <alignment horizontal="center"/>
    </xf>
    <xf numFmtId="180" fontId="114" fillId="5" borderId="41" xfId="0" applyNumberFormat="1" applyFont="1" applyFill="1" applyBorder="1" applyAlignment="1">
      <alignment horizontal="center"/>
    </xf>
    <xf numFmtId="167" fontId="114" fillId="5" borderId="42" xfId="1" applyNumberFormat="1" applyFont="1" applyFill="1" applyBorder="1" applyAlignment="1">
      <alignment horizontal="center"/>
    </xf>
    <xf numFmtId="167" fontId="113" fillId="5" borderId="41" xfId="0" applyNumberFormat="1" applyFont="1" applyFill="1" applyBorder="1" applyAlignment="1">
      <alignment horizontal="center"/>
    </xf>
    <xf numFmtId="172" fontId="113" fillId="5" borderId="41" xfId="0" applyNumberFormat="1" applyFont="1" applyFill="1" applyBorder="1" applyAlignment="1">
      <alignment horizontal="center"/>
    </xf>
    <xf numFmtId="9" fontId="114" fillId="5" borderId="42" xfId="1" applyFont="1" applyFill="1" applyBorder="1" applyAlignment="1">
      <alignment horizontal="center"/>
    </xf>
    <xf numFmtId="177" fontId="114" fillId="5" borderId="42" xfId="1" applyNumberFormat="1" applyFont="1" applyFill="1" applyBorder="1" applyAlignment="1">
      <alignment horizontal="center"/>
    </xf>
    <xf numFmtId="177" fontId="113" fillId="5" borderId="41" xfId="0" applyNumberFormat="1" applyFont="1" applyFill="1" applyBorder="1" applyAlignment="1">
      <alignment horizontal="center"/>
    </xf>
    <xf numFmtId="180" fontId="114" fillId="5" borderId="43" xfId="0" applyNumberFormat="1" applyFont="1" applyFill="1" applyBorder="1" applyAlignment="1">
      <alignment horizontal="center"/>
    </xf>
    <xf numFmtId="180" fontId="113" fillId="5" borderId="33" xfId="0" applyNumberFormat="1" applyFont="1" applyFill="1" applyBorder="1" applyAlignment="1">
      <alignment horizontal="center"/>
    </xf>
    <xf numFmtId="172" fontId="114" fillId="5" borderId="41" xfId="0" applyNumberFormat="1" applyFont="1" applyFill="1" applyBorder="1" applyAlignment="1">
      <alignment horizontal="center"/>
    </xf>
    <xf numFmtId="172" fontId="113" fillId="5" borderId="41" xfId="0" applyNumberFormat="1" applyFont="1" applyFill="1" applyBorder="1" applyAlignment="1">
      <alignment horizontal="center" vertical="center"/>
    </xf>
    <xf numFmtId="172" fontId="114" fillId="5" borderId="42" xfId="0" applyNumberFormat="1" applyFont="1" applyFill="1" applyBorder="1" applyAlignment="1">
      <alignment horizontal="center"/>
    </xf>
    <xf numFmtId="0" fontId="192" fillId="2" borderId="0" xfId="0" applyFont="1" applyFill="1"/>
    <xf numFmtId="180" fontId="191" fillId="2" borderId="0" xfId="0" applyNumberFormat="1" applyFont="1" applyFill="1" applyAlignment="1">
      <alignment horizontal="center"/>
    </xf>
    <xf numFmtId="180" fontId="113" fillId="5" borderId="43" xfId="0" applyNumberFormat="1" applyFont="1" applyFill="1" applyBorder="1" applyAlignment="1">
      <alignment horizontal="center"/>
    </xf>
    <xf numFmtId="180" fontId="113" fillId="5" borderId="16" xfId="0" applyNumberFormat="1" applyFont="1" applyFill="1" applyBorder="1" applyAlignment="1">
      <alignment horizontal="center"/>
    </xf>
    <xf numFmtId="0" fontId="191" fillId="0" borderId="29" xfId="0" applyFont="1" applyBorder="1"/>
    <xf numFmtId="180" fontId="114" fillId="5" borderId="11" xfId="0" applyNumberFormat="1" applyFont="1" applyFill="1" applyBorder="1" applyAlignment="1">
      <alignment horizontal="center"/>
    </xf>
    <xf numFmtId="172" fontId="114" fillId="5" borderId="11" xfId="0" applyNumberFormat="1" applyFont="1" applyFill="1" applyBorder="1" applyAlignment="1">
      <alignment horizontal="center"/>
    </xf>
    <xf numFmtId="180" fontId="114" fillId="5" borderId="18" xfId="0" applyNumberFormat="1" applyFont="1" applyFill="1" applyBorder="1" applyAlignment="1">
      <alignment horizontal="center"/>
    </xf>
    <xf numFmtId="9" fontId="114" fillId="5" borderId="47" xfId="1" applyFont="1" applyFill="1" applyBorder="1" applyAlignment="1">
      <alignment horizontal="center"/>
    </xf>
    <xf numFmtId="9" fontId="114" fillId="5" borderId="53" xfId="1" applyFont="1" applyFill="1" applyBorder="1" applyAlignment="1">
      <alignment horizontal="center"/>
    </xf>
    <xf numFmtId="9" fontId="114" fillId="5" borderId="59" xfId="1" applyFont="1" applyFill="1" applyBorder="1" applyAlignment="1">
      <alignment horizontal="center"/>
    </xf>
    <xf numFmtId="17" fontId="81" fillId="12" borderId="41" xfId="0" applyNumberFormat="1" applyFont="1" applyFill="1" applyBorder="1" applyAlignment="1">
      <alignment horizontal="center"/>
    </xf>
    <xf numFmtId="17" fontId="81" fillId="5" borderId="41" xfId="0" applyNumberFormat="1" applyFont="1" applyFill="1" applyBorder="1" applyAlignment="1">
      <alignment horizontal="center"/>
    </xf>
    <xf numFmtId="17" fontId="81" fillId="2" borderId="41" xfId="0" applyNumberFormat="1" applyFont="1" applyFill="1" applyBorder="1" applyAlignment="1">
      <alignment horizontal="center"/>
    </xf>
    <xf numFmtId="181" fontId="82" fillId="2" borderId="42" xfId="0" applyNumberFormat="1" applyFont="1" applyFill="1" applyBorder="1" applyAlignment="1">
      <alignment horizontal="center"/>
    </xf>
    <xf numFmtId="180" fontId="82" fillId="12" borderId="41" xfId="0" applyNumberFormat="1" applyFont="1" applyFill="1" applyBorder="1" applyAlignment="1">
      <alignment horizontal="center"/>
    </xf>
    <xf numFmtId="180" fontId="82" fillId="5" borderId="41" xfId="0" applyNumberFormat="1" applyFont="1" applyFill="1" applyBorder="1" applyAlignment="1">
      <alignment horizontal="center"/>
    </xf>
    <xf numFmtId="181" fontId="82" fillId="2" borderId="41" xfId="0" applyNumberFormat="1" applyFont="1" applyFill="1" applyBorder="1" applyAlignment="1">
      <alignment horizontal="center"/>
    </xf>
    <xf numFmtId="180" fontId="81" fillId="12" borderId="41" xfId="0" applyNumberFormat="1" applyFont="1" applyFill="1" applyBorder="1" applyAlignment="1">
      <alignment horizontal="center"/>
    </xf>
    <xf numFmtId="180" fontId="81" fillId="5" borderId="41" xfId="0" applyNumberFormat="1" applyFont="1" applyFill="1" applyBorder="1" applyAlignment="1">
      <alignment horizontal="center"/>
    </xf>
    <xf numFmtId="167" fontId="81" fillId="12" borderId="42" xfId="1" applyNumberFormat="1" applyFont="1" applyFill="1" applyBorder="1" applyAlignment="1">
      <alignment horizontal="center"/>
    </xf>
    <xf numFmtId="167" fontId="81" fillId="5" borderId="42" xfId="1" applyNumberFormat="1" applyFont="1" applyFill="1" applyBorder="1" applyAlignment="1">
      <alignment horizontal="center"/>
    </xf>
    <xf numFmtId="9" fontId="82" fillId="2" borderId="42" xfId="1" applyFont="1" applyFill="1" applyBorder="1" applyAlignment="1">
      <alignment horizontal="center"/>
    </xf>
    <xf numFmtId="167" fontId="82" fillId="12" borderId="41" xfId="0" applyNumberFormat="1" applyFont="1" applyFill="1" applyBorder="1" applyAlignment="1">
      <alignment horizontal="center"/>
    </xf>
    <xf numFmtId="167" fontId="82" fillId="5" borderId="41" xfId="0" applyNumberFormat="1" applyFont="1" applyFill="1" applyBorder="1" applyAlignment="1">
      <alignment horizontal="center"/>
    </xf>
    <xf numFmtId="9" fontId="81" fillId="12" borderId="42" xfId="1" applyFont="1" applyFill="1" applyBorder="1" applyAlignment="1">
      <alignment horizontal="center"/>
    </xf>
    <xf numFmtId="9" fontId="81" fillId="5" borderId="42" xfId="1" applyFont="1" applyFill="1" applyBorder="1" applyAlignment="1">
      <alignment horizontal="center"/>
    </xf>
    <xf numFmtId="177" fontId="81" fillId="12" borderId="42" xfId="1" applyNumberFormat="1" applyFont="1" applyFill="1" applyBorder="1" applyAlignment="1">
      <alignment horizontal="center"/>
    </xf>
    <xf numFmtId="177" fontId="81" fillId="5" borderId="42" xfId="1" applyNumberFormat="1" applyFont="1" applyFill="1" applyBorder="1" applyAlignment="1">
      <alignment horizontal="center"/>
    </xf>
    <xf numFmtId="17" fontId="82" fillId="12" borderId="41" xfId="0" applyNumberFormat="1" applyFont="1" applyFill="1" applyBorder="1" applyAlignment="1">
      <alignment horizontal="center"/>
    </xf>
    <xf numFmtId="17" fontId="82" fillId="5" borderId="41" xfId="0" applyNumberFormat="1" applyFont="1" applyFill="1" applyBorder="1" applyAlignment="1">
      <alignment horizontal="center"/>
    </xf>
    <xf numFmtId="177" fontId="82" fillId="2" borderId="42" xfId="1" applyNumberFormat="1" applyFont="1" applyFill="1" applyBorder="1" applyAlignment="1">
      <alignment horizontal="center"/>
    </xf>
    <xf numFmtId="180" fontId="81" fillId="12" borderId="31" xfId="0" applyNumberFormat="1" applyFont="1" applyFill="1" applyBorder="1" applyAlignment="1">
      <alignment horizontal="center"/>
    </xf>
    <xf numFmtId="180" fontId="81" fillId="5" borderId="43" xfId="0" applyNumberFormat="1" applyFont="1" applyFill="1" applyBorder="1" applyAlignment="1">
      <alignment horizontal="center"/>
    </xf>
    <xf numFmtId="181" fontId="82" fillId="2" borderId="43" xfId="0" applyNumberFormat="1" applyFont="1" applyFill="1" applyBorder="1" applyAlignment="1">
      <alignment horizontal="center"/>
    </xf>
    <xf numFmtId="180" fontId="81" fillId="12" borderId="0" xfId="0" applyNumberFormat="1" applyFont="1" applyFill="1" applyAlignment="1">
      <alignment horizontal="center"/>
    </xf>
    <xf numFmtId="0" fontId="82" fillId="2" borderId="41" xfId="0" applyFont="1" applyFill="1" applyBorder="1" applyAlignment="1">
      <alignment horizontal="center" vertical="center"/>
    </xf>
    <xf numFmtId="180" fontId="82" fillId="12" borderId="0" xfId="0" applyNumberFormat="1" applyFont="1" applyFill="1" applyAlignment="1">
      <alignment horizontal="center"/>
    </xf>
    <xf numFmtId="180" fontId="82" fillId="12" borderId="32" xfId="0" applyNumberFormat="1" applyFont="1" applyFill="1" applyBorder="1" applyAlignment="1">
      <alignment horizontal="center"/>
    </xf>
    <xf numFmtId="180" fontId="82" fillId="5" borderId="33" xfId="0" applyNumberFormat="1" applyFont="1" applyFill="1" applyBorder="1" applyAlignment="1">
      <alignment horizontal="center"/>
    </xf>
    <xf numFmtId="0" fontId="82" fillId="2" borderId="33" xfId="0" applyFont="1" applyFill="1" applyBorder="1" applyAlignment="1">
      <alignment horizontal="center" vertical="center"/>
    </xf>
    <xf numFmtId="180" fontId="81" fillId="12" borderId="29" xfId="0" applyNumberFormat="1" applyFont="1" applyFill="1" applyBorder="1" applyAlignment="1">
      <alignment horizontal="center"/>
    </xf>
    <xf numFmtId="167" fontId="30" fillId="12" borderId="0" xfId="1" applyNumberFormat="1" applyFont="1" applyFill="1" applyBorder="1" applyAlignment="1">
      <alignment horizontal="center"/>
    </xf>
    <xf numFmtId="167" fontId="30" fillId="5" borderId="41" xfId="1" applyNumberFormat="1" applyFont="1" applyFill="1" applyBorder="1" applyAlignment="1">
      <alignment horizontal="center"/>
    </xf>
    <xf numFmtId="0" fontId="30" fillId="0" borderId="41" xfId="0" applyFont="1" applyBorder="1" applyAlignment="1">
      <alignment horizontal="center" vertical="center"/>
    </xf>
    <xf numFmtId="180" fontId="82" fillId="12" borderId="0" xfId="0" applyNumberFormat="1" applyFont="1" applyFill="1" applyAlignment="1">
      <alignment horizontal="center" vertical="center"/>
    </xf>
    <xf numFmtId="180" fontId="82" fillId="5" borderId="41" xfId="0" applyNumberFormat="1" applyFont="1" applyFill="1" applyBorder="1" applyAlignment="1">
      <alignment horizontal="center" vertical="center"/>
    </xf>
    <xf numFmtId="181" fontId="82" fillId="2" borderId="41" xfId="0" applyNumberFormat="1" applyFont="1" applyFill="1" applyBorder="1" applyAlignment="1">
      <alignment horizontal="center" vertical="center"/>
    </xf>
    <xf numFmtId="180" fontId="30" fillId="12" borderId="0" xfId="0" applyNumberFormat="1" applyFont="1" applyFill="1" applyAlignment="1">
      <alignment horizontal="center"/>
    </xf>
    <xf numFmtId="180" fontId="30" fillId="5" borderId="41" xfId="0" applyNumberFormat="1" applyFont="1" applyFill="1" applyBorder="1" applyAlignment="1">
      <alignment horizontal="center"/>
    </xf>
    <xf numFmtId="0" fontId="83" fillId="2" borderId="0" xfId="0" applyFont="1" applyFill="1"/>
    <xf numFmtId="180" fontId="83" fillId="2" borderId="0" xfId="0" applyNumberFormat="1" applyFont="1" applyFill="1"/>
    <xf numFmtId="0" fontId="0" fillId="2" borderId="0" xfId="0" applyFill="1" applyAlignment="1">
      <alignment horizontal="center"/>
    </xf>
    <xf numFmtId="180" fontId="82" fillId="12" borderId="43" xfId="0" applyNumberFormat="1" applyFont="1" applyFill="1" applyBorder="1" applyAlignment="1">
      <alignment horizontal="center"/>
    </xf>
    <xf numFmtId="180" fontId="82" fillId="5" borderId="43" xfId="0" applyNumberFormat="1" applyFont="1" applyFill="1" applyBorder="1" applyAlignment="1">
      <alignment horizontal="center"/>
    </xf>
    <xf numFmtId="0" fontId="82" fillId="2" borderId="43" xfId="0" applyFont="1" applyFill="1" applyBorder="1" applyAlignment="1">
      <alignment horizontal="center" vertical="center"/>
    </xf>
    <xf numFmtId="180" fontId="82" fillId="12" borderId="33" xfId="0" applyNumberFormat="1" applyFont="1" applyFill="1" applyBorder="1" applyAlignment="1">
      <alignment horizontal="center"/>
    </xf>
    <xf numFmtId="181" fontId="82" fillId="2" borderId="33" xfId="0" applyNumberFormat="1" applyFont="1" applyFill="1" applyBorder="1" applyAlignment="1">
      <alignment horizontal="center"/>
    </xf>
    <xf numFmtId="180" fontId="82" fillId="5" borderId="16" xfId="0" applyNumberFormat="1" applyFont="1" applyFill="1" applyBorder="1" applyAlignment="1">
      <alignment horizontal="center"/>
    </xf>
    <xf numFmtId="0" fontId="82" fillId="2" borderId="16" xfId="0" applyFont="1" applyFill="1" applyBorder="1" applyAlignment="1">
      <alignment horizontal="center" vertical="center"/>
    </xf>
    <xf numFmtId="181" fontId="82" fillId="2" borderId="16" xfId="0" applyNumberFormat="1" applyFont="1" applyFill="1" applyBorder="1" applyAlignment="1">
      <alignment horizontal="center"/>
    </xf>
    <xf numFmtId="180" fontId="81" fillId="5" borderId="11" xfId="0" applyNumberFormat="1" applyFont="1" applyFill="1" applyBorder="1" applyAlignment="1">
      <alignment horizontal="center"/>
    </xf>
    <xf numFmtId="181" fontId="82" fillId="2" borderId="11" xfId="0" applyNumberFormat="1" applyFont="1" applyFill="1" applyBorder="1" applyAlignment="1">
      <alignment horizontal="center"/>
    </xf>
    <xf numFmtId="180" fontId="81" fillId="5" borderId="18" xfId="0" applyNumberFormat="1" applyFont="1" applyFill="1" applyBorder="1" applyAlignment="1">
      <alignment horizontal="center"/>
    </xf>
    <xf numFmtId="0" fontId="82" fillId="2" borderId="18" xfId="0" applyFont="1" applyFill="1" applyBorder="1" applyAlignment="1">
      <alignment horizontal="center" vertical="center"/>
    </xf>
    <xf numFmtId="0" fontId="82" fillId="2" borderId="11" xfId="0" applyFont="1" applyFill="1" applyBorder="1" applyAlignment="1">
      <alignment horizontal="center" vertical="center"/>
    </xf>
    <xf numFmtId="9" fontId="81" fillId="12" borderId="47" xfId="1" applyFont="1" applyFill="1" applyBorder="1" applyAlignment="1">
      <alignment horizontal="center"/>
    </xf>
    <xf numFmtId="9" fontId="81" fillId="5" borderId="47" xfId="1" applyFont="1" applyFill="1" applyBorder="1" applyAlignment="1">
      <alignment horizontal="center"/>
    </xf>
    <xf numFmtId="181" fontId="81" fillId="2" borderId="47" xfId="0" applyNumberFormat="1" applyFont="1" applyFill="1" applyBorder="1" applyAlignment="1">
      <alignment horizontal="center"/>
    </xf>
    <xf numFmtId="9" fontId="81" fillId="12" borderId="53" xfId="1" applyFont="1" applyFill="1" applyBorder="1" applyAlignment="1">
      <alignment horizontal="center"/>
    </xf>
    <xf numFmtId="9" fontId="81" fillId="5" borderId="53" xfId="1" applyFont="1" applyFill="1" applyBorder="1" applyAlignment="1">
      <alignment horizontal="center"/>
    </xf>
    <xf numFmtId="181" fontId="81" fillId="2" borderId="53" xfId="0" applyNumberFormat="1" applyFont="1" applyFill="1" applyBorder="1" applyAlignment="1">
      <alignment horizontal="center"/>
    </xf>
    <xf numFmtId="181" fontId="82" fillId="2" borderId="59" xfId="0" applyNumberFormat="1" applyFont="1" applyFill="1" applyBorder="1" applyAlignment="1">
      <alignment horizontal="center"/>
    </xf>
    <xf numFmtId="179" fontId="118" fillId="2" borderId="0" xfId="0" applyNumberFormat="1" applyFont="1" applyFill="1"/>
    <xf numFmtId="180" fontId="119" fillId="2" borderId="25" xfId="0" applyNumberFormat="1" applyFont="1" applyFill="1" applyBorder="1" applyAlignment="1">
      <alignment horizontal="center"/>
    </xf>
    <xf numFmtId="180" fontId="119" fillId="2" borderId="30" xfId="0" applyNumberFormat="1" applyFont="1" applyFill="1" applyBorder="1" applyAlignment="1">
      <alignment horizontal="center"/>
    </xf>
    <xf numFmtId="180" fontId="119" fillId="2" borderId="14" xfId="0" applyNumberFormat="1" applyFont="1" applyFill="1" applyBorder="1" applyAlignment="1">
      <alignment horizontal="center"/>
    </xf>
    <xf numFmtId="180" fontId="119" fillId="2" borderId="15" xfId="0" applyNumberFormat="1" applyFont="1" applyFill="1" applyBorder="1" applyAlignment="1">
      <alignment horizontal="center"/>
    </xf>
    <xf numFmtId="167" fontId="119" fillId="2" borderId="25" xfId="1" applyNumberFormat="1" applyFont="1" applyFill="1" applyBorder="1" applyAlignment="1">
      <alignment horizontal="center"/>
    </xf>
    <xf numFmtId="167" fontId="119" fillId="2" borderId="30" xfId="1" applyNumberFormat="1" applyFont="1" applyFill="1" applyBorder="1" applyAlignment="1">
      <alignment horizontal="center"/>
    </xf>
    <xf numFmtId="9" fontId="119" fillId="2" borderId="25" xfId="1" applyFont="1" applyFill="1" applyBorder="1" applyAlignment="1">
      <alignment horizontal="center"/>
    </xf>
    <xf numFmtId="9" fontId="119" fillId="2" borderId="30" xfId="1" applyFont="1" applyFill="1" applyBorder="1" applyAlignment="1">
      <alignment horizontal="center"/>
    </xf>
    <xf numFmtId="177" fontId="119" fillId="2" borderId="25" xfId="1" applyNumberFormat="1" applyFont="1" applyFill="1" applyBorder="1" applyAlignment="1">
      <alignment horizontal="center"/>
    </xf>
    <xf numFmtId="177" fontId="119" fillId="2" borderId="30" xfId="1" applyNumberFormat="1" applyFont="1" applyFill="1" applyBorder="1" applyAlignment="1">
      <alignment horizontal="center"/>
    </xf>
    <xf numFmtId="180" fontId="119" fillId="2" borderId="39" xfId="0" applyNumberFormat="1" applyFont="1" applyFill="1" applyBorder="1" applyAlignment="1">
      <alignment horizontal="center"/>
    </xf>
    <xf numFmtId="180" fontId="119" fillId="2" borderId="37" xfId="0" applyNumberFormat="1" applyFont="1" applyFill="1" applyBorder="1" applyAlignment="1">
      <alignment horizontal="center"/>
    </xf>
    <xf numFmtId="180" fontId="119" fillId="2" borderId="40" xfId="0" applyNumberFormat="1" applyFont="1" applyFill="1" applyBorder="1" applyAlignment="1">
      <alignment horizontal="center"/>
    </xf>
    <xf numFmtId="180" fontId="119" fillId="2" borderId="38" xfId="0" applyNumberFormat="1" applyFont="1" applyFill="1" applyBorder="1" applyAlignment="1">
      <alignment horizontal="center"/>
    </xf>
    <xf numFmtId="180" fontId="119" fillId="0" borderId="14" xfId="0" applyNumberFormat="1" applyFont="1" applyBorder="1" applyAlignment="1">
      <alignment horizontal="center"/>
    </xf>
    <xf numFmtId="180" fontId="119" fillId="0" borderId="15" xfId="0" applyNumberFormat="1" applyFont="1" applyBorder="1" applyAlignment="1">
      <alignment horizontal="center"/>
    </xf>
    <xf numFmtId="180" fontId="119" fillId="2" borderId="14" xfId="0" applyNumberFormat="1" applyFont="1" applyFill="1" applyBorder="1" applyAlignment="1">
      <alignment horizontal="center" vertical="center"/>
    </xf>
    <xf numFmtId="180" fontId="119" fillId="2" borderId="15" xfId="0" applyNumberFormat="1" applyFont="1" applyFill="1" applyBorder="1" applyAlignment="1">
      <alignment horizontal="center" vertical="center"/>
    </xf>
    <xf numFmtId="180" fontId="119" fillId="2" borderId="16" xfId="0" applyNumberFormat="1" applyFont="1" applyFill="1" applyBorder="1" applyAlignment="1">
      <alignment horizontal="center"/>
    </xf>
    <xf numFmtId="180" fontId="119" fillId="2" borderId="11" xfId="0" applyNumberFormat="1" applyFont="1" applyFill="1" applyBorder="1" applyAlignment="1">
      <alignment horizontal="center"/>
    </xf>
    <xf numFmtId="180" fontId="119" fillId="2" borderId="18" xfId="0" applyNumberFormat="1" applyFont="1" applyFill="1" applyBorder="1" applyAlignment="1">
      <alignment horizontal="center"/>
    </xf>
    <xf numFmtId="180" fontId="119" fillId="2" borderId="29" xfId="0" applyNumberFormat="1" applyFont="1" applyFill="1" applyBorder="1" applyAlignment="1">
      <alignment horizontal="center"/>
    </xf>
    <xf numFmtId="180" fontId="119" fillId="2" borderId="48" xfId="0" applyNumberFormat="1" applyFont="1" applyFill="1" applyBorder="1" applyAlignment="1">
      <alignment horizontal="center"/>
    </xf>
    <xf numFmtId="180" fontId="119" fillId="2" borderId="49" xfId="0" applyNumberFormat="1" applyFont="1" applyFill="1" applyBorder="1" applyAlignment="1">
      <alignment horizontal="center"/>
    </xf>
    <xf numFmtId="180" fontId="119" fillId="2" borderId="54" xfId="0" applyNumberFormat="1" applyFont="1" applyFill="1" applyBorder="1" applyAlignment="1">
      <alignment horizontal="center"/>
    </xf>
    <xf numFmtId="180" fontId="119" fillId="2" borderId="55" xfId="0" applyNumberFormat="1" applyFont="1" applyFill="1" applyBorder="1" applyAlignment="1">
      <alignment horizontal="center"/>
    </xf>
    <xf numFmtId="180" fontId="119" fillId="2" borderId="50" xfId="0" applyNumberFormat="1" applyFont="1" applyFill="1" applyBorder="1" applyAlignment="1">
      <alignment horizontal="center"/>
    </xf>
    <xf numFmtId="180" fontId="119" fillId="2" borderId="56" xfId="0" applyNumberFormat="1" applyFont="1" applyFill="1" applyBorder="1" applyAlignment="1">
      <alignment horizontal="center"/>
    </xf>
    <xf numFmtId="180" fontId="119" fillId="2" borderId="60" xfId="0" applyNumberFormat="1" applyFont="1" applyFill="1" applyBorder="1" applyAlignment="1">
      <alignment horizontal="center"/>
    </xf>
    <xf numFmtId="17" fontId="57" fillId="2" borderId="14" xfId="0" applyNumberFormat="1" applyFont="1" applyFill="1" applyBorder="1" applyAlignment="1">
      <alignment horizontal="center"/>
    </xf>
    <xf numFmtId="17" fontId="57" fillId="2" borderId="15" xfId="0" applyNumberFormat="1" applyFont="1" applyFill="1" applyBorder="1" applyAlignment="1">
      <alignment horizontal="center"/>
    </xf>
    <xf numFmtId="4" fontId="193" fillId="26" borderId="61" xfId="0" applyNumberFormat="1" applyFont="1" applyFill="1" applyBorder="1" applyAlignment="1">
      <alignment wrapText="1"/>
    </xf>
    <xf numFmtId="4" fontId="95" fillId="26" borderId="61" xfId="0" applyNumberFormat="1" applyFont="1" applyFill="1" applyBorder="1" applyAlignment="1">
      <alignment wrapText="1"/>
    </xf>
    <xf numFmtId="4" fontId="95" fillId="27" borderId="61" xfId="0" applyNumberFormat="1" applyFont="1" applyFill="1" applyBorder="1" applyAlignment="1">
      <alignment wrapText="1"/>
    </xf>
    <xf numFmtId="4" fontId="95" fillId="28" borderId="61" xfId="0" applyNumberFormat="1" applyFont="1" applyFill="1" applyBorder="1" applyAlignment="1" applyProtection="1">
      <alignment wrapText="1"/>
      <protection locked="0"/>
    </xf>
    <xf numFmtId="4" fontId="5" fillId="15" borderId="0" xfId="0" applyNumberFormat="1" applyFont="1" applyFill="1"/>
    <xf numFmtId="4" fontId="5" fillId="0" borderId="0" xfId="0" applyNumberFormat="1" applyFont="1"/>
    <xf numFmtId="0" fontId="5" fillId="0" borderId="0" xfId="0" applyFont="1" applyAlignment="1">
      <alignment horizontal="center"/>
    </xf>
    <xf numFmtId="10" fontId="95" fillId="26" borderId="61" xfId="1" applyNumberFormat="1" applyFont="1" applyFill="1" applyBorder="1" applyAlignment="1">
      <alignment wrapText="1"/>
    </xf>
    <xf numFmtId="4" fontId="95" fillId="26" borderId="61" xfId="0" applyNumberFormat="1" applyFont="1" applyFill="1" applyBorder="1" applyAlignment="1">
      <alignment horizontal="left" vertical="top" wrapText="1"/>
    </xf>
    <xf numFmtId="0" fontId="194" fillId="0" borderId="0" xfId="0" applyFont="1"/>
    <xf numFmtId="0" fontId="122" fillId="12" borderId="0" xfId="0" applyFont="1" applyFill="1" applyAlignment="1">
      <alignment horizontal="center" vertical="center" wrapText="1"/>
    </xf>
    <xf numFmtId="4" fontId="83" fillId="0" borderId="0" xfId="11" applyNumberFormat="1" applyFont="1" applyAlignment="1">
      <alignment horizontal="right" vertical="center"/>
    </xf>
    <xf numFmtId="0" fontId="196" fillId="0" borderId="0" xfId="0" applyFont="1"/>
    <xf numFmtId="0" fontId="197" fillId="0" borderId="0" xfId="0" applyFont="1"/>
    <xf numFmtId="0" fontId="198" fillId="0" borderId="0" xfId="0" applyFont="1" applyAlignment="1">
      <alignment horizontal="center"/>
    </xf>
    <xf numFmtId="4" fontId="196" fillId="0" borderId="0" xfId="0" applyNumberFormat="1" applyFont="1" applyAlignment="1">
      <alignment horizontal="center"/>
    </xf>
    <xf numFmtId="0" fontId="83" fillId="12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3" fontId="24" fillId="13" borderId="3" xfId="0" applyNumberFormat="1" applyFont="1" applyFill="1" applyBorder="1" applyAlignment="1">
      <alignment horizontal="center" vertical="center"/>
    </xf>
    <xf numFmtId="179" fontId="58" fillId="29" borderId="0" xfId="0" applyNumberFormat="1" applyFont="1" applyFill="1" applyAlignment="1">
      <alignment horizontal="center" vertical="center"/>
    </xf>
    <xf numFmtId="179" fontId="58" fillId="29" borderId="0" xfId="0" applyNumberFormat="1" applyFont="1" applyFill="1" applyAlignment="1">
      <alignment horizontal="center" vertical="center" wrapText="1"/>
    </xf>
    <xf numFmtId="179" fontId="58" fillId="3" borderId="0" xfId="0" applyNumberFormat="1" applyFont="1" applyFill="1" applyAlignment="1">
      <alignment horizontal="center" vertical="center"/>
    </xf>
    <xf numFmtId="179" fontId="58" fillId="3" borderId="0" xfId="0" applyNumberFormat="1" applyFont="1" applyFill="1" applyAlignment="1">
      <alignment horizontal="center" vertical="center" wrapText="1"/>
    </xf>
    <xf numFmtId="0" fontId="63" fillId="2" borderId="3" xfId="0" applyFont="1" applyFill="1" applyBorder="1" applyAlignment="1">
      <alignment horizontal="right" indent="1"/>
    </xf>
    <xf numFmtId="3" fontId="63" fillId="2" borderId="3" xfId="0" applyNumberFormat="1" applyFont="1" applyFill="1" applyBorder="1" applyAlignment="1">
      <alignment horizontal="left"/>
    </xf>
    <xf numFmtId="3" fontId="199" fillId="11" borderId="0" xfId="0" applyNumberFormat="1" applyFont="1" applyFill="1" applyAlignment="1">
      <alignment horizontal="center"/>
    </xf>
    <xf numFmtId="3" fontId="198" fillId="29" borderId="0" xfId="0" applyNumberFormat="1" applyFont="1" applyFill="1" applyAlignment="1">
      <alignment horizontal="center"/>
    </xf>
    <xf numFmtId="3" fontId="200" fillId="11" borderId="0" xfId="0" applyNumberFormat="1" applyFont="1" applyFill="1"/>
    <xf numFmtId="0" fontId="198" fillId="0" borderId="0" xfId="0" applyFont="1" applyAlignment="1">
      <alignment horizontal="right" vertical="center"/>
    </xf>
    <xf numFmtId="9" fontId="196" fillId="0" borderId="0" xfId="0" applyNumberFormat="1" applyFont="1" applyAlignment="1">
      <alignment horizontal="center"/>
    </xf>
    <xf numFmtId="179" fontId="58" fillId="3" borderId="0" xfId="0" quotePrefix="1" applyNumberFormat="1" applyFont="1" applyFill="1" applyAlignment="1">
      <alignment horizontal="center" vertical="center"/>
    </xf>
    <xf numFmtId="3" fontId="196" fillId="0" borderId="0" xfId="0" applyNumberFormat="1" applyFont="1" applyAlignment="1">
      <alignment horizontal="center"/>
    </xf>
    <xf numFmtId="3" fontId="196" fillId="0" borderId="0" xfId="0" applyNumberFormat="1" applyFont="1"/>
    <xf numFmtId="179" fontId="58" fillId="29" borderId="0" xfId="0" quotePrefix="1" applyNumberFormat="1" applyFont="1" applyFill="1" applyAlignment="1">
      <alignment horizontal="center" vertical="center"/>
    </xf>
    <xf numFmtId="3" fontId="0" fillId="0" borderId="0" xfId="0" applyNumberFormat="1"/>
    <xf numFmtId="0" fontId="21" fillId="0" borderId="0" xfId="11" applyFont="1" applyAlignment="1">
      <alignment vertical="center"/>
    </xf>
    <xf numFmtId="4" fontId="4" fillId="0" borderId="0" xfId="11" applyNumberFormat="1" applyFont="1" applyAlignment="1">
      <alignment vertical="center"/>
    </xf>
    <xf numFmtId="0" fontId="4" fillId="0" borderId="0" xfId="11" applyFont="1" applyAlignment="1">
      <alignment vertical="center"/>
    </xf>
    <xf numFmtId="4" fontId="123" fillId="0" borderId="0" xfId="11" applyNumberFormat="1" applyFont="1" applyAlignment="1">
      <alignment vertical="center"/>
    </xf>
    <xf numFmtId="4" fontId="21" fillId="0" borderId="0" xfId="11" applyNumberFormat="1" applyFont="1" applyAlignment="1">
      <alignment horizontal="left" vertical="center"/>
    </xf>
    <xf numFmtId="4" fontId="21" fillId="0" borderId="22" xfId="0" applyNumberFormat="1" applyFont="1" applyBorder="1" applyAlignment="1">
      <alignment horizontal="left" vertical="center"/>
    </xf>
    <xf numFmtId="3" fontId="21" fillId="0" borderId="22" xfId="0" applyNumberFormat="1" applyFont="1" applyBorder="1" applyAlignment="1">
      <alignment horizontal="center" vertical="center"/>
    </xf>
    <xf numFmtId="4" fontId="125" fillId="0" borderId="22" xfId="0" applyNumberFormat="1" applyFont="1" applyBorder="1" applyAlignment="1">
      <alignment horizontal="left" vertical="center"/>
    </xf>
    <xf numFmtId="9" fontId="27" fillId="0" borderId="22" xfId="1" applyFont="1" applyBorder="1" applyAlignment="1">
      <alignment horizontal="center" vertical="center"/>
    </xf>
    <xf numFmtId="3" fontId="89" fillId="0" borderId="31" xfId="0" applyNumberFormat="1" applyFont="1" applyBorder="1" applyAlignment="1">
      <alignment horizontal="center" vertical="center"/>
    </xf>
    <xf numFmtId="4" fontId="26" fillId="19" borderId="0" xfId="11" applyNumberFormat="1" applyFont="1" applyFill="1" applyAlignment="1">
      <alignment vertical="center"/>
    </xf>
    <xf numFmtId="4" fontId="125" fillId="19" borderId="0" xfId="11" applyNumberFormat="1" applyFont="1" applyFill="1" applyAlignment="1">
      <alignment horizontal="center" vertical="center"/>
    </xf>
    <xf numFmtId="14" fontId="26" fillId="19" borderId="0" xfId="11" applyNumberFormat="1" applyFont="1" applyFill="1" applyAlignment="1">
      <alignment vertical="center"/>
    </xf>
    <xf numFmtId="3" fontId="4" fillId="0" borderId="0" xfId="11" applyNumberFormat="1" applyFont="1" applyAlignment="1">
      <alignment vertical="center"/>
    </xf>
    <xf numFmtId="0" fontId="27" fillId="0" borderId="0" xfId="11" applyFont="1" applyAlignment="1">
      <alignment vertical="center"/>
    </xf>
    <xf numFmtId="4" fontId="27" fillId="0" borderId="0" xfId="11" applyNumberFormat="1" applyFont="1" applyAlignment="1">
      <alignment horizontal="center" vertical="center"/>
    </xf>
    <xf numFmtId="14" fontId="21" fillId="0" borderId="0" xfId="11" applyNumberFormat="1" applyFont="1" applyAlignment="1">
      <alignment vertical="center"/>
    </xf>
    <xf numFmtId="3" fontId="83" fillId="0" borderId="0" xfId="11" applyNumberFormat="1" applyFont="1" applyAlignment="1">
      <alignment horizontal="center" vertical="center"/>
    </xf>
    <xf numFmtId="4" fontId="21" fillId="0" borderId="22" xfId="0" applyNumberFormat="1" applyFont="1" applyBorder="1" applyAlignment="1">
      <alignment horizontal="left" vertical="center" wrapText="1"/>
    </xf>
    <xf numFmtId="3" fontId="26" fillId="11" borderId="22" xfId="0" applyNumberFormat="1" applyFont="1" applyFill="1" applyBorder="1" applyAlignment="1">
      <alignment horizontal="center" vertical="center"/>
    </xf>
    <xf numFmtId="3" fontId="89" fillId="0" borderId="0" xfId="0" applyNumberFormat="1" applyFont="1" applyAlignment="1">
      <alignment horizontal="center" vertical="center"/>
    </xf>
    <xf numFmtId="4" fontId="21" fillId="0" borderId="62" xfId="0" applyNumberFormat="1" applyFont="1" applyBorder="1" applyAlignment="1">
      <alignment horizontal="left" vertical="center"/>
    </xf>
    <xf numFmtId="3" fontId="89" fillId="0" borderId="22" xfId="0" applyNumberFormat="1" applyFont="1" applyBorder="1" applyAlignment="1">
      <alignment horizontal="center" vertical="center"/>
    </xf>
    <xf numFmtId="3" fontId="27" fillId="2" borderId="22" xfId="0" applyNumberFormat="1" applyFont="1" applyFill="1" applyBorder="1" applyAlignment="1">
      <alignment horizontal="center" vertical="center"/>
    </xf>
    <xf numFmtId="3" fontId="27" fillId="29" borderId="22" xfId="0" applyNumberFormat="1" applyFont="1" applyFill="1" applyBorder="1" applyAlignment="1">
      <alignment horizontal="center" vertical="center"/>
    </xf>
    <xf numFmtId="4" fontId="21" fillId="0" borderId="0" xfId="11" applyNumberFormat="1" applyFont="1" applyAlignment="1">
      <alignment vertical="center"/>
    </xf>
    <xf numFmtId="0" fontId="21" fillId="0" borderId="0" xfId="11" applyFont="1" applyAlignment="1">
      <alignment horizontal="left" vertical="center"/>
    </xf>
    <xf numFmtId="0" fontId="4" fillId="0" borderId="0" xfId="11" applyFont="1" applyAlignment="1">
      <alignment horizontal="left" vertical="center"/>
    </xf>
    <xf numFmtId="14" fontId="201" fillId="0" borderId="0" xfId="11" applyNumberFormat="1" applyFont="1" applyAlignment="1">
      <alignment horizontal="right" vertical="center"/>
    </xf>
    <xf numFmtId="3" fontId="21" fillId="29" borderId="22" xfId="0" applyNumberFormat="1" applyFont="1" applyFill="1" applyBorder="1" applyAlignment="1">
      <alignment horizontal="center" vertical="center"/>
    </xf>
    <xf numFmtId="10" fontId="88" fillId="0" borderId="22" xfId="1" applyNumberFormat="1" applyFont="1" applyBorder="1" applyAlignment="1">
      <alignment horizontal="center" vertical="center"/>
    </xf>
    <xf numFmtId="195" fontId="88" fillId="0" borderId="22" xfId="0" applyNumberFormat="1" applyFont="1" applyBorder="1" applyAlignment="1">
      <alignment horizontal="center" vertical="center"/>
    </xf>
    <xf numFmtId="0" fontId="120" fillId="0" borderId="0" xfId="11" applyFont="1" applyAlignment="1">
      <alignment vertical="center"/>
    </xf>
    <xf numFmtId="4" fontId="26" fillId="11" borderId="0" xfId="11" applyNumberFormat="1" applyFont="1" applyFill="1" applyAlignment="1">
      <alignment vertical="center"/>
    </xf>
    <xf numFmtId="4" fontId="26" fillId="11" borderId="0" xfId="11" applyNumberFormat="1" applyFont="1" applyFill="1" applyAlignment="1">
      <alignment horizontal="center" vertical="center"/>
    </xf>
    <xf numFmtId="0" fontId="26" fillId="11" borderId="0" xfId="11" applyFont="1" applyFill="1" applyAlignment="1">
      <alignment vertical="center"/>
    </xf>
    <xf numFmtId="4" fontId="27" fillId="0" borderId="0" xfId="11" applyNumberFormat="1" applyFont="1" applyAlignment="1">
      <alignment vertical="center"/>
    </xf>
    <xf numFmtId="3" fontId="89" fillId="29" borderId="31" xfId="0" applyNumberFormat="1" applyFont="1" applyFill="1" applyBorder="1" applyAlignment="1">
      <alignment horizontal="center" vertical="center"/>
    </xf>
    <xf numFmtId="10" fontId="80" fillId="0" borderId="1" xfId="1" applyNumberFormat="1" applyFont="1" applyBorder="1"/>
    <xf numFmtId="0" fontId="10" fillId="11" borderId="0" xfId="0" applyFont="1" applyFill="1" applyAlignment="1">
      <alignment horizontal="left"/>
    </xf>
    <xf numFmtId="0" fontId="32" fillId="11" borderId="0" xfId="0" applyFont="1" applyFill="1"/>
    <xf numFmtId="0" fontId="196" fillId="15" borderId="0" xfId="0" applyFont="1" applyFill="1"/>
    <xf numFmtId="4" fontId="200" fillId="11" borderId="0" xfId="0" applyNumberFormat="1" applyFont="1" applyFill="1"/>
    <xf numFmtId="9" fontId="200" fillId="11" borderId="0" xfId="1" applyFont="1" applyFill="1"/>
    <xf numFmtId="14" fontId="201" fillId="15" borderId="0" xfId="11" applyNumberFormat="1" applyFont="1" applyFill="1" applyAlignment="1">
      <alignment horizontal="center" vertical="center"/>
    </xf>
    <xf numFmtId="10" fontId="29" fillId="29" borderId="3" xfId="1" applyNumberFormat="1" applyFont="1" applyFill="1" applyBorder="1" applyAlignment="1">
      <alignment horizontal="center" vertical="center"/>
    </xf>
    <xf numFmtId="10" fontId="33" fillId="0" borderId="4" xfId="0" applyNumberFormat="1" applyFont="1" applyBorder="1" applyAlignment="1">
      <alignment horizontal="center" vertical="center"/>
    </xf>
    <xf numFmtId="4" fontId="21" fillId="15" borderId="0" xfId="11" applyNumberFormat="1" applyFont="1" applyFill="1" applyAlignment="1">
      <alignment horizontal="left" vertical="center"/>
    </xf>
    <xf numFmtId="0" fontId="127" fillId="15" borderId="0" xfId="11" applyFont="1" applyFill="1"/>
    <xf numFmtId="0" fontId="145" fillId="15" borderId="0" xfId="11" applyFont="1" applyFill="1" applyAlignment="1">
      <alignment horizontal="center"/>
    </xf>
    <xf numFmtId="10" fontId="46" fillId="2" borderId="3" xfId="1" applyNumberFormat="1" applyFont="1" applyFill="1" applyBorder="1" applyAlignment="1">
      <alignment horizontal="center" vertical="center"/>
    </xf>
    <xf numFmtId="10" fontId="46" fillId="5" borderId="3" xfId="1" applyNumberFormat="1" applyFont="1" applyFill="1" applyBorder="1" applyAlignment="1">
      <alignment horizontal="center" vertical="center"/>
    </xf>
    <xf numFmtId="3" fontId="30" fillId="0" borderId="0" xfId="0" applyNumberFormat="1" applyFont="1"/>
    <xf numFmtId="0" fontId="30" fillId="0" borderId="0" xfId="0" quotePrefix="1" applyFont="1"/>
    <xf numFmtId="0" fontId="30" fillId="0" borderId="0" xfId="0" applyFont="1"/>
    <xf numFmtId="0" fontId="203" fillId="0" borderId="0" xfId="0" applyFont="1" applyAlignment="1">
      <alignment vertical="center"/>
    </xf>
    <xf numFmtId="0" fontId="204" fillId="0" borderId="0" xfId="0" applyFont="1" applyAlignment="1">
      <alignment horizontal="left" vertical="center"/>
    </xf>
    <xf numFmtId="0" fontId="205" fillId="14" borderId="0" xfId="0" applyFont="1" applyFill="1" applyAlignment="1">
      <alignment horizontal="left" indent="2"/>
    </xf>
    <xf numFmtId="0" fontId="206" fillId="10" borderId="0" xfId="0" applyFont="1" applyFill="1" applyAlignment="1">
      <alignment horizontal="center"/>
    </xf>
    <xf numFmtId="0" fontId="204" fillId="0" borderId="0" xfId="0" applyFont="1" applyAlignment="1">
      <alignment horizontal="right" vertical="center"/>
    </xf>
    <xf numFmtId="175" fontId="205" fillId="11" borderId="0" xfId="0" applyNumberFormat="1" applyFont="1" applyFill="1" applyAlignment="1">
      <alignment horizontal="center" vertical="center"/>
    </xf>
    <xf numFmtId="167" fontId="205" fillId="14" borderId="0" xfId="0" applyNumberFormat="1" applyFont="1" applyFill="1" applyAlignment="1">
      <alignment horizontal="left" indent="2"/>
    </xf>
    <xf numFmtId="0" fontId="204" fillId="11" borderId="0" xfId="0" applyFont="1" applyFill="1" applyAlignment="1">
      <alignment horizontal="left" vertical="center"/>
    </xf>
    <xf numFmtId="176" fontId="205" fillId="11" borderId="0" xfId="0" applyNumberFormat="1" applyFont="1" applyFill="1" applyAlignment="1">
      <alignment horizontal="center" vertical="center"/>
    </xf>
    <xf numFmtId="3" fontId="205" fillId="11" borderId="0" xfId="0" applyNumberFormat="1" applyFont="1" applyFill="1" applyAlignment="1">
      <alignment horizontal="center" vertical="center"/>
    </xf>
    <xf numFmtId="0" fontId="205" fillId="11" borderId="0" xfId="0" applyFont="1" applyFill="1" applyAlignment="1">
      <alignment horizontal="left" vertical="center"/>
    </xf>
    <xf numFmtId="14" fontId="207" fillId="7" borderId="0" xfId="0" applyNumberFormat="1" applyFont="1" applyFill="1" applyAlignment="1">
      <alignment horizontal="center" vertical="center"/>
    </xf>
    <xf numFmtId="0" fontId="208" fillId="0" borderId="0" xfId="0" applyFont="1"/>
    <xf numFmtId="0" fontId="205" fillId="14" borderId="0" xfId="0" applyFont="1" applyFill="1" applyAlignment="1">
      <alignment horizontal="left" vertical="center" indent="2"/>
    </xf>
    <xf numFmtId="0" fontId="209" fillId="0" borderId="0" xfId="0" applyFont="1"/>
    <xf numFmtId="0" fontId="210" fillId="0" borderId="0" xfId="0" applyFont="1" applyAlignment="1">
      <alignment horizontal="right" vertical="center"/>
    </xf>
    <xf numFmtId="167" fontId="207" fillId="7" borderId="9" xfId="1" applyNumberFormat="1" applyFont="1" applyFill="1" applyBorder="1" applyAlignment="1">
      <alignment horizontal="center" vertical="center"/>
    </xf>
    <xf numFmtId="0" fontId="211" fillId="0" borderId="0" xfId="0" applyFont="1" applyAlignment="1">
      <alignment horizontal="right"/>
    </xf>
    <xf numFmtId="167" fontId="211" fillId="0" borderId="0" xfId="0" applyNumberFormat="1" applyFont="1" applyAlignment="1">
      <alignment horizontal="left"/>
    </xf>
    <xf numFmtId="9" fontId="211" fillId="0" borderId="0" xfId="0" applyNumberFormat="1" applyFont="1" applyAlignment="1">
      <alignment horizontal="center"/>
    </xf>
    <xf numFmtId="0" fontId="212" fillId="12" borderId="2" xfId="2" applyFont="1" applyFill="1" applyBorder="1" applyAlignment="1">
      <alignment horizontal="center" vertical="center"/>
    </xf>
    <xf numFmtId="0" fontId="212" fillId="12" borderId="3" xfId="2" applyFont="1" applyFill="1" applyBorder="1" applyAlignment="1">
      <alignment horizontal="center" vertical="center"/>
    </xf>
    <xf numFmtId="0" fontId="209" fillId="12" borderId="3" xfId="0" applyFont="1" applyFill="1" applyBorder="1" applyAlignment="1">
      <alignment horizontal="center" vertical="center"/>
    </xf>
    <xf numFmtId="189" fontId="209" fillId="12" borderId="3" xfId="0" applyNumberFormat="1" applyFont="1" applyFill="1" applyBorder="1" applyAlignment="1">
      <alignment horizontal="center" vertical="center"/>
    </xf>
    <xf numFmtId="165" fontId="209" fillId="12" borderId="3" xfId="0" applyNumberFormat="1" applyFont="1" applyFill="1" applyBorder="1" applyAlignment="1">
      <alignment horizontal="center" vertical="center" wrapText="1"/>
    </xf>
    <xf numFmtId="165" fontId="209" fillId="12" borderId="4" xfId="0" applyNumberFormat="1" applyFont="1" applyFill="1" applyBorder="1" applyAlignment="1">
      <alignment horizontal="center" vertical="center" wrapText="1"/>
    </xf>
    <xf numFmtId="165" fontId="209" fillId="12" borderId="2" xfId="0" applyNumberFormat="1" applyFont="1" applyFill="1" applyBorder="1" applyAlignment="1">
      <alignment horizontal="center" vertical="center" wrapText="1"/>
    </xf>
    <xf numFmtId="9" fontId="209" fillId="12" borderId="3" xfId="1" applyFont="1" applyFill="1" applyBorder="1" applyAlignment="1">
      <alignment horizontal="center" vertical="center"/>
    </xf>
    <xf numFmtId="0" fontId="203" fillId="0" borderId="0" xfId="0" applyFont="1"/>
    <xf numFmtId="0" fontId="213" fillId="2" borderId="2" xfId="0" applyFont="1" applyFill="1" applyBorder="1" applyAlignment="1">
      <alignment horizontal="left" vertical="center" indent="1"/>
    </xf>
    <xf numFmtId="0" fontId="213" fillId="2" borderId="3" xfId="0" applyFont="1" applyFill="1" applyBorder="1" applyAlignment="1">
      <alignment horizontal="left" vertical="center"/>
    </xf>
    <xf numFmtId="166" fontId="214" fillId="2" borderId="3" xfId="0" applyNumberFormat="1" applyFont="1" applyFill="1" applyBorder="1" applyAlignment="1">
      <alignment vertical="center"/>
    </xf>
    <xf numFmtId="166" fontId="210" fillId="2" borderId="3" xfId="0" applyNumberFormat="1" applyFont="1" applyFill="1" applyBorder="1" applyAlignment="1">
      <alignment horizontal="center" vertical="center"/>
    </xf>
    <xf numFmtId="164" fontId="215" fillId="2" borderId="3" xfId="0" applyNumberFormat="1" applyFont="1" applyFill="1" applyBorder="1" applyAlignment="1">
      <alignment horizontal="center" vertical="center"/>
    </xf>
    <xf numFmtId="167" fontId="213" fillId="2" borderId="3" xfId="1" applyNumberFormat="1" applyFont="1" applyFill="1" applyBorder="1" applyAlignment="1">
      <alignment horizontal="center" vertical="center"/>
    </xf>
    <xf numFmtId="164" fontId="216" fillId="2" borderId="4" xfId="0" applyNumberFormat="1" applyFont="1" applyFill="1" applyBorder="1" applyAlignment="1">
      <alignment horizontal="center" vertical="center"/>
    </xf>
    <xf numFmtId="166" fontId="217" fillId="2" borderId="3" xfId="0" applyNumberFormat="1" applyFont="1" applyFill="1" applyBorder="1" applyAlignment="1">
      <alignment horizontal="right" vertical="center"/>
    </xf>
    <xf numFmtId="3" fontId="217" fillId="2" borderId="3" xfId="0" applyNumberFormat="1" applyFont="1" applyFill="1" applyBorder="1" applyAlignment="1">
      <alignment horizontal="center" vertical="center"/>
    </xf>
    <xf numFmtId="3" fontId="216" fillId="2" borderId="3" xfId="0" applyNumberFormat="1" applyFont="1" applyFill="1" applyBorder="1" applyAlignment="1">
      <alignment horizontal="center" vertical="center"/>
    </xf>
    <xf numFmtId="3" fontId="213" fillId="2" borderId="3" xfId="0" applyNumberFormat="1" applyFont="1" applyFill="1" applyBorder="1" applyAlignment="1">
      <alignment horizontal="center" vertical="center"/>
    </xf>
    <xf numFmtId="3" fontId="216" fillId="2" borderId="4" xfId="0" applyNumberFormat="1" applyFont="1" applyFill="1" applyBorder="1" applyAlignment="1">
      <alignment horizontal="center" vertical="center"/>
    </xf>
    <xf numFmtId="3" fontId="218" fillId="0" borderId="0" xfId="0" applyNumberFormat="1" applyFont="1"/>
    <xf numFmtId="0" fontId="203" fillId="2" borderId="2" xfId="0" applyFont="1" applyFill="1" applyBorder="1" applyAlignment="1">
      <alignment horizontal="left" vertical="center" indent="3"/>
    </xf>
    <xf numFmtId="0" fontId="216" fillId="2" borderId="3" xfId="0" applyFont="1" applyFill="1" applyBorder="1" applyAlignment="1">
      <alignment horizontal="left" vertical="center" indent="1"/>
    </xf>
    <xf numFmtId="9" fontId="207" fillId="6" borderId="4" xfId="0" applyNumberFormat="1" applyFont="1" applyFill="1" applyBorder="1" applyAlignment="1">
      <alignment horizontal="center"/>
    </xf>
    <xf numFmtId="168" fontId="207" fillId="7" borderId="3" xfId="0" applyNumberFormat="1" applyFont="1" applyFill="1" applyBorder="1" applyAlignment="1">
      <alignment horizontal="center"/>
    </xf>
    <xf numFmtId="164" fontId="219" fillId="2" borderId="1" xfId="0" applyNumberFormat="1" applyFont="1" applyFill="1" applyBorder="1" applyAlignment="1">
      <alignment horizontal="center" vertical="center"/>
    </xf>
    <xf numFmtId="167" fontId="207" fillId="7" borderId="1" xfId="1" applyNumberFormat="1" applyFont="1" applyFill="1" applyBorder="1" applyAlignment="1">
      <alignment horizontal="center" vertical="center"/>
    </xf>
    <xf numFmtId="14" fontId="207" fillId="2" borderId="3" xfId="0" applyNumberFormat="1" applyFont="1" applyFill="1" applyBorder="1"/>
    <xf numFmtId="9" fontId="207" fillId="6" borderId="3" xfId="0" applyNumberFormat="1" applyFont="1" applyFill="1" applyBorder="1" applyAlignment="1">
      <alignment horizontal="center"/>
    </xf>
    <xf numFmtId="3" fontId="210" fillId="2" borderId="1" xfId="0" applyNumberFormat="1" applyFont="1" applyFill="1" applyBorder="1" applyAlignment="1">
      <alignment horizontal="center" vertical="center"/>
    </xf>
    <xf numFmtId="3" fontId="204" fillId="6" borderId="1" xfId="0" applyNumberFormat="1" applyFont="1" applyFill="1" applyBorder="1" applyAlignment="1">
      <alignment horizontal="center" vertical="center"/>
    </xf>
    <xf numFmtId="3" fontId="215" fillId="2" borderId="4" xfId="0" applyNumberFormat="1" applyFont="1" applyFill="1" applyBorder="1" applyAlignment="1">
      <alignment horizontal="center" vertical="center"/>
    </xf>
    <xf numFmtId="9" fontId="207" fillId="2" borderId="2" xfId="1" applyFont="1" applyFill="1" applyBorder="1" applyAlignment="1">
      <alignment horizontal="center" vertical="center"/>
    </xf>
    <xf numFmtId="3" fontId="207" fillId="6" borderId="1" xfId="0" applyNumberFormat="1" applyFont="1" applyFill="1" applyBorder="1" applyAlignment="1">
      <alignment horizontal="center" vertical="center"/>
    </xf>
    <xf numFmtId="3" fontId="214" fillId="0" borderId="3" xfId="0" applyNumberFormat="1" applyFont="1" applyBorder="1"/>
    <xf numFmtId="173" fontId="207" fillId="2" borderId="3" xfId="0" applyNumberFormat="1" applyFont="1" applyFill="1" applyBorder="1"/>
    <xf numFmtId="3" fontId="213" fillId="2" borderId="1" xfId="0" applyNumberFormat="1" applyFont="1" applyFill="1" applyBorder="1" applyAlignment="1">
      <alignment horizontal="center" vertical="center"/>
    </xf>
    <xf numFmtId="9" fontId="214" fillId="2" borderId="4" xfId="0" applyNumberFormat="1" applyFont="1" applyFill="1" applyBorder="1" applyAlignment="1">
      <alignment horizontal="center"/>
    </xf>
    <xf numFmtId="0" fontId="210" fillId="2" borderId="3" xfId="0" applyFont="1" applyFill="1" applyBorder="1" applyAlignment="1">
      <alignment horizontal="right" vertical="center" indent="1"/>
    </xf>
    <xf numFmtId="3" fontId="207" fillId="6" borderId="4" xfId="0" applyNumberFormat="1" applyFont="1" applyFill="1" applyBorder="1" applyAlignment="1">
      <alignment horizontal="center" vertical="center"/>
    </xf>
    <xf numFmtId="0" fontId="220" fillId="2" borderId="3" xfId="0" applyFont="1" applyFill="1" applyBorder="1"/>
    <xf numFmtId="167" fontId="207" fillId="9" borderId="1" xfId="1" applyNumberFormat="1" applyFont="1" applyFill="1" applyBorder="1" applyAlignment="1">
      <alignment horizontal="center" vertical="center"/>
    </xf>
    <xf numFmtId="14" fontId="220" fillId="2" borderId="3" xfId="0" applyNumberFormat="1" applyFont="1" applyFill="1" applyBorder="1"/>
    <xf numFmtId="9" fontId="220" fillId="2" borderId="3" xfId="0" applyNumberFormat="1" applyFont="1" applyFill="1" applyBorder="1" applyAlignment="1">
      <alignment horizontal="center"/>
    </xf>
    <xf numFmtId="9" fontId="220" fillId="2" borderId="4" xfId="0" applyNumberFormat="1" applyFont="1" applyFill="1" applyBorder="1" applyAlignment="1">
      <alignment horizontal="center"/>
    </xf>
    <xf numFmtId="3" fontId="213" fillId="2" borderId="2" xfId="0" applyNumberFormat="1" applyFont="1" applyFill="1" applyBorder="1" applyAlignment="1">
      <alignment horizontal="center" vertical="center"/>
    </xf>
    <xf numFmtId="167" fontId="216" fillId="2" borderId="3" xfId="1" applyNumberFormat="1" applyFont="1" applyFill="1" applyBorder="1" applyAlignment="1">
      <alignment horizontal="center" vertical="center"/>
    </xf>
    <xf numFmtId="166" fontId="220" fillId="2" borderId="3" xfId="0" applyNumberFormat="1" applyFont="1" applyFill="1" applyBorder="1" applyAlignment="1">
      <alignment horizontal="center" vertical="center"/>
    </xf>
    <xf numFmtId="3" fontId="210" fillId="2" borderId="3" xfId="0" applyNumberFormat="1" applyFont="1" applyFill="1" applyBorder="1" applyAlignment="1">
      <alignment horizontal="center" vertical="center"/>
    </xf>
    <xf numFmtId="3" fontId="215" fillId="2" borderId="3" xfId="0" applyNumberFormat="1" applyFont="1" applyFill="1" applyBorder="1" applyAlignment="1">
      <alignment horizontal="center" vertical="center"/>
    </xf>
    <xf numFmtId="171" fontId="207" fillId="7" borderId="3" xfId="0" applyNumberFormat="1" applyFont="1" applyFill="1" applyBorder="1"/>
    <xf numFmtId="168" fontId="207" fillId="30" borderId="3" xfId="0" applyNumberFormat="1" applyFont="1" applyFill="1" applyBorder="1" applyAlignment="1">
      <alignment horizontal="center"/>
    </xf>
    <xf numFmtId="167" fontId="216" fillId="2" borderId="1" xfId="1" applyNumberFormat="1" applyFont="1" applyFill="1" applyBorder="1" applyAlignment="1">
      <alignment horizontal="center" vertical="center"/>
    </xf>
    <xf numFmtId="186" fontId="207" fillId="2" borderId="3" xfId="0" applyNumberFormat="1" applyFont="1" applyFill="1" applyBorder="1"/>
    <xf numFmtId="0" fontId="205" fillId="13" borderId="2" xfId="0" applyFont="1" applyFill="1" applyBorder="1" applyAlignment="1">
      <alignment horizontal="left" vertical="center" indent="1"/>
    </xf>
    <xf numFmtId="0" fontId="205" fillId="13" borderId="3" xfId="0" applyFont="1" applyFill="1" applyBorder="1" applyAlignment="1">
      <alignment vertical="center"/>
    </xf>
    <xf numFmtId="0" fontId="205" fillId="13" borderId="3" xfId="0" applyFont="1" applyFill="1" applyBorder="1"/>
    <xf numFmtId="164" fontId="205" fillId="13" borderId="3" xfId="0" applyNumberFormat="1" applyFont="1" applyFill="1" applyBorder="1" applyAlignment="1">
      <alignment horizontal="center" vertical="center"/>
    </xf>
    <xf numFmtId="167" fontId="205" fillId="13" borderId="3" xfId="1" applyNumberFormat="1" applyFont="1" applyFill="1" applyBorder="1" applyAlignment="1">
      <alignment horizontal="center" vertical="center"/>
    </xf>
    <xf numFmtId="164" fontId="221" fillId="13" borderId="4" xfId="0" applyNumberFormat="1" applyFont="1" applyFill="1" applyBorder="1" applyAlignment="1">
      <alignment horizontal="center" vertical="center"/>
    </xf>
    <xf numFmtId="0" fontId="222" fillId="0" borderId="0" xfId="0" applyFont="1"/>
    <xf numFmtId="3" fontId="223" fillId="13" borderId="3" xfId="0" applyNumberFormat="1" applyFont="1" applyFill="1" applyBorder="1" applyAlignment="1">
      <alignment horizontal="center" vertical="center"/>
    </xf>
    <xf numFmtId="164" fontId="224" fillId="13" borderId="3" xfId="0" applyNumberFormat="1" applyFont="1" applyFill="1" applyBorder="1" applyAlignment="1">
      <alignment horizontal="center" vertical="center"/>
    </xf>
    <xf numFmtId="9" fontId="223" fillId="13" borderId="3" xfId="1" applyFont="1" applyFill="1" applyBorder="1" applyAlignment="1">
      <alignment horizontal="center" vertical="center"/>
    </xf>
    <xf numFmtId="3" fontId="223" fillId="13" borderId="4" xfId="0" applyNumberFormat="1" applyFont="1" applyFill="1" applyBorder="1" applyAlignment="1">
      <alignment horizontal="center" vertical="center"/>
    </xf>
    <xf numFmtId="0" fontId="225" fillId="11" borderId="0" xfId="0" applyFont="1" applyFill="1"/>
    <xf numFmtId="0" fontId="215" fillId="0" borderId="0" xfId="0" applyFont="1" applyAlignment="1">
      <alignment horizontal="left" indent="2"/>
    </xf>
    <xf numFmtId="3" fontId="209" fillId="12" borderId="3" xfId="0" applyNumberFormat="1" applyFont="1" applyFill="1" applyBorder="1" applyAlignment="1">
      <alignment horizontal="center" vertical="center"/>
    </xf>
    <xf numFmtId="165" fontId="209" fillId="12" borderId="2" xfId="0" applyNumberFormat="1" applyFont="1" applyFill="1" applyBorder="1" applyAlignment="1">
      <alignment horizontal="left" vertical="center" indent="3"/>
    </xf>
    <xf numFmtId="0" fontId="209" fillId="12" borderId="0" xfId="2" applyFont="1" applyFill="1" applyAlignment="1">
      <alignment horizontal="center" vertical="center"/>
    </xf>
    <xf numFmtId="0" fontId="209" fillId="12" borderId="0" xfId="0" applyFont="1" applyFill="1" applyAlignment="1">
      <alignment horizontal="center" vertical="center"/>
    </xf>
    <xf numFmtId="165" fontId="209" fillId="12" borderId="0" xfId="0" applyNumberFormat="1" applyFont="1" applyFill="1" applyAlignment="1">
      <alignment horizontal="center" vertical="center" wrapText="1"/>
    </xf>
    <xf numFmtId="0" fontId="209" fillId="2" borderId="3" xfId="0" applyFont="1" applyFill="1" applyBorder="1"/>
    <xf numFmtId="0" fontId="203" fillId="2" borderId="3" xfId="0" applyFont="1" applyFill="1" applyBorder="1"/>
    <xf numFmtId="3" fontId="207" fillId="2" borderId="3" xfId="0" applyNumberFormat="1" applyFont="1" applyFill="1" applyBorder="1" applyAlignment="1">
      <alignment horizontal="center" vertical="center"/>
    </xf>
    <xf numFmtId="0" fontId="210" fillId="2" borderId="3" xfId="0" applyFont="1" applyFill="1" applyBorder="1"/>
    <xf numFmtId="3" fontId="216" fillId="2" borderId="1" xfId="0" applyNumberFormat="1" applyFont="1" applyFill="1" applyBorder="1" applyAlignment="1">
      <alignment horizontal="center" vertical="center"/>
    </xf>
    <xf numFmtId="3" fontId="207" fillId="7" borderId="1" xfId="0" applyNumberFormat="1" applyFont="1" applyFill="1" applyBorder="1" applyAlignment="1">
      <alignment horizontal="center" vertical="center"/>
    </xf>
    <xf numFmtId="0" fontId="209" fillId="2" borderId="2" xfId="0" applyFont="1" applyFill="1" applyBorder="1" applyAlignment="1">
      <alignment horizontal="left" vertical="center" indent="1"/>
    </xf>
    <xf numFmtId="0" fontId="209" fillId="2" borderId="3" xfId="0" applyFont="1" applyFill="1" applyBorder="1" applyAlignment="1">
      <alignment horizontal="left" vertical="center" indent="1"/>
    </xf>
    <xf numFmtId="185" fontId="220" fillId="2" borderId="4" xfId="0" applyNumberFormat="1" applyFont="1" applyFill="1" applyBorder="1" applyAlignment="1">
      <alignment horizontal="center" vertical="center"/>
    </xf>
    <xf numFmtId="0" fontId="203" fillId="2" borderId="3" xfId="0" applyFont="1" applyFill="1" applyBorder="1" applyAlignment="1">
      <alignment horizontal="left" vertical="center" indent="3"/>
    </xf>
    <xf numFmtId="166" fontId="216" fillId="2" borderId="4" xfId="0" applyNumberFormat="1" applyFont="1" applyFill="1" applyBorder="1" applyAlignment="1">
      <alignment vertical="center"/>
    </xf>
    <xf numFmtId="14" fontId="207" fillId="7" borderId="1" xfId="0" applyNumberFormat="1" applyFont="1" applyFill="1" applyBorder="1" applyAlignment="1">
      <alignment horizontal="center" vertical="center"/>
    </xf>
    <xf numFmtId="0" fontId="216" fillId="0" borderId="3" xfId="0" applyFont="1" applyBorder="1" applyAlignment="1">
      <alignment horizontal="left" indent="1"/>
    </xf>
    <xf numFmtId="10" fontId="207" fillId="7" borderId="3" xfId="1" applyNumberFormat="1" applyFont="1" applyFill="1" applyBorder="1" applyAlignment="1">
      <alignment horizontal="center" vertical="center"/>
    </xf>
    <xf numFmtId="3" fontId="213" fillId="0" borderId="1" xfId="0" applyNumberFormat="1" applyFont="1" applyBorder="1" applyAlignment="1">
      <alignment horizontal="center" vertical="center"/>
    </xf>
    <xf numFmtId="0" fontId="203" fillId="2" borderId="3" xfId="0" applyFont="1" applyFill="1" applyBorder="1" applyAlignment="1">
      <alignment horizontal="right"/>
    </xf>
    <xf numFmtId="184" fontId="207" fillId="7" borderId="3" xfId="0" applyNumberFormat="1" applyFont="1" applyFill="1" applyBorder="1" applyAlignment="1">
      <alignment horizontal="center" vertical="center"/>
    </xf>
    <xf numFmtId="167" fontId="214" fillId="7" borderId="4" xfId="0" applyNumberFormat="1" applyFont="1" applyFill="1" applyBorder="1" applyAlignment="1">
      <alignment horizontal="center" vertical="center"/>
    </xf>
    <xf numFmtId="0" fontId="209" fillId="2" borderId="3" xfId="0" applyFont="1" applyFill="1" applyBorder="1" applyAlignment="1">
      <alignment horizontal="left"/>
    </xf>
    <xf numFmtId="0" fontId="207" fillId="2" borderId="3" xfId="0" applyFont="1" applyFill="1" applyBorder="1"/>
    <xf numFmtId="182" fontId="210" fillId="7" borderId="1" xfId="0" applyNumberFormat="1" applyFont="1" applyFill="1" applyBorder="1" applyAlignment="1">
      <alignment horizontal="center" vertical="center"/>
    </xf>
    <xf numFmtId="0" fontId="210" fillId="0" borderId="3" xfId="0" applyFont="1" applyBorder="1"/>
    <xf numFmtId="10" fontId="210" fillId="0" borderId="3" xfId="0" applyNumberFormat="1" applyFont="1" applyBorder="1"/>
    <xf numFmtId="0" fontId="203" fillId="2" borderId="3" xfId="0" applyFont="1" applyFill="1" applyBorder="1" applyAlignment="1">
      <alignment horizontal="right" indent="2"/>
    </xf>
    <xf numFmtId="10" fontId="203" fillId="2" borderId="3" xfId="0" applyNumberFormat="1" applyFont="1" applyFill="1" applyBorder="1" applyAlignment="1">
      <alignment horizontal="left"/>
    </xf>
    <xf numFmtId="167" fontId="207" fillId="7" borderId="4" xfId="0" applyNumberFormat="1" applyFont="1" applyFill="1" applyBorder="1" applyAlignment="1">
      <alignment horizontal="center" vertical="center"/>
    </xf>
    <xf numFmtId="0" fontId="213" fillId="2" borderId="2" xfId="0" applyFont="1" applyFill="1" applyBorder="1" applyAlignment="1">
      <alignment horizontal="left" vertical="center" indent="3"/>
    </xf>
    <xf numFmtId="0" fontId="213" fillId="2" borderId="3" xfId="0" applyFont="1" applyFill="1" applyBorder="1" applyAlignment="1">
      <alignment horizontal="left" vertical="center" indent="3"/>
    </xf>
    <xf numFmtId="0" fontId="213" fillId="2" borderId="4" xfId="0" applyFont="1" applyFill="1" applyBorder="1"/>
    <xf numFmtId="0" fontId="209" fillId="2" borderId="3" xfId="0" applyFont="1" applyFill="1" applyBorder="1" applyAlignment="1">
      <alignment horizontal="left" indent="1"/>
    </xf>
    <xf numFmtId="167" fontId="220" fillId="0" borderId="4" xfId="0" applyNumberFormat="1" applyFont="1" applyBorder="1" applyAlignment="1">
      <alignment horizontal="center" vertical="center"/>
    </xf>
    <xf numFmtId="0" fontId="203" fillId="2" borderId="3" xfId="0" applyFont="1" applyFill="1" applyBorder="1" applyAlignment="1">
      <alignment horizontal="left" indent="2"/>
    </xf>
    <xf numFmtId="174" fontId="210" fillId="2" borderId="3" xfId="0" applyNumberFormat="1" applyFont="1" applyFill="1" applyBorder="1" applyAlignment="1">
      <alignment horizontal="center" vertical="center"/>
    </xf>
    <xf numFmtId="10" fontId="213" fillId="7" borderId="4" xfId="0" applyNumberFormat="1" applyFont="1" applyFill="1" applyBorder="1" applyAlignment="1">
      <alignment horizontal="center" vertical="center"/>
    </xf>
    <xf numFmtId="0" fontId="209" fillId="2" borderId="2" xfId="0" applyFont="1" applyFill="1" applyBorder="1" applyAlignment="1">
      <alignment horizontal="left" vertical="center" indent="3"/>
    </xf>
    <xf numFmtId="0" fontId="209" fillId="2" borderId="3" xfId="0" applyFont="1" applyFill="1" applyBorder="1" applyAlignment="1">
      <alignment horizontal="left" vertical="center" indent="3"/>
    </xf>
    <xf numFmtId="14" fontId="209" fillId="0" borderId="1" xfId="0" applyNumberFormat="1" applyFont="1" applyBorder="1" applyAlignment="1">
      <alignment horizontal="center" vertical="center"/>
    </xf>
    <xf numFmtId="0" fontId="216" fillId="0" borderId="3" xfId="0" applyFont="1" applyBorder="1"/>
    <xf numFmtId="0" fontId="203" fillId="0" borderId="3" xfId="0" applyFont="1" applyBorder="1"/>
    <xf numFmtId="10" fontId="226" fillId="7" borderId="4" xfId="0" applyNumberFormat="1" applyFont="1" applyFill="1" applyBorder="1" applyAlignment="1">
      <alignment horizontal="center" vertical="center"/>
    </xf>
    <xf numFmtId="0" fontId="216" fillId="2" borderId="4" xfId="0" applyFont="1" applyFill="1" applyBorder="1"/>
    <xf numFmtId="14" fontId="203" fillId="0" borderId="1" xfId="0" applyNumberFormat="1" applyFont="1" applyBorder="1" applyAlignment="1">
      <alignment horizontal="center" vertical="center"/>
    </xf>
    <xf numFmtId="0" fontId="203" fillId="0" borderId="3" xfId="0" applyFont="1" applyBorder="1" applyAlignment="1">
      <alignment horizontal="left" indent="1"/>
    </xf>
    <xf numFmtId="167" fontId="210" fillId="2" borderId="3" xfId="0" applyNumberFormat="1" applyFont="1" applyFill="1" applyBorder="1" applyAlignment="1">
      <alignment horizontal="center" vertical="center"/>
    </xf>
    <xf numFmtId="165" fontId="205" fillId="13" borderId="0" xfId="0" applyNumberFormat="1" applyFont="1" applyFill="1" applyAlignment="1">
      <alignment horizontal="left" vertical="center"/>
    </xf>
    <xf numFmtId="165" fontId="205" fillId="13" borderId="0" xfId="0" applyNumberFormat="1" applyFont="1" applyFill="1" applyAlignment="1">
      <alignment horizontal="center" vertical="center" wrapText="1"/>
    </xf>
    <xf numFmtId="183" fontId="205" fillId="13" borderId="0" xfId="0" applyNumberFormat="1" applyFont="1" applyFill="1" applyAlignment="1">
      <alignment horizontal="center"/>
    </xf>
    <xf numFmtId="0" fontId="203" fillId="2" borderId="3" xfId="0" applyFont="1" applyFill="1" applyBorder="1" applyAlignment="1">
      <alignment horizontal="left" indent="1"/>
    </xf>
    <xf numFmtId="3" fontId="207" fillId="7" borderId="3" xfId="0" applyNumberFormat="1" applyFont="1" applyFill="1" applyBorder="1" applyAlignment="1">
      <alignment horizontal="center" vertical="center"/>
    </xf>
    <xf numFmtId="0" fontId="203" fillId="2" borderId="3" xfId="0" applyFont="1" applyFill="1" applyBorder="1" applyAlignment="1">
      <alignment horizontal="left" indent="3"/>
    </xf>
    <xf numFmtId="0" fontId="210" fillId="2" borderId="3" xfId="0" applyFont="1" applyFill="1" applyBorder="1" applyAlignment="1">
      <alignment horizontal="right" vertical="center"/>
    </xf>
    <xf numFmtId="3" fontId="213" fillId="2" borderId="4" xfId="0" applyNumberFormat="1" applyFont="1" applyFill="1" applyBorder="1" applyAlignment="1">
      <alignment horizontal="center" vertical="center"/>
    </xf>
    <xf numFmtId="0" fontId="205" fillId="11" borderId="0" xfId="0" applyFont="1" applyFill="1" applyAlignment="1">
      <alignment horizontal="left" indent="2"/>
    </xf>
    <xf numFmtId="3" fontId="208" fillId="0" borderId="0" xfId="0" applyNumberFormat="1" applyFont="1"/>
    <xf numFmtId="165" fontId="209" fillId="12" borderId="2" xfId="0" applyNumberFormat="1" applyFont="1" applyFill="1" applyBorder="1" applyAlignment="1">
      <alignment horizontal="left" vertical="center"/>
    </xf>
    <xf numFmtId="165" fontId="209" fillId="12" borderId="0" xfId="0" applyNumberFormat="1" applyFont="1" applyFill="1" applyAlignment="1">
      <alignment horizontal="left" vertical="center"/>
    </xf>
    <xf numFmtId="165" fontId="203" fillId="12" borderId="0" xfId="0" applyNumberFormat="1" applyFont="1" applyFill="1" applyAlignment="1">
      <alignment horizontal="center" vertical="center" wrapText="1"/>
    </xf>
    <xf numFmtId="0" fontId="227" fillId="2" borderId="2" xfId="0" applyFont="1" applyFill="1" applyBorder="1" applyAlignment="1">
      <alignment horizontal="left" vertical="center" indent="3"/>
    </xf>
    <xf numFmtId="0" fontId="203" fillId="2" borderId="0" xfId="0" applyFont="1" applyFill="1"/>
    <xf numFmtId="0" fontId="228" fillId="2" borderId="3" xfId="0" applyFont="1" applyFill="1" applyBorder="1" applyAlignment="1">
      <alignment horizontal="left" vertical="center" indent="3"/>
    </xf>
    <xf numFmtId="3" fontId="229" fillId="2" borderId="4" xfId="0" applyNumberFormat="1" applyFont="1" applyFill="1" applyBorder="1" applyAlignment="1">
      <alignment horizontal="center" vertical="center"/>
    </xf>
    <xf numFmtId="165" fontId="224" fillId="13" borderId="0" xfId="0" applyNumberFormat="1" applyFont="1" applyFill="1" applyAlignment="1">
      <alignment horizontal="left" vertical="center"/>
    </xf>
    <xf numFmtId="172" fontId="224" fillId="13" borderId="0" xfId="0" applyNumberFormat="1" applyFont="1" applyFill="1" applyAlignment="1">
      <alignment horizontal="right" vertical="center" wrapText="1"/>
    </xf>
    <xf numFmtId="3" fontId="224" fillId="13" borderId="0" xfId="0" applyNumberFormat="1" applyFont="1" applyFill="1" applyAlignment="1">
      <alignment horizontal="center" vertical="center" wrapText="1"/>
    </xf>
    <xf numFmtId="3" fontId="207" fillId="30" borderId="3" xfId="0" applyNumberFormat="1" applyFont="1" applyFill="1" applyBorder="1" applyAlignment="1">
      <alignment horizontal="center" vertical="center"/>
    </xf>
    <xf numFmtId="3" fontId="213" fillId="15" borderId="1" xfId="0" applyNumberFormat="1" applyFont="1" applyFill="1" applyBorder="1" applyAlignment="1">
      <alignment horizontal="center" vertical="center"/>
    </xf>
    <xf numFmtId="0" fontId="230" fillId="2" borderId="2" xfId="0" applyFont="1" applyFill="1" applyBorder="1" applyAlignment="1">
      <alignment horizontal="left" vertical="center" indent="3"/>
    </xf>
    <xf numFmtId="0" fontId="230" fillId="2" borderId="3" xfId="0" applyFont="1" applyFill="1" applyBorder="1" applyAlignment="1">
      <alignment horizontal="left" vertical="center" indent="3"/>
    </xf>
    <xf numFmtId="0" fontId="215" fillId="2" borderId="3" xfId="0" applyFont="1" applyFill="1" applyBorder="1"/>
    <xf numFmtId="9" fontId="215" fillId="0" borderId="1" xfId="1" applyFont="1" applyBorder="1" applyAlignment="1">
      <alignment horizontal="center" vertical="center"/>
    </xf>
    <xf numFmtId="177" fontId="210" fillId="9" borderId="3" xfId="0" applyNumberFormat="1" applyFont="1" applyFill="1" applyBorder="1" applyAlignment="1">
      <alignment horizontal="right" vertical="center"/>
    </xf>
    <xf numFmtId="0" fontId="210" fillId="2" borderId="3" xfId="0" applyFont="1" applyFill="1" applyBorder="1" applyAlignment="1">
      <alignment vertical="center"/>
    </xf>
    <xf numFmtId="3" fontId="208" fillId="15" borderId="0" xfId="0" applyNumberFormat="1" applyFont="1" applyFill="1" applyAlignment="1">
      <alignment horizontal="center" vertical="center"/>
    </xf>
    <xf numFmtId="0" fontId="208" fillId="0" borderId="0" xfId="0" applyFont="1" applyAlignment="1">
      <alignment vertical="center"/>
    </xf>
    <xf numFmtId="167" fontId="208" fillId="15" borderId="0" xfId="1" applyNumberFormat="1" applyFont="1" applyFill="1" applyAlignment="1">
      <alignment horizontal="center" vertical="center"/>
    </xf>
    <xf numFmtId="3" fontId="205" fillId="13" borderId="8" xfId="0" applyNumberFormat="1" applyFont="1" applyFill="1" applyBorder="1" applyAlignment="1">
      <alignment horizontal="center" vertical="center"/>
    </xf>
    <xf numFmtId="3" fontId="205" fillId="13" borderId="3" xfId="0" applyNumberFormat="1" applyFont="1" applyFill="1" applyBorder="1" applyAlignment="1">
      <alignment horizontal="center" vertical="center"/>
    </xf>
    <xf numFmtId="3" fontId="224" fillId="13" borderId="4" xfId="0" applyNumberFormat="1" applyFont="1" applyFill="1" applyBorder="1" applyAlignment="1">
      <alignment horizontal="center" vertical="center"/>
    </xf>
    <xf numFmtId="2" fontId="215" fillId="0" borderId="1" xfId="1" applyNumberFormat="1" applyFont="1" applyBorder="1" applyAlignment="1">
      <alignment horizontal="center" vertical="center"/>
    </xf>
    <xf numFmtId="9" fontId="205" fillId="2" borderId="3" xfId="1" applyFont="1" applyFill="1" applyBorder="1" applyAlignment="1">
      <alignment horizontal="left" vertical="center" indent="3"/>
    </xf>
    <xf numFmtId="9" fontId="207" fillId="7" borderId="3" xfId="0" applyNumberFormat="1" applyFont="1" applyFill="1" applyBorder="1" applyAlignment="1">
      <alignment horizontal="center" vertical="center"/>
    </xf>
    <xf numFmtId="1" fontId="215" fillId="0" borderId="1" xfId="1" applyNumberFormat="1" applyFont="1" applyBorder="1" applyAlignment="1">
      <alignment horizontal="center" vertical="center"/>
    </xf>
    <xf numFmtId="0" fontId="205" fillId="11" borderId="0" xfId="0" applyFont="1" applyFill="1" applyAlignment="1">
      <alignment horizontal="left" vertical="center" indent="2"/>
    </xf>
    <xf numFmtId="0" fontId="231" fillId="11" borderId="0" xfId="0" applyFont="1" applyFill="1" applyAlignment="1">
      <alignment vertical="center"/>
    </xf>
    <xf numFmtId="0" fontId="208" fillId="11" borderId="0" xfId="0" applyFont="1" applyFill="1"/>
    <xf numFmtId="177" fontId="207" fillId="7" borderId="3" xfId="0" applyNumberFormat="1" applyFont="1" applyFill="1" applyBorder="1" applyAlignment="1">
      <alignment horizontal="center" vertical="center"/>
    </xf>
    <xf numFmtId="0" fontId="210" fillId="2" borderId="4" xfId="0" applyFont="1" applyFill="1" applyBorder="1" applyAlignment="1">
      <alignment vertical="center"/>
    </xf>
    <xf numFmtId="165" fontId="232" fillId="12" borderId="2" xfId="0" applyNumberFormat="1" applyFont="1" applyFill="1" applyBorder="1" applyAlignment="1">
      <alignment horizontal="center" vertical="center" wrapText="1"/>
    </xf>
    <xf numFmtId="165" fontId="232" fillId="12" borderId="3" xfId="0" applyNumberFormat="1" applyFont="1" applyFill="1" applyBorder="1" applyAlignment="1">
      <alignment horizontal="center" vertical="center" wrapText="1"/>
    </xf>
    <xf numFmtId="165" fontId="232" fillId="12" borderId="4" xfId="0" applyNumberFormat="1" applyFont="1" applyFill="1" applyBorder="1" applyAlignment="1">
      <alignment horizontal="center" vertical="center" wrapText="1"/>
    </xf>
    <xf numFmtId="165" fontId="203" fillId="12" borderId="0" xfId="0" applyNumberFormat="1" applyFont="1" applyFill="1" applyAlignment="1">
      <alignment horizontal="left" vertical="center"/>
    </xf>
    <xf numFmtId="167" fontId="207" fillId="7" borderId="3" xfId="1" applyNumberFormat="1" applyFont="1" applyFill="1" applyBorder="1" applyAlignment="1">
      <alignment horizontal="center" vertical="center"/>
    </xf>
    <xf numFmtId="167" fontId="210" fillId="0" borderId="3" xfId="1" applyNumberFormat="1" applyFont="1" applyFill="1" applyBorder="1" applyAlignment="1">
      <alignment horizontal="right" vertical="center" indent="2"/>
    </xf>
    <xf numFmtId="167" fontId="207" fillId="7" borderId="4" xfId="1" applyNumberFormat="1" applyFont="1" applyFill="1" applyBorder="1" applyAlignment="1">
      <alignment horizontal="right" vertical="center" indent="2"/>
    </xf>
    <xf numFmtId="0" fontId="203" fillId="2" borderId="3" xfId="0" applyFont="1" applyFill="1" applyBorder="1" applyAlignment="1">
      <alignment horizontal="right" indent="1"/>
    </xf>
    <xf numFmtId="14" fontId="207" fillId="7" borderId="4" xfId="0" applyNumberFormat="1" applyFont="1" applyFill="1" applyBorder="1" applyAlignment="1">
      <alignment horizontal="center" vertical="center"/>
    </xf>
    <xf numFmtId="167" fontId="207" fillId="7" borderId="4" xfId="1" applyNumberFormat="1" applyFont="1" applyFill="1" applyBorder="1" applyAlignment="1">
      <alignment horizontal="center" vertical="center"/>
    </xf>
    <xf numFmtId="3" fontId="207" fillId="7" borderId="4" xfId="0" applyNumberFormat="1" applyFont="1" applyFill="1" applyBorder="1" applyAlignment="1">
      <alignment horizontal="center" vertical="center"/>
    </xf>
    <xf numFmtId="3" fontId="210" fillId="0" borderId="3" xfId="0" applyNumberFormat="1" applyFont="1" applyBorder="1" applyAlignment="1">
      <alignment horizontal="right" vertical="center" indent="2"/>
    </xf>
    <xf numFmtId="0" fontId="203" fillId="0" borderId="4" xfId="0" applyFont="1" applyBorder="1"/>
    <xf numFmtId="164" fontId="225" fillId="13" borderId="2" xfId="0" applyNumberFormat="1" applyFont="1" applyFill="1" applyBorder="1" applyAlignment="1">
      <alignment horizontal="center"/>
    </xf>
    <xf numFmtId="164" fontId="225" fillId="13" borderId="3" xfId="0" applyNumberFormat="1" applyFont="1" applyFill="1" applyBorder="1" applyAlignment="1">
      <alignment horizontal="center"/>
    </xf>
    <xf numFmtId="164" fontId="225" fillId="13" borderId="4" xfId="0" applyNumberFormat="1" applyFont="1" applyFill="1" applyBorder="1" applyAlignment="1">
      <alignment horizontal="center"/>
    </xf>
    <xf numFmtId="164" fontId="205" fillId="13" borderId="0" xfId="0" applyNumberFormat="1" applyFont="1" applyFill="1" applyAlignment="1">
      <alignment horizontal="center"/>
    </xf>
    <xf numFmtId="165" fontId="230" fillId="12" borderId="0" xfId="0" applyNumberFormat="1" applyFont="1" applyFill="1" applyAlignment="1">
      <alignment horizontal="left" vertical="center"/>
    </xf>
    <xf numFmtId="165" fontId="230" fillId="12" borderId="0" xfId="0" applyNumberFormat="1" applyFont="1" applyFill="1" applyAlignment="1">
      <alignment horizontal="center" vertical="center" wrapText="1"/>
    </xf>
    <xf numFmtId="3" fontId="230" fillId="12" borderId="0" xfId="0" applyNumberFormat="1" applyFont="1" applyFill="1" applyAlignment="1">
      <alignment horizontal="center" vertical="center"/>
    </xf>
    <xf numFmtId="3" fontId="217" fillId="0" borderId="0" xfId="0" applyNumberFormat="1" applyFont="1" applyAlignment="1">
      <alignment horizontal="center" vertical="center"/>
    </xf>
    <xf numFmtId="194" fontId="217" fillId="0" borderId="0" xfId="0" applyNumberFormat="1" applyFont="1" applyAlignment="1">
      <alignment horizontal="center" vertical="center"/>
    </xf>
    <xf numFmtId="0" fontId="208" fillId="0" borderId="0" xfId="0" applyFont="1" applyAlignment="1">
      <alignment horizontal="center"/>
    </xf>
    <xf numFmtId="3" fontId="223" fillId="0" borderId="0" xfId="0" applyNumberFormat="1" applyFont="1"/>
    <xf numFmtId="3" fontId="215" fillId="2" borderId="1" xfId="0" applyNumberFormat="1" applyFont="1" applyFill="1" applyBorder="1" applyAlignment="1">
      <alignment horizontal="center" vertical="center"/>
    </xf>
    <xf numFmtId="3" fontId="215" fillId="29" borderId="1" xfId="0" applyNumberFormat="1" applyFont="1" applyFill="1" applyBorder="1" applyAlignment="1">
      <alignment horizontal="center" vertical="center"/>
    </xf>
    <xf numFmtId="3" fontId="233" fillId="0" borderId="0" xfId="0" applyNumberFormat="1" applyFont="1" applyAlignment="1">
      <alignment horizontal="right" vertical="center"/>
    </xf>
    <xf numFmtId="3" fontId="219" fillId="2" borderId="1" xfId="0" applyNumberFormat="1" applyFont="1" applyFill="1" applyBorder="1" applyAlignment="1">
      <alignment horizontal="center" vertical="center"/>
    </xf>
    <xf numFmtId="3" fontId="219" fillId="11" borderId="1" xfId="0" applyNumberFormat="1" applyFont="1" applyFill="1" applyBorder="1" applyAlignment="1">
      <alignment horizontal="center" vertical="center"/>
    </xf>
    <xf numFmtId="194" fontId="233" fillId="0" borderId="0" xfId="0" applyNumberFormat="1" applyFont="1" applyAlignment="1">
      <alignment horizontal="right" vertical="center"/>
    </xf>
    <xf numFmtId="3" fontId="219" fillId="29" borderId="1" xfId="0" applyNumberFormat="1" applyFont="1" applyFill="1" applyBorder="1" applyAlignment="1">
      <alignment horizontal="center" vertical="center"/>
    </xf>
    <xf numFmtId="0" fontId="234" fillId="0" borderId="0" xfId="0" applyFont="1"/>
    <xf numFmtId="0" fontId="219" fillId="0" borderId="0" xfId="0" applyFont="1"/>
    <xf numFmtId="3" fontId="233" fillId="0" borderId="0" xfId="0" applyNumberFormat="1" applyFont="1" applyAlignment="1">
      <alignment horizontal="center"/>
    </xf>
    <xf numFmtId="9" fontId="215" fillId="2" borderId="1" xfId="1" applyFont="1" applyFill="1" applyBorder="1" applyAlignment="1">
      <alignment horizontal="center" vertical="center"/>
    </xf>
    <xf numFmtId="9" fontId="215" fillId="29" borderId="1" xfId="1" applyFont="1" applyFill="1" applyBorder="1" applyAlignment="1">
      <alignment horizontal="center" vertical="center"/>
    </xf>
    <xf numFmtId="0" fontId="235" fillId="0" borderId="0" xfId="0" applyFont="1"/>
    <xf numFmtId="3" fontId="231" fillId="0" borderId="0" xfId="0" applyNumberFormat="1" applyFont="1"/>
    <xf numFmtId="0" fontId="236" fillId="0" borderId="0" xfId="0" applyFont="1" applyAlignment="1">
      <alignment horizontal="center"/>
    </xf>
    <xf numFmtId="9" fontId="237" fillId="0" borderId="0" xfId="0" applyNumberFormat="1" applyFont="1" applyAlignment="1">
      <alignment horizontal="center"/>
    </xf>
    <xf numFmtId="3" fontId="237" fillId="0" borderId="0" xfId="0" applyNumberFormat="1" applyFont="1" applyAlignment="1">
      <alignment horizontal="center"/>
    </xf>
    <xf numFmtId="0" fontId="237" fillId="0" borderId="0" xfId="0" applyFont="1"/>
    <xf numFmtId="0" fontId="238" fillId="0" borderId="0" xfId="0" applyFont="1"/>
    <xf numFmtId="0" fontId="238" fillId="0" borderId="0" xfId="11" applyFont="1" applyAlignment="1">
      <alignment vertical="center"/>
    </xf>
    <xf numFmtId="0" fontId="238" fillId="0" borderId="0" xfId="11" applyFont="1" applyAlignment="1">
      <alignment horizontal="center"/>
    </xf>
    <xf numFmtId="4" fontId="238" fillId="26" borderId="61" xfId="0" applyNumberFormat="1" applyFont="1" applyFill="1" applyBorder="1" applyAlignment="1">
      <alignment wrapText="1"/>
    </xf>
    <xf numFmtId="3" fontId="238" fillId="0" borderId="1" xfId="0" applyNumberFormat="1" applyFont="1" applyBorder="1" applyAlignment="1">
      <alignment horizontal="center" vertical="center"/>
    </xf>
    <xf numFmtId="9" fontId="238" fillId="0" borderId="3" xfId="1" applyFont="1" applyBorder="1" applyAlignment="1">
      <alignment horizontal="center"/>
    </xf>
    <xf numFmtId="3" fontId="238" fillId="0" borderId="3" xfId="0" applyNumberFormat="1" applyFont="1" applyBorder="1" applyAlignment="1">
      <alignment horizontal="center" vertical="center"/>
    </xf>
    <xf numFmtId="0" fontId="238" fillId="2" borderId="0" xfId="0" applyFont="1" applyFill="1"/>
    <xf numFmtId="3" fontId="166" fillId="11" borderId="0" xfId="11" applyNumberFormat="1" applyFont="1" applyFill="1" applyAlignment="1">
      <alignment horizontal="center" vertical="center"/>
    </xf>
    <xf numFmtId="3" fontId="25" fillId="11" borderId="3" xfId="0" applyNumberFormat="1" applyFont="1" applyFill="1" applyBorder="1" applyAlignment="1">
      <alignment horizontal="center" vertical="center"/>
    </xf>
    <xf numFmtId="9" fontId="95" fillId="0" borderId="0" xfId="0" applyNumberFormat="1" applyFont="1"/>
    <xf numFmtId="2" fontId="95" fillId="0" borderId="0" xfId="0" applyNumberFormat="1" applyFont="1"/>
    <xf numFmtId="3" fontId="119" fillId="2" borderId="51" xfId="10" applyNumberFormat="1" applyFont="1" applyFill="1" applyBorder="1" applyAlignment="1">
      <alignment horizontal="center" vertical="center"/>
    </xf>
    <xf numFmtId="3" fontId="119" fillId="2" borderId="52" xfId="10" applyNumberFormat="1" applyFont="1" applyFill="1" applyBorder="1" applyAlignment="1">
      <alignment horizontal="center" vertical="center"/>
    </xf>
    <xf numFmtId="3" fontId="119" fillId="2" borderId="57" xfId="10" applyNumberFormat="1" applyFont="1" applyFill="1" applyBorder="1" applyAlignment="1">
      <alignment horizontal="center" vertical="center"/>
    </xf>
    <xf numFmtId="3" fontId="119" fillId="2" borderId="58" xfId="10" applyNumberFormat="1" applyFont="1" applyFill="1" applyBorder="1" applyAlignment="1">
      <alignment horizontal="center" vertical="center"/>
    </xf>
    <xf numFmtId="0" fontId="119" fillId="2" borderId="34" xfId="0" applyFont="1" applyFill="1" applyBorder="1" applyAlignment="1">
      <alignment horizontal="center"/>
    </xf>
    <xf numFmtId="0" fontId="119" fillId="2" borderId="29" xfId="0" applyFont="1" applyFill="1" applyBorder="1" applyAlignment="1">
      <alignment horizontal="center"/>
    </xf>
    <xf numFmtId="0" fontId="119" fillId="2" borderId="35" xfId="0" applyFont="1" applyFill="1" applyBorder="1" applyAlignment="1">
      <alignment horizontal="center"/>
    </xf>
    <xf numFmtId="0" fontId="119" fillId="2" borderId="0" xfId="0" applyFont="1" applyFill="1" applyAlignment="1">
      <alignment horizontal="center"/>
    </xf>
    <xf numFmtId="3" fontId="119" fillId="2" borderId="45" xfId="10" applyNumberFormat="1" applyFont="1" applyFill="1" applyBorder="1" applyAlignment="1">
      <alignment horizontal="center" vertical="center"/>
    </xf>
    <xf numFmtId="3" fontId="119" fillId="2" borderId="46" xfId="10" applyNumberFormat="1" applyFont="1" applyFill="1" applyBorder="1" applyAlignment="1">
      <alignment horizontal="center" vertical="center"/>
    </xf>
    <xf numFmtId="0" fontId="117" fillId="2" borderId="0" xfId="0" applyFont="1" applyFill="1" applyAlignment="1">
      <alignment horizontal="center" vertical="center"/>
    </xf>
    <xf numFmtId="0" fontId="119" fillId="2" borderId="34" xfId="0" applyFont="1" applyFill="1" applyBorder="1" applyAlignment="1">
      <alignment horizontal="center" vertical="center"/>
    </xf>
    <xf numFmtId="0" fontId="119" fillId="2" borderId="29" xfId="0" applyFont="1" applyFill="1" applyBorder="1" applyAlignment="1">
      <alignment horizontal="center" vertical="center"/>
    </xf>
    <xf numFmtId="0" fontId="168" fillId="13" borderId="0" xfId="11" applyFont="1" applyFill="1" applyAlignment="1">
      <alignment horizontal="center" vertical="center"/>
    </xf>
    <xf numFmtId="0" fontId="137" fillId="0" borderId="68" xfId="11" applyFont="1" applyBorder="1" applyAlignment="1">
      <alignment horizontal="center" vertical="center" wrapText="1"/>
    </xf>
    <xf numFmtId="0" fontId="137" fillId="0" borderId="63" xfId="11" applyFont="1" applyBorder="1" applyAlignment="1">
      <alignment horizontal="center" vertical="center" wrapText="1"/>
    </xf>
  </cellXfs>
  <cellStyles count="15">
    <cellStyle name="Обычный" xfId="0" builtinId="0"/>
    <cellStyle name="Обычный 11" xfId="7" xr:uid="{C17AC955-4C81-41F3-8497-5E9100180BA9}"/>
    <cellStyle name="Обычный 2 3" xfId="4" xr:uid="{AAB11E0E-7B11-41BB-A720-890F5D00D870}"/>
    <cellStyle name="Обычный 4" xfId="2" xr:uid="{FA4075BB-E4BD-44D0-AB66-E4301A2F9798}"/>
    <cellStyle name="Обычный 4 2" xfId="11" xr:uid="{605FBD5F-CCD9-4280-8572-8DEBAC790B91}"/>
    <cellStyle name="Обычный 6" xfId="9" xr:uid="{FCF8FE73-6B53-47E6-B870-82E06069F0D7}"/>
    <cellStyle name="Обычный 8" xfId="8" xr:uid="{C8B6FB19-6913-4E33-90C1-D8A08ED4D774}"/>
    <cellStyle name="Обычный 9 2" xfId="6" xr:uid="{39C392D8-771B-402D-A23A-82730D25951F}"/>
    <cellStyle name="Обычный_cashflow по  УК  МР-Групп" xfId="10" xr:uid="{E6656612-3CFE-6048-BBF9-1C8DBE37E670}"/>
    <cellStyle name="Процентный" xfId="1" builtinId="5"/>
    <cellStyle name="Процентный 2" xfId="12" xr:uid="{BA872E32-417C-EA43-909F-BAD114E765EE}"/>
    <cellStyle name="Процентный 2 3" xfId="5" xr:uid="{72C0A858-5CCE-4843-9C82-E73752445133}"/>
    <cellStyle name="Финансовый" xfId="3" builtinId="3"/>
    <cellStyle name="Финансовый 2" xfId="13" xr:uid="{D299D30C-52D5-874F-91DE-CA398AEEC43C}"/>
    <cellStyle name="Финансовый 3" xfId="14" xr:uid="{56854DFB-25E6-9440-902F-0C2DB6BA6725}"/>
  </cellStyles>
  <dxfs count="24">
    <dxf>
      <font>
        <b/>
        <i val="0"/>
      </font>
    </dxf>
    <dxf>
      <font>
        <color rgb="FF9C0006"/>
      </font>
    </dxf>
    <dxf>
      <font>
        <color rgb="FF9C0006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8158EF"/>
      <color rgb="FFACD7D2"/>
      <color rgb="FF83D6CD"/>
      <color rgb="FF000000"/>
      <color rgb="FFF0CCB9"/>
      <color rgb="FF92B4B6"/>
      <color rgb="FF009D56"/>
      <color rgb="FF006E58"/>
      <color rgb="FF808000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860984406344698E-2"/>
          <c:y val="3.2415165922907156E-2"/>
          <c:w val="0.97440068430415905"/>
          <c:h val="0.852344628845542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ПРОДАЖИ!$C$56</c:f>
              <c:strCache>
                <c:ptCount val="1"/>
                <c:pt idx="0">
                  <c:v>1 оч</c:v>
                </c:pt>
              </c:strCache>
            </c:strRef>
          </c:tx>
          <c:spPr>
            <a:solidFill>
              <a:srgbClr val="A996E6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uisse Intl Light" panose="020B0504000000000000" pitchFamily="34" charset="-78"/>
                    <a:ea typeface="+mn-ea"/>
                    <a:cs typeface="Suisse Intl Light" panose="020B0504000000000000" pitchFamily="34" charset="-78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ПРОДАЖИ!$E$54:$AB$54</c:f>
              <c:strCache>
                <c:ptCount val="24"/>
                <c:pt idx="0">
                  <c:v>3Q 26</c:v>
                </c:pt>
                <c:pt idx="1">
                  <c:v>4Q 26</c:v>
                </c:pt>
                <c:pt idx="2">
                  <c:v>1Q 27</c:v>
                </c:pt>
                <c:pt idx="3">
                  <c:v>2Q 27</c:v>
                </c:pt>
                <c:pt idx="4">
                  <c:v>3Q 27</c:v>
                </c:pt>
                <c:pt idx="5">
                  <c:v>4Q 27</c:v>
                </c:pt>
                <c:pt idx="6">
                  <c:v>1Q 28</c:v>
                </c:pt>
                <c:pt idx="7">
                  <c:v>2Q 28</c:v>
                </c:pt>
                <c:pt idx="8">
                  <c:v>3Q 28</c:v>
                </c:pt>
                <c:pt idx="9">
                  <c:v>4Q 28</c:v>
                </c:pt>
                <c:pt idx="10">
                  <c:v>1Q 29</c:v>
                </c:pt>
                <c:pt idx="11">
                  <c:v>2Q 29</c:v>
                </c:pt>
                <c:pt idx="12">
                  <c:v>3Q 29</c:v>
                </c:pt>
                <c:pt idx="13">
                  <c:v>4Q 29</c:v>
                </c:pt>
                <c:pt idx="14">
                  <c:v>1Q 30</c:v>
                </c:pt>
                <c:pt idx="15">
                  <c:v>2Q 30</c:v>
                </c:pt>
                <c:pt idx="16">
                  <c:v>3Q 30</c:v>
                </c:pt>
                <c:pt idx="17">
                  <c:v>4Q 30</c:v>
                </c:pt>
                <c:pt idx="18">
                  <c:v>1Q 31</c:v>
                </c:pt>
                <c:pt idx="19">
                  <c:v>2Q 31</c:v>
                </c:pt>
                <c:pt idx="20">
                  <c:v>3Q 31</c:v>
                </c:pt>
                <c:pt idx="21">
                  <c:v>4Q 31</c:v>
                </c:pt>
                <c:pt idx="22">
                  <c:v>1Q 32</c:v>
                </c:pt>
                <c:pt idx="23">
                  <c:v>2Q 32</c:v>
                </c:pt>
              </c:strCache>
            </c:strRef>
          </c:cat>
          <c:val>
            <c:numRef>
              <c:f>ПРОДАЖИ!$E$56:$AA$56</c:f>
              <c:numCache>
                <c:formatCode>#,##0</c:formatCode>
                <c:ptCount val="23"/>
                <c:pt idx="0">
                  <c:v>2873</c:v>
                </c:pt>
                <c:pt idx="1">
                  <c:v>3768.7000000000003</c:v>
                </c:pt>
                <c:pt idx="2">
                  <c:v>3363.0999999999995</c:v>
                </c:pt>
                <c:pt idx="3">
                  <c:v>3599.7000000000003</c:v>
                </c:pt>
                <c:pt idx="4">
                  <c:v>1768</c:v>
                </c:pt>
                <c:pt idx="5">
                  <c:v>2899</c:v>
                </c:pt>
                <c:pt idx="6">
                  <c:v>2586.9999999999995</c:v>
                </c:pt>
                <c:pt idx="7">
                  <c:v>2769</c:v>
                </c:pt>
                <c:pt idx="8">
                  <c:v>2210</c:v>
                </c:pt>
                <c:pt idx="9">
                  <c:v>2899</c:v>
                </c:pt>
                <c:pt idx="10">
                  <c:v>2845.7</c:v>
                </c:pt>
                <c:pt idx="11">
                  <c:v>3045.9</c:v>
                </c:pt>
                <c:pt idx="12">
                  <c:v>2431</c:v>
                </c:pt>
                <c:pt idx="13">
                  <c:v>3188.9</c:v>
                </c:pt>
                <c:pt idx="14">
                  <c:v>2845.7</c:v>
                </c:pt>
                <c:pt idx="15">
                  <c:v>2769</c:v>
                </c:pt>
                <c:pt idx="16">
                  <c:v>1878.5</c:v>
                </c:pt>
                <c:pt idx="17">
                  <c:v>2464.15</c:v>
                </c:pt>
                <c:pt idx="18">
                  <c:v>1794.6500000000015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1-AA4A-B385-CB4B75962B3A}"/>
            </c:ext>
          </c:extLst>
        </c:ser>
        <c:ser>
          <c:idx val="1"/>
          <c:order val="1"/>
          <c:tx>
            <c:strRef>
              <c:f>ПРОДАЖИ!$C$57</c:f>
              <c:strCache>
                <c:ptCount val="1"/>
                <c:pt idx="0">
                  <c:v>2 оч</c:v>
                </c:pt>
              </c:strCache>
            </c:strRef>
          </c:tx>
          <c:spPr>
            <a:solidFill>
              <a:srgbClr val="4628A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uisse Intl Light" panose="020B0504000000000000" pitchFamily="34" charset="-78"/>
                    <a:ea typeface="+mn-ea"/>
                    <a:cs typeface="Suisse Intl Light" panose="020B0504000000000000" pitchFamily="34" charset="-78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ПРОДАЖИ!$E$54:$AB$54</c:f>
              <c:strCache>
                <c:ptCount val="24"/>
                <c:pt idx="0">
                  <c:v>3Q 26</c:v>
                </c:pt>
                <c:pt idx="1">
                  <c:v>4Q 26</c:v>
                </c:pt>
                <c:pt idx="2">
                  <c:v>1Q 27</c:v>
                </c:pt>
                <c:pt idx="3">
                  <c:v>2Q 27</c:v>
                </c:pt>
                <c:pt idx="4">
                  <c:v>3Q 27</c:v>
                </c:pt>
                <c:pt idx="5">
                  <c:v>4Q 27</c:v>
                </c:pt>
                <c:pt idx="6">
                  <c:v>1Q 28</c:v>
                </c:pt>
                <c:pt idx="7">
                  <c:v>2Q 28</c:v>
                </c:pt>
                <c:pt idx="8">
                  <c:v>3Q 28</c:v>
                </c:pt>
                <c:pt idx="9">
                  <c:v>4Q 28</c:v>
                </c:pt>
                <c:pt idx="10">
                  <c:v>1Q 29</c:v>
                </c:pt>
                <c:pt idx="11">
                  <c:v>2Q 29</c:v>
                </c:pt>
                <c:pt idx="12">
                  <c:v>3Q 29</c:v>
                </c:pt>
                <c:pt idx="13">
                  <c:v>4Q 29</c:v>
                </c:pt>
                <c:pt idx="14">
                  <c:v>1Q 30</c:v>
                </c:pt>
                <c:pt idx="15">
                  <c:v>2Q 30</c:v>
                </c:pt>
                <c:pt idx="16">
                  <c:v>3Q 30</c:v>
                </c:pt>
                <c:pt idx="17">
                  <c:v>4Q 30</c:v>
                </c:pt>
                <c:pt idx="18">
                  <c:v>1Q 31</c:v>
                </c:pt>
                <c:pt idx="19">
                  <c:v>2Q 31</c:v>
                </c:pt>
                <c:pt idx="20">
                  <c:v>3Q 31</c:v>
                </c:pt>
                <c:pt idx="21">
                  <c:v>4Q 31</c:v>
                </c:pt>
                <c:pt idx="22">
                  <c:v>1Q 32</c:v>
                </c:pt>
                <c:pt idx="23">
                  <c:v>2Q 32</c:v>
                </c:pt>
              </c:strCache>
            </c:strRef>
          </c:cat>
          <c:val>
            <c:numRef>
              <c:f>ПРОДАЖИ!$E$57:$AB$57</c:f>
              <c:numCache>
                <c:formatCode>#,##0</c:formatCode>
                <c:ptCount val="24"/>
                <c:pt idx="4">
                  <c:v>2371.707317073171</c:v>
                </c:pt>
                <c:pt idx="5">
                  <c:v>2828.292682926829</c:v>
                </c:pt>
                <c:pt idx="6">
                  <c:v>2523.9024390243899</c:v>
                </c:pt>
                <c:pt idx="7">
                  <c:v>2701.4634146341459</c:v>
                </c:pt>
                <c:pt idx="8">
                  <c:v>2156.0975609756097</c:v>
                </c:pt>
                <c:pt idx="9">
                  <c:v>2828.292682926829</c:v>
                </c:pt>
                <c:pt idx="10">
                  <c:v>2523.9024390243899</c:v>
                </c:pt>
                <c:pt idx="11">
                  <c:v>3511.9024390243899</c:v>
                </c:pt>
                <c:pt idx="12">
                  <c:v>2802.9268292682927</c:v>
                </c:pt>
                <c:pt idx="13">
                  <c:v>3393.9512195121947</c:v>
                </c:pt>
                <c:pt idx="14">
                  <c:v>3028.6829268292677</c:v>
                </c:pt>
                <c:pt idx="15">
                  <c:v>3241.7560975609749</c:v>
                </c:pt>
                <c:pt idx="16">
                  <c:v>2587.3170731707314</c:v>
                </c:pt>
                <c:pt idx="17">
                  <c:v>3111.1219512195121</c:v>
                </c:pt>
                <c:pt idx="18">
                  <c:v>2776.292682926829</c:v>
                </c:pt>
                <c:pt idx="19">
                  <c:v>2431.3170731707314</c:v>
                </c:pt>
                <c:pt idx="20">
                  <c:v>1940.4878048780488</c:v>
                </c:pt>
                <c:pt idx="21">
                  <c:v>2262.6341463414633</c:v>
                </c:pt>
                <c:pt idx="22">
                  <c:v>2019.1219512195121</c:v>
                </c:pt>
                <c:pt idx="23">
                  <c:v>958.82926829269854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81-AA4A-B385-CB4B75962B3A}"/>
            </c:ext>
          </c:extLst>
        </c:ser>
        <c:ser>
          <c:idx val="2"/>
          <c:order val="2"/>
          <c:tx>
            <c:v>3 оч</c:v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uisse Intl Light" panose="020B0504000000000000" pitchFamily="34" charset="-78"/>
                    <a:ea typeface="+mn-ea"/>
                    <a:cs typeface="Suisse Intl Light" panose="020B0504000000000000" pitchFamily="34" charset="-78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4"/>
              <c:pt idx="0">
                <c:v>3Q 26</c:v>
              </c:pt>
              <c:pt idx="1">
                <c:v>4Q 26</c:v>
              </c:pt>
              <c:pt idx="2">
                <c:v>1Q 27</c:v>
              </c:pt>
              <c:pt idx="3">
                <c:v>2Q 27</c:v>
              </c:pt>
              <c:pt idx="4">
                <c:v>3Q 27</c:v>
              </c:pt>
              <c:pt idx="5">
                <c:v>4Q 27</c:v>
              </c:pt>
              <c:pt idx="6">
                <c:v>1Q 28</c:v>
              </c:pt>
              <c:pt idx="7">
                <c:v>2Q 28</c:v>
              </c:pt>
              <c:pt idx="8">
                <c:v>3Q 28</c:v>
              </c:pt>
              <c:pt idx="9">
                <c:v>4Q 28</c:v>
              </c:pt>
              <c:pt idx="10">
                <c:v>1Q 29</c:v>
              </c:pt>
              <c:pt idx="11">
                <c:v>2Q 29</c:v>
              </c:pt>
              <c:pt idx="12">
                <c:v>3Q 29</c:v>
              </c:pt>
              <c:pt idx="13">
                <c:v>4Q 29</c:v>
              </c:pt>
              <c:pt idx="14">
                <c:v>1Q 30</c:v>
              </c:pt>
              <c:pt idx="15">
                <c:v>2Q 30</c:v>
              </c:pt>
              <c:pt idx="16">
                <c:v>3Q 30</c:v>
              </c:pt>
              <c:pt idx="17">
                <c:v>4Q 30</c:v>
              </c:pt>
              <c:pt idx="18">
                <c:v>1Q 31</c:v>
              </c:pt>
              <c:pt idx="19">
                <c:v>2Q 31</c:v>
              </c:pt>
              <c:pt idx="20">
                <c:v>3Q 31</c:v>
              </c:pt>
              <c:pt idx="21">
                <c:v>4Q 31</c:v>
              </c:pt>
              <c:pt idx="22">
                <c:v>1Q 32</c:v>
              </c:pt>
              <c:pt idx="23">
                <c:v>2Q 32</c:v>
              </c:pt>
            </c:strLit>
          </c:cat>
          <c:val>
            <c:numLit>
              <c:formatCode>General</c:formatCode>
              <c:ptCount val="30"/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6E81-AA4A-B385-CB4B75962B3A}"/>
            </c:ext>
          </c:extLst>
        </c:ser>
        <c:ser>
          <c:idx val="3"/>
          <c:order val="3"/>
          <c:tx>
            <c:v>4 оч</c:v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uisse Intl Light" panose="020B0504000000000000" pitchFamily="34" charset="-78"/>
                    <a:ea typeface="+mn-ea"/>
                    <a:cs typeface="Suisse Intl Light" panose="020B0504000000000000" pitchFamily="34" charset="-78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4"/>
              <c:pt idx="0">
                <c:v>3Q 26</c:v>
              </c:pt>
              <c:pt idx="1">
                <c:v>4Q 26</c:v>
              </c:pt>
              <c:pt idx="2">
                <c:v>1Q 27</c:v>
              </c:pt>
              <c:pt idx="3">
                <c:v>2Q 27</c:v>
              </c:pt>
              <c:pt idx="4">
                <c:v>3Q 27</c:v>
              </c:pt>
              <c:pt idx="5">
                <c:v>4Q 27</c:v>
              </c:pt>
              <c:pt idx="6">
                <c:v>1Q 28</c:v>
              </c:pt>
              <c:pt idx="7">
                <c:v>2Q 28</c:v>
              </c:pt>
              <c:pt idx="8">
                <c:v>3Q 28</c:v>
              </c:pt>
              <c:pt idx="9">
                <c:v>4Q 28</c:v>
              </c:pt>
              <c:pt idx="10">
                <c:v>1Q 29</c:v>
              </c:pt>
              <c:pt idx="11">
                <c:v>2Q 29</c:v>
              </c:pt>
              <c:pt idx="12">
                <c:v>3Q 29</c:v>
              </c:pt>
              <c:pt idx="13">
                <c:v>4Q 29</c:v>
              </c:pt>
              <c:pt idx="14">
                <c:v>1Q 30</c:v>
              </c:pt>
              <c:pt idx="15">
                <c:v>2Q 30</c:v>
              </c:pt>
              <c:pt idx="16">
                <c:v>3Q 30</c:v>
              </c:pt>
              <c:pt idx="17">
                <c:v>4Q 30</c:v>
              </c:pt>
              <c:pt idx="18">
                <c:v>1Q 31</c:v>
              </c:pt>
              <c:pt idx="19">
                <c:v>2Q 31</c:v>
              </c:pt>
              <c:pt idx="20">
                <c:v>3Q 31</c:v>
              </c:pt>
              <c:pt idx="21">
                <c:v>4Q 31</c:v>
              </c:pt>
              <c:pt idx="22">
                <c:v>1Q 32</c:v>
              </c:pt>
              <c:pt idx="23">
                <c:v>2Q 32</c:v>
              </c:pt>
            </c:strLit>
          </c:cat>
          <c:val>
            <c:numLit>
              <c:formatCode>General</c:formatCode>
              <c:ptCount val="49"/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</c:numLit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6E81-AA4A-B385-CB4B75962B3A}"/>
            </c:ext>
          </c:extLst>
        </c:ser>
        <c:ser>
          <c:idx val="5"/>
          <c:order val="5"/>
          <c:tx>
            <c:v>5 оч</c:v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24"/>
              <c:pt idx="0">
                <c:v>3Q 26</c:v>
              </c:pt>
              <c:pt idx="1">
                <c:v>4Q 26</c:v>
              </c:pt>
              <c:pt idx="2">
                <c:v>1Q 27</c:v>
              </c:pt>
              <c:pt idx="3">
                <c:v>2Q 27</c:v>
              </c:pt>
              <c:pt idx="4">
                <c:v>3Q 27</c:v>
              </c:pt>
              <c:pt idx="5">
                <c:v>4Q 27</c:v>
              </c:pt>
              <c:pt idx="6">
                <c:v>1Q 28</c:v>
              </c:pt>
              <c:pt idx="7">
                <c:v>2Q 28</c:v>
              </c:pt>
              <c:pt idx="8">
                <c:v>3Q 28</c:v>
              </c:pt>
              <c:pt idx="9">
                <c:v>4Q 28</c:v>
              </c:pt>
              <c:pt idx="10">
                <c:v>1Q 29</c:v>
              </c:pt>
              <c:pt idx="11">
                <c:v>2Q 29</c:v>
              </c:pt>
              <c:pt idx="12">
                <c:v>3Q 29</c:v>
              </c:pt>
              <c:pt idx="13">
                <c:v>4Q 29</c:v>
              </c:pt>
              <c:pt idx="14">
                <c:v>1Q 30</c:v>
              </c:pt>
              <c:pt idx="15">
                <c:v>2Q 30</c:v>
              </c:pt>
              <c:pt idx="16">
                <c:v>3Q 30</c:v>
              </c:pt>
              <c:pt idx="17">
                <c:v>4Q 30</c:v>
              </c:pt>
              <c:pt idx="18">
                <c:v>1Q 31</c:v>
              </c:pt>
              <c:pt idx="19">
                <c:v>2Q 31</c:v>
              </c:pt>
              <c:pt idx="20">
                <c:v>3Q 31</c:v>
              </c:pt>
              <c:pt idx="21">
                <c:v>4Q 31</c:v>
              </c:pt>
              <c:pt idx="22">
                <c:v>1Q 32</c:v>
              </c:pt>
              <c:pt idx="23">
                <c:v>2Q 32</c:v>
              </c:pt>
            </c:strLit>
          </c:cat>
          <c:val>
            <c:numLit>
              <c:formatCode>General</c:formatCode>
              <c:ptCount val="49"/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6E81-AA4A-B385-CB4B75962B3A}"/>
            </c:ext>
          </c:extLst>
        </c:ser>
        <c:ser>
          <c:idx val="6"/>
          <c:order val="6"/>
          <c:tx>
            <c:v>6 оч</c:v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24"/>
              <c:pt idx="0">
                <c:v>3Q 26</c:v>
              </c:pt>
              <c:pt idx="1">
                <c:v>4Q 26</c:v>
              </c:pt>
              <c:pt idx="2">
                <c:v>1Q 27</c:v>
              </c:pt>
              <c:pt idx="3">
                <c:v>2Q 27</c:v>
              </c:pt>
              <c:pt idx="4">
                <c:v>3Q 27</c:v>
              </c:pt>
              <c:pt idx="5">
                <c:v>4Q 27</c:v>
              </c:pt>
              <c:pt idx="6">
                <c:v>1Q 28</c:v>
              </c:pt>
              <c:pt idx="7">
                <c:v>2Q 28</c:v>
              </c:pt>
              <c:pt idx="8">
                <c:v>3Q 28</c:v>
              </c:pt>
              <c:pt idx="9">
                <c:v>4Q 28</c:v>
              </c:pt>
              <c:pt idx="10">
                <c:v>1Q 29</c:v>
              </c:pt>
              <c:pt idx="11">
                <c:v>2Q 29</c:v>
              </c:pt>
              <c:pt idx="12">
                <c:v>3Q 29</c:v>
              </c:pt>
              <c:pt idx="13">
                <c:v>4Q 29</c:v>
              </c:pt>
              <c:pt idx="14">
                <c:v>1Q 30</c:v>
              </c:pt>
              <c:pt idx="15">
                <c:v>2Q 30</c:v>
              </c:pt>
              <c:pt idx="16">
                <c:v>3Q 30</c:v>
              </c:pt>
              <c:pt idx="17">
                <c:v>4Q 30</c:v>
              </c:pt>
              <c:pt idx="18">
                <c:v>1Q 31</c:v>
              </c:pt>
              <c:pt idx="19">
                <c:v>2Q 31</c:v>
              </c:pt>
              <c:pt idx="20">
                <c:v>3Q 31</c:v>
              </c:pt>
              <c:pt idx="21">
                <c:v>4Q 31</c:v>
              </c:pt>
              <c:pt idx="22">
                <c:v>1Q 32</c:v>
              </c:pt>
              <c:pt idx="23">
                <c:v>2Q 32</c:v>
              </c:pt>
            </c:strLit>
          </c:cat>
          <c:val>
            <c:numLit>
              <c:formatCode>General</c:formatCode>
              <c:ptCount val="49"/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6E81-AA4A-B385-CB4B75962B3A}"/>
            </c:ext>
          </c:extLst>
        </c:ser>
        <c:ser>
          <c:idx val="7"/>
          <c:order val="7"/>
          <c:tx>
            <c:v>7 оч</c:v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24"/>
              <c:pt idx="0">
                <c:v>3Q 26</c:v>
              </c:pt>
              <c:pt idx="1">
                <c:v>4Q 26</c:v>
              </c:pt>
              <c:pt idx="2">
                <c:v>1Q 27</c:v>
              </c:pt>
              <c:pt idx="3">
                <c:v>2Q 27</c:v>
              </c:pt>
              <c:pt idx="4">
                <c:v>3Q 27</c:v>
              </c:pt>
              <c:pt idx="5">
                <c:v>4Q 27</c:v>
              </c:pt>
              <c:pt idx="6">
                <c:v>1Q 28</c:v>
              </c:pt>
              <c:pt idx="7">
                <c:v>2Q 28</c:v>
              </c:pt>
              <c:pt idx="8">
                <c:v>3Q 28</c:v>
              </c:pt>
              <c:pt idx="9">
                <c:v>4Q 28</c:v>
              </c:pt>
              <c:pt idx="10">
                <c:v>1Q 29</c:v>
              </c:pt>
              <c:pt idx="11">
                <c:v>2Q 29</c:v>
              </c:pt>
              <c:pt idx="12">
                <c:v>3Q 29</c:v>
              </c:pt>
              <c:pt idx="13">
                <c:v>4Q 29</c:v>
              </c:pt>
              <c:pt idx="14">
                <c:v>1Q 30</c:v>
              </c:pt>
              <c:pt idx="15">
                <c:v>2Q 30</c:v>
              </c:pt>
              <c:pt idx="16">
                <c:v>3Q 30</c:v>
              </c:pt>
              <c:pt idx="17">
                <c:v>4Q 30</c:v>
              </c:pt>
              <c:pt idx="18">
                <c:v>1Q 31</c:v>
              </c:pt>
              <c:pt idx="19">
                <c:v>2Q 31</c:v>
              </c:pt>
              <c:pt idx="20">
                <c:v>3Q 31</c:v>
              </c:pt>
              <c:pt idx="21">
                <c:v>4Q 31</c:v>
              </c:pt>
              <c:pt idx="22">
                <c:v>1Q 32</c:v>
              </c:pt>
              <c:pt idx="23">
                <c:v>2Q 32</c:v>
              </c:pt>
            </c:strLit>
          </c:cat>
          <c:val>
            <c:numLit>
              <c:formatCode>General</c:formatCode>
              <c:ptCount val="49"/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6E81-AA4A-B385-CB4B75962B3A}"/>
            </c:ext>
          </c:extLst>
        </c:ser>
        <c:ser>
          <c:idx val="8"/>
          <c:order val="8"/>
          <c:tx>
            <c:v>8 оч</c:v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24"/>
              <c:pt idx="0">
                <c:v>3Q 26</c:v>
              </c:pt>
              <c:pt idx="1">
                <c:v>4Q 26</c:v>
              </c:pt>
              <c:pt idx="2">
                <c:v>1Q 27</c:v>
              </c:pt>
              <c:pt idx="3">
                <c:v>2Q 27</c:v>
              </c:pt>
              <c:pt idx="4">
                <c:v>3Q 27</c:v>
              </c:pt>
              <c:pt idx="5">
                <c:v>4Q 27</c:v>
              </c:pt>
              <c:pt idx="6">
                <c:v>1Q 28</c:v>
              </c:pt>
              <c:pt idx="7">
                <c:v>2Q 28</c:v>
              </c:pt>
              <c:pt idx="8">
                <c:v>3Q 28</c:v>
              </c:pt>
              <c:pt idx="9">
                <c:v>4Q 28</c:v>
              </c:pt>
              <c:pt idx="10">
                <c:v>1Q 29</c:v>
              </c:pt>
              <c:pt idx="11">
                <c:v>2Q 29</c:v>
              </c:pt>
              <c:pt idx="12">
                <c:v>3Q 29</c:v>
              </c:pt>
              <c:pt idx="13">
                <c:v>4Q 29</c:v>
              </c:pt>
              <c:pt idx="14">
                <c:v>1Q 30</c:v>
              </c:pt>
              <c:pt idx="15">
                <c:v>2Q 30</c:v>
              </c:pt>
              <c:pt idx="16">
                <c:v>3Q 30</c:v>
              </c:pt>
              <c:pt idx="17">
                <c:v>4Q 30</c:v>
              </c:pt>
              <c:pt idx="18">
                <c:v>1Q 31</c:v>
              </c:pt>
              <c:pt idx="19">
                <c:v>2Q 31</c:v>
              </c:pt>
              <c:pt idx="20">
                <c:v>3Q 31</c:v>
              </c:pt>
              <c:pt idx="21">
                <c:v>4Q 31</c:v>
              </c:pt>
              <c:pt idx="22">
                <c:v>1Q 32</c:v>
              </c:pt>
              <c:pt idx="23">
                <c:v>2Q 32</c:v>
              </c:pt>
            </c:strLit>
          </c:cat>
          <c:val>
            <c:numLit>
              <c:formatCode>General</c:formatCode>
              <c:ptCount val="49"/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6E81-AA4A-B385-CB4B75962B3A}"/>
            </c:ext>
          </c:extLst>
        </c:ser>
        <c:ser>
          <c:idx val="9"/>
          <c:order val="9"/>
          <c:tx>
            <c:v>9 оч</c:v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24"/>
              <c:pt idx="0">
                <c:v>3Q 26</c:v>
              </c:pt>
              <c:pt idx="1">
                <c:v>4Q 26</c:v>
              </c:pt>
              <c:pt idx="2">
                <c:v>1Q 27</c:v>
              </c:pt>
              <c:pt idx="3">
                <c:v>2Q 27</c:v>
              </c:pt>
              <c:pt idx="4">
                <c:v>3Q 27</c:v>
              </c:pt>
              <c:pt idx="5">
                <c:v>4Q 27</c:v>
              </c:pt>
              <c:pt idx="6">
                <c:v>1Q 28</c:v>
              </c:pt>
              <c:pt idx="7">
                <c:v>2Q 28</c:v>
              </c:pt>
              <c:pt idx="8">
                <c:v>3Q 28</c:v>
              </c:pt>
              <c:pt idx="9">
                <c:v>4Q 28</c:v>
              </c:pt>
              <c:pt idx="10">
                <c:v>1Q 29</c:v>
              </c:pt>
              <c:pt idx="11">
                <c:v>2Q 29</c:v>
              </c:pt>
              <c:pt idx="12">
                <c:v>3Q 29</c:v>
              </c:pt>
              <c:pt idx="13">
                <c:v>4Q 29</c:v>
              </c:pt>
              <c:pt idx="14">
                <c:v>1Q 30</c:v>
              </c:pt>
              <c:pt idx="15">
                <c:v>2Q 30</c:v>
              </c:pt>
              <c:pt idx="16">
                <c:v>3Q 30</c:v>
              </c:pt>
              <c:pt idx="17">
                <c:v>4Q 30</c:v>
              </c:pt>
              <c:pt idx="18">
                <c:v>1Q 31</c:v>
              </c:pt>
              <c:pt idx="19">
                <c:v>2Q 31</c:v>
              </c:pt>
              <c:pt idx="20">
                <c:v>3Q 31</c:v>
              </c:pt>
              <c:pt idx="21">
                <c:v>4Q 31</c:v>
              </c:pt>
              <c:pt idx="22">
                <c:v>1Q 32</c:v>
              </c:pt>
              <c:pt idx="23">
                <c:v>2Q 32</c:v>
              </c:pt>
            </c:strLit>
          </c:cat>
          <c:val>
            <c:numLit>
              <c:formatCode>General</c:formatCode>
              <c:ptCount val="49"/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6E81-AA4A-B385-CB4B75962B3A}"/>
            </c:ext>
          </c:extLst>
        </c:ser>
        <c:ser>
          <c:idx val="10"/>
          <c:order val="10"/>
          <c:tx>
            <c:v>10 оч</c:v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24"/>
              <c:pt idx="0">
                <c:v>3Q 26</c:v>
              </c:pt>
              <c:pt idx="1">
                <c:v>4Q 26</c:v>
              </c:pt>
              <c:pt idx="2">
                <c:v>1Q 27</c:v>
              </c:pt>
              <c:pt idx="3">
                <c:v>2Q 27</c:v>
              </c:pt>
              <c:pt idx="4">
                <c:v>3Q 27</c:v>
              </c:pt>
              <c:pt idx="5">
                <c:v>4Q 27</c:v>
              </c:pt>
              <c:pt idx="6">
                <c:v>1Q 28</c:v>
              </c:pt>
              <c:pt idx="7">
                <c:v>2Q 28</c:v>
              </c:pt>
              <c:pt idx="8">
                <c:v>3Q 28</c:v>
              </c:pt>
              <c:pt idx="9">
                <c:v>4Q 28</c:v>
              </c:pt>
              <c:pt idx="10">
                <c:v>1Q 29</c:v>
              </c:pt>
              <c:pt idx="11">
                <c:v>2Q 29</c:v>
              </c:pt>
              <c:pt idx="12">
                <c:v>3Q 29</c:v>
              </c:pt>
              <c:pt idx="13">
                <c:v>4Q 29</c:v>
              </c:pt>
              <c:pt idx="14">
                <c:v>1Q 30</c:v>
              </c:pt>
              <c:pt idx="15">
                <c:v>2Q 30</c:v>
              </c:pt>
              <c:pt idx="16">
                <c:v>3Q 30</c:v>
              </c:pt>
              <c:pt idx="17">
                <c:v>4Q 30</c:v>
              </c:pt>
              <c:pt idx="18">
                <c:v>1Q 31</c:v>
              </c:pt>
              <c:pt idx="19">
                <c:v>2Q 31</c:v>
              </c:pt>
              <c:pt idx="20">
                <c:v>3Q 31</c:v>
              </c:pt>
              <c:pt idx="21">
                <c:v>4Q 31</c:v>
              </c:pt>
              <c:pt idx="22">
                <c:v>1Q 32</c:v>
              </c:pt>
              <c:pt idx="23">
                <c:v>2Q 32</c:v>
              </c:pt>
            </c:strLit>
          </c:cat>
          <c:val>
            <c:numLit>
              <c:formatCode>General</c:formatCode>
              <c:ptCount val="49"/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9-6E81-AA4A-B385-CB4B75962B3A}"/>
            </c:ext>
          </c:extLst>
        </c:ser>
        <c:ser>
          <c:idx val="11"/>
          <c:order val="11"/>
          <c:tx>
            <c:v>11 оч</c:v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24"/>
              <c:pt idx="0">
                <c:v>3Q 26</c:v>
              </c:pt>
              <c:pt idx="1">
                <c:v>4Q 26</c:v>
              </c:pt>
              <c:pt idx="2">
                <c:v>1Q 27</c:v>
              </c:pt>
              <c:pt idx="3">
                <c:v>2Q 27</c:v>
              </c:pt>
              <c:pt idx="4">
                <c:v>3Q 27</c:v>
              </c:pt>
              <c:pt idx="5">
                <c:v>4Q 27</c:v>
              </c:pt>
              <c:pt idx="6">
                <c:v>1Q 28</c:v>
              </c:pt>
              <c:pt idx="7">
                <c:v>2Q 28</c:v>
              </c:pt>
              <c:pt idx="8">
                <c:v>3Q 28</c:v>
              </c:pt>
              <c:pt idx="9">
                <c:v>4Q 28</c:v>
              </c:pt>
              <c:pt idx="10">
                <c:v>1Q 29</c:v>
              </c:pt>
              <c:pt idx="11">
                <c:v>2Q 29</c:v>
              </c:pt>
              <c:pt idx="12">
                <c:v>3Q 29</c:v>
              </c:pt>
              <c:pt idx="13">
                <c:v>4Q 29</c:v>
              </c:pt>
              <c:pt idx="14">
                <c:v>1Q 30</c:v>
              </c:pt>
              <c:pt idx="15">
                <c:v>2Q 30</c:v>
              </c:pt>
              <c:pt idx="16">
                <c:v>3Q 30</c:v>
              </c:pt>
              <c:pt idx="17">
                <c:v>4Q 30</c:v>
              </c:pt>
              <c:pt idx="18">
                <c:v>1Q 31</c:v>
              </c:pt>
              <c:pt idx="19">
                <c:v>2Q 31</c:v>
              </c:pt>
              <c:pt idx="20">
                <c:v>3Q 31</c:v>
              </c:pt>
              <c:pt idx="21">
                <c:v>4Q 31</c:v>
              </c:pt>
              <c:pt idx="22">
                <c:v>1Q 32</c:v>
              </c:pt>
              <c:pt idx="23">
                <c:v>2Q 32</c:v>
              </c:pt>
            </c:strLit>
          </c:cat>
          <c:val>
            <c:numLit>
              <c:formatCode>General</c:formatCode>
              <c:ptCount val="49"/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A-6E81-AA4A-B385-CB4B75962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overlap val="100"/>
        <c:axId val="1774701999"/>
        <c:axId val="1774703247"/>
      </c:barChart>
      <c:lineChart>
        <c:grouping val="standard"/>
        <c:varyColors val="0"/>
        <c:ser>
          <c:idx val="4"/>
          <c:order val="4"/>
          <c:tx>
            <c:strRef>
              <c:f>ПРОДАЖИ!$C$54</c:f>
              <c:strCache>
                <c:ptCount val="1"/>
              </c:strCache>
            </c:strRef>
          </c:tx>
          <c:spPr>
            <a:ln w="12700" cap="rnd" cmpd="sng" algn="ctr">
              <a:noFill/>
              <a:prstDash val="lgDash"/>
              <a:round/>
            </a:ln>
            <a:effectLst/>
          </c:spPr>
          <c:marker>
            <c:symbol val="none"/>
          </c:marker>
          <c:dLbls>
            <c:dLbl>
              <c:idx val="22"/>
              <c:layout>
                <c:manualLayout>
                  <c:x val="-1.1147735642061696E-2"/>
                  <c:y val="-2.3041229916498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E81-AA4A-B385-CB4B75962B3A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Suisse Intl Light" panose="020B0504000000000000" pitchFamily="34" charset="-78"/>
                    <a:ea typeface="+mn-ea"/>
                    <a:cs typeface="Suisse Intl Light" panose="020B0504000000000000" pitchFamily="34" charset="-78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ПРОДАЖИ!$E$54:$AB$54</c:f>
              <c:strCache>
                <c:ptCount val="24"/>
                <c:pt idx="0">
                  <c:v>3Q 26</c:v>
                </c:pt>
                <c:pt idx="1">
                  <c:v>4Q 26</c:v>
                </c:pt>
                <c:pt idx="2">
                  <c:v>1Q 27</c:v>
                </c:pt>
                <c:pt idx="3">
                  <c:v>2Q 27</c:v>
                </c:pt>
                <c:pt idx="4">
                  <c:v>3Q 27</c:v>
                </c:pt>
                <c:pt idx="5">
                  <c:v>4Q 27</c:v>
                </c:pt>
                <c:pt idx="6">
                  <c:v>1Q 28</c:v>
                </c:pt>
                <c:pt idx="7">
                  <c:v>2Q 28</c:v>
                </c:pt>
                <c:pt idx="8">
                  <c:v>3Q 28</c:v>
                </c:pt>
                <c:pt idx="9">
                  <c:v>4Q 28</c:v>
                </c:pt>
                <c:pt idx="10">
                  <c:v>1Q 29</c:v>
                </c:pt>
                <c:pt idx="11">
                  <c:v>2Q 29</c:v>
                </c:pt>
                <c:pt idx="12">
                  <c:v>3Q 29</c:v>
                </c:pt>
                <c:pt idx="13">
                  <c:v>4Q 29</c:v>
                </c:pt>
                <c:pt idx="14">
                  <c:v>1Q 30</c:v>
                </c:pt>
                <c:pt idx="15">
                  <c:v>2Q 30</c:v>
                </c:pt>
                <c:pt idx="16">
                  <c:v>3Q 30</c:v>
                </c:pt>
                <c:pt idx="17">
                  <c:v>4Q 30</c:v>
                </c:pt>
                <c:pt idx="18">
                  <c:v>1Q 31</c:v>
                </c:pt>
                <c:pt idx="19">
                  <c:v>2Q 31</c:v>
                </c:pt>
                <c:pt idx="20">
                  <c:v>3Q 31</c:v>
                </c:pt>
                <c:pt idx="21">
                  <c:v>4Q 31</c:v>
                </c:pt>
                <c:pt idx="22">
                  <c:v>1Q 32</c:v>
                </c:pt>
                <c:pt idx="23">
                  <c:v>2Q 32</c:v>
                </c:pt>
              </c:strCache>
            </c:strRef>
          </c:cat>
          <c:val>
            <c:numRef>
              <c:f>ПРОДАЖИ!$E$55:$AB$55</c:f>
              <c:numCache>
                <c:formatCode>#,##0</c:formatCode>
                <c:ptCount val="24"/>
                <c:pt idx="0">
                  <c:v>2873</c:v>
                </c:pt>
                <c:pt idx="1">
                  <c:v>3768.7000000000003</c:v>
                </c:pt>
                <c:pt idx="2">
                  <c:v>3363.0999999999995</c:v>
                </c:pt>
                <c:pt idx="3">
                  <c:v>3599.7000000000003</c:v>
                </c:pt>
                <c:pt idx="4">
                  <c:v>4139.707317073171</c:v>
                </c:pt>
                <c:pt idx="5">
                  <c:v>5727.292682926829</c:v>
                </c:pt>
                <c:pt idx="6">
                  <c:v>5110.9024390243894</c:v>
                </c:pt>
                <c:pt idx="7">
                  <c:v>5470.4634146341459</c:v>
                </c:pt>
                <c:pt idx="8">
                  <c:v>4366.0975609756097</c:v>
                </c:pt>
                <c:pt idx="9">
                  <c:v>5727.292682926829</c:v>
                </c:pt>
                <c:pt idx="10">
                  <c:v>5369.6024390243892</c:v>
                </c:pt>
                <c:pt idx="11">
                  <c:v>6557.80243902439</c:v>
                </c:pt>
                <c:pt idx="12">
                  <c:v>5233.9268292682927</c:v>
                </c:pt>
                <c:pt idx="13">
                  <c:v>6582.8512195121948</c:v>
                </c:pt>
                <c:pt idx="14">
                  <c:v>5874.3829268292675</c:v>
                </c:pt>
                <c:pt idx="15">
                  <c:v>6010.7560975609749</c:v>
                </c:pt>
                <c:pt idx="16">
                  <c:v>4465.8170731707314</c:v>
                </c:pt>
                <c:pt idx="17">
                  <c:v>5575.2719512195126</c:v>
                </c:pt>
                <c:pt idx="18">
                  <c:v>4570.9426829268305</c:v>
                </c:pt>
                <c:pt idx="19">
                  <c:v>2431.3170731707314</c:v>
                </c:pt>
                <c:pt idx="20">
                  <c:v>1940.4878048780488</c:v>
                </c:pt>
                <c:pt idx="21">
                  <c:v>2262.6341463414633</c:v>
                </c:pt>
                <c:pt idx="22">
                  <c:v>2019.1219512195121</c:v>
                </c:pt>
                <c:pt idx="23">
                  <c:v>958.82926829269854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E81-AA4A-B385-CB4B75962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701999"/>
        <c:axId val="1774703247"/>
      </c:lineChart>
      <c:lineChart>
        <c:grouping val="standard"/>
        <c:varyColors val="0"/>
        <c:ser>
          <c:idx val="12"/>
          <c:order val="12"/>
          <c:tx>
            <c:strRef>
              <c:f>ПРОДАЖИ!$C$139</c:f>
              <c:strCache>
                <c:ptCount val="1"/>
                <c:pt idx="0">
                  <c:v>СВЦ</c:v>
                </c:pt>
              </c:strCache>
            </c:strRef>
          </c:tx>
          <c:spPr>
            <a:ln w="12700">
              <a:solidFill>
                <a:srgbClr val="594DC7"/>
              </a:solidFill>
              <a:prstDash val="dash"/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rgbClr val="594DC7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ПРОДАЖИ!$E$54:$AC$54</c:f>
              <c:strCache>
                <c:ptCount val="24"/>
                <c:pt idx="0">
                  <c:v>3Q 26</c:v>
                </c:pt>
                <c:pt idx="1">
                  <c:v>4Q 26</c:v>
                </c:pt>
                <c:pt idx="2">
                  <c:v>1Q 27</c:v>
                </c:pt>
                <c:pt idx="3">
                  <c:v>2Q 27</c:v>
                </c:pt>
                <c:pt idx="4">
                  <c:v>3Q 27</c:v>
                </c:pt>
                <c:pt idx="5">
                  <c:v>4Q 27</c:v>
                </c:pt>
                <c:pt idx="6">
                  <c:v>1Q 28</c:v>
                </c:pt>
                <c:pt idx="7">
                  <c:v>2Q 28</c:v>
                </c:pt>
                <c:pt idx="8">
                  <c:v>3Q 28</c:v>
                </c:pt>
                <c:pt idx="9">
                  <c:v>4Q 28</c:v>
                </c:pt>
                <c:pt idx="10">
                  <c:v>1Q 29</c:v>
                </c:pt>
                <c:pt idx="11">
                  <c:v>2Q 29</c:v>
                </c:pt>
                <c:pt idx="12">
                  <c:v>3Q 29</c:v>
                </c:pt>
                <c:pt idx="13">
                  <c:v>4Q 29</c:v>
                </c:pt>
                <c:pt idx="14">
                  <c:v>1Q 30</c:v>
                </c:pt>
                <c:pt idx="15">
                  <c:v>2Q 30</c:v>
                </c:pt>
                <c:pt idx="16">
                  <c:v>3Q 30</c:v>
                </c:pt>
                <c:pt idx="17">
                  <c:v>4Q 30</c:v>
                </c:pt>
                <c:pt idx="18">
                  <c:v>1Q 31</c:v>
                </c:pt>
                <c:pt idx="19">
                  <c:v>2Q 31</c:v>
                </c:pt>
                <c:pt idx="20">
                  <c:v>3Q 31</c:v>
                </c:pt>
                <c:pt idx="21">
                  <c:v>4Q 31</c:v>
                </c:pt>
                <c:pt idx="22">
                  <c:v>1Q 32</c:v>
                </c:pt>
                <c:pt idx="23">
                  <c:v>2Q 32</c:v>
                </c:pt>
              </c:strCache>
            </c:strRef>
          </c:cat>
          <c:val>
            <c:numRef>
              <c:f>ПРОДАЖИ!$E$139:$AB$139</c:f>
              <c:numCache>
                <c:formatCode>#,##0</c:formatCode>
                <c:ptCount val="24"/>
                <c:pt idx="0">
                  <c:v>500</c:v>
                </c:pt>
                <c:pt idx="1">
                  <c:v>513.5</c:v>
                </c:pt>
                <c:pt idx="2">
                  <c:v>526.33749999999998</c:v>
                </c:pt>
                <c:pt idx="3">
                  <c:v>539.49593749999997</c:v>
                </c:pt>
                <c:pt idx="4">
                  <c:v>522.62829972330735</c:v>
                </c:pt>
                <c:pt idx="5">
                  <c:v>539.42938344724143</c:v>
                </c:pt>
                <c:pt idx="6">
                  <c:v>551.83625926652792</c:v>
                </c:pt>
                <c:pt idx="7">
                  <c:v>564.52849322965812</c:v>
                </c:pt>
                <c:pt idx="8">
                  <c:v>577.51264857394017</c:v>
                </c:pt>
                <c:pt idx="9">
                  <c:v>590.79543949114077</c:v>
                </c:pt>
                <c:pt idx="10">
                  <c:v>605.80192653049437</c:v>
                </c:pt>
                <c:pt idx="11">
                  <c:v>615.74153350449978</c:v>
                </c:pt>
                <c:pt idx="12">
                  <c:v>629.90358877510312</c:v>
                </c:pt>
                <c:pt idx="13">
                  <c:v>645.66487517341591</c:v>
                </c:pt>
                <c:pt idx="14">
                  <c:v>660.51516730240428</c:v>
                </c:pt>
                <c:pt idx="15">
                  <c:v>666.76564946179815</c:v>
                </c:pt>
                <c:pt idx="16">
                  <c:v>673.30398883214025</c:v>
                </c:pt>
                <c:pt idx="17">
                  <c:v>682.51970768132162</c:v>
                </c:pt>
                <c:pt idx="18">
                  <c:v>690.8945291976338</c:v>
                </c:pt>
                <c:pt idx="19">
                  <c:v>688.77457582968066</c:v>
                </c:pt>
                <c:pt idx="20">
                  <c:v>688.77457582968066</c:v>
                </c:pt>
                <c:pt idx="21">
                  <c:v>688.77457582968066</c:v>
                </c:pt>
                <c:pt idx="22">
                  <c:v>688.77457582968066</c:v>
                </c:pt>
                <c:pt idx="23">
                  <c:v>688.77457582968066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E81-AA4A-B385-CB4B75962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1172207"/>
        <c:axId val="631178447"/>
      </c:lineChart>
      <c:catAx>
        <c:axId val="177470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Suisse Intl Light" panose="020B0504000000000000" pitchFamily="34" charset="-78"/>
                <a:ea typeface="+mn-ea"/>
                <a:cs typeface="Suisse Intl Light" panose="020B0504000000000000" pitchFamily="34" charset="-78"/>
              </a:defRPr>
            </a:pPr>
            <a:endParaRPr lang="ru-RU"/>
          </a:p>
        </c:txPr>
        <c:crossAx val="1774703247"/>
        <c:crosses val="autoZero"/>
        <c:auto val="1"/>
        <c:lblAlgn val="ctr"/>
        <c:lblOffset val="100"/>
        <c:noMultiLvlLbl val="0"/>
      </c:catAx>
      <c:valAx>
        <c:axId val="1774703247"/>
        <c:scaling>
          <c:orientation val="minMax"/>
          <c:max val="15000"/>
          <c:min val="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Suisse Intl Light" panose="020B0504000000000000" pitchFamily="34" charset="-78"/>
                <a:ea typeface="+mn-ea"/>
                <a:cs typeface="Suisse Intl Light" panose="020B0504000000000000" pitchFamily="34" charset="-78"/>
              </a:defRPr>
            </a:pPr>
            <a:endParaRPr lang="ru-RU"/>
          </a:p>
        </c:txPr>
        <c:crossAx val="1774701999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Suisse Intl Light" panose="020B0504000000000000" pitchFamily="34" charset="-78"/>
                    <a:ea typeface="+mn-ea"/>
                    <a:cs typeface="Suisse Intl Light" panose="020B0504000000000000" pitchFamily="34" charset="-78"/>
                  </a:defRPr>
                </a:pPr>
                <a:endParaRPr lang="ru-RU"/>
              </a:p>
            </c:txPr>
          </c:dispUnitsLbl>
        </c:dispUnits>
      </c:valAx>
      <c:valAx>
        <c:axId val="631178447"/>
        <c:scaling>
          <c:orientation val="minMax"/>
          <c:max val="800"/>
          <c:min val="0"/>
        </c:scaling>
        <c:delete val="0"/>
        <c:axPos val="r"/>
        <c:numFmt formatCode="#,##0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ru-RU"/>
          </a:p>
        </c:txPr>
        <c:crossAx val="631172207"/>
        <c:crosses val="max"/>
        <c:crossBetween val="between"/>
      </c:valAx>
      <c:catAx>
        <c:axId val="63117220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631178447"/>
        <c:crosses val="max"/>
        <c:auto val="1"/>
        <c:lblAlgn val="ctr"/>
        <c:lblOffset val="100"/>
        <c:noMultiLvlLbl val="0"/>
      </c:catAx>
      <c:spPr>
        <a:noFill/>
      </c:spPr>
    </c:plotArea>
    <c:legend>
      <c:legendPos val="b"/>
      <c:legendEntry>
        <c:idx val="11"/>
        <c:delete val="1"/>
      </c:legendEntry>
      <c:layout>
        <c:manualLayout>
          <c:xMode val="edge"/>
          <c:yMode val="edge"/>
          <c:x val="0.26006733563637585"/>
          <c:y val="0.93234155838631116"/>
          <c:w val="0.46969991778216941"/>
          <c:h val="3.1865554679544807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Suisse Intl Light" panose="020B0504000000000000" pitchFamily="34" charset="-78"/>
              <a:ea typeface="+mn-ea"/>
              <a:cs typeface="Suisse Intl Light" panose="020B0504000000000000" pitchFamily="34" charset="-78"/>
            </a:defRPr>
          </a:pPr>
          <a:endParaRPr lang="ru-RU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>
          <a:solidFill>
            <a:schemeClr val="tx1"/>
          </a:solidFill>
          <a:latin typeface="Suisse Intl Light" panose="020B0504000000000000" pitchFamily="34" charset="-78"/>
          <a:cs typeface="Suisse Intl Light" panose="020B0504000000000000" pitchFamily="34" charset="-78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66109</xdr:rowOff>
    </xdr:from>
    <xdr:to>
      <xdr:col>22</xdr:col>
      <xdr:colOff>16164</xdr:colOff>
      <xdr:row>45</xdr:row>
      <xdr:rowOff>65746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DFA3143-D98D-6C0B-276A-0029E11D8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269309"/>
          <a:ext cx="18973800" cy="134824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67</xdr:row>
      <xdr:rowOff>200025</xdr:rowOff>
    </xdr:from>
    <xdr:to>
      <xdr:col>55</xdr:col>
      <xdr:colOff>226756</xdr:colOff>
      <xdr:row>90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857C47B-37D3-E646-B2D4-0802111F2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9653-59AC-324B-93EB-D84DD0ABAD70}">
  <sheetPr>
    <tabColor rgb="FFF0CCB9"/>
  </sheetPr>
  <dimension ref="F2:AH77"/>
  <sheetViews>
    <sheetView showGridLines="0" topLeftCell="M14" zoomScale="62" workbookViewId="0">
      <selection activeCell="AF44" sqref="AF44"/>
    </sheetView>
  </sheetViews>
  <sheetFormatPr baseColWidth="10" defaultRowHeight="15"/>
  <cols>
    <col min="20" max="20" width="19.83203125" bestFit="1" customWidth="1"/>
    <col min="26" max="26" width="10.1640625" bestFit="1" customWidth="1"/>
    <col min="27" max="27" width="15.1640625" bestFit="1" customWidth="1"/>
    <col min="28" max="29" width="15.5" bestFit="1" customWidth="1"/>
    <col min="32" max="32" width="16" customWidth="1"/>
  </cols>
  <sheetData>
    <row r="2" spans="25:31" ht="26">
      <c r="Z2" s="1097"/>
      <c r="AA2" s="1098" t="s">
        <v>1660</v>
      </c>
      <c r="AB2" s="1097"/>
      <c r="AC2" s="1097"/>
      <c r="AE2" s="1101" t="b">
        <v>0</v>
      </c>
    </row>
    <row r="3" spans="25:31" ht="26">
      <c r="Z3" s="1097"/>
      <c r="AA3" s="1097"/>
      <c r="AB3" s="1097"/>
      <c r="AC3" s="1097"/>
    </row>
    <row r="4" spans="25:31" ht="26">
      <c r="Z4" s="1097"/>
      <c r="AA4" s="1099" t="s">
        <v>964</v>
      </c>
      <c r="AB4" s="1099" t="s">
        <v>1641</v>
      </c>
      <c r="AC4" s="1099" t="s">
        <v>1642</v>
      </c>
    </row>
    <row r="5" spans="25:31" ht="26">
      <c r="Z5" s="1097" t="s">
        <v>1643</v>
      </c>
      <c r="AA5" s="1109">
        <f>AB5+AC5</f>
        <v>169659.3</v>
      </c>
      <c r="AB5" s="1110">
        <v>113733.8</v>
      </c>
      <c r="AC5" s="1110">
        <v>55925.5</v>
      </c>
    </row>
    <row r="6" spans="25:31" ht="26">
      <c r="Z6" s="1097" t="s">
        <v>1644</v>
      </c>
      <c r="AA6" s="1109">
        <f>AB6+AC6</f>
        <v>8263.1</v>
      </c>
      <c r="AB6" s="1110">
        <v>5160.1000000000004</v>
      </c>
      <c r="AC6" s="1110">
        <v>3103</v>
      </c>
    </row>
    <row r="7" spans="25:31" ht="26">
      <c r="Y7" s="1097"/>
      <c r="Z7" s="1097"/>
      <c r="AA7" s="1109">
        <f>AA5+AA6</f>
        <v>177922.4</v>
      </c>
      <c r="AB7" s="1109">
        <f t="shared" ref="AB7" si="0">AB5+AB6</f>
        <v>118893.90000000001</v>
      </c>
      <c r="AC7" s="1109">
        <f t="shared" ref="AC7" si="1">AC5+AC6</f>
        <v>59028.5</v>
      </c>
      <c r="AD7" s="1097"/>
    </row>
    <row r="8" spans="25:31" ht="26">
      <c r="Y8" s="1097"/>
      <c r="Z8" s="1097" t="s">
        <v>20</v>
      </c>
      <c r="AA8" s="1115">
        <f>AB8+AC8</f>
        <v>47620</v>
      </c>
      <c r="AB8" s="1116">
        <f>AC17</f>
        <v>29890</v>
      </c>
      <c r="AC8" s="1116">
        <f>AB17</f>
        <v>17730</v>
      </c>
      <c r="AD8" s="1097"/>
      <c r="AE8" s="1097"/>
    </row>
    <row r="11" spans="25:31" ht="26">
      <c r="Y11" s="1097"/>
      <c r="Z11" s="1097"/>
      <c r="AA11" s="1098" t="s">
        <v>1659</v>
      </c>
      <c r="AB11" s="1097"/>
      <c r="AC11" s="1097"/>
      <c r="AD11" s="1097"/>
      <c r="AE11" s="1101" t="b">
        <v>0</v>
      </c>
    </row>
    <row r="12" spans="25:31" ht="26">
      <c r="Y12" s="1097"/>
      <c r="Z12" s="1097"/>
      <c r="AA12" s="1097"/>
      <c r="AB12" s="1097"/>
      <c r="AC12" s="1097"/>
      <c r="AD12" s="1097"/>
      <c r="AE12" s="1097"/>
    </row>
    <row r="13" spans="25:31" ht="26">
      <c r="Y13" s="1097"/>
      <c r="Z13" s="1097"/>
      <c r="AA13" s="1099" t="s">
        <v>964</v>
      </c>
      <c r="AB13" s="1099" t="s">
        <v>1641</v>
      </c>
      <c r="AC13" s="1099" t="s">
        <v>1642</v>
      </c>
      <c r="AD13" s="1097"/>
      <c r="AE13" s="1097"/>
    </row>
    <row r="14" spans="25:31" ht="26">
      <c r="Y14" s="1097"/>
      <c r="Z14" s="1097" t="s">
        <v>1643</v>
      </c>
      <c r="AA14" s="1109">
        <f>AB14+AC14</f>
        <v>169659.3</v>
      </c>
      <c r="AB14" s="1110">
        <v>55925.5</v>
      </c>
      <c r="AC14" s="1110">
        <v>113733.8</v>
      </c>
      <c r="AD14" s="1097"/>
      <c r="AE14" s="1097"/>
    </row>
    <row r="15" spans="25:31" ht="26">
      <c r="Y15" s="1097"/>
      <c r="Z15" s="1097" t="s">
        <v>1644</v>
      </c>
      <c r="AA15" s="1109">
        <f>AB15+AC15</f>
        <v>8263.1</v>
      </c>
      <c r="AB15" s="1110">
        <v>3103</v>
      </c>
      <c r="AC15" s="1110">
        <v>5160.1000000000004</v>
      </c>
      <c r="AD15" s="1097"/>
      <c r="AE15" s="1097"/>
    </row>
    <row r="16" spans="25:31" ht="26">
      <c r="Y16" s="1097"/>
      <c r="Z16" s="1097"/>
      <c r="AA16" s="1109">
        <f>AA14+AA15</f>
        <v>177922.4</v>
      </c>
      <c r="AB16" s="1109">
        <f t="shared" ref="AB16:AC16" si="2">AB14+AB15</f>
        <v>59028.5</v>
      </c>
      <c r="AC16" s="1109">
        <f t="shared" si="2"/>
        <v>118893.90000000001</v>
      </c>
      <c r="AD16" s="1097"/>
      <c r="AE16" s="1097"/>
    </row>
    <row r="17" spans="25:34" ht="26">
      <c r="Y17" s="1097"/>
      <c r="Z17" s="1097" t="s">
        <v>20</v>
      </c>
      <c r="AA17" s="1115">
        <f>AB17+AC17</f>
        <v>47620</v>
      </c>
      <c r="AB17" s="1115">
        <v>17730</v>
      </c>
      <c r="AC17" s="1115">
        <f>29890</f>
        <v>29890</v>
      </c>
      <c r="AD17" s="1097"/>
      <c r="AE17" s="1097"/>
    </row>
    <row r="18" spans="25:34" ht="26">
      <c r="Y18" s="1097"/>
      <c r="Z18" s="1097"/>
      <c r="AA18" s="1100"/>
      <c r="AC18" s="1100"/>
      <c r="AD18" s="1097"/>
      <c r="AE18" s="1097"/>
    </row>
    <row r="19" spans="25:34" ht="26">
      <c r="Y19" s="1094"/>
      <c r="Z19" s="1097"/>
      <c r="AA19" s="1098" t="s">
        <v>1657</v>
      </c>
      <c r="AB19" s="1097"/>
      <c r="AC19" s="1097"/>
      <c r="AD19" s="1094"/>
      <c r="AE19" s="1101" t="b">
        <v>1</v>
      </c>
    </row>
    <row r="20" spans="25:34" ht="26">
      <c r="Y20" s="1094"/>
      <c r="Z20" s="1097"/>
      <c r="AA20" s="1097"/>
      <c r="AB20" s="1113">
        <f>AB22/$AA$22</f>
        <v>0.53874800957058666</v>
      </c>
      <c r="AC20" s="1113">
        <f>AC22/$AA$22</f>
        <v>0.46125199042941345</v>
      </c>
      <c r="AD20" s="1094"/>
    </row>
    <row r="21" spans="25:34" ht="26">
      <c r="Y21" s="1094"/>
      <c r="Z21" s="1097"/>
      <c r="AA21" s="1099" t="s">
        <v>964</v>
      </c>
      <c r="AB21" s="1099" t="s">
        <v>1641</v>
      </c>
      <c r="AC21" s="1099" t="s">
        <v>1642</v>
      </c>
      <c r="AD21" s="1094"/>
    </row>
    <row r="22" spans="25:34" ht="26">
      <c r="Z22" s="1097" t="s">
        <v>1643</v>
      </c>
      <c r="AA22" s="1109">
        <f>AB22+AC22</f>
        <v>169435.8</v>
      </c>
      <c r="AB22" s="1110">
        <v>91283.199999999997</v>
      </c>
      <c r="AC22" s="1110">
        <v>78152.600000000006</v>
      </c>
    </row>
    <row r="23" spans="25:34" ht="26">
      <c r="Z23" s="1097" t="s">
        <v>1644</v>
      </c>
      <c r="AA23" s="1109">
        <f>AB23+AC23</f>
        <v>8707.4</v>
      </c>
      <c r="AB23" s="1110">
        <v>5042.8</v>
      </c>
      <c r="AC23" s="1110">
        <v>3664.6</v>
      </c>
    </row>
    <row r="24" spans="25:34" ht="26">
      <c r="Z24" s="1097"/>
      <c r="AA24" s="1109">
        <f>AA22+AA23</f>
        <v>178143.19999999998</v>
      </c>
      <c r="AB24" s="1109">
        <f t="shared" ref="AB24" si="3">AB22+AB23</f>
        <v>96326</v>
      </c>
      <c r="AC24" s="1109">
        <f t="shared" ref="AC24" si="4">AC22+AC23</f>
        <v>81817.200000000012</v>
      </c>
    </row>
    <row r="25" spans="25:34" ht="26">
      <c r="Z25" s="1097" t="s">
        <v>20</v>
      </c>
      <c r="AA25" s="1115">
        <f>AB25+AC25</f>
        <v>47620</v>
      </c>
      <c r="AB25" s="1115">
        <v>25440</v>
      </c>
      <c r="AC25" s="1115">
        <v>22180</v>
      </c>
    </row>
    <row r="27" spans="25:34">
      <c r="AH27" s="1118"/>
    </row>
    <row r="28" spans="25:34" ht="26">
      <c r="Z28" s="1097"/>
      <c r="AA28" s="1098" t="s">
        <v>1658</v>
      </c>
      <c r="AB28" s="1097"/>
      <c r="AC28" s="1097"/>
      <c r="AD28" s="1094"/>
      <c r="AE28" s="1101" t="b">
        <v>0</v>
      </c>
      <c r="AF28" s="1396"/>
    </row>
    <row r="29" spans="25:34" ht="26">
      <c r="Z29" s="1097"/>
      <c r="AA29" s="1097"/>
      <c r="AB29" s="1113">
        <f>DB!B107</f>
        <v>0.5</v>
      </c>
      <c r="AC29" s="1113">
        <f>1-AB29</f>
        <v>0.5</v>
      </c>
      <c r="AD29" s="1094"/>
    </row>
    <row r="30" spans="25:34" ht="26">
      <c r="Z30" s="1097"/>
      <c r="AA30" s="1099" t="s">
        <v>964</v>
      </c>
      <c r="AB30" s="1099" t="s">
        <v>1641</v>
      </c>
      <c r="AC30" s="1099" t="s">
        <v>1642</v>
      </c>
      <c r="AD30" s="1094"/>
    </row>
    <row r="31" spans="25:34" ht="26">
      <c r="Z31" s="1097" t="s">
        <v>1643</v>
      </c>
      <c r="AA31" s="1109">
        <v>169659.3</v>
      </c>
      <c r="AB31" s="1110">
        <f>$AA$31*AB29</f>
        <v>84829.65</v>
      </c>
      <c r="AC31" s="1110">
        <f>$AA$31*AC29</f>
        <v>84829.65</v>
      </c>
    </row>
    <row r="32" spans="25:34" ht="26">
      <c r="Z32" s="1097" t="s">
        <v>1644</v>
      </c>
      <c r="AA32" s="1109">
        <v>8263.1</v>
      </c>
      <c r="AB32" s="1110">
        <f>$AA$32*AB29</f>
        <v>4131.55</v>
      </c>
      <c r="AC32" s="1110">
        <f>$AA$32*AC29</f>
        <v>4131.55</v>
      </c>
    </row>
    <row r="33" spans="16:30" ht="26">
      <c r="Z33" s="1097"/>
      <c r="AA33" s="1109">
        <v>177922.4</v>
      </c>
      <c r="AB33" s="1109">
        <f t="shared" ref="AB33" si="5">AB31+AB32</f>
        <v>88961.2</v>
      </c>
      <c r="AC33" s="1109">
        <f t="shared" ref="AC33" si="6">AC31+AC32</f>
        <v>88961.2</v>
      </c>
    </row>
    <row r="34" spans="16:30" ht="26">
      <c r="Z34" s="1097" t="s">
        <v>20</v>
      </c>
      <c r="AA34" s="1115">
        <f>AB34+AC34</f>
        <v>47620</v>
      </c>
      <c r="AB34" s="1115">
        <f>29890</f>
        <v>29890</v>
      </c>
      <c r="AC34" s="1115">
        <v>17730</v>
      </c>
    </row>
    <row r="38" spans="16:30">
      <c r="P38" s="258"/>
    </row>
    <row r="41" spans="16:30" ht="31">
      <c r="AA41" s="1112" t="s">
        <v>103</v>
      </c>
      <c r="AB41" s="1111">
        <f>DB!U38</f>
        <v>9345.550879133636</v>
      </c>
      <c r="AC41" s="1111">
        <v>9215.7440114442961</v>
      </c>
      <c r="AD41" s="1118">
        <f>AB41-AC41</f>
        <v>129.80686768933992</v>
      </c>
    </row>
    <row r="42" spans="16:30" ht="31">
      <c r="AA42" s="1112" t="s">
        <v>1656</v>
      </c>
      <c r="AB42" s="1111">
        <f>DB!U44</f>
        <v>1866.4392570118118</v>
      </c>
      <c r="AC42" s="1111">
        <v>1883.7835436312919</v>
      </c>
      <c r="AD42" s="1118">
        <f t="shared" ref="AD42:AD44" si="7">AB42-AC42</f>
        <v>-17.344286619480044</v>
      </c>
    </row>
    <row r="43" spans="16:30" ht="31">
      <c r="AA43" s="1112" t="s">
        <v>464</v>
      </c>
      <c r="AB43" s="1161">
        <f>DB!U43</f>
        <v>1.1966655386188092</v>
      </c>
      <c r="AC43" s="1161">
        <v>1.1946846108222726</v>
      </c>
      <c r="AD43" s="1118">
        <f t="shared" si="7"/>
        <v>1.9809277965365801E-3</v>
      </c>
    </row>
    <row r="44" spans="16:30" ht="31">
      <c r="AA44" s="1112" t="s">
        <v>466</v>
      </c>
      <c r="AB44" s="1162">
        <f>DB!U41</f>
        <v>0.17550439664713391</v>
      </c>
      <c r="AC44" s="1162">
        <v>0.17660577757461748</v>
      </c>
      <c r="AD44" s="1118">
        <f t="shared" si="7"/>
        <v>-1.1013809274835751E-3</v>
      </c>
    </row>
    <row r="54" spans="6:15" s="1097" customFormat="1" ht="26"/>
    <row r="55" spans="6:15" s="1097" customFormat="1" ht="26">
      <c r="F55" s="1160"/>
      <c r="G55" s="1160" t="s">
        <v>1685</v>
      </c>
      <c r="H55" s="1160"/>
      <c r="I55" s="1160"/>
      <c r="J55" s="1160"/>
      <c r="K55" s="1160"/>
      <c r="L55" s="1160"/>
      <c r="M55" s="1160"/>
      <c r="N55" s="1160"/>
      <c r="O55" s="1160"/>
    </row>
    <row r="56" spans="6:15" s="1097" customFormat="1" ht="26">
      <c r="F56" s="1160"/>
      <c r="G56" s="1160"/>
      <c r="H56" s="1160"/>
      <c r="I56" s="1160"/>
      <c r="J56" s="1160"/>
      <c r="K56" s="1160"/>
      <c r="L56" s="1160"/>
      <c r="M56" s="1160"/>
      <c r="N56" s="1160"/>
      <c r="O56" s="1160"/>
    </row>
    <row r="57" spans="6:15" s="1097" customFormat="1" ht="26">
      <c r="F57" s="1160">
        <v>1</v>
      </c>
      <c r="G57" s="1160" t="s">
        <v>1686</v>
      </c>
      <c r="H57" s="1160"/>
      <c r="I57" s="1160"/>
      <c r="J57" s="1160"/>
      <c r="K57" s="1160"/>
      <c r="L57" s="1160"/>
      <c r="M57" s="1160"/>
      <c r="N57" s="1160"/>
      <c r="O57" s="1160"/>
    </row>
    <row r="58" spans="6:15" s="1097" customFormat="1" ht="26">
      <c r="F58" s="1160">
        <v>2</v>
      </c>
      <c r="G58" s="1160" t="s">
        <v>1687</v>
      </c>
      <c r="H58" s="1160"/>
      <c r="I58" s="1160"/>
      <c r="J58" s="1160"/>
      <c r="K58" s="1160"/>
      <c r="L58" s="1160"/>
      <c r="M58" s="1160"/>
      <c r="N58" s="1160"/>
      <c r="O58" s="1160"/>
    </row>
    <row r="59" spans="6:15" s="1097" customFormat="1" ht="26">
      <c r="F59" s="1160">
        <v>3</v>
      </c>
      <c r="G59" s="1160" t="s">
        <v>1688</v>
      </c>
      <c r="H59" s="1160"/>
      <c r="I59" s="1160"/>
      <c r="J59" s="1160"/>
      <c r="K59" s="1160"/>
      <c r="L59" s="1160"/>
      <c r="M59" s="1160"/>
      <c r="N59" s="1160"/>
      <c r="O59" s="1160"/>
    </row>
    <row r="60" spans="6:15" s="1097" customFormat="1" ht="26">
      <c r="F60" s="1160"/>
      <c r="G60" s="1160"/>
      <c r="H60" s="1160"/>
      <c r="I60" s="1160"/>
      <c r="J60" s="1160"/>
      <c r="K60" s="1160"/>
      <c r="L60" s="1160"/>
      <c r="M60" s="1160"/>
      <c r="N60" s="1160"/>
      <c r="O60" s="1160"/>
    </row>
    <row r="61" spans="6:15" s="1097" customFormat="1" ht="26"/>
    <row r="62" spans="6:15" s="1097" customFormat="1" ht="26"/>
    <row r="63" spans="6:15" s="1097" customFormat="1" ht="26"/>
    <row r="64" spans="6:15" s="1097" customFormat="1" ht="26"/>
    <row r="65" s="1097" customFormat="1" ht="26"/>
    <row r="66" s="1097" customFormat="1" ht="26"/>
    <row r="67" s="1097" customFormat="1" ht="26"/>
    <row r="68" s="1097" customFormat="1" ht="26"/>
    <row r="69" s="1097" customFormat="1" ht="26"/>
    <row r="70" s="1097" customFormat="1" ht="26"/>
    <row r="71" s="1097" customFormat="1" ht="26"/>
    <row r="72" s="1097" customFormat="1" ht="26"/>
    <row r="73" s="1097" customFormat="1" ht="26"/>
    <row r="74" s="1097" customFormat="1" ht="26"/>
    <row r="75" s="1097" customFormat="1" ht="26"/>
    <row r="76" s="1097" customFormat="1" ht="26"/>
    <row r="77" s="1097" customFormat="1" ht="26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A40E-C074-5246-AF08-0F38AE78FF10}">
  <sheetPr>
    <tabColor rgb="FF83D6CD"/>
    <pageSetUpPr fitToPage="1"/>
  </sheetPr>
  <dimension ref="A2:AF152"/>
  <sheetViews>
    <sheetView showGridLines="0" showZeros="0" zoomScaleNormal="100" workbookViewId="0">
      <pane xSplit="9" ySplit="5" topLeftCell="J79" activePane="bottomRight" state="frozen"/>
      <selection activeCell="AF28" sqref="AF28"/>
      <selection pane="topRight" activeCell="AF28" sqref="AF28"/>
      <selection pane="bottomLeft" activeCell="AF28" sqref="AF28"/>
      <selection pane="bottomRight" activeCell="A91" sqref="A91:XFD91"/>
    </sheetView>
  </sheetViews>
  <sheetFormatPr baseColWidth="10" defaultColWidth="10.83203125" defaultRowHeight="15" outlineLevelRow="2" outlineLevelCol="1"/>
  <cols>
    <col min="2" max="5" width="11" customWidth="1"/>
    <col min="6" max="6" width="7.83203125" style="391" customWidth="1"/>
    <col min="7" max="7" width="7.83203125" customWidth="1"/>
    <col min="8" max="9" width="6.5" bestFit="1" customWidth="1"/>
    <col min="10" max="10" width="10.83203125" customWidth="1"/>
    <col min="14" max="15" width="10.83203125" style="1" hidden="1" customWidth="1" outlineLevel="1"/>
    <col min="16" max="16" width="10.83203125" collapsed="1"/>
    <col min="18" max="23" width="10.83203125" hidden="1" customWidth="1" outlineLevel="1"/>
    <col min="24" max="24" width="10.83203125" collapsed="1"/>
  </cols>
  <sheetData>
    <row r="2" spans="1:23" s="206" customFormat="1" ht="21">
      <c r="B2" s="206" t="s">
        <v>252</v>
      </c>
      <c r="F2" s="571"/>
      <c r="N2" s="1053"/>
      <c r="O2" s="1053"/>
      <c r="V2" s="207"/>
    </row>
    <row r="3" spans="1:23" s="206" customFormat="1" ht="21">
      <c r="B3" s="206" t="s">
        <v>253</v>
      </c>
      <c r="E3" s="208" t="str">
        <f>DB!C2</f>
        <v>КАСАТКИНА</v>
      </c>
      <c r="F3" s="571"/>
      <c r="J3" s="209" t="str">
        <f t="shared" ref="J3:L4" ca="1" si="0">OFFSET($Q3,,MATCH(J$5,$R$5:$W$5,0))</f>
        <v>📌</v>
      </c>
      <c r="K3" s="209" t="str">
        <f t="shared" ca="1" si="0"/>
        <v>📌</v>
      </c>
      <c r="L3" s="209" t="str">
        <f t="shared" ca="1" si="0"/>
        <v>📌</v>
      </c>
      <c r="M3" s="210"/>
      <c r="N3" s="1053"/>
      <c r="O3" s="1053"/>
      <c r="Q3" s="211"/>
      <c r="R3" s="209" t="s">
        <v>323</v>
      </c>
      <c r="S3" s="209" t="s">
        <v>323</v>
      </c>
      <c r="T3" s="209" t="s">
        <v>323</v>
      </c>
      <c r="U3" s="209" t="s">
        <v>323</v>
      </c>
      <c r="V3" s="209" t="s">
        <v>323</v>
      </c>
      <c r="W3" s="209" t="s">
        <v>323</v>
      </c>
    </row>
    <row r="4" spans="1:23" s="213" customFormat="1" ht="22.5" customHeight="1">
      <c r="A4" s="212"/>
      <c r="F4" s="272"/>
      <c r="H4" s="652" t="str">
        <f ca="1">K4</f>
        <v>1 оч</v>
      </c>
      <c r="I4" s="652" t="str">
        <f ca="1">L4</f>
        <v>2 оч</v>
      </c>
      <c r="J4" s="214" t="str">
        <f t="shared" ca="1" si="0"/>
        <v>ТЭПы 50 / 50</v>
      </c>
      <c r="K4" s="214" t="str">
        <f t="shared" ca="1" si="0"/>
        <v>1 оч</v>
      </c>
      <c r="L4" s="214" t="str">
        <f t="shared" ca="1" si="0"/>
        <v>2 оч</v>
      </c>
      <c r="M4" s="214" t="str">
        <f ca="1">CONCATENATE(K4," vs ",L4)</f>
        <v>1 оч vs 2 оч</v>
      </c>
      <c r="N4" s="1418" t="s">
        <v>314</v>
      </c>
      <c r="O4" s="1418"/>
      <c r="P4" s="215"/>
      <c r="Q4" s="216"/>
      <c r="R4" s="1117" t="s">
        <v>1689</v>
      </c>
      <c r="S4" s="1103" t="s">
        <v>488</v>
      </c>
      <c r="T4" s="1104" t="s">
        <v>489</v>
      </c>
      <c r="U4" s="1114"/>
      <c r="V4" s="1105" t="s">
        <v>488</v>
      </c>
      <c r="W4" s="1106" t="s">
        <v>489</v>
      </c>
    </row>
    <row r="5" spans="1:23" s="211" customFormat="1">
      <c r="A5" s="218"/>
      <c r="B5" s="598" t="s">
        <v>254</v>
      </c>
      <c r="C5" s="599"/>
      <c r="D5" s="599"/>
      <c r="E5" s="600"/>
      <c r="F5" s="958" t="s">
        <v>9</v>
      </c>
      <c r="H5" s="653">
        <f>K5</f>
        <v>45779</v>
      </c>
      <c r="I5" s="654">
        <f>L5</f>
        <v>45780</v>
      </c>
      <c r="J5" s="991">
        <v>45778</v>
      </c>
      <c r="K5" s="992">
        <v>45779</v>
      </c>
      <c r="L5" s="992">
        <v>45780</v>
      </c>
      <c r="M5" s="965" t="s">
        <v>255</v>
      </c>
      <c r="N5" s="1083" t="s">
        <v>256</v>
      </c>
      <c r="O5" s="1084" t="s">
        <v>257</v>
      </c>
      <c r="P5" s="993" t="s">
        <v>258</v>
      </c>
      <c r="R5" s="219">
        <v>45778</v>
      </c>
      <c r="S5" s="219">
        <f>R5+1</f>
        <v>45779</v>
      </c>
      <c r="T5" s="219">
        <f>R5+2</f>
        <v>45780</v>
      </c>
      <c r="U5" s="219">
        <v>45809</v>
      </c>
      <c r="V5" s="219">
        <v>45810</v>
      </c>
      <c r="W5" s="219">
        <v>45811</v>
      </c>
    </row>
    <row r="6" spans="1:23" s="211" customFormat="1">
      <c r="A6" s="220"/>
      <c r="B6" s="601" t="s">
        <v>158</v>
      </c>
      <c r="C6" s="601"/>
      <c r="D6" s="601"/>
      <c r="E6" s="601"/>
      <c r="F6" s="948"/>
      <c r="G6" s="602"/>
      <c r="H6" s="1419" t="s">
        <v>259</v>
      </c>
      <c r="I6" s="1420"/>
      <c r="J6" s="636">
        <f>SUMIFS($R6:$W6,$R$5:$W$5,$J$5)</f>
        <v>47620</v>
      </c>
      <c r="K6" s="635">
        <f>SUMIFS($R6:$W6,$R$5:$W$5,$K$5)</f>
        <v>25440</v>
      </c>
      <c r="L6" s="635">
        <f>SUMIFS($R6:$W6,$R$5:$W$5,$L$5)</f>
        <v>22180</v>
      </c>
      <c r="M6" s="966">
        <f>L6-K6</f>
        <v>-3260</v>
      </c>
      <c r="N6" s="1054"/>
      <c r="O6" s="1055"/>
      <c r="P6" s="994" t="str">
        <f>LEFT(Y6,4)</f>
        <v/>
      </c>
      <c r="R6" s="221">
        <f>DB!P51</f>
        <v>47620</v>
      </c>
      <c r="S6" s="221">
        <f>'DB1'!P51</f>
        <v>25440</v>
      </c>
      <c r="T6" s="221">
        <f>'DB2'!P51</f>
        <v>22180</v>
      </c>
      <c r="U6" s="221"/>
      <c r="V6" s="221"/>
      <c r="W6" s="221"/>
    </row>
    <row r="7" spans="1:23" s="211" customFormat="1">
      <c r="A7" s="220"/>
      <c r="B7" s="601" t="s">
        <v>160</v>
      </c>
      <c r="C7" s="601"/>
      <c r="D7" s="601"/>
      <c r="E7" s="601"/>
      <c r="F7" s="949">
        <v>40000</v>
      </c>
      <c r="G7" s="668" t="s">
        <v>966</v>
      </c>
      <c r="H7" s="1419" t="s">
        <v>259</v>
      </c>
      <c r="I7" s="1420"/>
      <c r="J7" s="636">
        <f t="shared" ref="J7:J70" si="1">SUMIFS($R7:$W7,$R$5:$W$5,$J$5)</f>
        <v>35000</v>
      </c>
      <c r="K7" s="635">
        <f t="shared" ref="K7:K70" si="2">SUMIFS($R7:$W7,$R$5:$W$5,$K$5)</f>
        <v>35000</v>
      </c>
      <c r="L7" s="635">
        <f t="shared" ref="L7:L70" si="3">SUMIFS($R7:$W7,$R$5:$W$5,$L$5)</f>
        <v>35000</v>
      </c>
      <c r="M7" s="966">
        <f>L7-K7</f>
        <v>0</v>
      </c>
      <c r="N7" s="1054"/>
      <c r="O7" s="1055"/>
      <c r="P7" s="994" t="str">
        <f t="shared" ref="P7:P70" si="4">LEFT(Y7,4)</f>
        <v/>
      </c>
      <c r="R7" s="221">
        <f>DB!P2</f>
        <v>35000</v>
      </c>
      <c r="S7" s="221">
        <f>'DB1'!P2</f>
        <v>35000</v>
      </c>
      <c r="T7" s="221">
        <f>'DB2'!P2</f>
        <v>35000</v>
      </c>
      <c r="U7" s="221"/>
      <c r="V7" s="221"/>
      <c r="W7" s="221"/>
    </row>
    <row r="8" spans="1:23" s="211" customFormat="1">
      <c r="A8" s="220"/>
      <c r="B8" s="601" t="s">
        <v>260</v>
      </c>
      <c r="C8" s="601"/>
      <c r="D8" s="601"/>
      <c r="E8" s="601"/>
      <c r="F8" s="950"/>
      <c r="G8" s="604"/>
      <c r="H8" s="1419" t="s">
        <v>259</v>
      </c>
      <c r="I8" s="1420"/>
      <c r="J8" s="636">
        <f t="shared" si="1"/>
        <v>178143.19999999998</v>
      </c>
      <c r="K8" s="635">
        <f t="shared" si="2"/>
        <v>96326</v>
      </c>
      <c r="L8" s="635">
        <f t="shared" si="3"/>
        <v>81817.200000000012</v>
      </c>
      <c r="M8" s="966">
        <f>L8-K8</f>
        <v>-14508.799999999988</v>
      </c>
      <c r="N8" s="1054"/>
      <c r="O8" s="1055"/>
      <c r="P8" s="994" t="str">
        <f t="shared" si="4"/>
        <v/>
      </c>
      <c r="R8" s="221">
        <f>DB!F7</f>
        <v>178143.19999999998</v>
      </c>
      <c r="S8" s="221">
        <f>'DB1'!F7</f>
        <v>96326</v>
      </c>
      <c r="T8" s="221">
        <f>'DB2'!F7</f>
        <v>81817.200000000012</v>
      </c>
      <c r="U8" s="221"/>
      <c r="V8" s="221"/>
      <c r="W8" s="221"/>
    </row>
    <row r="9" spans="1:23" s="211" customFormat="1">
      <c r="A9" s="220"/>
      <c r="B9" s="601" t="s">
        <v>0</v>
      </c>
      <c r="C9" s="601"/>
      <c r="D9" s="601"/>
      <c r="E9" s="601"/>
      <c r="F9" s="950"/>
      <c r="G9" s="604"/>
      <c r="H9" s="1419" t="s">
        <v>259</v>
      </c>
      <c r="I9" s="1420"/>
      <c r="J9" s="636">
        <f t="shared" si="1"/>
        <v>178143.19999999998</v>
      </c>
      <c r="K9" s="635">
        <f t="shared" si="2"/>
        <v>96326</v>
      </c>
      <c r="L9" s="635">
        <f t="shared" si="3"/>
        <v>81817.200000000012</v>
      </c>
      <c r="M9" s="966">
        <f>L9-K9</f>
        <v>-14508.799999999988</v>
      </c>
      <c r="N9" s="1054"/>
      <c r="O9" s="1055"/>
      <c r="P9" s="994" t="str">
        <f t="shared" si="4"/>
        <v/>
      </c>
      <c r="R9" s="221">
        <f>DB!F7</f>
        <v>178143.19999999998</v>
      </c>
      <c r="S9" s="221">
        <f>'DB1'!F7</f>
        <v>96326</v>
      </c>
      <c r="T9" s="221">
        <f>'DB2'!F7</f>
        <v>81817.200000000012</v>
      </c>
      <c r="U9" s="221"/>
      <c r="V9" s="221"/>
      <c r="W9" s="221"/>
    </row>
    <row r="10" spans="1:23" s="211" customFormat="1" ht="15" customHeight="1" outlineLevel="1">
      <c r="A10" s="220"/>
      <c r="B10" s="667">
        <f>DB!D8</f>
        <v>0.95112134507519797</v>
      </c>
      <c r="C10" s="238" t="s">
        <v>261</v>
      </c>
      <c r="D10" s="223"/>
      <c r="E10" s="224"/>
      <c r="F10" s="951"/>
      <c r="G10" s="585"/>
      <c r="H10" s="1414" t="s">
        <v>259</v>
      </c>
      <c r="I10" s="1415"/>
      <c r="J10" s="995">
        <f t="shared" si="1"/>
        <v>169435.8</v>
      </c>
      <c r="K10" s="996">
        <f t="shared" si="2"/>
        <v>91283.199999999997</v>
      </c>
      <c r="L10" s="996">
        <f t="shared" si="3"/>
        <v>78152.600000000006</v>
      </c>
      <c r="M10" s="967">
        <f t="shared" ref="M10:M13" si="5">L10-K10</f>
        <v>-13130.599999999991</v>
      </c>
      <c r="N10" s="1056"/>
      <c r="O10" s="1057"/>
      <c r="P10" s="997" t="str">
        <f t="shared" si="4"/>
        <v/>
      </c>
      <c r="Q10" s="225"/>
      <c r="R10" s="286">
        <f>DB!F8</f>
        <v>169435.8</v>
      </c>
      <c r="S10" s="286">
        <f>'DB1'!F8</f>
        <v>91283.199999999997</v>
      </c>
      <c r="T10" s="286">
        <f>'DB2'!F8</f>
        <v>78152.600000000006</v>
      </c>
      <c r="U10" s="286"/>
      <c r="V10" s="286"/>
      <c r="W10" s="286"/>
    </row>
    <row r="11" spans="1:23" s="211" customFormat="1" ht="15" hidden="1" customHeight="1" outlineLevel="1">
      <c r="A11" s="220"/>
      <c r="B11" s="320"/>
      <c r="C11" s="301" t="s">
        <v>262</v>
      </c>
      <c r="D11" s="223"/>
      <c r="E11" s="224"/>
      <c r="F11" s="951"/>
      <c r="G11" s="585"/>
      <c r="H11" s="1414" t="s">
        <v>259</v>
      </c>
      <c r="I11" s="1415"/>
      <c r="J11" s="995">
        <f t="shared" si="1"/>
        <v>0</v>
      </c>
      <c r="K11" s="996">
        <f t="shared" si="2"/>
        <v>0</v>
      </c>
      <c r="L11" s="996">
        <f t="shared" si="3"/>
        <v>0</v>
      </c>
      <c r="M11" s="967">
        <f t="shared" si="5"/>
        <v>0</v>
      </c>
      <c r="N11" s="1056"/>
      <c r="O11" s="1057"/>
      <c r="P11" s="997" t="str">
        <f t="shared" si="4"/>
        <v/>
      </c>
      <c r="Q11" s="225"/>
      <c r="R11" s="286"/>
      <c r="S11" s="286"/>
      <c r="T11" s="286"/>
      <c r="U11" s="286"/>
      <c r="V11" s="286"/>
      <c r="W11" s="286"/>
    </row>
    <row r="12" spans="1:23" s="211" customFormat="1" ht="15" customHeight="1" outlineLevel="1">
      <c r="A12" s="220"/>
      <c r="B12" s="667">
        <f>'DB1'!D11</f>
        <v>5.2351390071216496E-2</v>
      </c>
      <c r="C12" s="238" t="s">
        <v>263</v>
      </c>
      <c r="D12" s="223"/>
      <c r="E12" s="224"/>
      <c r="F12" s="951"/>
      <c r="G12" s="585"/>
      <c r="H12" s="1414" t="s">
        <v>259</v>
      </c>
      <c r="I12" s="1415"/>
      <c r="J12" s="995">
        <f t="shared" si="1"/>
        <v>8707.4</v>
      </c>
      <c r="K12" s="996">
        <f t="shared" si="2"/>
        <v>5042.8</v>
      </c>
      <c r="L12" s="996">
        <f t="shared" si="3"/>
        <v>3664.6</v>
      </c>
      <c r="M12" s="967">
        <f t="shared" si="5"/>
        <v>-1378.2000000000003</v>
      </c>
      <c r="N12" s="1056"/>
      <c r="O12" s="1057"/>
      <c r="P12" s="997" t="str">
        <f t="shared" si="4"/>
        <v/>
      </c>
      <c r="Q12" s="225"/>
      <c r="R12" s="286">
        <f>DB!F11</f>
        <v>8707.4</v>
      </c>
      <c r="S12" s="286">
        <f>'DB1'!F11</f>
        <v>5042.8</v>
      </c>
      <c r="T12" s="286">
        <f>'DB2'!F11</f>
        <v>3664.6</v>
      </c>
      <c r="U12" s="286"/>
      <c r="V12" s="286"/>
      <c r="W12" s="286"/>
    </row>
    <row r="13" spans="1:23" s="211" customFormat="1" ht="15" hidden="1" customHeight="1" outlineLevel="1">
      <c r="A13" s="220"/>
      <c r="B13" s="226"/>
      <c r="C13" s="298" t="s">
        <v>126</v>
      </c>
      <c r="D13" s="223"/>
      <c r="E13" s="224"/>
      <c r="F13" s="951"/>
      <c r="G13" s="585"/>
      <c r="H13" s="1414" t="s">
        <v>259</v>
      </c>
      <c r="I13" s="1415"/>
      <c r="J13" s="995">
        <f t="shared" si="1"/>
        <v>0</v>
      </c>
      <c r="K13" s="996">
        <f t="shared" si="2"/>
        <v>0</v>
      </c>
      <c r="L13" s="996">
        <f t="shared" si="3"/>
        <v>0</v>
      </c>
      <c r="M13" s="967">
        <f t="shared" si="5"/>
        <v>0</v>
      </c>
      <c r="N13" s="1056"/>
      <c r="O13" s="1057"/>
      <c r="P13" s="997" t="str">
        <f t="shared" si="4"/>
        <v/>
      </c>
      <c r="Q13" s="225"/>
      <c r="R13" s="286"/>
      <c r="S13" s="286"/>
      <c r="T13" s="286"/>
      <c r="U13" s="286"/>
      <c r="V13" s="286"/>
      <c r="W13" s="286"/>
    </row>
    <row r="14" spans="1:23" s="211" customFormat="1">
      <c r="A14" s="220"/>
      <c r="B14" s="601" t="s">
        <v>264</v>
      </c>
      <c r="C14" s="601"/>
      <c r="D14" s="601"/>
      <c r="E14" s="605"/>
      <c r="F14" s="952"/>
      <c r="G14" s="604"/>
      <c r="H14" s="1412" t="s">
        <v>259</v>
      </c>
      <c r="I14" s="1413"/>
      <c r="J14" s="636">
        <f t="shared" si="1"/>
        <v>0</v>
      </c>
      <c r="K14" s="635">
        <f t="shared" si="2"/>
        <v>0</v>
      </c>
      <c r="L14" s="635">
        <f t="shared" si="3"/>
        <v>0</v>
      </c>
      <c r="M14" s="966">
        <f>L14-K14</f>
        <v>0</v>
      </c>
      <c r="N14" s="1054"/>
      <c r="O14" s="1055"/>
      <c r="P14" s="994" t="str">
        <f t="shared" si="4"/>
        <v/>
      </c>
      <c r="R14" s="221">
        <f>R15+R16</f>
        <v>0</v>
      </c>
      <c r="S14" s="221">
        <f t="shared" ref="S14:T14" si="6">S15+S16</f>
        <v>0</v>
      </c>
      <c r="T14" s="221">
        <f t="shared" si="6"/>
        <v>0</v>
      </c>
      <c r="U14" s="221"/>
      <c r="V14" s="221"/>
      <c r="W14" s="221"/>
    </row>
    <row r="15" spans="1:23" s="211" customFormat="1">
      <c r="A15" s="220"/>
      <c r="B15" s="227" t="s">
        <v>265</v>
      </c>
      <c r="C15" s="225"/>
      <c r="D15" s="225"/>
      <c r="E15" s="224"/>
      <c r="F15" s="953">
        <v>5.3499999999999999E-2</v>
      </c>
      <c r="G15" s="669" t="s">
        <v>267</v>
      </c>
      <c r="H15" s="1414" t="s">
        <v>259</v>
      </c>
      <c r="I15" s="1415"/>
      <c r="J15" s="995">
        <f t="shared" si="1"/>
        <v>0</v>
      </c>
      <c r="K15" s="996">
        <f t="shared" si="2"/>
        <v>0</v>
      </c>
      <c r="L15" s="996">
        <f t="shared" si="3"/>
        <v>0</v>
      </c>
      <c r="M15" s="967">
        <f t="shared" ref="M15:M16" si="7">L15-K15</f>
        <v>0</v>
      </c>
      <c r="N15" s="1056"/>
      <c r="O15" s="1057"/>
      <c r="P15" s="997" t="str">
        <f t="shared" si="4"/>
        <v/>
      </c>
      <c r="Q15" s="222"/>
      <c r="R15" s="228"/>
      <c r="S15" s="228"/>
      <c r="T15" s="228"/>
      <c r="U15" s="228"/>
      <c r="V15" s="228"/>
      <c r="W15" s="228"/>
    </row>
    <row r="16" spans="1:23" s="211" customFormat="1">
      <c r="A16" s="220"/>
      <c r="B16" s="227" t="s">
        <v>266</v>
      </c>
      <c r="C16" s="225"/>
      <c r="D16" s="225"/>
      <c r="E16" s="225"/>
      <c r="F16" s="951"/>
      <c r="G16" s="585"/>
      <c r="H16" s="1414" t="s">
        <v>259</v>
      </c>
      <c r="I16" s="1415"/>
      <c r="J16" s="995">
        <f t="shared" si="1"/>
        <v>0</v>
      </c>
      <c r="K16" s="996">
        <f t="shared" si="2"/>
        <v>0</v>
      </c>
      <c r="L16" s="996">
        <f t="shared" si="3"/>
        <v>0</v>
      </c>
      <c r="M16" s="967">
        <f t="shared" si="7"/>
        <v>0</v>
      </c>
      <c r="N16" s="1056"/>
      <c r="O16" s="1057"/>
      <c r="P16" s="997" t="str">
        <f t="shared" si="4"/>
        <v/>
      </c>
      <c r="Q16" s="222"/>
      <c r="R16" s="228"/>
      <c r="S16" s="228"/>
      <c r="T16" s="228"/>
      <c r="U16" s="228"/>
      <c r="V16" s="228"/>
      <c r="W16" s="228"/>
    </row>
    <row r="17" spans="1:32" s="211" customFormat="1">
      <c r="A17" s="220"/>
      <c r="B17" s="601" t="s">
        <v>370</v>
      </c>
      <c r="C17" s="601"/>
      <c r="D17" s="601"/>
      <c r="E17" s="601"/>
      <c r="F17" s="954">
        <f>DB!G5</f>
        <v>7.0000000000000007E-2</v>
      </c>
      <c r="G17" s="668" t="s">
        <v>267</v>
      </c>
      <c r="H17" s="1412" t="s">
        <v>259</v>
      </c>
      <c r="I17" s="1413"/>
      <c r="J17" s="636">
        <f t="shared" si="1"/>
        <v>210153.17600000001</v>
      </c>
      <c r="K17" s="635">
        <f t="shared" si="2"/>
        <v>113543.18</v>
      </c>
      <c r="L17" s="635">
        <f t="shared" si="3"/>
        <v>96609.995999999999</v>
      </c>
      <c r="M17" s="966">
        <f>L17-K17</f>
        <v>-16933.183999999994</v>
      </c>
      <c r="N17" s="1054"/>
      <c r="O17" s="1055"/>
      <c r="P17" s="994" t="str">
        <f t="shared" si="4"/>
        <v/>
      </c>
      <c r="R17" s="221">
        <f>R18+R23</f>
        <v>210153.17600000001</v>
      </c>
      <c r="S17" s="221">
        <f t="shared" ref="S17:T17" si="8">S18+S23</f>
        <v>113543.18</v>
      </c>
      <c r="T17" s="221">
        <f t="shared" si="8"/>
        <v>96609.995999999999</v>
      </c>
      <c r="U17" s="221"/>
      <c r="V17" s="221"/>
      <c r="W17" s="221"/>
    </row>
    <row r="18" spans="1:32" s="211" customFormat="1">
      <c r="A18" s="220"/>
      <c r="B18" s="227" t="s">
        <v>265</v>
      </c>
      <c r="C18" s="225"/>
      <c r="D18" s="225"/>
      <c r="E18" s="225"/>
      <c r="F18" s="951"/>
      <c r="G18" s="585"/>
      <c r="H18" s="1414" t="s">
        <v>259</v>
      </c>
      <c r="I18" s="1415"/>
      <c r="J18" s="995">
        <f t="shared" si="1"/>
        <v>165673.17600000001</v>
      </c>
      <c r="K18" s="996">
        <f t="shared" si="2"/>
        <v>89583.18</v>
      </c>
      <c r="L18" s="996">
        <f t="shared" si="3"/>
        <v>76089.995999999999</v>
      </c>
      <c r="M18" s="967">
        <f t="shared" ref="M18:M25" si="9">L18-K18</f>
        <v>-13493.183999999994</v>
      </c>
      <c r="N18" s="1056"/>
      <c r="O18" s="1057"/>
      <c r="P18" s="997" t="str">
        <f t="shared" si="4"/>
        <v/>
      </c>
      <c r="Q18" s="222"/>
      <c r="R18" s="228">
        <f>SUM(R19:R22)</f>
        <v>165673.17600000001</v>
      </c>
      <c r="S18" s="228">
        <f t="shared" ref="S18:T18" si="10">SUM(S19:S22)</f>
        <v>89583.18</v>
      </c>
      <c r="T18" s="228">
        <f t="shared" si="10"/>
        <v>76089.995999999999</v>
      </c>
      <c r="U18" s="228"/>
      <c r="V18" s="228"/>
      <c r="W18" s="228"/>
    </row>
    <row r="19" spans="1:32" s="211" customFormat="1" ht="15" customHeight="1" outlineLevel="1">
      <c r="A19" s="220"/>
      <c r="B19" s="226"/>
      <c r="C19" s="238" t="s">
        <v>261</v>
      </c>
      <c r="D19" s="223"/>
      <c r="E19" s="224"/>
      <c r="F19" s="951"/>
      <c r="G19" s="585"/>
      <c r="H19" s="1414" t="s">
        <v>259</v>
      </c>
      <c r="I19" s="1415"/>
      <c r="J19" s="995">
        <f t="shared" si="1"/>
        <v>157575.29399999999</v>
      </c>
      <c r="K19" s="996">
        <f t="shared" si="2"/>
        <v>84893.375999999989</v>
      </c>
      <c r="L19" s="996">
        <f t="shared" si="3"/>
        <v>72681.918000000005</v>
      </c>
      <c r="M19" s="967">
        <f t="shared" si="9"/>
        <v>-12211.457999999984</v>
      </c>
      <c r="N19" s="1056"/>
      <c r="O19" s="1057"/>
      <c r="P19" s="997" t="str">
        <f t="shared" si="4"/>
        <v/>
      </c>
      <c r="Q19" s="225"/>
      <c r="R19" s="286">
        <f>DB!G8</f>
        <v>157575.29399999999</v>
      </c>
      <c r="S19" s="286">
        <f>'DB1'!G8</f>
        <v>84893.375999999989</v>
      </c>
      <c r="T19" s="286">
        <f>'DB2'!G8</f>
        <v>72681.918000000005</v>
      </c>
      <c r="U19" s="286"/>
      <c r="V19" s="286"/>
      <c r="W19" s="286"/>
    </row>
    <row r="20" spans="1:32" s="211" customFormat="1" ht="15" hidden="1" customHeight="1" outlineLevel="1">
      <c r="A20" s="220"/>
      <c r="B20" s="226"/>
      <c r="C20" s="301" t="s">
        <v>262</v>
      </c>
      <c r="D20" s="223"/>
      <c r="E20" s="224"/>
      <c r="F20" s="951"/>
      <c r="G20" s="585"/>
      <c r="H20" s="1414" t="s">
        <v>259</v>
      </c>
      <c r="I20" s="1415"/>
      <c r="J20" s="995">
        <f t="shared" si="1"/>
        <v>0</v>
      </c>
      <c r="K20" s="996">
        <f t="shared" si="2"/>
        <v>0</v>
      </c>
      <c r="L20" s="996">
        <f t="shared" si="3"/>
        <v>0</v>
      </c>
      <c r="M20" s="967">
        <f t="shared" si="9"/>
        <v>0</v>
      </c>
      <c r="N20" s="1056"/>
      <c r="O20" s="1057"/>
      <c r="P20" s="997" t="str">
        <f t="shared" si="4"/>
        <v/>
      </c>
      <c r="Q20" s="225"/>
      <c r="R20" s="286"/>
      <c r="S20" s="286"/>
      <c r="T20" s="286"/>
      <c r="U20" s="286"/>
      <c r="V20" s="286"/>
      <c r="W20" s="286"/>
    </row>
    <row r="21" spans="1:32" s="211" customFormat="1" ht="15" customHeight="1" outlineLevel="1">
      <c r="A21" s="220"/>
      <c r="B21" s="226"/>
      <c r="C21" s="238" t="s">
        <v>263</v>
      </c>
      <c r="D21" s="223"/>
      <c r="E21" s="224"/>
      <c r="F21" s="951"/>
      <c r="G21" s="585"/>
      <c r="H21" s="1414" t="s">
        <v>259</v>
      </c>
      <c r="I21" s="1415"/>
      <c r="J21" s="995">
        <f t="shared" si="1"/>
        <v>8097.8819999999996</v>
      </c>
      <c r="K21" s="996">
        <f t="shared" si="2"/>
        <v>4689.8040000000001</v>
      </c>
      <c r="L21" s="996">
        <f t="shared" si="3"/>
        <v>3408.0779999999995</v>
      </c>
      <c r="M21" s="967">
        <f t="shared" si="9"/>
        <v>-1281.7260000000006</v>
      </c>
      <c r="N21" s="1056"/>
      <c r="O21" s="1057"/>
      <c r="P21" s="997" t="str">
        <f t="shared" si="4"/>
        <v/>
      </c>
      <c r="Q21" s="225"/>
      <c r="R21" s="286">
        <f>DB!G11</f>
        <v>8097.8819999999996</v>
      </c>
      <c r="S21" s="286">
        <f>'DB1'!G11</f>
        <v>4689.8040000000001</v>
      </c>
      <c r="T21" s="286">
        <f>'DB2'!G11</f>
        <v>3408.0779999999995</v>
      </c>
      <c r="U21" s="286"/>
      <c r="V21" s="286"/>
      <c r="W21" s="286"/>
    </row>
    <row r="22" spans="1:32" s="211" customFormat="1" ht="15" hidden="1" customHeight="1" outlineLevel="1">
      <c r="A22" s="220"/>
      <c r="B22" s="226"/>
      <c r="C22" s="298" t="s">
        <v>126</v>
      </c>
      <c r="D22" s="223"/>
      <c r="E22" s="224"/>
      <c r="F22" s="951"/>
      <c r="G22" s="585"/>
      <c r="H22" s="1414" t="s">
        <v>259</v>
      </c>
      <c r="I22" s="1415"/>
      <c r="J22" s="995">
        <f t="shared" si="1"/>
        <v>0</v>
      </c>
      <c r="K22" s="996">
        <f t="shared" si="2"/>
        <v>0</v>
      </c>
      <c r="L22" s="996">
        <f t="shared" si="3"/>
        <v>0</v>
      </c>
      <c r="M22" s="967">
        <f t="shared" si="9"/>
        <v>0</v>
      </c>
      <c r="N22" s="1056"/>
      <c r="O22" s="1057"/>
      <c r="P22" s="997" t="str">
        <f t="shared" si="4"/>
        <v/>
      </c>
      <c r="Q22" s="225"/>
      <c r="R22" s="286"/>
      <c r="S22" s="286"/>
      <c r="T22" s="286"/>
      <c r="U22" s="286"/>
      <c r="V22" s="286"/>
      <c r="W22" s="286"/>
    </row>
    <row r="23" spans="1:32" s="211" customFormat="1">
      <c r="A23" s="220"/>
      <c r="B23" s="227" t="s">
        <v>266</v>
      </c>
      <c r="C23" s="225"/>
      <c r="D23" s="225"/>
      <c r="E23" s="224"/>
      <c r="F23" s="951"/>
      <c r="G23" s="585"/>
      <c r="H23" s="1414" t="s">
        <v>259</v>
      </c>
      <c r="I23" s="1415"/>
      <c r="J23" s="995">
        <f t="shared" si="1"/>
        <v>44480</v>
      </c>
      <c r="K23" s="996">
        <f t="shared" si="2"/>
        <v>23960</v>
      </c>
      <c r="L23" s="996">
        <f t="shared" si="3"/>
        <v>20520</v>
      </c>
      <c r="M23" s="967">
        <f t="shared" si="9"/>
        <v>-3440</v>
      </c>
      <c r="N23" s="1056"/>
      <c r="O23" s="1057"/>
      <c r="P23" s="997" t="str">
        <f t="shared" si="4"/>
        <v/>
      </c>
      <c r="Q23" s="222"/>
      <c r="R23" s="228">
        <f>SUM(R24:R25)</f>
        <v>44480</v>
      </c>
      <c r="S23" s="228">
        <f t="shared" ref="S23:T23" si="11">SUM(S24:S25)</f>
        <v>23960</v>
      </c>
      <c r="T23" s="228">
        <f t="shared" si="11"/>
        <v>20520</v>
      </c>
      <c r="U23" s="228"/>
      <c r="V23" s="228"/>
      <c r="W23" s="228"/>
    </row>
    <row r="24" spans="1:32" s="211" customFormat="1" ht="15" customHeight="1" outlineLevel="1">
      <c r="A24" s="220"/>
      <c r="B24" s="226"/>
      <c r="C24" s="223" t="s">
        <v>268</v>
      </c>
      <c r="D24" s="223"/>
      <c r="F24" s="955">
        <f>DB!D16</f>
        <v>40</v>
      </c>
      <c r="G24" s="669" t="s">
        <v>269</v>
      </c>
      <c r="H24" s="1414" t="s">
        <v>259</v>
      </c>
      <c r="I24" s="1415"/>
      <c r="J24" s="995">
        <f t="shared" si="1"/>
        <v>44480</v>
      </c>
      <c r="K24" s="996">
        <f t="shared" si="2"/>
        <v>23960</v>
      </c>
      <c r="L24" s="996">
        <f t="shared" si="3"/>
        <v>20520</v>
      </c>
      <c r="M24" s="967">
        <f t="shared" si="9"/>
        <v>-3440</v>
      </c>
      <c r="N24" s="1056"/>
      <c r="O24" s="1057"/>
      <c r="P24" s="997" t="str">
        <f t="shared" si="4"/>
        <v/>
      </c>
      <c r="Q24" s="229"/>
      <c r="R24" s="286">
        <f>DB!G16</f>
        <v>44480</v>
      </c>
      <c r="S24" s="286">
        <f>'DB1'!G16</f>
        <v>23960</v>
      </c>
      <c r="T24" s="286">
        <f>'DB2'!G16</f>
        <v>20520</v>
      </c>
      <c r="U24" s="286"/>
      <c r="V24" s="286"/>
      <c r="W24" s="286"/>
    </row>
    <row r="25" spans="1:32" s="211" customFormat="1" ht="15" hidden="1" customHeight="1" outlineLevel="1">
      <c r="A25" s="220"/>
      <c r="B25" s="226"/>
      <c r="C25" s="298" t="s">
        <v>270</v>
      </c>
      <c r="D25" s="223"/>
      <c r="E25" s="224"/>
      <c r="F25" s="951"/>
      <c r="G25" s="585"/>
      <c r="H25" s="1414" t="s">
        <v>259</v>
      </c>
      <c r="I25" s="1415"/>
      <c r="J25" s="995">
        <f t="shared" si="1"/>
        <v>0</v>
      </c>
      <c r="K25" s="996">
        <f t="shared" si="2"/>
        <v>0</v>
      </c>
      <c r="L25" s="996">
        <f t="shared" si="3"/>
        <v>0</v>
      </c>
      <c r="M25" s="967">
        <f t="shared" si="9"/>
        <v>0</v>
      </c>
      <c r="N25" s="1056"/>
      <c r="O25" s="1057"/>
      <c r="P25" s="997" t="str">
        <f t="shared" si="4"/>
        <v/>
      </c>
      <c r="Q25" s="229"/>
      <c r="R25" s="286"/>
      <c r="S25" s="286"/>
      <c r="T25" s="286"/>
      <c r="U25" s="286"/>
      <c r="V25" s="286"/>
      <c r="W25" s="286"/>
    </row>
    <row r="26" spans="1:32" s="211" customFormat="1">
      <c r="A26" s="220"/>
      <c r="B26" s="601" t="s">
        <v>271</v>
      </c>
      <c r="C26" s="601"/>
      <c r="D26" s="601"/>
      <c r="E26" s="606"/>
      <c r="F26" s="950"/>
      <c r="G26" s="602"/>
      <c r="H26" s="1412" t="s">
        <v>259</v>
      </c>
      <c r="I26" s="1413"/>
      <c r="J26" s="636">
        <f t="shared" si="1"/>
        <v>116376.1173</v>
      </c>
      <c r="K26" s="635">
        <f t="shared" si="2"/>
        <v>62942.716199999988</v>
      </c>
      <c r="L26" s="635">
        <f t="shared" si="3"/>
        <v>53433.401100000003</v>
      </c>
      <c r="M26" s="966">
        <f>L26-K26</f>
        <v>-9509.3150999999853</v>
      </c>
      <c r="N26" s="1054"/>
      <c r="O26" s="1055"/>
      <c r="P26" s="994" t="str">
        <f t="shared" si="4"/>
        <v/>
      </c>
      <c r="R26" s="221">
        <f>SUM(R27,R35)</f>
        <v>116376.1173</v>
      </c>
      <c r="S26" s="221">
        <f t="shared" ref="S26:T26" si="12">SUM(S27,S35)</f>
        <v>62942.716199999988</v>
      </c>
      <c r="T26" s="221">
        <f t="shared" si="12"/>
        <v>53433.401100000003</v>
      </c>
      <c r="U26" s="221"/>
      <c r="V26" s="221"/>
      <c r="W26" s="221"/>
    </row>
    <row r="27" spans="1:32" s="229" customFormat="1">
      <c r="A27" s="230"/>
      <c r="B27" s="227" t="s">
        <v>265</v>
      </c>
      <c r="C27" s="225"/>
      <c r="D27" s="225"/>
      <c r="E27" s="224"/>
      <c r="F27" s="951"/>
      <c r="G27" s="585"/>
      <c r="H27" s="1414" t="s">
        <v>259</v>
      </c>
      <c r="I27" s="1415"/>
      <c r="J27" s="998">
        <f t="shared" si="1"/>
        <v>116376.1173</v>
      </c>
      <c r="K27" s="999">
        <f t="shared" si="2"/>
        <v>62942.716199999988</v>
      </c>
      <c r="L27" s="999">
        <f t="shared" si="3"/>
        <v>53433.401100000003</v>
      </c>
      <c r="M27" s="968">
        <f t="shared" ref="M27:M36" si="13">L27-K27</f>
        <v>-9509.3150999999853</v>
      </c>
      <c r="N27" s="1056"/>
      <c r="O27" s="1057"/>
      <c r="P27" s="997" t="str">
        <f t="shared" si="4"/>
        <v/>
      </c>
      <c r="Q27" s="211"/>
      <c r="R27" s="231">
        <f>SUM(R28,R32,R33,R34)</f>
        <v>116376.1173</v>
      </c>
      <c r="S27" s="231">
        <f t="shared" ref="S27:T27" si="14">SUM(S28,S32,S33,S34)</f>
        <v>62942.716199999988</v>
      </c>
      <c r="T27" s="231">
        <f t="shared" si="14"/>
        <v>53433.401100000003</v>
      </c>
      <c r="U27" s="231"/>
      <c r="V27" s="231"/>
      <c r="W27" s="231"/>
    </row>
    <row r="28" spans="1:32" s="222" customFormat="1">
      <c r="A28" s="232"/>
      <c r="B28" s="226"/>
      <c r="C28" s="223" t="s">
        <v>261</v>
      </c>
      <c r="D28" s="223"/>
      <c r="E28" s="224"/>
      <c r="F28" s="951"/>
      <c r="G28" s="585"/>
      <c r="H28" s="1414" t="s">
        <v>259</v>
      </c>
      <c r="I28" s="1415"/>
      <c r="J28" s="995">
        <f t="shared" si="1"/>
        <v>110302.7058</v>
      </c>
      <c r="K28" s="996">
        <f t="shared" si="2"/>
        <v>59425.363199999985</v>
      </c>
      <c r="L28" s="996">
        <f t="shared" si="3"/>
        <v>50877.342600000004</v>
      </c>
      <c r="M28" s="967">
        <f t="shared" si="13"/>
        <v>-8548.0205999999816</v>
      </c>
      <c r="N28" s="1056"/>
      <c r="O28" s="1057"/>
      <c r="P28" s="997" t="str">
        <f t="shared" si="4"/>
        <v/>
      </c>
      <c r="Q28" s="225"/>
      <c r="R28" s="286">
        <f t="shared" ref="R28:S28" si="15">SUM(R29:R31)</f>
        <v>110302.7058</v>
      </c>
      <c r="S28" s="286">
        <f t="shared" si="15"/>
        <v>59425.363199999985</v>
      </c>
      <c r="T28" s="286">
        <f>SUM(T29:T31)</f>
        <v>50877.342600000004</v>
      </c>
      <c r="U28" s="286"/>
      <c r="V28" s="286"/>
      <c r="W28" s="286"/>
      <c r="X28" s="233"/>
      <c r="Y28" s="233"/>
      <c r="AF28" s="1403"/>
    </row>
    <row r="29" spans="1:32" s="222" customFormat="1" ht="15" hidden="1" customHeight="1" outlineLevel="1">
      <c r="A29" s="232"/>
      <c r="B29" s="226"/>
      <c r="C29" s="225"/>
      <c r="D29" s="238" t="s">
        <v>272</v>
      </c>
      <c r="E29" s="224"/>
      <c r="F29" s="951"/>
      <c r="G29" s="585"/>
      <c r="H29" s="1414" t="s">
        <v>259</v>
      </c>
      <c r="I29" s="1415"/>
      <c r="J29" s="995">
        <f t="shared" si="1"/>
        <v>110302.7058</v>
      </c>
      <c r="K29" s="996">
        <f t="shared" si="2"/>
        <v>59425.363199999985</v>
      </c>
      <c r="L29" s="996">
        <f t="shared" si="3"/>
        <v>50877.342600000004</v>
      </c>
      <c r="M29" s="967">
        <f t="shared" si="13"/>
        <v>-8548.0205999999816</v>
      </c>
      <c r="N29" s="1056"/>
      <c r="O29" s="1057"/>
      <c r="P29" s="997" t="str">
        <f t="shared" si="4"/>
        <v/>
      </c>
      <c r="Q29" s="225"/>
      <c r="R29" s="234">
        <f>DB!H8</f>
        <v>110302.7058</v>
      </c>
      <c r="S29" s="234">
        <f>'DB1'!H8</f>
        <v>59425.363199999985</v>
      </c>
      <c r="T29" s="234">
        <f>'DB2'!H8</f>
        <v>50877.342600000004</v>
      </c>
      <c r="U29" s="234"/>
      <c r="V29" s="234"/>
      <c r="W29" s="234"/>
      <c r="X29" s="233"/>
      <c r="Y29" s="235"/>
    </row>
    <row r="30" spans="1:32" s="222" customFormat="1" ht="15" hidden="1" customHeight="1" outlineLevel="1">
      <c r="A30" s="232"/>
      <c r="B30" s="226"/>
      <c r="C30" s="225"/>
      <c r="D30" s="298" t="s">
        <v>273</v>
      </c>
      <c r="E30" s="224"/>
      <c r="F30" s="951"/>
      <c r="G30" s="585"/>
      <c r="H30" s="1414" t="s">
        <v>259</v>
      </c>
      <c r="I30" s="1415"/>
      <c r="J30" s="995">
        <f t="shared" si="1"/>
        <v>0</v>
      </c>
      <c r="K30" s="996">
        <f t="shared" si="2"/>
        <v>0</v>
      </c>
      <c r="L30" s="996">
        <f t="shared" si="3"/>
        <v>0</v>
      </c>
      <c r="M30" s="967">
        <f t="shared" si="13"/>
        <v>0</v>
      </c>
      <c r="N30" s="1056"/>
      <c r="O30" s="1057"/>
      <c r="P30" s="997" t="str">
        <f t="shared" si="4"/>
        <v/>
      </c>
      <c r="Q30" s="225"/>
      <c r="R30" s="234"/>
      <c r="S30" s="234"/>
      <c r="T30" s="234"/>
      <c r="U30" s="234"/>
      <c r="V30" s="234"/>
      <c r="W30" s="234"/>
    </row>
    <row r="31" spans="1:32" s="222" customFormat="1" ht="15" hidden="1" customHeight="1" outlineLevel="1">
      <c r="A31" s="232"/>
      <c r="B31" s="226"/>
      <c r="C31" s="225"/>
      <c r="D31" s="298" t="s">
        <v>274</v>
      </c>
      <c r="E31" s="224"/>
      <c r="F31" s="951"/>
      <c r="G31" s="585"/>
      <c r="H31" s="1414" t="s">
        <v>259</v>
      </c>
      <c r="I31" s="1415"/>
      <c r="J31" s="995">
        <f t="shared" si="1"/>
        <v>0</v>
      </c>
      <c r="K31" s="996">
        <f t="shared" si="2"/>
        <v>0</v>
      </c>
      <c r="L31" s="996">
        <f t="shared" si="3"/>
        <v>0</v>
      </c>
      <c r="M31" s="967">
        <f t="shared" si="13"/>
        <v>0</v>
      </c>
      <c r="N31" s="1056"/>
      <c r="O31" s="1057"/>
      <c r="P31" s="997" t="str">
        <f t="shared" si="4"/>
        <v/>
      </c>
      <c r="Q31" s="225"/>
      <c r="R31" s="234"/>
      <c r="S31" s="234"/>
      <c r="T31" s="234"/>
      <c r="U31" s="234"/>
      <c r="V31" s="234"/>
      <c r="W31" s="234"/>
    </row>
    <row r="32" spans="1:32" s="222" customFormat="1" hidden="1" outlineLevel="1">
      <c r="A32" s="232"/>
      <c r="B32" s="226"/>
      <c r="C32" s="298" t="s">
        <v>262</v>
      </c>
      <c r="D32" s="223"/>
      <c r="E32" s="224"/>
      <c r="F32" s="951"/>
      <c r="G32" s="585"/>
      <c r="H32" s="1414" t="s">
        <v>259</v>
      </c>
      <c r="I32" s="1415"/>
      <c r="J32" s="995">
        <f t="shared" si="1"/>
        <v>0</v>
      </c>
      <c r="K32" s="996">
        <f t="shared" si="2"/>
        <v>0</v>
      </c>
      <c r="L32" s="996">
        <f t="shared" si="3"/>
        <v>0</v>
      </c>
      <c r="M32" s="967">
        <f t="shared" si="13"/>
        <v>0</v>
      </c>
      <c r="N32" s="1056"/>
      <c r="O32" s="1057"/>
      <c r="P32" s="997" t="str">
        <f t="shared" si="4"/>
        <v/>
      </c>
      <c r="Q32" s="225"/>
      <c r="R32" s="286"/>
      <c r="S32" s="286"/>
      <c r="T32" s="286"/>
      <c r="U32" s="286"/>
      <c r="V32" s="286"/>
      <c r="W32" s="286"/>
    </row>
    <row r="33" spans="1:23" s="222" customFormat="1" collapsed="1">
      <c r="A33" s="232"/>
      <c r="B33" s="226"/>
      <c r="C33" s="223" t="s">
        <v>263</v>
      </c>
      <c r="D33" s="223"/>
      <c r="E33" s="224"/>
      <c r="F33" s="951"/>
      <c r="G33" s="585"/>
      <c r="H33" s="1414" t="s">
        <v>259</v>
      </c>
      <c r="I33" s="1415"/>
      <c r="J33" s="995">
        <f t="shared" si="1"/>
        <v>6073.4115000000002</v>
      </c>
      <c r="K33" s="996">
        <f t="shared" si="2"/>
        <v>3517.3530000000001</v>
      </c>
      <c r="L33" s="996">
        <f t="shared" si="3"/>
        <v>2556.0584999999996</v>
      </c>
      <c r="M33" s="967">
        <f t="shared" si="13"/>
        <v>-961.29450000000043</v>
      </c>
      <c r="N33" s="1056"/>
      <c r="O33" s="1057"/>
      <c r="P33" s="997" t="str">
        <f t="shared" si="4"/>
        <v/>
      </c>
      <c r="Q33" s="225"/>
      <c r="R33" s="286">
        <f>DB!H11</f>
        <v>6073.4115000000002</v>
      </c>
      <c r="S33" s="286">
        <f>'DB1'!H11</f>
        <v>3517.3530000000001</v>
      </c>
      <c r="T33" s="286">
        <f>'DB2'!H11</f>
        <v>2556.0584999999996</v>
      </c>
      <c r="U33" s="286"/>
      <c r="V33" s="286"/>
      <c r="W33" s="286"/>
    </row>
    <row r="34" spans="1:23" s="222" customFormat="1" hidden="1" outlineLevel="1">
      <c r="A34" s="232"/>
      <c r="B34" s="226"/>
      <c r="C34" s="299" t="s">
        <v>126</v>
      </c>
      <c r="D34" s="223"/>
      <c r="E34" s="224"/>
      <c r="F34" s="951"/>
      <c r="G34" s="585"/>
      <c r="H34" s="1414" t="s">
        <v>259</v>
      </c>
      <c r="I34" s="1415"/>
      <c r="J34" s="995">
        <f t="shared" si="1"/>
        <v>0</v>
      </c>
      <c r="K34" s="996">
        <f t="shared" si="2"/>
        <v>0</v>
      </c>
      <c r="L34" s="996">
        <f t="shared" si="3"/>
        <v>0</v>
      </c>
      <c r="M34" s="967">
        <f t="shared" si="13"/>
        <v>0</v>
      </c>
      <c r="N34" s="1056"/>
      <c r="O34" s="1057"/>
      <c r="P34" s="997" t="str">
        <f t="shared" si="4"/>
        <v/>
      </c>
      <c r="Q34" s="225"/>
      <c r="R34" s="286"/>
      <c r="S34" s="286"/>
      <c r="T34" s="286"/>
      <c r="U34" s="286"/>
      <c r="V34" s="286"/>
      <c r="W34" s="286"/>
    </row>
    <row r="35" spans="1:23" s="225" customFormat="1" hidden="1" outlineLevel="1">
      <c r="A35" s="236"/>
      <c r="B35" s="256" t="s">
        <v>266</v>
      </c>
      <c r="C35" s="300"/>
      <c r="E35" s="224"/>
      <c r="F35" s="951"/>
      <c r="G35" s="585"/>
      <c r="H35" s="1414" t="s">
        <v>259</v>
      </c>
      <c r="I35" s="1415"/>
      <c r="J35" s="995">
        <f t="shared" si="1"/>
        <v>0</v>
      </c>
      <c r="K35" s="996">
        <f t="shared" si="2"/>
        <v>0</v>
      </c>
      <c r="L35" s="996">
        <f t="shared" si="3"/>
        <v>0</v>
      </c>
      <c r="M35" s="967">
        <f t="shared" si="13"/>
        <v>0</v>
      </c>
      <c r="N35" s="1056"/>
      <c r="O35" s="1057"/>
      <c r="P35" s="997" t="str">
        <f t="shared" si="4"/>
        <v/>
      </c>
      <c r="R35" s="228">
        <f>SUM(R36)</f>
        <v>0</v>
      </c>
      <c r="S35" s="228">
        <f t="shared" ref="S35:T35" si="16">SUM(S36)</f>
        <v>0</v>
      </c>
      <c r="T35" s="228">
        <f t="shared" si="16"/>
        <v>0</v>
      </c>
      <c r="U35" s="228"/>
      <c r="V35" s="228"/>
      <c r="W35" s="228"/>
    </row>
    <row r="36" spans="1:23" s="211" customFormat="1" hidden="1" outlineLevel="1">
      <c r="A36" s="220"/>
      <c r="B36" s="237"/>
      <c r="C36" s="301" t="s">
        <v>270</v>
      </c>
      <c r="D36" s="239"/>
      <c r="E36" s="240"/>
      <c r="F36" s="951"/>
      <c r="G36" s="585"/>
      <c r="H36" s="1414" t="s">
        <v>259</v>
      </c>
      <c r="I36" s="1415"/>
      <c r="J36" s="995">
        <f t="shared" si="1"/>
        <v>0</v>
      </c>
      <c r="K36" s="996">
        <f t="shared" si="2"/>
        <v>0</v>
      </c>
      <c r="L36" s="996">
        <f t="shared" si="3"/>
        <v>0</v>
      </c>
      <c r="M36" s="968">
        <f t="shared" si="13"/>
        <v>0</v>
      </c>
      <c r="N36" s="1056"/>
      <c r="O36" s="1057"/>
      <c r="P36" s="997" t="str">
        <f t="shared" si="4"/>
        <v/>
      </c>
      <c r="R36" s="287"/>
      <c r="S36" s="287"/>
      <c r="T36" s="287"/>
      <c r="U36" s="287"/>
      <c r="V36" s="287"/>
      <c r="W36" s="287"/>
    </row>
    <row r="37" spans="1:23" s="211" customFormat="1" collapsed="1">
      <c r="A37" s="220"/>
      <c r="B37" s="601" t="s">
        <v>275</v>
      </c>
      <c r="C37" s="601"/>
      <c r="D37" s="601"/>
      <c r="E37" s="606"/>
      <c r="F37" s="950"/>
      <c r="G37" s="602"/>
      <c r="H37" s="1412" t="s">
        <v>178</v>
      </c>
      <c r="I37" s="1413"/>
      <c r="J37" s="1000">
        <f t="shared" si="1"/>
        <v>0.29755606725375994</v>
      </c>
      <c r="K37" s="1001">
        <f t="shared" si="2"/>
        <v>0.29738243049643931</v>
      </c>
      <c r="L37" s="1001">
        <f t="shared" si="3"/>
        <v>0.2977604953481664</v>
      </c>
      <c r="M37" s="969">
        <f>L37-K37</f>
        <v>3.7806485172708904E-4</v>
      </c>
      <c r="N37" s="1058"/>
      <c r="O37" s="1059"/>
      <c r="P37" s="1002" t="str">
        <f t="shared" si="4"/>
        <v/>
      </c>
      <c r="R37" s="570">
        <f>DB!I18</f>
        <v>0.29755606725375994</v>
      </c>
      <c r="S37" s="570">
        <f>'DB1'!I18</f>
        <v>0.29738243049643931</v>
      </c>
      <c r="T37" s="570">
        <f>'DB2'!I18</f>
        <v>0.2977604953481664</v>
      </c>
      <c r="U37" s="570"/>
      <c r="V37" s="570"/>
      <c r="W37" s="570"/>
    </row>
    <row r="38" spans="1:23" s="225" customFormat="1" outlineLevel="1">
      <c r="A38" s="236"/>
      <c r="B38" s="227" t="s">
        <v>261</v>
      </c>
      <c r="E38" s="224"/>
      <c r="F38" s="951"/>
      <c r="G38" s="585"/>
      <c r="H38" s="1414" t="s">
        <v>178</v>
      </c>
      <c r="I38" s="1415"/>
      <c r="J38" s="1003">
        <f t="shared" si="1"/>
        <v>0.3</v>
      </c>
      <c r="K38" s="1004">
        <f t="shared" si="2"/>
        <v>0.3</v>
      </c>
      <c r="L38" s="1004">
        <f t="shared" si="3"/>
        <v>0.3</v>
      </c>
      <c r="M38" s="970">
        <f>L38-K38</f>
        <v>0</v>
      </c>
      <c r="N38" s="1056"/>
      <c r="O38" s="1057"/>
      <c r="P38" s="997" t="str">
        <f t="shared" si="4"/>
        <v/>
      </c>
      <c r="Q38" s="222"/>
      <c r="R38" s="242">
        <f>DB!I8</f>
        <v>0.3</v>
      </c>
      <c r="S38" s="242">
        <f>'DB1'!I8</f>
        <v>0.3</v>
      </c>
      <c r="T38" s="242">
        <f>'DB2'!I8</f>
        <v>0.3</v>
      </c>
      <c r="U38" s="242"/>
      <c r="V38" s="242"/>
      <c r="W38" s="242"/>
    </row>
    <row r="39" spans="1:23" s="225" customFormat="1" hidden="1" outlineLevel="1">
      <c r="A39" s="236"/>
      <c r="B39" s="256" t="s">
        <v>262</v>
      </c>
      <c r="E39" s="224"/>
      <c r="F39" s="951"/>
      <c r="G39" s="585"/>
      <c r="H39" s="1414" t="s">
        <v>178</v>
      </c>
      <c r="I39" s="1415"/>
      <c r="J39" s="1003">
        <f t="shared" si="1"/>
        <v>0</v>
      </c>
      <c r="K39" s="1004">
        <f t="shared" si="2"/>
        <v>0</v>
      </c>
      <c r="L39" s="1004">
        <f t="shared" si="3"/>
        <v>0</v>
      </c>
      <c r="M39" s="970">
        <f>L39-K39</f>
        <v>0</v>
      </c>
      <c r="N39" s="1056"/>
      <c r="O39" s="1057"/>
      <c r="P39" s="997" t="str">
        <f t="shared" si="4"/>
        <v/>
      </c>
      <c r="Q39" s="222"/>
      <c r="R39" s="242"/>
      <c r="S39" s="242"/>
      <c r="T39" s="242"/>
      <c r="U39" s="242"/>
      <c r="V39" s="242"/>
      <c r="W39" s="242"/>
    </row>
    <row r="40" spans="1:23" s="225" customFormat="1" outlineLevel="1">
      <c r="A40" s="236"/>
      <c r="B40" s="227" t="s">
        <v>263</v>
      </c>
      <c r="E40" s="224"/>
      <c r="F40" s="951"/>
      <c r="G40" s="585"/>
      <c r="H40" s="1414" t="s">
        <v>178</v>
      </c>
      <c r="I40" s="1415"/>
      <c r="J40" s="1003">
        <f t="shared" si="1"/>
        <v>0.25</v>
      </c>
      <c r="K40" s="1004">
        <f t="shared" si="2"/>
        <v>0.25</v>
      </c>
      <c r="L40" s="1004">
        <f t="shared" si="3"/>
        <v>0.25</v>
      </c>
      <c r="M40" s="970">
        <f>L40-K40</f>
        <v>0</v>
      </c>
      <c r="N40" s="1056"/>
      <c r="O40" s="1057"/>
      <c r="P40" s="997" t="str">
        <f t="shared" si="4"/>
        <v/>
      </c>
      <c r="Q40" s="222"/>
      <c r="R40" s="242">
        <f>DB!I11</f>
        <v>0.25</v>
      </c>
      <c r="S40" s="242">
        <f>'DB1'!I11</f>
        <v>0.25</v>
      </c>
      <c r="T40" s="242">
        <f>'DB2'!I11</f>
        <v>0.25</v>
      </c>
      <c r="U40" s="242"/>
      <c r="V40" s="242"/>
      <c r="W40" s="242"/>
    </row>
    <row r="41" spans="1:23" s="211" customFormat="1">
      <c r="A41" s="220"/>
      <c r="B41" s="601" t="s">
        <v>276</v>
      </c>
      <c r="C41" s="601"/>
      <c r="D41" s="601"/>
      <c r="E41" s="606"/>
      <c r="F41" s="950"/>
      <c r="G41" s="602"/>
      <c r="H41" s="1412" t="s">
        <v>23</v>
      </c>
      <c r="I41" s="1413"/>
      <c r="J41" s="636">
        <f t="shared" si="1"/>
        <v>3254</v>
      </c>
      <c r="K41" s="635">
        <f t="shared" si="2"/>
        <v>1755</v>
      </c>
      <c r="L41" s="635">
        <f t="shared" si="3"/>
        <v>1499</v>
      </c>
      <c r="M41" s="966">
        <f>L41-K41</f>
        <v>-256</v>
      </c>
      <c r="N41" s="1054"/>
      <c r="O41" s="1055"/>
      <c r="P41" s="994" t="str">
        <f t="shared" si="4"/>
        <v/>
      </c>
      <c r="R41" s="221">
        <f>SUM(R42,R46)</f>
        <v>3254</v>
      </c>
      <c r="S41" s="221">
        <f t="shared" ref="S41:T41" si="17">SUM(S42,S46)</f>
        <v>1755</v>
      </c>
      <c r="T41" s="221">
        <f t="shared" si="17"/>
        <v>1499</v>
      </c>
      <c r="U41" s="221"/>
      <c r="V41" s="221"/>
      <c r="W41" s="221"/>
    </row>
    <row r="42" spans="1:23" s="211" customFormat="1">
      <c r="A42" s="220"/>
      <c r="B42" s="227" t="s">
        <v>265</v>
      </c>
      <c r="C42" s="225"/>
      <c r="D42" s="225"/>
      <c r="E42" s="240"/>
      <c r="F42" s="951"/>
      <c r="G42" s="585"/>
      <c r="H42" s="1414" t="s">
        <v>23</v>
      </c>
      <c r="I42" s="1415"/>
      <c r="J42" s="998">
        <f t="shared" si="1"/>
        <v>2142</v>
      </c>
      <c r="K42" s="999">
        <f t="shared" si="2"/>
        <v>1156</v>
      </c>
      <c r="L42" s="999">
        <f t="shared" si="3"/>
        <v>986</v>
      </c>
      <c r="M42" s="968">
        <f t="shared" ref="M42:M47" si="18">L42-K42</f>
        <v>-170</v>
      </c>
      <c r="N42" s="1056"/>
      <c r="O42" s="1057"/>
      <c r="P42" s="997" t="str">
        <f t="shared" si="4"/>
        <v/>
      </c>
      <c r="R42" s="243">
        <f>SUM(R43:R45)</f>
        <v>2142</v>
      </c>
      <c r="S42" s="243">
        <f t="shared" ref="S42:T42" si="19">SUM(S43:S45)</f>
        <v>1156</v>
      </c>
      <c r="T42" s="243">
        <f t="shared" si="19"/>
        <v>986</v>
      </c>
      <c r="U42" s="243"/>
      <c r="V42" s="243"/>
      <c r="W42" s="243"/>
    </row>
    <row r="43" spans="1:23" s="211" customFormat="1">
      <c r="B43" s="226"/>
      <c r="C43" s="238" t="s">
        <v>261</v>
      </c>
      <c r="D43" s="223"/>
      <c r="F43" s="955">
        <f>DB!E8</f>
        <v>53</v>
      </c>
      <c r="G43" s="669" t="s">
        <v>277</v>
      </c>
      <c r="H43" s="1414" t="s">
        <v>23</v>
      </c>
      <c r="I43" s="1415"/>
      <c r="J43" s="995">
        <f t="shared" si="1"/>
        <v>2081</v>
      </c>
      <c r="K43" s="996">
        <f t="shared" si="2"/>
        <v>1121</v>
      </c>
      <c r="L43" s="996">
        <f t="shared" si="3"/>
        <v>960</v>
      </c>
      <c r="M43" s="971">
        <f t="shared" si="18"/>
        <v>-161</v>
      </c>
      <c r="N43" s="1056"/>
      <c r="O43" s="1057"/>
      <c r="P43" s="997" t="str">
        <f t="shared" si="4"/>
        <v/>
      </c>
      <c r="R43" s="287">
        <f>DB!J8</f>
        <v>2081</v>
      </c>
      <c r="S43" s="287">
        <f>'DB1'!J8</f>
        <v>1121</v>
      </c>
      <c r="T43" s="287">
        <f>'DB2'!J8</f>
        <v>960</v>
      </c>
      <c r="U43" s="287"/>
      <c r="V43" s="287"/>
      <c r="W43" s="287"/>
    </row>
    <row r="44" spans="1:23" s="211" customFormat="1" ht="15" hidden="1" customHeight="1" outlineLevel="1">
      <c r="B44" s="226"/>
      <c r="C44" s="301" t="s">
        <v>262</v>
      </c>
      <c r="D44" s="223"/>
      <c r="F44" s="956"/>
      <c r="G44" s="586" t="s">
        <v>277</v>
      </c>
      <c r="H44" s="1414" t="s">
        <v>23</v>
      </c>
      <c r="I44" s="1415"/>
      <c r="J44" s="995">
        <f t="shared" si="1"/>
        <v>0</v>
      </c>
      <c r="K44" s="996">
        <f t="shared" si="2"/>
        <v>0</v>
      </c>
      <c r="L44" s="996">
        <f t="shared" si="3"/>
        <v>0</v>
      </c>
      <c r="M44" s="971">
        <f t="shared" si="18"/>
        <v>0</v>
      </c>
      <c r="N44" s="1056"/>
      <c r="O44" s="1057"/>
      <c r="P44" s="997" t="str">
        <f t="shared" si="4"/>
        <v/>
      </c>
      <c r="R44" s="287"/>
      <c r="S44" s="287"/>
      <c r="T44" s="287"/>
      <c r="U44" s="287"/>
      <c r="V44" s="287"/>
      <c r="W44" s="287"/>
    </row>
    <row r="45" spans="1:23" s="211" customFormat="1" ht="15" hidden="1" customHeight="1" outlineLevel="1">
      <c r="B45" s="226"/>
      <c r="C45" s="238" t="s">
        <v>263</v>
      </c>
      <c r="D45" s="223"/>
      <c r="F45" s="956">
        <f>'DB1'!E11</f>
        <v>100</v>
      </c>
      <c r="G45" s="586" t="s">
        <v>277</v>
      </c>
      <c r="H45" s="1414" t="s">
        <v>23</v>
      </c>
      <c r="I45" s="1415"/>
      <c r="J45" s="995">
        <f t="shared" si="1"/>
        <v>61</v>
      </c>
      <c r="K45" s="996">
        <f t="shared" si="2"/>
        <v>35</v>
      </c>
      <c r="L45" s="996">
        <f t="shared" si="3"/>
        <v>26</v>
      </c>
      <c r="M45" s="971">
        <f t="shared" si="18"/>
        <v>-9</v>
      </c>
      <c r="N45" s="1056"/>
      <c r="O45" s="1057"/>
      <c r="P45" s="997" t="str">
        <f t="shared" si="4"/>
        <v/>
      </c>
      <c r="R45" s="287">
        <f>DB!J11</f>
        <v>61</v>
      </c>
      <c r="S45" s="287">
        <f>'DB1'!J11</f>
        <v>35</v>
      </c>
      <c r="T45" s="287">
        <f>'DB2'!J11</f>
        <v>26</v>
      </c>
      <c r="U45" s="287"/>
      <c r="V45" s="287"/>
      <c r="W45" s="287"/>
    </row>
    <row r="46" spans="1:23" s="211" customFormat="1" collapsed="1">
      <c r="B46" s="227" t="s">
        <v>266</v>
      </c>
      <c r="C46" s="225"/>
      <c r="D46" s="225"/>
      <c r="E46" s="240"/>
      <c r="F46" s="951"/>
      <c r="G46" s="585"/>
      <c r="H46" s="1414" t="s">
        <v>23</v>
      </c>
      <c r="I46" s="1415"/>
      <c r="J46" s="995">
        <f t="shared" si="1"/>
        <v>1112</v>
      </c>
      <c r="K46" s="996">
        <f t="shared" si="2"/>
        <v>599</v>
      </c>
      <c r="L46" s="996">
        <f t="shared" si="3"/>
        <v>513</v>
      </c>
      <c r="M46" s="971">
        <f t="shared" si="18"/>
        <v>-86</v>
      </c>
      <c r="N46" s="1056"/>
      <c r="O46" s="1057"/>
      <c r="P46" s="997" t="str">
        <f t="shared" si="4"/>
        <v/>
      </c>
      <c r="R46" s="243">
        <f>SUM(R47:R48)</f>
        <v>1112</v>
      </c>
      <c r="S46" s="243">
        <f t="shared" ref="S46:T46" si="20">SUM(S47:S48)</f>
        <v>599</v>
      </c>
      <c r="T46" s="243">
        <f t="shared" si="20"/>
        <v>513</v>
      </c>
      <c r="U46" s="243"/>
      <c r="V46" s="243"/>
      <c r="W46" s="243"/>
    </row>
    <row r="47" spans="1:23" s="211" customFormat="1">
      <c r="B47" s="237"/>
      <c r="C47" s="238" t="s">
        <v>268</v>
      </c>
      <c r="F47" s="957"/>
      <c r="G47" s="589"/>
      <c r="H47" s="1414" t="s">
        <v>23</v>
      </c>
      <c r="I47" s="1415"/>
      <c r="J47" s="995">
        <f t="shared" si="1"/>
        <v>1112</v>
      </c>
      <c r="K47" s="996">
        <f t="shared" si="2"/>
        <v>599</v>
      </c>
      <c r="L47" s="996">
        <f t="shared" si="3"/>
        <v>513</v>
      </c>
      <c r="M47" s="971">
        <f t="shared" si="18"/>
        <v>-86</v>
      </c>
      <c r="N47" s="1056"/>
      <c r="O47" s="1057"/>
      <c r="P47" s="997" t="str">
        <f t="shared" si="4"/>
        <v/>
      </c>
      <c r="R47" s="287">
        <f>DB!J16</f>
        <v>1112</v>
      </c>
      <c r="S47" s="287">
        <f>'DB1'!J16</f>
        <v>599</v>
      </c>
      <c r="T47" s="287">
        <f>'DB2'!J16</f>
        <v>513</v>
      </c>
      <c r="U47" s="287"/>
      <c r="V47" s="287"/>
      <c r="W47" s="287"/>
    </row>
    <row r="48" spans="1:23" s="211" customFormat="1" ht="15" hidden="1" customHeight="1" outlineLevel="1">
      <c r="B48" s="237"/>
      <c r="C48" s="301" t="s">
        <v>270</v>
      </c>
      <c r="D48" s="239"/>
      <c r="E48" s="240"/>
      <c r="F48" s="281"/>
      <c r="G48" s="585"/>
      <c r="H48" s="1414" t="s">
        <v>23</v>
      </c>
      <c r="I48" s="1415"/>
      <c r="J48" s="995">
        <f t="shared" si="1"/>
        <v>0</v>
      </c>
      <c r="K48" s="996">
        <f t="shared" si="2"/>
        <v>0</v>
      </c>
      <c r="L48" s="996">
        <f t="shared" si="3"/>
        <v>0</v>
      </c>
      <c r="M48" s="971">
        <f>L48-K48</f>
        <v>0</v>
      </c>
      <c r="N48" s="1056"/>
      <c r="O48" s="1057"/>
      <c r="P48" s="997" t="str">
        <f t="shared" si="4"/>
        <v/>
      </c>
      <c r="R48" s="288"/>
      <c r="S48" s="288"/>
      <c r="T48" s="288"/>
      <c r="U48" s="288"/>
      <c r="V48" s="288"/>
      <c r="W48" s="288"/>
    </row>
    <row r="49" spans="1:23" s="211" customFormat="1" collapsed="1">
      <c r="A49" s="220"/>
      <c r="B49" s="601" t="s">
        <v>278</v>
      </c>
      <c r="C49" s="601"/>
      <c r="D49" s="601"/>
      <c r="E49" s="606"/>
      <c r="F49" s="603"/>
      <c r="G49" s="602"/>
      <c r="H49" s="1412" t="s">
        <v>178</v>
      </c>
      <c r="I49" s="1413"/>
      <c r="J49" s="1005">
        <f t="shared" si="1"/>
        <v>0.53435848149927923</v>
      </c>
      <c r="K49" s="1006">
        <f t="shared" si="2"/>
        <v>0.53434433541480819</v>
      </c>
      <c r="L49" s="1006">
        <f t="shared" si="3"/>
        <v>0.53437500000000004</v>
      </c>
      <c r="M49" s="972">
        <f>L49-K49</f>
        <v>3.0664585191853E-5</v>
      </c>
      <c r="N49" s="1060"/>
      <c r="O49" s="1061"/>
      <c r="P49" s="1002" t="str">
        <f t="shared" si="4"/>
        <v/>
      </c>
      <c r="R49" s="241">
        <f>DB!C16</f>
        <v>0.53435848149927923</v>
      </c>
      <c r="S49" s="241">
        <f>'DB1'!C16</f>
        <v>0.53434433541480819</v>
      </c>
      <c r="T49" s="241">
        <f>'DB2'!C16</f>
        <v>0.53437500000000004</v>
      </c>
      <c r="U49" s="241"/>
      <c r="V49" s="241"/>
      <c r="W49" s="241"/>
    </row>
    <row r="50" spans="1:23" s="211" customFormat="1">
      <c r="A50" s="220"/>
      <c r="B50" s="601" t="s">
        <v>279</v>
      </c>
      <c r="C50" s="601"/>
      <c r="D50" s="601"/>
      <c r="E50" s="606"/>
      <c r="F50" s="603"/>
      <c r="G50" s="602"/>
      <c r="H50" s="1412"/>
      <c r="I50" s="1413"/>
      <c r="J50" s="1005">
        <f t="shared" si="1"/>
        <v>0</v>
      </c>
      <c r="K50" s="1006">
        <f t="shared" si="2"/>
        <v>0</v>
      </c>
      <c r="L50" s="1006">
        <f t="shared" si="3"/>
        <v>0</v>
      </c>
      <c r="M50" s="972"/>
      <c r="N50" s="1060"/>
      <c r="O50" s="1061"/>
      <c r="P50" s="1002" t="str">
        <f t="shared" si="4"/>
        <v/>
      </c>
      <c r="R50" s="244"/>
      <c r="S50" s="244"/>
      <c r="T50" s="244"/>
      <c r="U50" s="244"/>
      <c r="V50" s="244"/>
      <c r="W50" s="244"/>
    </row>
    <row r="51" spans="1:23" s="225" customFormat="1">
      <c r="A51" s="236"/>
      <c r="B51" s="227" t="s">
        <v>265</v>
      </c>
      <c r="E51" s="224"/>
      <c r="F51" s="671" t="s">
        <v>124</v>
      </c>
      <c r="G51" s="669" t="s">
        <v>280</v>
      </c>
      <c r="H51" s="1414"/>
      <c r="I51" s="1415"/>
      <c r="J51" s="995">
        <f t="shared" si="1"/>
        <v>0</v>
      </c>
      <c r="K51" s="996">
        <f t="shared" si="2"/>
        <v>0</v>
      </c>
      <c r="L51" s="996">
        <f t="shared" si="3"/>
        <v>0</v>
      </c>
      <c r="M51" s="967">
        <f t="shared" ref="M51:M60" si="21">L51-K51</f>
        <v>0</v>
      </c>
      <c r="N51" s="1056"/>
      <c r="O51" s="1057"/>
      <c r="P51" s="997" t="str">
        <f t="shared" si="4"/>
        <v/>
      </c>
      <c r="R51" s="228"/>
      <c r="S51" s="228">
        <v>0</v>
      </c>
      <c r="T51" s="228"/>
      <c r="U51" s="228"/>
      <c r="V51" s="228"/>
      <c r="W51" s="228"/>
    </row>
    <row r="52" spans="1:23" s="222" customFormat="1">
      <c r="A52" s="232"/>
      <c r="B52" s="226"/>
      <c r="C52" s="238" t="s">
        <v>261</v>
      </c>
      <c r="D52" s="223"/>
      <c r="F52" s="672">
        <f>DB!P8</f>
        <v>522.9</v>
      </c>
      <c r="G52" s="672">
        <f>DB!Q8</f>
        <v>710.5566626194111</v>
      </c>
      <c r="H52" s="1414" t="s">
        <v>281</v>
      </c>
      <c r="I52" s="1415"/>
      <c r="J52" s="995">
        <f t="shared" si="1"/>
        <v>630</v>
      </c>
      <c r="K52" s="996">
        <f t="shared" si="2"/>
        <v>630</v>
      </c>
      <c r="L52" s="996">
        <f t="shared" si="3"/>
        <v>630.00000000000034</v>
      </c>
      <c r="M52" s="967">
        <f t="shared" si="21"/>
        <v>0</v>
      </c>
      <c r="N52" s="1056">
        <v>0</v>
      </c>
      <c r="O52" s="1057">
        <v>0</v>
      </c>
      <c r="P52" s="997" t="str">
        <f t="shared" si="4"/>
        <v/>
      </c>
      <c r="R52" s="287">
        <f>R53</f>
        <v>630</v>
      </c>
      <c r="S52" s="287">
        <f t="shared" ref="S52:T52" si="22">S53</f>
        <v>630</v>
      </c>
      <c r="T52" s="287">
        <f t="shared" si="22"/>
        <v>630.00000000000034</v>
      </c>
      <c r="U52" s="287"/>
      <c r="V52" s="287"/>
      <c r="W52" s="287"/>
    </row>
    <row r="53" spans="1:23" s="225" customFormat="1" ht="15" customHeight="1" outlineLevel="1">
      <c r="A53" s="236"/>
      <c r="B53" s="226"/>
      <c r="C53" s="258"/>
      <c r="D53" s="225" t="s">
        <v>272</v>
      </c>
      <c r="F53" s="671"/>
      <c r="G53" s="671"/>
      <c r="H53" s="1414" t="s">
        <v>281</v>
      </c>
      <c r="I53" s="1415"/>
      <c r="J53" s="995">
        <f t="shared" si="1"/>
        <v>630</v>
      </c>
      <c r="K53" s="996">
        <f t="shared" si="2"/>
        <v>630</v>
      </c>
      <c r="L53" s="996">
        <f t="shared" si="3"/>
        <v>630.00000000000034</v>
      </c>
      <c r="M53" s="967">
        <f t="shared" si="21"/>
        <v>0</v>
      </c>
      <c r="N53" s="1056">
        <v>0</v>
      </c>
      <c r="O53" s="1057">
        <v>0</v>
      </c>
      <c r="P53" s="997" t="str">
        <f t="shared" si="4"/>
        <v/>
      </c>
      <c r="R53" s="234">
        <f>DB!R8</f>
        <v>630</v>
      </c>
      <c r="S53" s="234">
        <f>'CF1'!E17</f>
        <v>630</v>
      </c>
      <c r="T53" s="234">
        <f>'CF2'!E17</f>
        <v>630.00000000000034</v>
      </c>
      <c r="U53" s="234"/>
      <c r="V53" s="234"/>
      <c r="W53" s="234"/>
    </row>
    <row r="54" spans="1:23" s="225" customFormat="1" ht="15" customHeight="1" outlineLevel="1">
      <c r="A54" s="236"/>
      <c r="B54" s="226"/>
      <c r="C54" s="258"/>
      <c r="D54" s="302" t="s">
        <v>273</v>
      </c>
      <c r="F54" s="671"/>
      <c r="G54" s="671"/>
      <c r="H54" s="1414" t="s">
        <v>281</v>
      </c>
      <c r="I54" s="1415"/>
      <c r="J54" s="995">
        <f t="shared" si="1"/>
        <v>0</v>
      </c>
      <c r="K54" s="996">
        <f t="shared" si="2"/>
        <v>0</v>
      </c>
      <c r="L54" s="996">
        <f t="shared" si="3"/>
        <v>0</v>
      </c>
      <c r="M54" s="967">
        <f t="shared" si="21"/>
        <v>0</v>
      </c>
      <c r="N54" s="1056">
        <v>0</v>
      </c>
      <c r="O54" s="1057">
        <v>0</v>
      </c>
      <c r="P54" s="997" t="str">
        <f t="shared" si="4"/>
        <v/>
      </c>
      <c r="R54" s="234"/>
      <c r="S54" s="234"/>
      <c r="T54" s="234"/>
      <c r="U54" s="234"/>
      <c r="V54" s="234"/>
      <c r="W54" s="234"/>
    </row>
    <row r="55" spans="1:23" s="225" customFormat="1" ht="15" customHeight="1" outlineLevel="1">
      <c r="A55" s="236"/>
      <c r="B55" s="226"/>
      <c r="C55" s="258"/>
      <c r="D55" s="302" t="s">
        <v>274</v>
      </c>
      <c r="F55" s="671"/>
      <c r="G55" s="671"/>
      <c r="H55" s="1414" t="s">
        <v>281</v>
      </c>
      <c r="I55" s="1415"/>
      <c r="J55" s="995">
        <f t="shared" si="1"/>
        <v>0</v>
      </c>
      <c r="K55" s="996">
        <f t="shared" si="2"/>
        <v>0</v>
      </c>
      <c r="L55" s="996">
        <f t="shared" si="3"/>
        <v>0</v>
      </c>
      <c r="M55" s="967">
        <f t="shared" si="21"/>
        <v>0</v>
      </c>
      <c r="N55" s="1056">
        <v>0</v>
      </c>
      <c r="O55" s="1057">
        <v>0</v>
      </c>
      <c r="P55" s="997" t="str">
        <f t="shared" si="4"/>
        <v/>
      </c>
      <c r="R55" s="234"/>
      <c r="S55" s="234"/>
      <c r="T55" s="234"/>
      <c r="U55" s="234"/>
      <c r="V55" s="234"/>
      <c r="W55" s="234"/>
    </row>
    <row r="56" spans="1:23" s="222" customFormat="1">
      <c r="A56" s="232"/>
      <c r="B56" s="226"/>
      <c r="C56" s="301" t="s">
        <v>262</v>
      </c>
      <c r="D56" s="223"/>
      <c r="F56" s="670"/>
      <c r="G56" s="670"/>
      <c r="H56" s="1414" t="s">
        <v>281</v>
      </c>
      <c r="I56" s="1415"/>
      <c r="J56" s="995">
        <f t="shared" si="1"/>
        <v>0</v>
      </c>
      <c r="K56" s="996">
        <f t="shared" si="2"/>
        <v>0</v>
      </c>
      <c r="L56" s="996">
        <f t="shared" si="3"/>
        <v>0</v>
      </c>
      <c r="M56" s="967">
        <f t="shared" si="21"/>
        <v>0</v>
      </c>
      <c r="N56" s="1056">
        <v>0</v>
      </c>
      <c r="O56" s="1057">
        <v>0</v>
      </c>
      <c r="P56" s="997" t="str">
        <f t="shared" si="4"/>
        <v/>
      </c>
      <c r="R56" s="287"/>
      <c r="S56" s="287"/>
      <c r="T56" s="287"/>
      <c r="U56" s="287"/>
      <c r="V56" s="287"/>
      <c r="W56" s="287"/>
    </row>
    <row r="57" spans="1:23" s="222" customFormat="1">
      <c r="A57" s="232"/>
      <c r="B57" s="226"/>
      <c r="C57" s="238" t="s">
        <v>263</v>
      </c>
      <c r="D57" s="223"/>
      <c r="F57" s="670">
        <f>'DB1'!P11</f>
        <v>700</v>
      </c>
      <c r="G57" s="670">
        <f>'DB1'!Q11</f>
        <v>700</v>
      </c>
      <c r="H57" s="1414" t="s">
        <v>281</v>
      </c>
      <c r="I57" s="1415"/>
      <c r="J57" s="995">
        <f t="shared" si="1"/>
        <v>700</v>
      </c>
      <c r="K57" s="996">
        <f t="shared" si="2"/>
        <v>700</v>
      </c>
      <c r="L57" s="996">
        <f t="shared" si="3"/>
        <v>700</v>
      </c>
      <c r="M57" s="967">
        <f t="shared" si="21"/>
        <v>0</v>
      </c>
      <c r="N57" s="1056">
        <v>0</v>
      </c>
      <c r="O57" s="1057">
        <v>0</v>
      </c>
      <c r="P57" s="997" t="str">
        <f t="shared" si="4"/>
        <v/>
      </c>
      <c r="R57" s="287">
        <f>DB!R11</f>
        <v>700</v>
      </c>
      <c r="S57" s="287">
        <f>'DB1'!R11</f>
        <v>700</v>
      </c>
      <c r="T57" s="287">
        <f>'DB2'!R11</f>
        <v>700</v>
      </c>
      <c r="U57" s="287"/>
      <c r="V57" s="287"/>
      <c r="W57" s="287"/>
    </row>
    <row r="58" spans="1:23" s="225" customFormat="1">
      <c r="A58" s="236"/>
      <c r="B58" s="227" t="s">
        <v>266</v>
      </c>
      <c r="C58" s="258"/>
      <c r="F58" s="671"/>
      <c r="G58" s="671"/>
      <c r="H58" s="1414"/>
      <c r="I58" s="1415"/>
      <c r="J58" s="995">
        <f t="shared" si="1"/>
        <v>0</v>
      </c>
      <c r="K58" s="996">
        <f t="shared" si="2"/>
        <v>0</v>
      </c>
      <c r="L58" s="996">
        <f t="shared" si="3"/>
        <v>0</v>
      </c>
      <c r="M58" s="967">
        <f t="shared" si="21"/>
        <v>0</v>
      </c>
      <c r="N58" s="1056"/>
      <c r="O58" s="1057"/>
      <c r="P58" s="997" t="str">
        <f t="shared" si="4"/>
        <v/>
      </c>
      <c r="R58" s="228"/>
      <c r="S58" s="228">
        <v>0</v>
      </c>
      <c r="T58" s="228"/>
      <c r="U58" s="228"/>
      <c r="V58" s="228"/>
      <c r="W58" s="228"/>
    </row>
    <row r="59" spans="1:23" s="222" customFormat="1">
      <c r="A59" s="232"/>
      <c r="B59" s="245"/>
      <c r="C59" s="238" t="s">
        <v>268</v>
      </c>
      <c r="D59" s="227"/>
      <c r="F59" s="670">
        <f>DB!P16</f>
        <v>4500</v>
      </c>
      <c r="G59" s="670">
        <f>DB!Q16</f>
        <v>4500</v>
      </c>
      <c r="H59" s="1414" t="s">
        <v>282</v>
      </c>
      <c r="I59" s="1415"/>
      <c r="J59" s="995">
        <f t="shared" si="1"/>
        <v>4500</v>
      </c>
      <c r="K59" s="996">
        <f t="shared" si="2"/>
        <v>4500</v>
      </c>
      <c r="L59" s="996">
        <f t="shared" si="3"/>
        <v>4500</v>
      </c>
      <c r="M59" s="967">
        <f t="shared" si="21"/>
        <v>0</v>
      </c>
      <c r="N59" s="1056">
        <v>0</v>
      </c>
      <c r="O59" s="1057">
        <v>0</v>
      </c>
      <c r="P59" s="997" t="str">
        <f t="shared" si="4"/>
        <v/>
      </c>
      <c r="R59" s="287">
        <f>DB!R16</f>
        <v>4500</v>
      </c>
      <c r="S59" s="287">
        <f>'DB1'!R16</f>
        <v>4500</v>
      </c>
      <c r="T59" s="287">
        <f>'DB2'!R16</f>
        <v>4500</v>
      </c>
      <c r="U59" s="287"/>
      <c r="V59" s="287"/>
      <c r="W59" s="287"/>
    </row>
    <row r="60" spans="1:23" s="222" customFormat="1" hidden="1">
      <c r="A60" s="232"/>
      <c r="B60" s="245"/>
      <c r="C60" s="303" t="s">
        <v>270</v>
      </c>
      <c r="D60" s="227"/>
      <c r="F60" s="574"/>
      <c r="G60" s="587"/>
      <c r="H60" s="1414" t="s">
        <v>281</v>
      </c>
      <c r="I60" s="1415"/>
      <c r="J60" s="995">
        <f t="shared" si="1"/>
        <v>0</v>
      </c>
      <c r="K60" s="996">
        <f t="shared" si="2"/>
        <v>0</v>
      </c>
      <c r="L60" s="996">
        <f t="shared" si="3"/>
        <v>0</v>
      </c>
      <c r="M60" s="967">
        <f t="shared" si="21"/>
        <v>0</v>
      </c>
      <c r="N60" s="1056">
        <v>0</v>
      </c>
      <c r="O60" s="1057">
        <v>0</v>
      </c>
      <c r="P60" s="997" t="str">
        <f t="shared" si="4"/>
        <v/>
      </c>
      <c r="R60" s="287"/>
      <c r="S60" s="287">
        <v>0</v>
      </c>
      <c r="T60" s="287"/>
      <c r="U60" s="287"/>
      <c r="V60" s="287"/>
      <c r="W60" s="287"/>
    </row>
    <row r="61" spans="1:23" s="211" customFormat="1">
      <c r="A61" s="220"/>
      <c r="B61" s="601" t="s">
        <v>283</v>
      </c>
      <c r="C61" s="601"/>
      <c r="D61" s="601"/>
      <c r="E61" s="606"/>
      <c r="F61" s="603"/>
      <c r="G61" s="602"/>
      <c r="H61" s="1412" t="s">
        <v>284</v>
      </c>
      <c r="I61" s="1413"/>
      <c r="J61" s="1007">
        <f t="shared" si="1"/>
        <v>5.5013698630136982</v>
      </c>
      <c r="K61" s="1008">
        <f t="shared" si="2"/>
        <v>4.2493150684931509</v>
      </c>
      <c r="L61" s="1008">
        <f t="shared" si="3"/>
        <v>5.5013698630136982</v>
      </c>
      <c r="M61" s="973">
        <f>L61-K61</f>
        <v>1.2520547945205474</v>
      </c>
      <c r="N61" s="1062"/>
      <c r="O61" s="1063"/>
      <c r="P61" s="1002" t="str">
        <f t="shared" si="4"/>
        <v/>
      </c>
      <c r="R61" s="304">
        <f>(R63-R62)/365</f>
        <v>5.5013698630136982</v>
      </c>
      <c r="S61" s="304">
        <v>4.2493150684931509</v>
      </c>
      <c r="T61" s="304">
        <f>(T63-T62)/365</f>
        <v>5.5013698630136982</v>
      </c>
      <c r="U61" s="304"/>
      <c r="V61" s="304"/>
      <c r="W61" s="304"/>
    </row>
    <row r="62" spans="1:23" s="222" customFormat="1">
      <c r="A62" s="232"/>
      <c r="B62" s="227" t="s">
        <v>285</v>
      </c>
      <c r="C62" s="246"/>
      <c r="D62" s="227"/>
      <c r="E62" s="224"/>
      <c r="F62" s="575"/>
      <c r="G62" s="588"/>
      <c r="H62" s="1414" t="s">
        <v>286</v>
      </c>
      <c r="I62" s="1415"/>
      <c r="J62" s="1009">
        <f t="shared" si="1"/>
        <v>45748</v>
      </c>
      <c r="K62" s="1010">
        <f t="shared" si="2"/>
        <v>45748</v>
      </c>
      <c r="L62" s="1010">
        <f t="shared" si="3"/>
        <v>45748</v>
      </c>
      <c r="M62" s="974">
        <f>(L62-K62)/365</f>
        <v>0</v>
      </c>
      <c r="N62" s="1056"/>
      <c r="O62" s="1057"/>
      <c r="P62" s="997" t="str">
        <f t="shared" si="4"/>
        <v/>
      </c>
      <c r="R62" s="289">
        <f>DB!U23</f>
        <v>45748</v>
      </c>
      <c r="S62" s="289">
        <f>'DB1'!U23</f>
        <v>45748</v>
      </c>
      <c r="T62" s="289">
        <f>'DB2'!U23</f>
        <v>45748</v>
      </c>
      <c r="U62" s="289"/>
      <c r="V62" s="289"/>
      <c r="W62" s="289"/>
    </row>
    <row r="63" spans="1:23" s="222" customFormat="1">
      <c r="A63" s="232"/>
      <c r="B63" s="227" t="s">
        <v>287</v>
      </c>
      <c r="C63" s="246"/>
      <c r="D63" s="227"/>
      <c r="E63" s="224"/>
      <c r="F63" s="575"/>
      <c r="G63" s="588"/>
      <c r="H63" s="1414" t="s">
        <v>286</v>
      </c>
      <c r="I63" s="1415"/>
      <c r="J63" s="1009">
        <f t="shared" si="1"/>
        <v>47756</v>
      </c>
      <c r="K63" s="1010">
        <f t="shared" si="2"/>
        <v>47391</v>
      </c>
      <c r="L63" s="1010">
        <f t="shared" si="3"/>
        <v>47756</v>
      </c>
      <c r="M63" s="974">
        <f>(L63-K63)/365</f>
        <v>1</v>
      </c>
      <c r="N63" s="1056"/>
      <c r="O63" s="1057"/>
      <c r="P63" s="997" t="str">
        <f t="shared" si="4"/>
        <v/>
      </c>
      <c r="R63" s="289">
        <f>DB!U27</f>
        <v>47756</v>
      </c>
      <c r="S63" s="289">
        <f>'DB1'!U27</f>
        <v>47391</v>
      </c>
      <c r="T63" s="289">
        <f>'DB2'!U27</f>
        <v>47756</v>
      </c>
      <c r="U63" s="289"/>
      <c r="V63" s="289"/>
      <c r="W63" s="289"/>
    </row>
    <row r="64" spans="1:23" s="211" customFormat="1">
      <c r="A64" s="220"/>
      <c r="B64" s="601" t="s">
        <v>288</v>
      </c>
      <c r="C64" s="601"/>
      <c r="D64" s="601"/>
      <c r="E64" s="606"/>
      <c r="F64" s="610"/>
      <c r="G64" s="632"/>
      <c r="H64" s="1412" t="s">
        <v>284</v>
      </c>
      <c r="I64" s="1413"/>
      <c r="J64" s="1007">
        <f t="shared" si="1"/>
        <v>5.2520547945205482</v>
      </c>
      <c r="K64" s="1008">
        <f t="shared" si="2"/>
        <v>4</v>
      </c>
      <c r="L64" s="1008">
        <f t="shared" si="3"/>
        <v>4.2520547945205482</v>
      </c>
      <c r="M64" s="973">
        <f>L64-K64</f>
        <v>0.25205479452054824</v>
      </c>
      <c r="N64" s="1062"/>
      <c r="O64" s="1063"/>
      <c r="P64" s="1011" t="str">
        <f t="shared" si="4"/>
        <v/>
      </c>
      <c r="R64" s="304">
        <f>(R66-R65)/365</f>
        <v>5.2520547945205482</v>
      </c>
      <c r="S64" s="304">
        <v>4</v>
      </c>
      <c r="T64" s="304">
        <f>(T66-T65)/365</f>
        <v>4.2520547945205482</v>
      </c>
      <c r="U64" s="304"/>
      <c r="V64" s="304"/>
      <c r="W64" s="304"/>
    </row>
    <row r="65" spans="1:24" s="222" customFormat="1">
      <c r="A65" s="232"/>
      <c r="B65" s="227" t="s">
        <v>289</v>
      </c>
      <c r="C65" s="246"/>
      <c r="D65" s="227"/>
      <c r="E65" s="224"/>
      <c r="F65" s="575"/>
      <c r="G65" s="588"/>
      <c r="H65" s="1414" t="s">
        <v>286</v>
      </c>
      <c r="I65" s="1415"/>
      <c r="J65" s="1009">
        <f t="shared" si="1"/>
        <v>46296</v>
      </c>
      <c r="K65" s="1010">
        <f t="shared" si="2"/>
        <v>46296</v>
      </c>
      <c r="L65" s="1010">
        <f t="shared" si="3"/>
        <v>46661</v>
      </c>
      <c r="M65" s="974">
        <f>(L65-K65)/365</f>
        <v>1</v>
      </c>
      <c r="N65" s="1056"/>
      <c r="O65" s="1057"/>
      <c r="P65" s="997" t="str">
        <f t="shared" si="4"/>
        <v/>
      </c>
      <c r="R65" s="289">
        <f>DB!M8</f>
        <v>46296</v>
      </c>
      <c r="S65" s="289">
        <f>'DB1'!M8</f>
        <v>46296</v>
      </c>
      <c r="T65" s="289">
        <f>'DB2'!M8</f>
        <v>46661</v>
      </c>
      <c r="U65" s="289"/>
      <c r="V65" s="289"/>
      <c r="W65" s="289"/>
    </row>
    <row r="66" spans="1:24" s="222" customFormat="1">
      <c r="A66" s="232"/>
      <c r="B66" s="227" t="s">
        <v>290</v>
      </c>
      <c r="C66" s="246"/>
      <c r="D66" s="227"/>
      <c r="E66" s="224"/>
      <c r="F66" s="575"/>
      <c r="G66" s="588"/>
      <c r="H66" s="1414" t="s">
        <v>286</v>
      </c>
      <c r="I66" s="1415"/>
      <c r="J66" s="1009">
        <f t="shared" si="1"/>
        <v>48213</v>
      </c>
      <c r="K66" s="1010">
        <f t="shared" si="2"/>
        <v>48121</v>
      </c>
      <c r="L66" s="1010">
        <f t="shared" si="3"/>
        <v>48213</v>
      </c>
      <c r="M66" s="974">
        <f>(L66-K66)/365</f>
        <v>0.25205479452054796</v>
      </c>
      <c r="N66" s="1056"/>
      <c r="O66" s="1057"/>
      <c r="P66" s="997" t="str">
        <f t="shared" si="4"/>
        <v/>
      </c>
      <c r="R66" s="289">
        <f>DB!U28</f>
        <v>48213</v>
      </c>
      <c r="S66" s="289">
        <f>'DB1'!U28</f>
        <v>48121</v>
      </c>
      <c r="T66" s="289">
        <f>'DB2'!U28</f>
        <v>48213</v>
      </c>
      <c r="U66" s="289"/>
      <c r="V66" s="289"/>
      <c r="W66" s="289"/>
    </row>
    <row r="67" spans="1:24" s="211" customFormat="1">
      <c r="A67" s="220"/>
      <c r="B67" s="601" t="s">
        <v>291</v>
      </c>
      <c r="C67" s="601"/>
      <c r="D67" s="601"/>
      <c r="E67" s="606"/>
      <c r="F67" s="610"/>
      <c r="G67" s="632"/>
      <c r="H67" s="1412" t="s">
        <v>284</v>
      </c>
      <c r="I67" s="1413"/>
      <c r="J67" s="1007">
        <f t="shared" si="1"/>
        <v>6.7534246575342465</v>
      </c>
      <c r="K67" s="1008">
        <f t="shared" si="2"/>
        <v>5.2493150684931509</v>
      </c>
      <c r="L67" s="1008">
        <f t="shared" si="3"/>
        <v>6.7534246575342465</v>
      </c>
      <c r="M67" s="973">
        <f>L67-K67</f>
        <v>1.5041095890410956</v>
      </c>
      <c r="N67" s="1060"/>
      <c r="O67" s="1061"/>
      <c r="P67" s="1002" t="str">
        <f t="shared" si="4"/>
        <v/>
      </c>
      <c r="R67" s="304">
        <f>(R66-R62)/365</f>
        <v>6.7534246575342465</v>
      </c>
      <c r="S67" s="304">
        <v>5.2493150684931509</v>
      </c>
      <c r="T67" s="304">
        <f>(T66-T62)/365</f>
        <v>6.7534246575342465</v>
      </c>
      <c r="U67" s="304"/>
      <c r="V67" s="304"/>
      <c r="W67" s="304"/>
    </row>
    <row r="68" spans="1:24" s="211" customFormat="1">
      <c r="A68" s="222"/>
      <c r="B68" s="222"/>
      <c r="C68" s="222"/>
      <c r="D68" s="222"/>
      <c r="E68" s="222"/>
      <c r="F68" s="222"/>
      <c r="G68" s="222"/>
      <c r="H68" s="258"/>
      <c r="I68" s="258"/>
      <c r="J68" s="258"/>
      <c r="K68" s="258"/>
      <c r="L68" s="258"/>
      <c r="M68" s="962"/>
      <c r="N68" s="655"/>
      <c r="O68" s="655"/>
      <c r="P68" s="258" t="str">
        <f t="shared" si="4"/>
        <v/>
      </c>
      <c r="Q68" s="222"/>
      <c r="R68" s="222"/>
      <c r="S68" s="222"/>
      <c r="T68" s="222"/>
      <c r="U68" s="222"/>
      <c r="V68" s="222"/>
      <c r="W68" s="222"/>
      <c r="X68" s="222"/>
    </row>
    <row r="69" spans="1:24" s="211" customFormat="1">
      <c r="B69" s="611" t="s">
        <v>338</v>
      </c>
      <c r="C69" s="611"/>
      <c r="D69" s="611"/>
      <c r="E69" s="611"/>
      <c r="F69" s="612"/>
      <c r="G69" s="613"/>
      <c r="H69" s="656">
        <f>IFERROR(K69/K$17*1000000,)</f>
        <v>0</v>
      </c>
      <c r="I69" s="656">
        <f>IFERROR(L69/L$17*1000000,)</f>
        <v>0</v>
      </c>
      <c r="J69" s="1012">
        <f t="shared" si="1"/>
        <v>0</v>
      </c>
      <c r="K69" s="1013">
        <f t="shared" si="2"/>
        <v>0</v>
      </c>
      <c r="L69" s="1013">
        <f t="shared" si="3"/>
        <v>0</v>
      </c>
      <c r="M69" s="975">
        <f t="shared" ref="M69:M84" si="23">L69-K69</f>
        <v>0</v>
      </c>
      <c r="N69" s="1064"/>
      <c r="O69" s="1065"/>
      <c r="P69" s="1014" t="str">
        <f t="shared" si="4"/>
        <v/>
      </c>
      <c r="R69" s="247">
        <v>0</v>
      </c>
      <c r="S69" s="247">
        <v>0</v>
      </c>
      <c r="T69" s="247"/>
      <c r="U69" s="247"/>
      <c r="V69" s="247"/>
      <c r="W69" s="247"/>
    </row>
    <row r="70" spans="1:24" s="211" customFormat="1">
      <c r="B70" s="248" t="s">
        <v>339</v>
      </c>
      <c r="C70" s="614"/>
      <c r="D70" s="614"/>
      <c r="E70" s="614"/>
      <c r="F70" s="573"/>
      <c r="G70" s="589"/>
      <c r="H70" s="657">
        <f>IFERROR(K70/K$17*1000000,)</f>
        <v>375149.13635499717</v>
      </c>
      <c r="I70" s="657">
        <f>IFERROR(L70/L$17*1000000,)</f>
        <v>374189.714157529</v>
      </c>
      <c r="J70" s="1015">
        <f t="shared" si="1"/>
        <v>78746.092703999995</v>
      </c>
      <c r="K70" s="999">
        <f t="shared" si="2"/>
        <v>42595.62591599999</v>
      </c>
      <c r="L70" s="999">
        <f t="shared" si="3"/>
        <v>36150.46678800002</v>
      </c>
      <c r="M70" s="968">
        <f t="shared" si="23"/>
        <v>-6445.1591279999702</v>
      </c>
      <c r="N70" s="1056"/>
      <c r="O70" s="1057"/>
      <c r="P70" s="1016" t="str">
        <f t="shared" si="4"/>
        <v/>
      </c>
      <c r="R70" s="249">
        <f>SUM(R71)</f>
        <v>78746.092703999995</v>
      </c>
      <c r="S70" s="249">
        <f t="shared" ref="S70:T70" si="24">SUM(S71)</f>
        <v>42595.62591599999</v>
      </c>
      <c r="T70" s="249">
        <f t="shared" si="24"/>
        <v>36150.46678800002</v>
      </c>
      <c r="U70" s="249"/>
      <c r="V70" s="249"/>
      <c r="W70" s="249"/>
    </row>
    <row r="71" spans="1:24" s="213" customFormat="1">
      <c r="B71" s="250" t="s">
        <v>364</v>
      </c>
      <c r="C71" s="250"/>
      <c r="D71" s="250"/>
      <c r="E71" s="250"/>
      <c r="F71" s="281"/>
      <c r="G71" s="585"/>
      <c r="H71" s="657">
        <f t="shared" ref="H71:I101" si="25">IFERROR(K71/K$17*1000000,)</f>
        <v>375149.13635499717</v>
      </c>
      <c r="I71" s="657">
        <f t="shared" si="25"/>
        <v>374189.714157529</v>
      </c>
      <c r="J71" s="1017">
        <f t="shared" ref="J71:J134" si="26">SUMIFS($R71:$W71,$R$5:$W$5,$J$5)</f>
        <v>78746.092703999995</v>
      </c>
      <c r="K71" s="996">
        <f t="shared" ref="K71:K134" si="27">SUMIFS($R71:$W71,$R$5:$W$5,$K$5)</f>
        <v>42595.62591599999</v>
      </c>
      <c r="L71" s="996">
        <f t="shared" ref="L71:L134" si="28">SUMIFS($R71:$W71,$R$5:$W$5,$L$5)</f>
        <v>36150.46678800002</v>
      </c>
      <c r="M71" s="967">
        <f t="shared" si="23"/>
        <v>-6445.1591279999702</v>
      </c>
      <c r="N71" s="1056"/>
      <c r="O71" s="1057"/>
      <c r="P71" s="1016" t="str">
        <f t="shared" ref="P71:P134" si="29">LEFT(Y71,4)</f>
        <v/>
      </c>
      <c r="Q71" s="251"/>
      <c r="R71" s="252">
        <f>SUM(R72:R76)</f>
        <v>78746.092703999995</v>
      </c>
      <c r="S71" s="252">
        <f t="shared" ref="S71:T71" si="30">SUM(S72:S76)</f>
        <v>42595.62591599999</v>
      </c>
      <c r="T71" s="252">
        <f t="shared" si="30"/>
        <v>36150.46678800002</v>
      </c>
      <c r="U71" s="252"/>
      <c r="V71" s="252"/>
      <c r="W71" s="252"/>
    </row>
    <row r="72" spans="1:24" s="213" customFormat="1" collapsed="1">
      <c r="A72" s="253"/>
      <c r="B72" s="237" t="s">
        <v>48</v>
      </c>
      <c r="C72" s="254"/>
      <c r="D72" s="254"/>
      <c r="E72" s="254"/>
      <c r="F72" s="575"/>
      <c r="G72" s="588"/>
      <c r="H72" s="657">
        <f t="shared" si="25"/>
        <v>329724.59302267199</v>
      </c>
      <c r="I72" s="657">
        <f t="shared" si="25"/>
        <v>331774.42464649334</v>
      </c>
      <c r="J72" s="1017">
        <f t="shared" si="26"/>
        <v>69490.704654000001</v>
      </c>
      <c r="K72" s="996">
        <f t="shared" si="27"/>
        <v>37437.978815999988</v>
      </c>
      <c r="L72" s="996">
        <f t="shared" si="28"/>
        <v>32052.72583800002</v>
      </c>
      <c r="M72" s="967">
        <f t="shared" si="23"/>
        <v>-5385.2529779999677</v>
      </c>
      <c r="N72" s="1056"/>
      <c r="O72" s="1057"/>
      <c r="P72" s="1016" t="str">
        <f t="shared" si="29"/>
        <v/>
      </c>
      <c r="Q72" s="211"/>
      <c r="R72" s="290">
        <f>CF!E54</f>
        <v>69490.704654000001</v>
      </c>
      <c r="S72" s="290">
        <f>'CF1'!E35</f>
        <v>37437.978815999988</v>
      </c>
      <c r="T72" s="290">
        <f>'CF2'!E35</f>
        <v>32052.72583800002</v>
      </c>
      <c r="U72" s="290"/>
      <c r="V72" s="290"/>
      <c r="W72" s="290"/>
    </row>
    <row r="73" spans="1:24" s="213" customFormat="1" hidden="1" outlineLevel="1">
      <c r="A73" s="253"/>
      <c r="B73" s="319" t="s">
        <v>292</v>
      </c>
      <c r="C73" s="254"/>
      <c r="D73" s="254"/>
      <c r="E73" s="254"/>
      <c r="F73" s="575"/>
      <c r="G73" s="588"/>
      <c r="H73" s="657">
        <f t="shared" si="25"/>
        <v>0</v>
      </c>
      <c r="I73" s="657">
        <f t="shared" si="25"/>
        <v>0</v>
      </c>
      <c r="J73" s="1017">
        <f t="shared" si="26"/>
        <v>0</v>
      </c>
      <c r="K73" s="996">
        <f t="shared" si="27"/>
        <v>0</v>
      </c>
      <c r="L73" s="996">
        <f t="shared" si="28"/>
        <v>0</v>
      </c>
      <c r="M73" s="967">
        <f t="shared" si="23"/>
        <v>0</v>
      </c>
      <c r="N73" s="1056"/>
      <c r="O73" s="1057"/>
      <c r="P73" s="1016" t="str">
        <f t="shared" si="29"/>
        <v/>
      </c>
      <c r="Q73" s="211"/>
      <c r="R73" s="290"/>
      <c r="S73" s="290">
        <v>0</v>
      </c>
      <c r="T73" s="290"/>
      <c r="U73" s="290"/>
      <c r="V73" s="290"/>
      <c r="W73" s="290"/>
    </row>
    <row r="74" spans="1:24" s="213" customFormat="1" hidden="1" outlineLevel="1">
      <c r="A74" s="253"/>
      <c r="B74" s="319" t="s">
        <v>293</v>
      </c>
      <c r="C74" s="254"/>
      <c r="D74" s="254"/>
      <c r="E74" s="254"/>
      <c r="F74" s="575"/>
      <c r="G74" s="588"/>
      <c r="H74" s="657">
        <f>IFERROR(K74/K$17*1000000,)</f>
        <v>0</v>
      </c>
      <c r="I74" s="657">
        <f>IFERROR(L74/L$17*1000000,)</f>
        <v>0</v>
      </c>
      <c r="J74" s="1017">
        <f t="shared" si="26"/>
        <v>0</v>
      </c>
      <c r="K74" s="996">
        <f t="shared" si="27"/>
        <v>0</v>
      </c>
      <c r="L74" s="996">
        <f t="shared" si="28"/>
        <v>0</v>
      </c>
      <c r="M74" s="967">
        <f>L74-K74</f>
        <v>0</v>
      </c>
      <c r="N74" s="1056"/>
      <c r="O74" s="1057"/>
      <c r="P74" s="1016" t="str">
        <f t="shared" si="29"/>
        <v/>
      </c>
      <c r="Q74" s="211"/>
      <c r="R74" s="290"/>
      <c r="S74" s="290">
        <v>0</v>
      </c>
      <c r="T74" s="290"/>
      <c r="U74" s="290"/>
      <c r="V74" s="290"/>
      <c r="W74" s="290"/>
    </row>
    <row r="75" spans="1:24" s="213" customFormat="1" collapsed="1">
      <c r="A75" s="253"/>
      <c r="B75" s="320" t="s">
        <v>116</v>
      </c>
      <c r="C75" s="254"/>
      <c r="D75" s="254"/>
      <c r="E75" s="254"/>
      <c r="F75" s="575"/>
      <c r="G75" s="588"/>
      <c r="H75" s="657">
        <f t="shared" si="25"/>
        <v>21684.676261489243</v>
      </c>
      <c r="I75" s="657">
        <f t="shared" si="25"/>
        <v>18520.246600569153</v>
      </c>
      <c r="J75" s="1017">
        <f t="shared" si="26"/>
        <v>4251.3880499999996</v>
      </c>
      <c r="K75" s="996">
        <f t="shared" si="27"/>
        <v>2462.1471000000001</v>
      </c>
      <c r="L75" s="996">
        <f t="shared" si="28"/>
        <v>1789.2409499999997</v>
      </c>
      <c r="M75" s="967">
        <f t="shared" si="23"/>
        <v>-672.90615000000048</v>
      </c>
      <c r="N75" s="1056"/>
      <c r="O75" s="1057"/>
      <c r="P75" s="1016" t="str">
        <f t="shared" si="29"/>
        <v/>
      </c>
      <c r="Q75" s="211"/>
      <c r="R75" s="290">
        <f>CF!E59</f>
        <v>4251.3880499999996</v>
      </c>
      <c r="S75" s="290">
        <f>'CF1'!E44</f>
        <v>2462.1471000000001</v>
      </c>
      <c r="T75" s="290">
        <f>'CF2'!E44</f>
        <v>1789.2409499999997</v>
      </c>
      <c r="U75" s="290"/>
      <c r="V75" s="290"/>
      <c r="W75" s="290"/>
    </row>
    <row r="76" spans="1:24" s="213" customFormat="1">
      <c r="A76" s="253"/>
      <c r="B76" s="615" t="s">
        <v>365</v>
      </c>
      <c r="C76" s="616"/>
      <c r="D76" s="616"/>
      <c r="E76" s="616"/>
      <c r="F76" s="617"/>
      <c r="G76" s="618"/>
      <c r="H76" s="963">
        <f t="shared" si="25"/>
        <v>23739.86707083596</v>
      </c>
      <c r="I76" s="963">
        <f t="shared" si="25"/>
        <v>23895.042910466535</v>
      </c>
      <c r="J76" s="1018">
        <f t="shared" si="26"/>
        <v>5004</v>
      </c>
      <c r="K76" s="1019">
        <f t="shared" si="27"/>
        <v>2695.5</v>
      </c>
      <c r="L76" s="1019">
        <f t="shared" si="28"/>
        <v>2308.5</v>
      </c>
      <c r="M76" s="976">
        <f t="shared" si="23"/>
        <v>-387</v>
      </c>
      <c r="N76" s="1066"/>
      <c r="O76" s="1067"/>
      <c r="P76" s="1020" t="str">
        <f t="shared" si="29"/>
        <v/>
      </c>
      <c r="Q76" s="211"/>
      <c r="R76" s="290">
        <f>CF!E63</f>
        <v>5004</v>
      </c>
      <c r="S76" s="290">
        <f>'CF1'!E46</f>
        <v>2695.5</v>
      </c>
      <c r="T76" s="290">
        <f>'CF2'!E46</f>
        <v>2308.5</v>
      </c>
      <c r="U76" s="290"/>
      <c r="V76" s="290"/>
      <c r="W76" s="290"/>
    </row>
    <row r="77" spans="1:24" s="211" customFormat="1">
      <c r="A77" s="253"/>
      <c r="B77" s="619" t="s">
        <v>294</v>
      </c>
      <c r="C77" s="619"/>
      <c r="D77" s="619"/>
      <c r="E77" s="619"/>
      <c r="F77" s="620"/>
      <c r="G77" s="621"/>
      <c r="H77" s="658">
        <f t="shared" si="25"/>
        <v>375149.13635499717</v>
      </c>
      <c r="I77" s="658">
        <f t="shared" si="25"/>
        <v>374189.714157529</v>
      </c>
      <c r="J77" s="1021">
        <f t="shared" si="26"/>
        <v>78746.092703999995</v>
      </c>
      <c r="K77" s="635">
        <f t="shared" si="27"/>
        <v>42595.62591599999</v>
      </c>
      <c r="L77" s="635">
        <f t="shared" si="28"/>
        <v>36150.46678800002</v>
      </c>
      <c r="M77" s="966">
        <f t="shared" si="23"/>
        <v>-6445.1591279999702</v>
      </c>
      <c r="N77" s="1054"/>
      <c r="O77" s="1055"/>
      <c r="P77" s="994" t="str">
        <f t="shared" si="29"/>
        <v/>
      </c>
      <c r="R77" s="255">
        <f>R69+R70</f>
        <v>78746.092703999995</v>
      </c>
      <c r="S77" s="255">
        <f t="shared" ref="S77:T77" si="31">S69+S70</f>
        <v>42595.62591599999</v>
      </c>
      <c r="T77" s="255">
        <f t="shared" si="31"/>
        <v>36150.46678800002</v>
      </c>
      <c r="U77" s="255"/>
      <c r="V77" s="255"/>
      <c r="W77" s="255"/>
    </row>
    <row r="78" spans="1:24" s="211" customFormat="1" collapsed="1">
      <c r="A78" s="253"/>
      <c r="B78" s="248" t="s">
        <v>340</v>
      </c>
      <c r="C78" s="248"/>
      <c r="D78" s="248"/>
      <c r="E78" s="248"/>
      <c r="F78" s="579"/>
      <c r="G78" s="592"/>
      <c r="H78" s="657">
        <f t="shared" si="25"/>
        <v>-48139.765450580329</v>
      </c>
      <c r="I78" s="657">
        <f t="shared" si="25"/>
        <v>-55679.313892284248</v>
      </c>
      <c r="J78" s="1015">
        <f t="shared" si="26"/>
        <v>-10845.120346129348</v>
      </c>
      <c r="K78" s="999">
        <f t="shared" si="27"/>
        <v>-5465.9420537130236</v>
      </c>
      <c r="L78" s="999">
        <f t="shared" si="28"/>
        <v>-5379.1782924163253</v>
      </c>
      <c r="M78" s="977">
        <f t="shared" si="23"/>
        <v>86.763761296698249</v>
      </c>
      <c r="N78" s="1056"/>
      <c r="O78" s="1057"/>
      <c r="P78" s="997" t="str">
        <f t="shared" si="29"/>
        <v/>
      </c>
      <c r="R78" s="249">
        <f>SUM(R79:R80,R83,R85:R86)</f>
        <v>-10845.120346129348</v>
      </c>
      <c r="S78" s="249">
        <f t="shared" ref="S78:T78" si="32">SUM(S79:S80,S83,S85:S86)</f>
        <v>-5465.9420537130236</v>
      </c>
      <c r="T78" s="249">
        <f t="shared" si="32"/>
        <v>-5379.1782924163253</v>
      </c>
      <c r="U78" s="249"/>
      <c r="V78" s="249"/>
      <c r="W78" s="249"/>
    </row>
    <row r="79" spans="1:24" s="213" customFormat="1" ht="15" customHeight="1">
      <c r="A79" s="253"/>
      <c r="B79" s="250" t="s">
        <v>6</v>
      </c>
      <c r="C79" s="257"/>
      <c r="D79" s="257"/>
      <c r="E79" s="257"/>
      <c r="F79" s="576"/>
      <c r="G79" s="590"/>
      <c r="H79" s="657">
        <f>IFERROR(K79/K$17*1000000,)</f>
        <v>-686.96332091456327</v>
      </c>
      <c r="I79" s="657">
        <f>IFERROR(L79/L$17*1000000,)</f>
        <v>-838.42255826198357</v>
      </c>
      <c r="J79" s="1017">
        <f t="shared" si="26"/>
        <v>-158.99999999999997</v>
      </c>
      <c r="K79" s="996">
        <f t="shared" si="27"/>
        <v>-78.000000000000014</v>
      </c>
      <c r="L79" s="996">
        <f t="shared" si="28"/>
        <v>-81</v>
      </c>
      <c r="M79" s="971">
        <f>(L79-K79)</f>
        <v>-2.9999999999999858</v>
      </c>
      <c r="N79" s="1056"/>
      <c r="O79" s="1057"/>
      <c r="P79" s="997" t="str">
        <f t="shared" si="29"/>
        <v/>
      </c>
      <c r="Q79" s="211"/>
      <c r="R79" s="290">
        <f>CF!E75</f>
        <v>-158.99999999999997</v>
      </c>
      <c r="S79" s="290">
        <f>'CF1'!E56</f>
        <v>-78.000000000000014</v>
      </c>
      <c r="T79" s="290">
        <f>'CF2'!E56</f>
        <v>-81</v>
      </c>
      <c r="U79" s="290"/>
      <c r="V79" s="290"/>
      <c r="W79" s="290"/>
    </row>
    <row r="80" spans="1:24" s="211" customFormat="1">
      <c r="A80" s="253"/>
      <c r="B80" s="250" t="s">
        <v>965</v>
      </c>
      <c r="C80" s="250"/>
      <c r="D80" s="250"/>
      <c r="E80" s="250"/>
      <c r="F80" s="281"/>
      <c r="G80" s="585"/>
      <c r="H80" s="657">
        <f t="shared" si="25"/>
        <v>-16432.175416123206</v>
      </c>
      <c r="I80" s="657">
        <f t="shared" si="25"/>
        <v>-16350.802732003254</v>
      </c>
      <c r="J80" s="1017">
        <f t="shared" si="26"/>
        <v>-3445.4124376000755</v>
      </c>
      <c r="K80" s="996">
        <f t="shared" si="27"/>
        <v>-1865.7614510644519</v>
      </c>
      <c r="L80" s="996">
        <f t="shared" si="28"/>
        <v>-1579.6509865356236</v>
      </c>
      <c r="M80" s="971">
        <f t="shared" si="23"/>
        <v>286.11046452882829</v>
      </c>
      <c r="N80" s="1056"/>
      <c r="O80" s="1057"/>
      <c r="P80" s="997" t="str">
        <f t="shared" si="29"/>
        <v/>
      </c>
      <c r="R80" s="290">
        <f>CF!E70+CF!E71+CF!E74</f>
        <v>-3445.4124376000755</v>
      </c>
      <c r="S80" s="290">
        <f>'CF1'!E51+'CF1'!E52+'CF1'!E55</f>
        <v>-1865.7614510644519</v>
      </c>
      <c r="T80" s="290">
        <f>'CF2'!E51+'CF2'!E55+'CF2'!E52</f>
        <v>-1579.6509865356236</v>
      </c>
      <c r="U80" s="290"/>
      <c r="V80" s="290"/>
      <c r="W80" s="290"/>
    </row>
    <row r="81" spans="1:23" s="2" customFormat="1" ht="14">
      <c r="A81" s="259"/>
      <c r="B81" s="318" t="s">
        <v>967</v>
      </c>
      <c r="C81" s="260"/>
      <c r="D81" s="261"/>
      <c r="E81" s="261"/>
      <c r="F81" s="577"/>
      <c r="G81" s="591"/>
      <c r="H81" s="964"/>
      <c r="I81" s="964"/>
      <c r="J81" s="1022">
        <f t="shared" si="26"/>
        <v>0.03</v>
      </c>
      <c r="K81" s="1023">
        <f t="shared" si="27"/>
        <v>0.03</v>
      </c>
      <c r="L81" s="1023">
        <f t="shared" si="28"/>
        <v>0.03</v>
      </c>
      <c r="M81" s="633">
        <f t="shared" si="23"/>
        <v>0</v>
      </c>
      <c r="N81" s="1068"/>
      <c r="O81" s="1069"/>
      <c r="P81" s="1024" t="str">
        <f t="shared" si="29"/>
        <v/>
      </c>
      <c r="Q81" s="124"/>
      <c r="R81" s="262">
        <f>DB!F49</f>
        <v>0.03</v>
      </c>
      <c r="S81" s="262">
        <f>'DB1'!F49</f>
        <v>0.03</v>
      </c>
      <c r="T81" s="262">
        <f>'DB2'!F49</f>
        <v>0.03</v>
      </c>
      <c r="U81" s="262"/>
      <c r="V81" s="262"/>
      <c r="W81" s="262"/>
    </row>
    <row r="82" spans="1:23" s="2" customFormat="1" ht="14">
      <c r="A82" s="259"/>
      <c r="B82" s="318" t="s">
        <v>968</v>
      </c>
      <c r="C82" s="260"/>
      <c r="D82" s="261"/>
      <c r="E82" s="261"/>
      <c r="F82" s="577"/>
      <c r="G82" s="591"/>
      <c r="H82" s="964"/>
      <c r="I82" s="964"/>
      <c r="J82" s="1022">
        <f t="shared" si="26"/>
        <v>1.2E-2</v>
      </c>
      <c r="K82" s="1023">
        <f t="shared" si="27"/>
        <v>1.2E-2</v>
      </c>
      <c r="L82" s="1023">
        <f t="shared" si="28"/>
        <v>1.2E-2</v>
      </c>
      <c r="M82" s="633">
        <f t="shared" si="23"/>
        <v>0</v>
      </c>
      <c r="N82" s="1068"/>
      <c r="O82" s="1069"/>
      <c r="P82" s="1024" t="str">
        <f t="shared" si="29"/>
        <v/>
      </c>
      <c r="Q82" s="124"/>
      <c r="R82" s="262">
        <f>DB!F50</f>
        <v>1.2E-2</v>
      </c>
      <c r="S82" s="262">
        <f>'DB1'!F50</f>
        <v>1.2E-2</v>
      </c>
      <c r="T82" s="262">
        <f>'DB2'!F50</f>
        <v>1.2E-2</v>
      </c>
      <c r="U82" s="262"/>
      <c r="V82" s="262"/>
      <c r="W82" s="262"/>
    </row>
    <row r="83" spans="1:23" s="211" customFormat="1">
      <c r="A83" s="253"/>
      <c r="B83" s="250" t="s">
        <v>341</v>
      </c>
      <c r="C83" s="257"/>
      <c r="D83" s="257"/>
      <c r="F83" s="578"/>
      <c r="G83" s="590"/>
      <c r="H83" s="657">
        <f t="shared" si="25"/>
        <v>-11254.474090649916</v>
      </c>
      <c r="I83" s="657">
        <f>IFERROR(L83/L$17*1000000,)</f>
        <v>-11225.691424725872</v>
      </c>
      <c r="J83" s="1017">
        <f t="shared" si="26"/>
        <v>-2362.3827811199999</v>
      </c>
      <c r="K83" s="996">
        <f t="shared" si="27"/>
        <v>-1277.8687774799996</v>
      </c>
      <c r="L83" s="996">
        <f t="shared" si="28"/>
        <v>-1084.5140036400007</v>
      </c>
      <c r="M83" s="971">
        <f t="shared" si="23"/>
        <v>193.35477383999887</v>
      </c>
      <c r="N83" s="1056"/>
      <c r="O83" s="1057"/>
      <c r="P83" s="997" t="str">
        <f t="shared" si="29"/>
        <v/>
      </c>
      <c r="R83" s="290">
        <f>CF!E72</f>
        <v>-2362.3827811199999</v>
      </c>
      <c r="S83" s="290">
        <f>'CF1'!E53</f>
        <v>-1277.8687774799996</v>
      </c>
      <c r="T83" s="290">
        <f>'CF2'!E53</f>
        <v>-1084.5140036400007</v>
      </c>
      <c r="U83" s="290"/>
      <c r="V83" s="290"/>
      <c r="W83" s="290"/>
    </row>
    <row r="84" spans="1:23" s="2" customFormat="1" ht="14" collapsed="1">
      <c r="A84" s="259"/>
      <c r="B84" s="318" t="s">
        <v>969</v>
      </c>
      <c r="C84" s="260"/>
      <c r="D84" s="261"/>
      <c r="E84" s="261"/>
      <c r="F84" s="577"/>
      <c r="G84" s="591"/>
      <c r="H84" s="964"/>
      <c r="I84" s="964"/>
      <c r="J84" s="1022">
        <f t="shared" si="26"/>
        <v>0.03</v>
      </c>
      <c r="K84" s="1023">
        <f t="shared" si="27"/>
        <v>0.03</v>
      </c>
      <c r="L84" s="1023">
        <f t="shared" si="28"/>
        <v>0.03</v>
      </c>
      <c r="M84" s="633">
        <f t="shared" si="23"/>
        <v>0</v>
      </c>
      <c r="N84" s="1068"/>
      <c r="O84" s="1069"/>
      <c r="P84" s="1024" t="str">
        <f t="shared" si="29"/>
        <v/>
      </c>
      <c r="Q84" s="124"/>
      <c r="R84" s="262">
        <f>DB!F48</f>
        <v>0.03</v>
      </c>
      <c r="S84" s="262">
        <f>'DB1'!F48</f>
        <v>0.03</v>
      </c>
      <c r="T84" s="262">
        <f>'DB2'!F48</f>
        <v>0.03</v>
      </c>
      <c r="U84" s="262"/>
      <c r="V84" s="262"/>
      <c r="W84" s="262"/>
    </row>
    <row r="85" spans="1:23" s="213" customFormat="1" ht="15" customHeight="1">
      <c r="A85" s="253"/>
      <c r="B85" s="250" t="s">
        <v>333</v>
      </c>
      <c r="C85" s="257"/>
      <c r="D85" s="257"/>
      <c r="E85" s="257"/>
      <c r="F85" s="576"/>
      <c r="G85" s="590"/>
      <c r="H85" s="657">
        <f t="shared" si="25"/>
        <v>0</v>
      </c>
      <c r="I85" s="657">
        <f t="shared" si="25"/>
        <v>0</v>
      </c>
      <c r="J85" s="1017">
        <f t="shared" si="26"/>
        <v>0</v>
      </c>
      <c r="K85" s="996">
        <f t="shared" si="27"/>
        <v>0</v>
      </c>
      <c r="L85" s="996">
        <f t="shared" si="28"/>
        <v>0</v>
      </c>
      <c r="M85" s="971">
        <f>L85-K85</f>
        <v>0</v>
      </c>
      <c r="N85" s="1056"/>
      <c r="O85" s="1057"/>
      <c r="P85" s="997" t="str">
        <f t="shared" si="29"/>
        <v/>
      </c>
      <c r="Q85" s="211"/>
      <c r="R85" s="290"/>
      <c r="S85" s="290">
        <v>0</v>
      </c>
      <c r="T85" s="290"/>
      <c r="U85" s="290"/>
      <c r="V85" s="290"/>
      <c r="W85" s="290"/>
    </row>
    <row r="86" spans="1:23" s="213" customFormat="1">
      <c r="A86" s="253"/>
      <c r="B86" s="250" t="s">
        <v>60</v>
      </c>
      <c r="C86" s="257"/>
      <c r="D86" s="257"/>
      <c r="E86" s="257"/>
      <c r="F86" s="576"/>
      <c r="G86" s="590"/>
      <c r="H86" s="657">
        <f t="shared" si="25"/>
        <v>-19766.152622892649</v>
      </c>
      <c r="I86" s="657">
        <f t="shared" si="25"/>
        <v>-27264.397177293136</v>
      </c>
      <c r="J86" s="1017">
        <f t="shared" si="26"/>
        <v>-4878.3251274092727</v>
      </c>
      <c r="K86" s="996">
        <f t="shared" si="27"/>
        <v>-2244.3118251685719</v>
      </c>
      <c r="L86" s="996">
        <f t="shared" si="28"/>
        <v>-2634.0133022407013</v>
      </c>
      <c r="M86" s="971">
        <f>L86-K86</f>
        <v>-389.70147707212936</v>
      </c>
      <c r="N86" s="1056"/>
      <c r="O86" s="1057"/>
      <c r="P86" s="997" t="str">
        <f t="shared" si="29"/>
        <v/>
      </c>
      <c r="Q86" s="211"/>
      <c r="R86" s="290">
        <f>CF!E130</f>
        <v>-4878.3251274092727</v>
      </c>
      <c r="S86" s="290">
        <f>'CF1'!E111</f>
        <v>-2244.3118251685719</v>
      </c>
      <c r="T86" s="290">
        <f>'CF2'!E111</f>
        <v>-2634.0133022407013</v>
      </c>
      <c r="U86" s="290"/>
      <c r="V86" s="290"/>
      <c r="W86" s="290"/>
    </row>
    <row r="87" spans="1:23" s="211" customFormat="1">
      <c r="A87" s="253"/>
      <c r="B87" s="248" t="s">
        <v>363</v>
      </c>
      <c r="C87" s="248"/>
      <c r="D87" s="248"/>
      <c r="E87" s="248"/>
      <c r="F87" s="579"/>
      <c r="G87" s="592"/>
      <c r="H87" s="657">
        <f t="shared" si="25"/>
        <v>-221675.15188871179</v>
      </c>
      <c r="I87" s="657">
        <f t="shared" si="25"/>
        <v>-234071.05852251701</v>
      </c>
      <c r="J87" s="1015">
        <f t="shared" si="26"/>
        <v>-47783.305700003475</v>
      </c>
      <c r="K87" s="999">
        <f t="shared" si="27"/>
        <v>-25169.701672427342</v>
      </c>
      <c r="L87" s="999">
        <f t="shared" si="28"/>
        <v>-22613.604027576133</v>
      </c>
      <c r="M87" s="977">
        <f t="shared" ref="M87:M99" si="33">L87-K87</f>
        <v>2556.0976448512083</v>
      </c>
      <c r="N87" s="1056"/>
      <c r="O87" s="1057"/>
      <c r="P87" s="997" t="str">
        <f t="shared" si="29"/>
        <v/>
      </c>
      <c r="R87" s="249">
        <f>SUM(R88,R89,R90,R91,R92,R94,R95,R96,R98,R93)</f>
        <v>-47783.305700003475</v>
      </c>
      <c r="S87" s="249">
        <f t="shared" ref="S87:T87" si="34">SUM(S88,S89,S90,S91,S92,S94,S95,S96,S98,S93)</f>
        <v>-25169.701672427342</v>
      </c>
      <c r="T87" s="249">
        <f t="shared" si="34"/>
        <v>-22613.604027576133</v>
      </c>
      <c r="U87" s="249"/>
      <c r="V87" s="249"/>
      <c r="W87" s="249"/>
    </row>
    <row r="88" spans="1:23" s="213" customFormat="1">
      <c r="A88" s="253"/>
      <c r="B88" s="250" t="s">
        <v>334</v>
      </c>
      <c r="C88" s="257"/>
      <c r="D88" s="257"/>
      <c r="E88" s="257"/>
      <c r="F88" s="576"/>
      <c r="G88" s="590"/>
      <c r="H88" s="657">
        <f t="shared" si="25"/>
        <v>-29194.582659939333</v>
      </c>
      <c r="I88" s="657">
        <f t="shared" si="25"/>
        <v>-5449.7466287028947</v>
      </c>
      <c r="J88" s="1017">
        <f t="shared" si="26"/>
        <v>-3841.3457539823703</v>
      </c>
      <c r="K88" s="996">
        <f t="shared" si="27"/>
        <v>-3314.8457539823703</v>
      </c>
      <c r="L88" s="996">
        <f t="shared" si="28"/>
        <v>-526.50000000000011</v>
      </c>
      <c r="M88" s="971">
        <f t="shared" si="33"/>
        <v>2788.3457539823703</v>
      </c>
      <c r="N88" s="1056"/>
      <c r="O88" s="1057"/>
      <c r="P88" s="997" t="str">
        <f t="shared" si="29"/>
        <v/>
      </c>
      <c r="Q88" s="211"/>
      <c r="R88" s="290">
        <f>CF!E79</f>
        <v>-3841.3457539823703</v>
      </c>
      <c r="S88" s="290">
        <f>'CF1'!E60</f>
        <v>-3314.8457539823703</v>
      </c>
      <c r="T88" s="290">
        <f>'CF2'!E60</f>
        <v>-526.50000000000011</v>
      </c>
      <c r="U88" s="290"/>
      <c r="V88" s="290"/>
      <c r="W88" s="290"/>
    </row>
    <row r="89" spans="1:23" s="213" customFormat="1">
      <c r="A89" s="253"/>
      <c r="B89" s="250" t="s">
        <v>342</v>
      </c>
      <c r="C89" s="257"/>
      <c r="D89" s="257"/>
      <c r="E89" s="257"/>
      <c r="F89" s="576"/>
      <c r="G89" s="590"/>
      <c r="H89" s="657">
        <f t="shared" si="25"/>
        <v>-8000.0000000000036</v>
      </c>
      <c r="I89" s="657">
        <f t="shared" si="25"/>
        <v>-6500.0000000000018</v>
      </c>
      <c r="J89" s="1017">
        <f t="shared" si="26"/>
        <v>-1536.3104140000005</v>
      </c>
      <c r="K89" s="996">
        <f t="shared" si="27"/>
        <v>-908.34544000000028</v>
      </c>
      <c r="L89" s="996">
        <f t="shared" si="28"/>
        <v>-627.9649740000001</v>
      </c>
      <c r="M89" s="971">
        <f t="shared" si="33"/>
        <v>280.38046600000018</v>
      </c>
      <c r="N89" s="1056"/>
      <c r="O89" s="1057"/>
      <c r="P89" s="997" t="str">
        <f t="shared" si="29"/>
        <v/>
      </c>
      <c r="Q89" s="211"/>
      <c r="R89" s="290">
        <f>CF!E82</f>
        <v>-1536.3104140000005</v>
      </c>
      <c r="S89" s="290">
        <f>'CF1'!E63</f>
        <v>-908.34544000000028</v>
      </c>
      <c r="T89" s="290">
        <f>'CF2'!E63</f>
        <v>-627.9649740000001</v>
      </c>
      <c r="U89" s="290"/>
      <c r="V89" s="290"/>
      <c r="W89" s="290"/>
    </row>
    <row r="90" spans="1:23" s="213" customFormat="1">
      <c r="A90" s="253"/>
      <c r="B90" s="250" t="s">
        <v>343</v>
      </c>
      <c r="C90" s="257"/>
      <c r="D90" s="257"/>
      <c r="E90" s="257"/>
      <c r="F90" s="576"/>
      <c r="G90" s="590"/>
      <c r="H90" s="657">
        <f t="shared" si="25"/>
        <v>-1000.0000000000005</v>
      </c>
      <c r="I90" s="657">
        <f t="shared" si="25"/>
        <v>-999.99999999999932</v>
      </c>
      <c r="J90" s="1017">
        <f t="shared" si="26"/>
        <v>-210.15317599999997</v>
      </c>
      <c r="K90" s="996">
        <f t="shared" si="27"/>
        <v>-113.54318000000004</v>
      </c>
      <c r="L90" s="996">
        <f t="shared" si="28"/>
        <v>-96.609995999999938</v>
      </c>
      <c r="M90" s="971">
        <f t="shared" si="33"/>
        <v>16.933184000000097</v>
      </c>
      <c r="N90" s="1056"/>
      <c r="O90" s="1057"/>
      <c r="P90" s="997" t="str">
        <f t="shared" si="29"/>
        <v/>
      </c>
      <c r="Q90" s="211"/>
      <c r="R90" s="290">
        <f>CF!E83</f>
        <v>-210.15317599999997</v>
      </c>
      <c r="S90" s="290">
        <f>'CF1'!E64</f>
        <v>-113.54318000000004</v>
      </c>
      <c r="T90" s="290">
        <f>'CF2'!E64</f>
        <v>-96.609995999999938</v>
      </c>
      <c r="U90" s="290"/>
      <c r="V90" s="290"/>
      <c r="W90" s="290"/>
    </row>
    <row r="91" spans="1:23" s="213" customFormat="1">
      <c r="A91" s="253"/>
      <c r="B91" s="250" t="s">
        <v>344</v>
      </c>
      <c r="C91" s="257"/>
      <c r="D91" s="257"/>
      <c r="E91" s="257"/>
      <c r="F91" s="576"/>
      <c r="G91" s="590"/>
      <c r="H91" s="657">
        <f t="shared" si="25"/>
        <v>-25305.294829582326</v>
      </c>
      <c r="I91" s="657">
        <f t="shared" si="25"/>
        <v>-21577.173496610867</v>
      </c>
      <c r="J91" s="1017">
        <f t="shared" si="26"/>
        <v>-4957.8142909872167</v>
      </c>
      <c r="K91" s="996">
        <f t="shared" si="27"/>
        <v>-2873.243645788335</v>
      </c>
      <c r="L91" s="996">
        <f t="shared" si="28"/>
        <v>-2084.5706451988822</v>
      </c>
      <c r="M91" s="971">
        <f t="shared" si="33"/>
        <v>788.67300058945284</v>
      </c>
      <c r="N91" s="1056"/>
      <c r="O91" s="1057"/>
      <c r="P91" s="997" t="str">
        <f t="shared" si="29"/>
        <v/>
      </c>
      <c r="Q91" s="211"/>
      <c r="R91" s="290">
        <f>CF!E73+CF!E80+CF!E81</f>
        <v>-4957.8142909872167</v>
      </c>
      <c r="S91" s="290">
        <f>'CF1'!E54+'CF1'!E62+'CF1'!E61</f>
        <v>-2873.243645788335</v>
      </c>
      <c r="T91" s="290">
        <f>'CF2'!E61+'CF2'!E62+'CF2'!E54</f>
        <v>-2084.5706451988822</v>
      </c>
      <c r="U91" s="290"/>
      <c r="V91" s="290"/>
      <c r="W91" s="290"/>
    </row>
    <row r="92" spans="1:23" s="268" customFormat="1" ht="15" customHeight="1">
      <c r="A92" s="263"/>
      <c r="B92" s="264" t="s">
        <v>109</v>
      </c>
      <c r="C92" s="265"/>
      <c r="D92" s="266"/>
      <c r="E92" s="266"/>
      <c r="F92" s="580"/>
      <c r="G92" s="593"/>
      <c r="H92" s="657">
        <f t="shared" si="25"/>
        <v>-136999.99999999994</v>
      </c>
      <c r="I92" s="657">
        <f>IFERROR(L92/L$17*1000000,)</f>
        <v>-137000</v>
      </c>
      <c r="J92" s="1025">
        <f t="shared" si="26"/>
        <v>-28790.985111999988</v>
      </c>
      <c r="K92" s="1026">
        <f t="shared" si="27"/>
        <v>-15555.415659999993</v>
      </c>
      <c r="L92" s="1026">
        <f t="shared" si="28"/>
        <v>-13235.569452000002</v>
      </c>
      <c r="M92" s="978">
        <f t="shared" si="33"/>
        <v>2319.8462079999917</v>
      </c>
      <c r="N92" s="1070"/>
      <c r="O92" s="1071"/>
      <c r="P92" s="1027" t="str">
        <f t="shared" si="29"/>
        <v/>
      </c>
      <c r="Q92" s="267"/>
      <c r="R92" s="290">
        <f>CF!E84</f>
        <v>-28790.985111999988</v>
      </c>
      <c r="S92" s="290">
        <f>'CF1'!E65</f>
        <v>-15555.415659999993</v>
      </c>
      <c r="T92" s="290">
        <f>'CF2'!E65</f>
        <v>-13235.569452000002</v>
      </c>
      <c r="U92" s="290"/>
      <c r="V92" s="290"/>
      <c r="W92" s="290"/>
    </row>
    <row r="93" spans="1:23" s="268" customFormat="1" ht="15" customHeight="1">
      <c r="A93" s="263"/>
      <c r="B93" s="264" t="s">
        <v>1096</v>
      </c>
      <c r="C93" s="265"/>
      <c r="D93" s="266"/>
      <c r="E93" s="266"/>
      <c r="F93" s="580"/>
      <c r="G93" s="593"/>
      <c r="H93" s="657">
        <f t="shared" ref="H93" si="35">IFERROR(K93/K$17*1000000,)</f>
        <v>-2593.5844637916607</v>
      </c>
      <c r="I93" s="657">
        <f>IFERROR(L93/L$17*1000000,)</f>
        <v>-42177.355200983438</v>
      </c>
      <c r="J93" s="1025">
        <f t="shared" si="26"/>
        <v>-4369.2379448750908</v>
      </c>
      <c r="K93" s="1026">
        <f t="shared" si="27"/>
        <v>-294.48382761750003</v>
      </c>
      <c r="L93" s="1026">
        <f t="shared" si="28"/>
        <v>-4074.7541172575893</v>
      </c>
      <c r="M93" s="978">
        <f t="shared" ref="M93" si="36">L93-K93</f>
        <v>-3780.2702896400892</v>
      </c>
      <c r="N93" s="1070"/>
      <c r="O93" s="1071"/>
      <c r="P93" s="1027" t="str">
        <f t="shared" si="29"/>
        <v/>
      </c>
      <c r="Q93" s="267"/>
      <c r="R93" s="290">
        <f>CF!E87</f>
        <v>-4369.2379448750908</v>
      </c>
      <c r="S93" s="290">
        <f>'CF1'!E68</f>
        <v>-294.48382761750003</v>
      </c>
      <c r="T93" s="290">
        <f>'CF2'!E68</f>
        <v>-4074.7541172575893</v>
      </c>
      <c r="U93" s="290"/>
      <c r="V93" s="290"/>
      <c r="W93" s="290"/>
    </row>
    <row r="94" spans="1:23" s="213" customFormat="1">
      <c r="A94" s="253"/>
      <c r="B94" s="250" t="s">
        <v>345</v>
      </c>
      <c r="C94" s="250"/>
      <c r="D94" s="250"/>
      <c r="E94" s="257"/>
      <c r="F94" s="576"/>
      <c r="G94" s="590"/>
      <c r="H94" s="657">
        <f t="shared" si="25"/>
        <v>-5500.0000000000009</v>
      </c>
      <c r="I94" s="657">
        <f t="shared" si="25"/>
        <v>-5500</v>
      </c>
      <c r="J94" s="1017">
        <f t="shared" si="26"/>
        <v>-1155.8424679999998</v>
      </c>
      <c r="K94" s="996">
        <f t="shared" si="27"/>
        <v>-624.48748999999998</v>
      </c>
      <c r="L94" s="996">
        <f t="shared" si="28"/>
        <v>-531.35497799999996</v>
      </c>
      <c r="M94" s="971">
        <f t="shared" si="33"/>
        <v>93.13251200000002</v>
      </c>
      <c r="N94" s="1056"/>
      <c r="O94" s="1057"/>
      <c r="P94" s="997" t="str">
        <f t="shared" si="29"/>
        <v/>
      </c>
      <c r="Q94" s="211"/>
      <c r="R94" s="290">
        <f>CF!E90</f>
        <v>-1155.8424679999998</v>
      </c>
      <c r="S94" s="290">
        <f>'CF1'!E70</f>
        <v>-624.48748999999998</v>
      </c>
      <c r="T94" s="290">
        <f>'CF2'!E70</f>
        <v>-531.35497799999996</v>
      </c>
      <c r="U94" s="290"/>
      <c r="V94" s="290"/>
      <c r="W94" s="290"/>
    </row>
    <row r="95" spans="1:23" s="213" customFormat="1">
      <c r="A95" s="253"/>
      <c r="B95" s="250" t="s">
        <v>346</v>
      </c>
      <c r="C95" s="250"/>
      <c r="D95" s="250"/>
      <c r="E95" s="257"/>
      <c r="F95" s="576"/>
      <c r="G95" s="590"/>
      <c r="H95" s="657">
        <f t="shared" si="25"/>
        <v>-999.99999999999955</v>
      </c>
      <c r="I95" s="657">
        <f t="shared" si="25"/>
        <v>-500.00000000000011</v>
      </c>
      <c r="J95" s="1017">
        <f t="shared" si="26"/>
        <v>-161.84817800000005</v>
      </c>
      <c r="K95" s="996">
        <f t="shared" si="27"/>
        <v>-113.54317999999995</v>
      </c>
      <c r="L95" s="996">
        <f t="shared" si="28"/>
        <v>-48.304998000000012</v>
      </c>
      <c r="M95" s="971">
        <f t="shared" si="33"/>
        <v>65.238181999999938</v>
      </c>
      <c r="N95" s="1056"/>
      <c r="O95" s="1057"/>
      <c r="P95" s="997" t="str">
        <f t="shared" si="29"/>
        <v/>
      </c>
      <c r="Q95" s="211"/>
      <c r="R95" s="290">
        <f>CF!E89</f>
        <v>-161.84817800000005</v>
      </c>
      <c r="S95" s="290">
        <f>'CF1'!E71</f>
        <v>-113.54317999999995</v>
      </c>
      <c r="T95" s="290">
        <f>'CF2'!E71</f>
        <v>-48.304998000000012</v>
      </c>
      <c r="U95" s="290"/>
      <c r="V95" s="290"/>
      <c r="W95" s="290"/>
    </row>
    <row r="96" spans="1:23" s="213" customFormat="1">
      <c r="A96" s="253"/>
      <c r="B96" s="250" t="s">
        <v>34</v>
      </c>
      <c r="C96" s="250"/>
      <c r="D96" s="250"/>
      <c r="E96" s="257"/>
      <c r="F96" s="576"/>
      <c r="G96" s="590"/>
      <c r="H96" s="657">
        <f t="shared" si="25"/>
        <v>-8929.8182461227025</v>
      </c>
      <c r="I96" s="657">
        <f t="shared" si="25"/>
        <v>-10463.236092200124</v>
      </c>
      <c r="J96" s="1017">
        <f t="shared" si="26"/>
        <v>-2024.7731575013042</v>
      </c>
      <c r="K96" s="996">
        <f t="shared" si="27"/>
        <v>-1013.9199604867943</v>
      </c>
      <c r="L96" s="996">
        <f t="shared" si="28"/>
        <v>-1010.8531970145098</v>
      </c>
      <c r="M96" s="971">
        <f t="shared" si="33"/>
        <v>3.0667634722844923</v>
      </c>
      <c r="N96" s="1056"/>
      <c r="O96" s="1057"/>
      <c r="P96" s="997" t="str">
        <f t="shared" si="29"/>
        <v/>
      </c>
      <c r="Q96" s="211"/>
      <c r="R96" s="290">
        <f>CF!E91+CF!E92</f>
        <v>-2024.7731575013042</v>
      </c>
      <c r="S96" s="290">
        <f>'CF1'!E72+'CF1'!E73</f>
        <v>-1013.9199604867943</v>
      </c>
      <c r="T96" s="290">
        <f>'CF2'!E72+'CF2'!E73</f>
        <v>-1010.8531970145098</v>
      </c>
      <c r="U96" s="290"/>
      <c r="V96" s="290"/>
      <c r="W96" s="290"/>
    </row>
    <row r="97" spans="1:23" s="2" customFormat="1" ht="14" outlineLevel="1">
      <c r="A97" s="259"/>
      <c r="B97" s="318" t="s">
        <v>347</v>
      </c>
      <c r="C97" s="269"/>
      <c r="D97" s="270"/>
      <c r="E97" s="270"/>
      <c r="F97" s="581"/>
      <c r="G97" s="594"/>
      <c r="H97" s="964">
        <f t="shared" si="25"/>
        <v>-6429.8182461227016</v>
      </c>
      <c r="I97" s="657">
        <f t="shared" si="25"/>
        <v>-7963.2360922001262</v>
      </c>
      <c r="J97" s="1028">
        <f t="shared" si="26"/>
        <v>-1499.3902175013043</v>
      </c>
      <c r="K97" s="1029">
        <f t="shared" si="27"/>
        <v>-730.06201048679418</v>
      </c>
      <c r="L97" s="1029">
        <f t="shared" si="28"/>
        <v>-769.32820701450976</v>
      </c>
      <c r="M97" s="634">
        <f t="shared" si="33"/>
        <v>-39.266196527715579</v>
      </c>
      <c r="N97" s="1068"/>
      <c r="O97" s="1069"/>
      <c r="P97" s="1024" t="str">
        <f t="shared" si="29"/>
        <v/>
      </c>
      <c r="Q97" s="124"/>
      <c r="R97" s="271">
        <f>CF!E92</f>
        <v>-1499.3902175013043</v>
      </c>
      <c r="S97" s="271">
        <f>'CF1'!E73</f>
        <v>-730.06201048679418</v>
      </c>
      <c r="T97" s="271">
        <f>'CF2'!E73</f>
        <v>-769.32820701450976</v>
      </c>
      <c r="U97" s="271"/>
      <c r="V97" s="271"/>
      <c r="W97" s="271"/>
    </row>
    <row r="98" spans="1:23" s="213" customFormat="1">
      <c r="A98" s="253"/>
      <c r="B98" s="322" t="s">
        <v>35</v>
      </c>
      <c r="C98" s="257"/>
      <c r="D98" s="257"/>
      <c r="E98" s="257"/>
      <c r="F98" s="576"/>
      <c r="G98" s="590"/>
      <c r="H98" s="657">
        <f t="shared" si="25"/>
        <v>-3151.8716892758325</v>
      </c>
      <c r="I98" s="657">
        <f t="shared" si="25"/>
        <v>-3903.547104019669</v>
      </c>
      <c r="J98" s="1017">
        <f t="shared" si="26"/>
        <v>-734.99520465750174</v>
      </c>
      <c r="K98" s="996">
        <f t="shared" si="27"/>
        <v>-357.87353455234989</v>
      </c>
      <c r="L98" s="996">
        <f t="shared" si="28"/>
        <v>-377.12167010515179</v>
      </c>
      <c r="M98" s="971">
        <f t="shared" si="33"/>
        <v>-19.248135552801898</v>
      </c>
      <c r="N98" s="1056"/>
      <c r="O98" s="1057"/>
      <c r="P98" s="997" t="str">
        <f t="shared" si="29"/>
        <v/>
      </c>
      <c r="Q98" s="211"/>
      <c r="R98" s="290">
        <f>CF!E93</f>
        <v>-734.99520465750174</v>
      </c>
      <c r="S98" s="290">
        <f>'CF1'!E74</f>
        <v>-357.87353455234989</v>
      </c>
      <c r="T98" s="290">
        <f>'CF2'!E74</f>
        <v>-377.12167010515179</v>
      </c>
      <c r="U98" s="290"/>
      <c r="V98" s="290"/>
      <c r="W98" s="290"/>
    </row>
    <row r="99" spans="1:23" s="211" customFormat="1">
      <c r="A99" s="253"/>
      <c r="B99" s="619" t="s">
        <v>295</v>
      </c>
      <c r="C99" s="619"/>
      <c r="D99" s="619"/>
      <c r="E99" s="619"/>
      <c r="F99" s="620"/>
      <c r="G99" s="621"/>
      <c r="H99" s="658">
        <f t="shared" si="25"/>
        <v>-269814.91733929212</v>
      </c>
      <c r="I99" s="658">
        <f t="shared" si="25"/>
        <v>-289750.37241480127</v>
      </c>
      <c r="J99" s="1021">
        <f t="shared" si="26"/>
        <v>-58628.426046132823</v>
      </c>
      <c r="K99" s="635">
        <f t="shared" si="27"/>
        <v>-30635.643726140366</v>
      </c>
      <c r="L99" s="635">
        <f t="shared" si="28"/>
        <v>-27992.782319992461</v>
      </c>
      <c r="M99" s="979">
        <f t="shared" si="33"/>
        <v>2642.8614061479057</v>
      </c>
      <c r="N99" s="1054"/>
      <c r="O99" s="1055"/>
      <c r="P99" s="994" t="str">
        <f t="shared" si="29"/>
        <v/>
      </c>
      <c r="R99" s="255">
        <f>R78+R87</f>
        <v>-58628.426046132823</v>
      </c>
      <c r="S99" s="255">
        <f t="shared" ref="S99:T99" si="37">S78+S87</f>
        <v>-30635.643726140366</v>
      </c>
      <c r="T99" s="255">
        <f t="shared" si="37"/>
        <v>-27992.782319992461</v>
      </c>
      <c r="U99" s="255"/>
      <c r="V99" s="255"/>
      <c r="W99" s="255"/>
    </row>
    <row r="100" spans="1:23" s="211" customFormat="1">
      <c r="A100" s="253"/>
      <c r="F100" s="573"/>
      <c r="G100" s="589"/>
      <c r="H100" s="216"/>
      <c r="I100" s="216"/>
      <c r="J100" s="1030"/>
      <c r="K100" s="1030"/>
      <c r="L100" s="1031"/>
      <c r="M100" s="980"/>
      <c r="N100" s="216"/>
      <c r="O100" s="216"/>
      <c r="P100" s="258" t="str">
        <f t="shared" si="29"/>
        <v/>
      </c>
    </row>
    <row r="101" spans="1:23" s="211" customFormat="1">
      <c r="A101" s="253"/>
      <c r="B101" s="619" t="s">
        <v>296</v>
      </c>
      <c r="C101" s="619"/>
      <c r="D101" s="619"/>
      <c r="E101" s="619"/>
      <c r="F101" s="620"/>
      <c r="G101" s="621"/>
      <c r="H101" s="658">
        <f t="shared" si="25"/>
        <v>105334.21901570508</v>
      </c>
      <c r="I101" s="658">
        <f>IFERROR(L101/L$17*1000000,)</f>
        <v>84439.341742727731</v>
      </c>
      <c r="J101" s="636">
        <f t="shared" si="26"/>
        <v>20117.666657867172</v>
      </c>
      <c r="K101" s="635">
        <f t="shared" si="27"/>
        <v>11959.982189859624</v>
      </c>
      <c r="L101" s="635">
        <f t="shared" si="28"/>
        <v>8157.6844680075592</v>
      </c>
      <c r="M101" s="966">
        <f>L101-K101</f>
        <v>-3802.2977218520646</v>
      </c>
      <c r="N101" s="1054"/>
      <c r="O101" s="1055"/>
      <c r="P101" s="994" t="str">
        <f t="shared" si="29"/>
        <v/>
      </c>
      <c r="R101" s="255">
        <f>R77+R99</f>
        <v>20117.666657867172</v>
      </c>
      <c r="S101" s="255">
        <f t="shared" ref="S101:T101" si="38">S77+S99</f>
        <v>11959.982189859624</v>
      </c>
      <c r="T101" s="255">
        <f t="shared" si="38"/>
        <v>8157.6844680075592</v>
      </c>
      <c r="U101" s="255"/>
      <c r="V101" s="255"/>
      <c r="W101" s="255"/>
    </row>
    <row r="102" spans="1:23" s="213" customFormat="1">
      <c r="A102" s="253"/>
      <c r="F102" s="281"/>
      <c r="G102" s="585"/>
      <c r="H102" s="659"/>
      <c r="I102" s="659"/>
      <c r="J102" s="1032"/>
      <c r="K102" s="1032"/>
      <c r="L102" s="1032"/>
      <c r="M102" s="981"/>
      <c r="N102" s="960"/>
      <c r="O102" s="960"/>
      <c r="P102" s="1032" t="str">
        <f t="shared" si="29"/>
        <v/>
      </c>
      <c r="R102" s="273"/>
      <c r="S102" s="273"/>
      <c r="T102" s="306"/>
      <c r="U102" s="273"/>
      <c r="V102" s="273"/>
      <c r="W102" s="306"/>
    </row>
    <row r="103" spans="1:23" s="211" customFormat="1">
      <c r="A103" s="253"/>
      <c r="B103" s="622" t="s">
        <v>351</v>
      </c>
      <c r="C103" s="619"/>
      <c r="D103" s="619"/>
      <c r="E103" s="619"/>
      <c r="F103" s="620"/>
      <c r="G103" s="621"/>
      <c r="H103" s="658">
        <f t="shared" ref="H103:I127" si="39">IFERROR(K103/K$17*1000000,)</f>
        <v>299566.07264844241</v>
      </c>
      <c r="I103" s="658">
        <f t="shared" si="39"/>
        <v>285027.06795587647</v>
      </c>
      <c r="J103" s="636">
        <f t="shared" si="26"/>
        <v>61550.148403724132</v>
      </c>
      <c r="K103" s="635">
        <f t="shared" si="27"/>
        <v>34013.684508615173</v>
      </c>
      <c r="L103" s="635">
        <f t="shared" si="28"/>
        <v>27536.463895108951</v>
      </c>
      <c r="M103" s="979">
        <f>(L103-K103)</f>
        <v>-6477.2206135062224</v>
      </c>
      <c r="N103" s="1054"/>
      <c r="O103" s="1055"/>
      <c r="P103" s="994" t="str">
        <f t="shared" si="29"/>
        <v/>
      </c>
      <c r="R103" s="255">
        <f>SUM(R104,R108,R111)</f>
        <v>61550.148403724132</v>
      </c>
      <c r="S103" s="255">
        <f t="shared" ref="S103:T103" si="40">SUM(S104,S108,S111)</f>
        <v>34013.684508615173</v>
      </c>
      <c r="T103" s="255">
        <f t="shared" si="40"/>
        <v>27536.463895108951</v>
      </c>
      <c r="U103" s="255"/>
      <c r="V103" s="255"/>
      <c r="W103" s="255"/>
    </row>
    <row r="104" spans="1:23" s="213" customFormat="1" hidden="1">
      <c r="A104" s="253"/>
      <c r="B104" s="321" t="s">
        <v>297</v>
      </c>
      <c r="C104" s="250"/>
      <c r="D104" s="250"/>
      <c r="E104" s="250"/>
      <c r="F104" s="281"/>
      <c r="G104" s="585"/>
      <c r="H104" s="657">
        <f t="shared" si="39"/>
        <v>0</v>
      </c>
      <c r="I104" s="657">
        <f t="shared" si="39"/>
        <v>0</v>
      </c>
      <c r="J104" s="995">
        <f t="shared" si="26"/>
        <v>0</v>
      </c>
      <c r="K104" s="996">
        <f t="shared" si="27"/>
        <v>0</v>
      </c>
      <c r="L104" s="996">
        <f t="shared" si="28"/>
        <v>0</v>
      </c>
      <c r="M104" s="967">
        <f>(L104-K104)</f>
        <v>0</v>
      </c>
      <c r="N104" s="1056"/>
      <c r="O104" s="1057"/>
      <c r="P104" s="1016" t="str">
        <f t="shared" si="29"/>
        <v/>
      </c>
      <c r="Q104" s="251"/>
      <c r="R104" s="274">
        <f>SUM(R105:R107)</f>
        <v>0</v>
      </c>
      <c r="S104" s="274">
        <f t="shared" ref="S104:T104" si="41">SUM(S105:S107)</f>
        <v>0</v>
      </c>
      <c r="T104" s="274">
        <f t="shared" si="41"/>
        <v>0</v>
      </c>
      <c r="U104" s="274"/>
      <c r="V104" s="274"/>
      <c r="W104" s="274"/>
    </row>
    <row r="105" spans="1:23" s="225" customFormat="1" ht="15" hidden="1" customHeight="1" outlineLevel="1">
      <c r="A105" s="275"/>
      <c r="B105" s="319" t="s">
        <v>352</v>
      </c>
      <c r="C105" s="254"/>
      <c r="D105" s="254"/>
      <c r="E105" s="254"/>
      <c r="F105" s="575"/>
      <c r="G105" s="588"/>
      <c r="H105" s="657">
        <f t="shared" si="39"/>
        <v>0</v>
      </c>
      <c r="I105" s="657">
        <f t="shared" si="39"/>
        <v>0</v>
      </c>
      <c r="J105" s="995">
        <f t="shared" si="26"/>
        <v>0</v>
      </c>
      <c r="K105" s="996">
        <f t="shared" si="27"/>
        <v>0</v>
      </c>
      <c r="L105" s="996">
        <f t="shared" si="28"/>
        <v>0</v>
      </c>
      <c r="M105" s="967">
        <f>L105-K105</f>
        <v>0</v>
      </c>
      <c r="N105" s="1056"/>
      <c r="O105" s="1057"/>
      <c r="P105" s="1016" t="str">
        <f t="shared" si="29"/>
        <v/>
      </c>
      <c r="Q105" s="229"/>
      <c r="R105" s="291">
        <v>0</v>
      </c>
      <c r="S105" s="291">
        <v>0</v>
      </c>
      <c r="T105" s="291">
        <v>0</v>
      </c>
      <c r="U105" s="291"/>
      <c r="V105" s="291"/>
      <c r="W105" s="291"/>
    </row>
    <row r="106" spans="1:23" s="225" customFormat="1" ht="15" hidden="1" customHeight="1" outlineLevel="1">
      <c r="A106" s="275"/>
      <c r="B106" s="319" t="s">
        <v>353</v>
      </c>
      <c r="C106" s="254"/>
      <c r="D106" s="254"/>
      <c r="E106" s="254"/>
      <c r="F106" s="575"/>
      <c r="G106" s="588"/>
      <c r="H106" s="657">
        <f t="shared" si="39"/>
        <v>0</v>
      </c>
      <c r="I106" s="657">
        <f t="shared" si="39"/>
        <v>0</v>
      </c>
      <c r="J106" s="995">
        <f t="shared" si="26"/>
        <v>0</v>
      </c>
      <c r="K106" s="996">
        <f t="shared" si="27"/>
        <v>0</v>
      </c>
      <c r="L106" s="996">
        <f t="shared" si="28"/>
        <v>0</v>
      </c>
      <c r="M106" s="967">
        <f>L106-K106</f>
        <v>0</v>
      </c>
      <c r="N106" s="1056"/>
      <c r="O106" s="1057"/>
      <c r="P106" s="997" t="str">
        <f t="shared" si="29"/>
        <v/>
      </c>
      <c r="Q106" s="229"/>
      <c r="R106" s="291">
        <v>0</v>
      </c>
      <c r="S106" s="291">
        <v>0</v>
      </c>
      <c r="T106" s="291"/>
      <c r="U106" s="291"/>
      <c r="V106" s="291"/>
      <c r="W106" s="291"/>
    </row>
    <row r="107" spans="1:23" s="225" customFormat="1" ht="15" hidden="1" customHeight="1" outlineLevel="1">
      <c r="A107" s="275"/>
      <c r="B107" s="319" t="s">
        <v>354</v>
      </c>
      <c r="C107" s="254"/>
      <c r="D107" s="254"/>
      <c r="E107" s="254"/>
      <c r="F107" s="575"/>
      <c r="G107" s="588"/>
      <c r="H107" s="657">
        <f t="shared" si="39"/>
        <v>0</v>
      </c>
      <c r="I107" s="657">
        <f t="shared" si="39"/>
        <v>0</v>
      </c>
      <c r="J107" s="995">
        <f t="shared" si="26"/>
        <v>0</v>
      </c>
      <c r="K107" s="996">
        <f t="shared" si="27"/>
        <v>0</v>
      </c>
      <c r="L107" s="996">
        <f t="shared" si="28"/>
        <v>0</v>
      </c>
      <c r="M107" s="967">
        <f t="shared" ref="M107:M109" si="42">L107-K107</f>
        <v>0</v>
      </c>
      <c r="N107" s="1056"/>
      <c r="O107" s="1057"/>
      <c r="P107" s="997" t="str">
        <f t="shared" si="29"/>
        <v/>
      </c>
      <c r="Q107" s="229"/>
      <c r="R107" s="291">
        <v>0</v>
      </c>
      <c r="S107" s="291">
        <v>0</v>
      </c>
      <c r="T107" s="291"/>
      <c r="U107" s="291"/>
      <c r="V107" s="291"/>
      <c r="W107" s="291"/>
    </row>
    <row r="108" spans="1:23" s="213" customFormat="1" collapsed="1">
      <c r="A108" s="253"/>
      <c r="B108" s="623" t="s">
        <v>348</v>
      </c>
      <c r="C108" s="624"/>
      <c r="D108" s="624"/>
      <c r="E108" s="624"/>
      <c r="F108" s="625"/>
      <c r="G108" s="626"/>
      <c r="H108" s="656">
        <f t="shared" si="39"/>
        <v>299566.07264844241</v>
      </c>
      <c r="I108" s="656">
        <f t="shared" si="39"/>
        <v>285027.06795587647</v>
      </c>
      <c r="J108" s="1033">
        <f t="shared" si="26"/>
        <v>61550.148403724132</v>
      </c>
      <c r="K108" s="1034">
        <f t="shared" si="27"/>
        <v>34013.684508615173</v>
      </c>
      <c r="L108" s="1034">
        <f t="shared" si="28"/>
        <v>27536.463895108951</v>
      </c>
      <c r="M108" s="982">
        <f t="shared" si="42"/>
        <v>-6477.2206135062224</v>
      </c>
      <c r="N108" s="1064"/>
      <c r="O108" s="1065"/>
      <c r="P108" s="1035" t="str">
        <f t="shared" si="29"/>
        <v/>
      </c>
      <c r="Q108" s="251"/>
      <c r="R108" s="274">
        <f>SUM(R109:R110)</f>
        <v>61550.148403724132</v>
      </c>
      <c r="S108" s="274">
        <f t="shared" ref="S108:T108" si="43">SUM(S109:S110)</f>
        <v>34013.684508615173</v>
      </c>
      <c r="T108" s="274">
        <f t="shared" si="43"/>
        <v>27536.463895108951</v>
      </c>
      <c r="U108" s="274"/>
      <c r="V108" s="274"/>
      <c r="W108" s="274"/>
    </row>
    <row r="109" spans="1:23" s="225" customFormat="1" ht="15" customHeight="1">
      <c r="A109" s="275"/>
      <c r="B109" s="237" t="s">
        <v>349</v>
      </c>
      <c r="C109" s="254"/>
      <c r="D109" s="254"/>
      <c r="E109" s="254"/>
      <c r="F109" s="575"/>
      <c r="G109" s="588"/>
      <c r="H109" s="657">
        <f t="shared" si="39"/>
        <v>56524.735935314551</v>
      </c>
      <c r="I109" s="657">
        <f t="shared" si="39"/>
        <v>31204.117499355241</v>
      </c>
      <c r="J109" s="995">
        <f t="shared" si="26"/>
        <v>9432.6279335521267</v>
      </c>
      <c r="K109" s="996">
        <f t="shared" si="27"/>
        <v>6417.9982667558879</v>
      </c>
      <c r="L109" s="996">
        <f t="shared" si="28"/>
        <v>3014.6296667962397</v>
      </c>
      <c r="M109" s="967">
        <f t="shared" si="42"/>
        <v>-3403.3685999596482</v>
      </c>
      <c r="N109" s="1056"/>
      <c r="O109" s="1057"/>
      <c r="P109" s="997" t="str">
        <f t="shared" si="29"/>
        <v/>
      </c>
      <c r="Q109" s="229"/>
      <c r="R109" s="291">
        <f>CF!E106</f>
        <v>9432.6279335521267</v>
      </c>
      <c r="S109" s="291">
        <f>'CF1'!E87</f>
        <v>6417.9982667558879</v>
      </c>
      <c r="T109" s="291">
        <f>'CF2'!E87</f>
        <v>3014.6296667962397</v>
      </c>
      <c r="U109" s="291"/>
      <c r="V109" s="291"/>
      <c r="W109" s="291"/>
    </row>
    <row r="110" spans="1:23" s="225" customFormat="1" ht="15" customHeight="1">
      <c r="A110" s="275"/>
      <c r="B110" s="627" t="s">
        <v>350</v>
      </c>
      <c r="C110" s="616"/>
      <c r="D110" s="616"/>
      <c r="E110" s="616"/>
      <c r="F110" s="617"/>
      <c r="G110" s="618"/>
      <c r="H110" s="963">
        <f>IFERROR(K110/K$17*1000000,)</f>
        <v>243041.33671312788</v>
      </c>
      <c r="I110" s="963">
        <f>IFERROR(L110/L$17*1000000,)</f>
        <v>253822.95045652121</v>
      </c>
      <c r="J110" s="1036">
        <f t="shared" si="26"/>
        <v>52117.520470172007</v>
      </c>
      <c r="K110" s="1019">
        <f t="shared" si="27"/>
        <v>27595.686241859286</v>
      </c>
      <c r="L110" s="1019">
        <f t="shared" si="28"/>
        <v>24521.834228312713</v>
      </c>
      <c r="M110" s="976">
        <f>(L110-K110)</f>
        <v>-3073.8520135465733</v>
      </c>
      <c r="N110" s="1066"/>
      <c r="O110" s="1067"/>
      <c r="P110" s="1037" t="str">
        <f t="shared" si="29"/>
        <v/>
      </c>
      <c r="Q110" s="229"/>
      <c r="R110" s="291">
        <f>CF!E114</f>
        <v>52117.520470172007</v>
      </c>
      <c r="S110" s="291">
        <f>'CF1'!E95</f>
        <v>27595.686241859286</v>
      </c>
      <c r="T110" s="291">
        <f>'CF2'!E95</f>
        <v>24521.834228312713</v>
      </c>
      <c r="U110" s="291"/>
      <c r="V110" s="291"/>
      <c r="W110" s="291"/>
    </row>
    <row r="111" spans="1:23" s="213" customFormat="1" hidden="1" outlineLevel="1">
      <c r="A111" s="253"/>
      <c r="B111" s="321" t="s">
        <v>298</v>
      </c>
      <c r="C111" s="250"/>
      <c r="D111" s="250"/>
      <c r="E111" s="250"/>
      <c r="F111" s="281"/>
      <c r="G111" s="585"/>
      <c r="H111" s="660">
        <f t="shared" si="39"/>
        <v>0</v>
      </c>
      <c r="I111" s="660">
        <f t="shared" si="39"/>
        <v>0</v>
      </c>
      <c r="J111" s="1038">
        <f t="shared" si="26"/>
        <v>0</v>
      </c>
      <c r="K111" s="1038">
        <f t="shared" si="27"/>
        <v>0</v>
      </c>
      <c r="L111" s="1038">
        <f t="shared" si="28"/>
        <v>0</v>
      </c>
      <c r="M111" s="983">
        <f>(L111-K111)</f>
        <v>0</v>
      </c>
      <c r="N111" s="1072"/>
      <c r="O111" s="1072"/>
      <c r="P111" s="1039" t="str">
        <f t="shared" si="29"/>
        <v/>
      </c>
      <c r="Q111" s="251"/>
      <c r="R111" s="274">
        <f>SUM(R112)</f>
        <v>0</v>
      </c>
      <c r="S111" s="274">
        <f t="shared" ref="S111:T111" si="44">SUM(S112)</f>
        <v>0</v>
      </c>
      <c r="T111" s="274">
        <f t="shared" si="44"/>
        <v>0</v>
      </c>
      <c r="U111" s="274"/>
      <c r="V111" s="274"/>
      <c r="W111" s="274"/>
    </row>
    <row r="112" spans="1:23" s="225" customFormat="1" ht="15" hidden="1" customHeight="1" outlineLevel="1">
      <c r="A112" s="275"/>
      <c r="B112" s="319" t="s">
        <v>355</v>
      </c>
      <c r="C112" s="254"/>
      <c r="D112" s="254"/>
      <c r="E112" s="254"/>
      <c r="F112" s="575"/>
      <c r="G112" s="588"/>
      <c r="H112" s="660">
        <f t="shared" si="39"/>
        <v>0</v>
      </c>
      <c r="I112" s="660">
        <f t="shared" si="39"/>
        <v>0</v>
      </c>
      <c r="J112" s="1038">
        <f t="shared" si="26"/>
        <v>0</v>
      </c>
      <c r="K112" s="1038">
        <f t="shared" si="27"/>
        <v>0</v>
      </c>
      <c r="L112" s="1038">
        <f t="shared" si="28"/>
        <v>0</v>
      </c>
      <c r="M112" s="983"/>
      <c r="N112" s="1072"/>
      <c r="O112" s="1072"/>
      <c r="P112" s="1040" t="str">
        <f t="shared" si="29"/>
        <v/>
      </c>
      <c r="Q112" s="229"/>
      <c r="R112" s="396">
        <v>0</v>
      </c>
      <c r="S112" s="396">
        <v>0</v>
      </c>
      <c r="T112" s="396"/>
      <c r="U112" s="396"/>
      <c r="V112" s="396"/>
      <c r="W112" s="396"/>
    </row>
    <row r="113" spans="1:23" s="213" customFormat="1" collapsed="1">
      <c r="A113" s="276"/>
      <c r="B113" s="629"/>
      <c r="C113" s="629"/>
      <c r="D113" s="629"/>
      <c r="E113" s="629"/>
      <c r="F113" s="630"/>
      <c r="G113" s="631"/>
      <c r="H113" s="661"/>
      <c r="I113" s="661"/>
      <c r="J113" s="629"/>
      <c r="K113" s="629"/>
      <c r="L113" s="629"/>
      <c r="M113" s="984"/>
      <c r="N113" s="661"/>
      <c r="O113" s="661"/>
      <c r="P113" s="629" t="str">
        <f t="shared" si="29"/>
        <v/>
      </c>
      <c r="Q113"/>
      <c r="R113" s="277"/>
      <c r="S113" s="277"/>
      <c r="T113" s="277"/>
      <c r="U113" s="277"/>
      <c r="V113" s="277"/>
      <c r="W113" s="277"/>
    </row>
    <row r="114" spans="1:23" s="211" customFormat="1">
      <c r="A114" s="253"/>
      <c r="B114" s="622" t="s">
        <v>356</v>
      </c>
      <c r="C114" s="619"/>
      <c r="D114" s="619"/>
      <c r="E114" s="619"/>
      <c r="F114" s="620"/>
      <c r="G114" s="621"/>
      <c r="H114" s="658">
        <f t="shared" si="39"/>
        <v>-358942.83040419087</v>
      </c>
      <c r="I114" s="658">
        <f t="shared" si="39"/>
        <v>-322683.47775469749</v>
      </c>
      <c r="J114" s="636">
        <f t="shared" si="26"/>
        <v>-71929.959897439941</v>
      </c>
      <c r="K114" s="635">
        <f t="shared" si="27"/>
        <v>-40755.510402292515</v>
      </c>
      <c r="L114" s="635">
        <f t="shared" si="28"/>
        <v>-31174.449495147415</v>
      </c>
      <c r="M114" s="979">
        <f>(L114-K114)</f>
        <v>9581.0609071450999</v>
      </c>
      <c r="N114" s="1054"/>
      <c r="O114" s="1055"/>
      <c r="P114" s="994" t="str">
        <f t="shared" si="29"/>
        <v/>
      </c>
      <c r="R114" s="255">
        <f>SUM(R115,R119,R125)</f>
        <v>-71929.959897439941</v>
      </c>
      <c r="S114" s="255">
        <f t="shared" ref="S114:T114" si="45">SUM(S115,S119,S125)</f>
        <v>-40755.510402292515</v>
      </c>
      <c r="T114" s="255">
        <f t="shared" si="45"/>
        <v>-31174.449495147415</v>
      </c>
      <c r="U114" s="255"/>
      <c r="V114" s="255"/>
      <c r="W114" s="255"/>
    </row>
    <row r="115" spans="1:23" s="213" customFormat="1" hidden="1">
      <c r="A115" s="253"/>
      <c r="B115" s="321" t="s">
        <v>299</v>
      </c>
      <c r="C115" s="250"/>
      <c r="D115" s="250"/>
      <c r="E115" s="250"/>
      <c r="F115" s="281"/>
      <c r="G115" s="585"/>
      <c r="H115" s="657">
        <f t="shared" si="39"/>
        <v>0</v>
      </c>
      <c r="I115" s="657">
        <f t="shared" si="39"/>
        <v>0</v>
      </c>
      <c r="J115" s="995">
        <f t="shared" si="26"/>
        <v>0</v>
      </c>
      <c r="K115" s="996">
        <f t="shared" si="27"/>
        <v>0</v>
      </c>
      <c r="L115" s="996">
        <f t="shared" si="28"/>
        <v>0</v>
      </c>
      <c r="M115" s="967">
        <f>(L115-K115)</f>
        <v>0</v>
      </c>
      <c r="N115" s="1056"/>
      <c r="O115" s="1057"/>
      <c r="P115" s="1016" t="str">
        <f t="shared" si="29"/>
        <v/>
      </c>
      <c r="Q115" s="251"/>
      <c r="R115" s="274">
        <f>SUM(R116:R118)</f>
        <v>0</v>
      </c>
      <c r="S115" s="274">
        <f t="shared" ref="S115:T115" si="46">SUM(S116:S118)</f>
        <v>0</v>
      </c>
      <c r="T115" s="274">
        <f t="shared" si="46"/>
        <v>0</v>
      </c>
      <c r="U115" s="274"/>
      <c r="V115" s="274"/>
      <c r="W115" s="274"/>
    </row>
    <row r="116" spans="1:23" s="225" customFormat="1" ht="15" hidden="1" customHeight="1" outlineLevel="1">
      <c r="A116" s="275"/>
      <c r="B116" s="319" t="s">
        <v>300</v>
      </c>
      <c r="C116" s="254"/>
      <c r="D116" s="254"/>
      <c r="E116" s="254"/>
      <c r="F116" s="575"/>
      <c r="G116" s="588"/>
      <c r="H116" s="657">
        <f t="shared" si="39"/>
        <v>0</v>
      </c>
      <c r="I116" s="657">
        <f t="shared" si="39"/>
        <v>0</v>
      </c>
      <c r="J116" s="995">
        <f t="shared" si="26"/>
        <v>0</v>
      </c>
      <c r="K116" s="996">
        <f t="shared" si="27"/>
        <v>0</v>
      </c>
      <c r="L116" s="996">
        <f t="shared" si="28"/>
        <v>0</v>
      </c>
      <c r="M116" s="967">
        <f>L116-K116</f>
        <v>0</v>
      </c>
      <c r="N116" s="1056"/>
      <c r="O116" s="1057"/>
      <c r="P116" s="997" t="str">
        <f t="shared" si="29"/>
        <v/>
      </c>
      <c r="Q116" s="229"/>
      <c r="R116" s="291">
        <v>0</v>
      </c>
      <c r="S116" s="291">
        <v>0</v>
      </c>
      <c r="T116" s="291">
        <v>0</v>
      </c>
      <c r="U116" s="291"/>
      <c r="V116" s="291"/>
      <c r="W116" s="291"/>
    </row>
    <row r="117" spans="1:23" s="225" customFormat="1" ht="15" hidden="1" customHeight="1" outlineLevel="1">
      <c r="A117" s="275"/>
      <c r="B117" s="319" t="s">
        <v>301</v>
      </c>
      <c r="C117" s="254"/>
      <c r="D117" s="254"/>
      <c r="E117" s="254"/>
      <c r="F117" s="575"/>
      <c r="G117" s="588"/>
      <c r="H117" s="657">
        <f t="shared" si="39"/>
        <v>0</v>
      </c>
      <c r="I117" s="657">
        <f t="shared" si="39"/>
        <v>0</v>
      </c>
      <c r="J117" s="995">
        <f t="shared" si="26"/>
        <v>0</v>
      </c>
      <c r="K117" s="996">
        <f t="shared" si="27"/>
        <v>0</v>
      </c>
      <c r="L117" s="996">
        <f t="shared" si="28"/>
        <v>0</v>
      </c>
      <c r="M117" s="967">
        <f>L117-K117</f>
        <v>0</v>
      </c>
      <c r="N117" s="1056"/>
      <c r="O117" s="1057"/>
      <c r="P117" s="997" t="str">
        <f t="shared" si="29"/>
        <v/>
      </c>
      <c r="Q117" s="229"/>
      <c r="R117" s="291">
        <v>0</v>
      </c>
      <c r="S117" s="291">
        <v>0</v>
      </c>
      <c r="T117" s="291"/>
      <c r="U117" s="291"/>
      <c r="V117" s="291"/>
      <c r="W117" s="291"/>
    </row>
    <row r="118" spans="1:23" s="225" customFormat="1" ht="15" hidden="1" customHeight="1" outlineLevel="1">
      <c r="A118" s="275"/>
      <c r="B118" s="319" t="s">
        <v>302</v>
      </c>
      <c r="C118" s="254"/>
      <c r="D118" s="254"/>
      <c r="E118" s="254"/>
      <c r="F118" s="575"/>
      <c r="G118" s="588"/>
      <c r="H118" s="657">
        <f t="shared" si="39"/>
        <v>0</v>
      </c>
      <c r="I118" s="657">
        <f t="shared" si="39"/>
        <v>0</v>
      </c>
      <c r="J118" s="995">
        <f t="shared" si="26"/>
        <v>0</v>
      </c>
      <c r="K118" s="996">
        <f t="shared" si="27"/>
        <v>0</v>
      </c>
      <c r="L118" s="996">
        <f t="shared" si="28"/>
        <v>0</v>
      </c>
      <c r="M118" s="967">
        <f>L118-K118</f>
        <v>0</v>
      </c>
      <c r="N118" s="1056"/>
      <c r="O118" s="1057"/>
      <c r="P118" s="997" t="str">
        <f t="shared" si="29"/>
        <v/>
      </c>
      <c r="Q118" s="229"/>
      <c r="R118" s="291">
        <v>0</v>
      </c>
      <c r="S118" s="291">
        <v>0</v>
      </c>
      <c r="T118" s="291"/>
      <c r="U118" s="291"/>
      <c r="V118" s="291"/>
      <c r="W118" s="291"/>
    </row>
    <row r="119" spans="1:23" s="213" customFormat="1" collapsed="1">
      <c r="A119" s="253"/>
      <c r="B119" s="623" t="s">
        <v>357</v>
      </c>
      <c r="C119" s="624"/>
      <c r="D119" s="624"/>
      <c r="E119" s="624"/>
      <c r="F119" s="625"/>
      <c r="G119" s="626"/>
      <c r="H119" s="656">
        <f t="shared" si="39"/>
        <v>-358942.83040419087</v>
      </c>
      <c r="I119" s="656">
        <f t="shared" si="39"/>
        <v>-322683.47775469749</v>
      </c>
      <c r="J119" s="1033">
        <f t="shared" si="26"/>
        <v>-71929.959897439941</v>
      </c>
      <c r="K119" s="1034">
        <f t="shared" si="27"/>
        <v>-40755.510402292515</v>
      </c>
      <c r="L119" s="1034">
        <f t="shared" si="28"/>
        <v>-31174.449495147415</v>
      </c>
      <c r="M119" s="982">
        <f>(L119-K119)</f>
        <v>9581.0609071450999</v>
      </c>
      <c r="N119" s="1064"/>
      <c r="O119" s="1065"/>
      <c r="P119" s="1035" t="str">
        <f t="shared" si="29"/>
        <v/>
      </c>
      <c r="Q119" s="251"/>
      <c r="R119" s="274">
        <f>SUM(R120:R124)</f>
        <v>-71929.959897439941</v>
      </c>
      <c r="S119" s="274">
        <f t="shared" ref="S119:T119" si="47">SUM(S120:S124)</f>
        <v>-40755.510402292515</v>
      </c>
      <c r="T119" s="274">
        <f t="shared" si="47"/>
        <v>-31174.449495147415</v>
      </c>
      <c r="U119" s="274"/>
      <c r="V119" s="274"/>
      <c r="W119" s="274"/>
    </row>
    <row r="120" spans="1:23" s="225" customFormat="1">
      <c r="A120" s="275"/>
      <c r="B120" s="237" t="s">
        <v>349</v>
      </c>
      <c r="C120" s="254"/>
      <c r="D120" s="254"/>
      <c r="E120" s="254"/>
      <c r="F120" s="575"/>
      <c r="G120" s="588"/>
      <c r="H120" s="657">
        <f t="shared" si="39"/>
        <v>-56524.735935314551</v>
      </c>
      <c r="I120" s="657">
        <f t="shared" si="39"/>
        <v>-31204.117499355241</v>
      </c>
      <c r="J120" s="995">
        <f t="shared" si="26"/>
        <v>-9432.6279335521285</v>
      </c>
      <c r="K120" s="996">
        <f t="shared" si="27"/>
        <v>-6417.9982667558879</v>
      </c>
      <c r="L120" s="996">
        <f t="shared" si="28"/>
        <v>-3014.6296667962397</v>
      </c>
      <c r="M120" s="967">
        <f>L120-K120</f>
        <v>3403.3685999596482</v>
      </c>
      <c r="N120" s="1056"/>
      <c r="O120" s="1057"/>
      <c r="P120" s="997" t="str">
        <f t="shared" si="29"/>
        <v/>
      </c>
      <c r="Q120" s="229"/>
      <c r="R120" s="291">
        <f>CF!E107</f>
        <v>-9432.6279335521285</v>
      </c>
      <c r="S120" s="291">
        <f>'CF1'!E88</f>
        <v>-6417.9982667558879</v>
      </c>
      <c r="T120" s="291">
        <f>'CF2'!E88</f>
        <v>-3014.6296667962397</v>
      </c>
      <c r="U120" s="291"/>
      <c r="V120" s="291"/>
      <c r="W120" s="291"/>
    </row>
    <row r="121" spans="1:23" s="225" customFormat="1">
      <c r="A121" s="275"/>
      <c r="B121" s="237" t="s">
        <v>350</v>
      </c>
      <c r="C121" s="254"/>
      <c r="D121" s="254"/>
      <c r="E121" s="254"/>
      <c r="F121" s="575"/>
      <c r="G121" s="588"/>
      <c r="H121" s="657">
        <f t="shared" ref="H121" si="48">IFERROR(K121/K$17*1000000,)</f>
        <v>-243041.33671312788</v>
      </c>
      <c r="I121" s="657">
        <f t="shared" ref="I121" si="49">IFERROR(L121/L$17*1000000,)</f>
        <v>-253822.95045652121</v>
      </c>
      <c r="J121" s="995">
        <f t="shared" si="26"/>
        <v>-52117.520470172007</v>
      </c>
      <c r="K121" s="996">
        <f t="shared" si="27"/>
        <v>-27595.686241859286</v>
      </c>
      <c r="L121" s="996">
        <f t="shared" si="28"/>
        <v>-24521.834228312713</v>
      </c>
      <c r="M121" s="967">
        <f>L121-K121</f>
        <v>3073.8520135465733</v>
      </c>
      <c r="N121" s="1056"/>
      <c r="O121" s="1057"/>
      <c r="P121" s="997" t="str">
        <f t="shared" si="29"/>
        <v/>
      </c>
      <c r="Q121" s="229"/>
      <c r="R121" s="291">
        <f>CF!E115</f>
        <v>-52117.520470172007</v>
      </c>
      <c r="S121" s="291">
        <f>'CF1'!E96</f>
        <v>-27595.686241859286</v>
      </c>
      <c r="T121" s="291">
        <f>'CF2'!E96</f>
        <v>-24521.834228312713</v>
      </c>
      <c r="U121" s="291"/>
      <c r="V121" s="291"/>
      <c r="W121" s="291"/>
    </row>
    <row r="122" spans="1:23" s="225" customFormat="1">
      <c r="A122" s="275"/>
      <c r="B122" s="237" t="s">
        <v>358</v>
      </c>
      <c r="C122" s="254"/>
      <c r="D122" s="254"/>
      <c r="E122" s="254"/>
      <c r="F122" s="575"/>
      <c r="G122" s="588"/>
      <c r="H122" s="657">
        <f t="shared" si="39"/>
        <v>-9412.0950954435266</v>
      </c>
      <c r="I122" s="657">
        <f t="shared" si="39"/>
        <v>-3968.1103171578006</v>
      </c>
      <c r="J122" s="995">
        <f t="shared" si="26"/>
        <v>-1452.0383294672354</v>
      </c>
      <c r="K122" s="996">
        <f t="shared" si="27"/>
        <v>-1068.6792075990616</v>
      </c>
      <c r="L122" s="996">
        <f t="shared" si="28"/>
        <v>-383.35912186817382</v>
      </c>
      <c r="M122" s="967">
        <f t="shared" ref="M122:M127" si="50">(L122-K122)</f>
        <v>685.32008573088774</v>
      </c>
      <c r="N122" s="1056"/>
      <c r="O122" s="1057"/>
      <c r="P122" s="997" t="str">
        <f t="shared" si="29"/>
        <v/>
      </c>
      <c r="Q122" s="229"/>
      <c r="R122" s="291">
        <f>CF!E110+CF!E112</f>
        <v>-1452.0383294672354</v>
      </c>
      <c r="S122" s="291">
        <f>'CF1'!E91+'CF1'!E93</f>
        <v>-1068.6792075990616</v>
      </c>
      <c r="T122" s="291">
        <f>'CF2'!E91+'CF2'!E93</f>
        <v>-383.35912186817382</v>
      </c>
      <c r="U122" s="291"/>
      <c r="V122" s="291"/>
      <c r="W122" s="291"/>
    </row>
    <row r="123" spans="1:23" s="225" customFormat="1">
      <c r="A123" s="275"/>
      <c r="B123" s="237" t="s">
        <v>359</v>
      </c>
      <c r="C123" s="254"/>
      <c r="D123" s="254"/>
      <c r="E123" s="254"/>
      <c r="F123" s="575"/>
      <c r="G123" s="588"/>
      <c r="H123" s="657">
        <f t="shared" ref="H123" si="51">IFERROR(K123/K$17*1000000,)</f>
        <v>-48495.134700458468</v>
      </c>
      <c r="I123" s="657">
        <f t="shared" ref="I123" si="52">IFERROR(L123/L$17*1000000,)</f>
        <v>-32274.991585536107</v>
      </c>
      <c r="J123" s="995">
        <f t="shared" si="26"/>
        <v>-8624.3786163970799</v>
      </c>
      <c r="K123" s="996">
        <f t="shared" si="27"/>
        <v>-5506.2918084184021</v>
      </c>
      <c r="L123" s="996">
        <f t="shared" si="28"/>
        <v>-3118.0868079786774</v>
      </c>
      <c r="M123" s="967">
        <f t="shared" si="50"/>
        <v>2388.2050004397247</v>
      </c>
      <c r="N123" s="1056"/>
      <c r="O123" s="1057"/>
      <c r="P123" s="997" t="str">
        <f t="shared" si="29"/>
        <v/>
      </c>
      <c r="Q123" s="229"/>
      <c r="R123" s="291">
        <f>CF!E118+CF!E120</f>
        <v>-8624.3786163970799</v>
      </c>
      <c r="S123" s="291">
        <f>'CF1'!E99+'CF1'!E101</f>
        <v>-5506.2918084184021</v>
      </c>
      <c r="T123" s="291">
        <f>'CF2'!E99+'CF2'!E101</f>
        <v>-3118.0868079786774</v>
      </c>
      <c r="U123" s="291"/>
      <c r="V123" s="291"/>
      <c r="W123" s="291"/>
    </row>
    <row r="124" spans="1:23" s="225" customFormat="1">
      <c r="A124" s="275"/>
      <c r="B124" s="615" t="s">
        <v>170</v>
      </c>
      <c r="C124" s="616"/>
      <c r="D124" s="616"/>
      <c r="E124" s="616"/>
      <c r="F124" s="617"/>
      <c r="G124" s="618"/>
      <c r="H124" s="963">
        <f t="shared" si="39"/>
        <v>-1469.5279598464761</v>
      </c>
      <c r="I124" s="963">
        <f t="shared" si="39"/>
        <v>-1413.3078961271528</v>
      </c>
      <c r="J124" s="1036">
        <f t="shared" si="26"/>
        <v>-303.39454785149383</v>
      </c>
      <c r="K124" s="1019">
        <f t="shared" si="27"/>
        <v>-166.8548776598812</v>
      </c>
      <c r="L124" s="1019">
        <f t="shared" si="28"/>
        <v>-136.53967019161266</v>
      </c>
      <c r="M124" s="976">
        <f t="shared" si="50"/>
        <v>30.31520746826854</v>
      </c>
      <c r="N124" s="1066"/>
      <c r="O124" s="1067"/>
      <c r="P124" s="1037" t="str">
        <f t="shared" si="29"/>
        <v/>
      </c>
      <c r="Q124" s="229"/>
      <c r="R124" s="291">
        <f>CF!E123</f>
        <v>-303.39454785149383</v>
      </c>
      <c r="S124" s="291">
        <f>'CF1'!E104</f>
        <v>-166.8548776598812</v>
      </c>
      <c r="T124" s="291">
        <f>'CF2'!E104</f>
        <v>-136.53967019161266</v>
      </c>
      <c r="U124" s="291"/>
      <c r="V124" s="291"/>
      <c r="W124" s="291"/>
    </row>
    <row r="125" spans="1:23" s="213" customFormat="1" hidden="1" collapsed="1">
      <c r="A125" s="253"/>
      <c r="B125" s="321" t="s">
        <v>303</v>
      </c>
      <c r="C125" s="250"/>
      <c r="D125" s="250"/>
      <c r="E125" s="250"/>
      <c r="F125" s="281"/>
      <c r="G125" s="585"/>
      <c r="H125" s="660">
        <f t="shared" si="39"/>
        <v>0</v>
      </c>
      <c r="I125" s="660">
        <f t="shared" si="39"/>
        <v>0</v>
      </c>
      <c r="J125" s="1038">
        <f t="shared" si="26"/>
        <v>0</v>
      </c>
      <c r="K125" s="1038">
        <f t="shared" si="27"/>
        <v>0</v>
      </c>
      <c r="L125" s="1038">
        <f t="shared" si="28"/>
        <v>0</v>
      </c>
      <c r="M125" s="983">
        <f t="shared" si="50"/>
        <v>0</v>
      </c>
      <c r="N125" s="1072"/>
      <c r="O125" s="1072"/>
      <c r="P125" s="1039" t="str">
        <f t="shared" si="29"/>
        <v/>
      </c>
      <c r="Q125" s="251"/>
      <c r="R125" s="274">
        <f>SUM(R126:R127)</f>
        <v>0</v>
      </c>
      <c r="S125" s="274">
        <f t="shared" ref="S125:T125" si="53">SUM(S126:S127)</f>
        <v>0</v>
      </c>
      <c r="T125" s="274">
        <f t="shared" si="53"/>
        <v>0</v>
      </c>
      <c r="U125" s="274"/>
      <c r="V125" s="274"/>
      <c r="W125" s="274"/>
    </row>
    <row r="126" spans="1:23" s="225" customFormat="1" ht="15" hidden="1" customHeight="1" outlineLevel="1">
      <c r="A126" s="275"/>
      <c r="B126" s="319" t="s">
        <v>304</v>
      </c>
      <c r="C126" s="254"/>
      <c r="D126" s="254"/>
      <c r="E126" s="254"/>
      <c r="F126" s="575"/>
      <c r="G126" s="588"/>
      <c r="H126" s="660">
        <f t="shared" si="39"/>
        <v>0</v>
      </c>
      <c r="I126" s="660">
        <f t="shared" si="39"/>
        <v>0</v>
      </c>
      <c r="J126" s="1038">
        <f t="shared" si="26"/>
        <v>0</v>
      </c>
      <c r="K126" s="1038">
        <f t="shared" si="27"/>
        <v>0</v>
      </c>
      <c r="L126" s="1038">
        <f t="shared" si="28"/>
        <v>0</v>
      </c>
      <c r="M126" s="983">
        <f t="shared" si="50"/>
        <v>0</v>
      </c>
      <c r="N126" s="1072"/>
      <c r="O126" s="1072"/>
      <c r="P126" s="1040" t="str">
        <f t="shared" si="29"/>
        <v/>
      </c>
      <c r="Q126" s="229"/>
      <c r="R126" s="291">
        <v>0</v>
      </c>
      <c r="S126" s="291">
        <v>0</v>
      </c>
      <c r="T126" s="291">
        <v>0</v>
      </c>
      <c r="U126" s="291"/>
      <c r="V126" s="291"/>
      <c r="W126" s="291"/>
    </row>
    <row r="127" spans="1:23" s="225" customFormat="1" ht="15" hidden="1" customHeight="1" outlineLevel="1">
      <c r="A127" s="275"/>
      <c r="B127" s="319" t="s">
        <v>305</v>
      </c>
      <c r="C127" s="254"/>
      <c r="D127" s="254"/>
      <c r="E127" s="254"/>
      <c r="F127" s="575"/>
      <c r="G127" s="588"/>
      <c r="H127" s="660">
        <f t="shared" si="39"/>
        <v>0</v>
      </c>
      <c r="I127" s="660">
        <f t="shared" si="39"/>
        <v>0</v>
      </c>
      <c r="J127" s="1038">
        <f t="shared" si="26"/>
        <v>0</v>
      </c>
      <c r="K127" s="1038">
        <f t="shared" si="27"/>
        <v>0</v>
      </c>
      <c r="L127" s="1038">
        <f t="shared" si="28"/>
        <v>0</v>
      </c>
      <c r="M127" s="983">
        <f t="shared" si="50"/>
        <v>0</v>
      </c>
      <c r="N127" s="1072"/>
      <c r="O127" s="1072"/>
      <c r="P127" s="1040" t="str">
        <f t="shared" si="29"/>
        <v/>
      </c>
      <c r="Q127" s="229"/>
      <c r="R127" s="292">
        <v>0</v>
      </c>
      <c r="S127" s="292">
        <v>0</v>
      </c>
      <c r="T127" s="292">
        <v>0</v>
      </c>
      <c r="U127" s="292"/>
      <c r="V127" s="292"/>
      <c r="W127" s="292"/>
    </row>
    <row r="128" spans="1:23" s="213" customFormat="1" collapsed="1">
      <c r="A128" s="276"/>
      <c r="B128" s="629"/>
      <c r="C128" s="629"/>
      <c r="D128" s="629"/>
      <c r="E128" s="629"/>
      <c r="F128" s="630"/>
      <c r="G128" s="631"/>
      <c r="H128" s="661"/>
      <c r="I128" s="661"/>
      <c r="J128" s="629"/>
      <c r="K128" s="629"/>
      <c r="L128" s="629"/>
      <c r="M128" s="984"/>
      <c r="N128" s="661"/>
      <c r="O128" s="661"/>
      <c r="P128" s="629" t="str">
        <f t="shared" si="29"/>
        <v/>
      </c>
      <c r="Q128"/>
      <c r="R128" s="277"/>
      <c r="S128" s="277"/>
      <c r="T128" s="277"/>
      <c r="U128" s="277"/>
      <c r="V128" s="277"/>
      <c r="W128" s="277"/>
    </row>
    <row r="129" spans="1:23" s="211" customFormat="1">
      <c r="A129" s="253"/>
      <c r="B129" s="622" t="s">
        <v>306</v>
      </c>
      <c r="C129" s="619"/>
      <c r="D129" s="619"/>
      <c r="E129" s="619"/>
      <c r="F129" s="620"/>
      <c r="G129" s="621"/>
      <c r="H129" s="658">
        <f t="shared" ref="H129:I136" si="54">IFERROR(K129/K$17*1000000,)</f>
        <v>-2202.7183813617721</v>
      </c>
      <c r="I129" s="658">
        <f t="shared" si="54"/>
        <v>-1471.9039565374862</v>
      </c>
      <c r="J129" s="636">
        <f t="shared" si="26"/>
        <v>-392.30428501773906</v>
      </c>
      <c r="K129" s="635">
        <f t="shared" si="27"/>
        <v>-250.10364966426835</v>
      </c>
      <c r="L129" s="635">
        <f t="shared" si="28"/>
        <v>-142.20063535347072</v>
      </c>
      <c r="M129" s="979">
        <f>(L129-K129)</f>
        <v>107.90301431079763</v>
      </c>
      <c r="N129" s="1054"/>
      <c r="O129" s="1055"/>
      <c r="P129" s="994" t="str">
        <f t="shared" si="29"/>
        <v/>
      </c>
      <c r="R129" s="255">
        <f>SUM(R130,R132)</f>
        <v>-392.30428501773906</v>
      </c>
      <c r="S129" s="255">
        <f t="shared" ref="S129" si="55">SUM(S130,S132)</f>
        <v>-250.10364966426835</v>
      </c>
      <c r="T129" s="255">
        <f>SUM(T130,T132)</f>
        <v>-142.20063535347072</v>
      </c>
      <c r="U129" s="255"/>
      <c r="V129" s="255"/>
      <c r="W129" s="255"/>
    </row>
    <row r="130" spans="1:23" s="213" customFormat="1">
      <c r="A130" s="253"/>
      <c r="B130" s="623" t="s">
        <v>29</v>
      </c>
      <c r="C130" s="624"/>
      <c r="D130" s="624"/>
      <c r="E130" s="624"/>
      <c r="F130" s="625"/>
      <c r="G130" s="626"/>
      <c r="H130" s="656">
        <f t="shared" si="54"/>
        <v>3367.7944906945995</v>
      </c>
      <c r="I130" s="656">
        <f t="shared" si="54"/>
        <v>2214.6186894831098</v>
      </c>
      <c r="J130" s="1033">
        <f t="shared" si="26"/>
        <v>596.34439879243371</v>
      </c>
      <c r="K130" s="1034">
        <f t="shared" si="27"/>
        <v>382.39009605994522</v>
      </c>
      <c r="L130" s="1034">
        <f t="shared" si="28"/>
        <v>213.95430273248849</v>
      </c>
      <c r="M130" s="982">
        <f>(L130-K130)</f>
        <v>-168.43579332745674</v>
      </c>
      <c r="N130" s="1064"/>
      <c r="O130" s="1065"/>
      <c r="P130" s="1035" t="str">
        <f t="shared" si="29"/>
        <v/>
      </c>
      <c r="Q130" s="251"/>
      <c r="R130" s="274">
        <f>SUM(R131)</f>
        <v>596.34439879243371</v>
      </c>
      <c r="S130" s="274">
        <f t="shared" ref="S130:T130" si="56">SUM(S131)</f>
        <v>382.39009605994522</v>
      </c>
      <c r="T130" s="274">
        <f t="shared" si="56"/>
        <v>213.95430273248849</v>
      </c>
      <c r="U130" s="274"/>
      <c r="V130" s="274"/>
      <c r="W130" s="274"/>
    </row>
    <row r="131" spans="1:23" s="225" customFormat="1" ht="15" customHeight="1" outlineLevel="2">
      <c r="A131" s="275"/>
      <c r="B131" s="237" t="s">
        <v>360</v>
      </c>
      <c r="C131" s="254"/>
      <c r="D131" s="254"/>
      <c r="E131" s="254"/>
      <c r="F131" s="575"/>
      <c r="G131" s="588"/>
      <c r="H131" s="657">
        <f t="shared" si="54"/>
        <v>3367.7944906945995</v>
      </c>
      <c r="I131" s="657">
        <f t="shared" si="54"/>
        <v>2214.6186894831098</v>
      </c>
      <c r="J131" s="995">
        <f t="shared" si="26"/>
        <v>596.34439879243371</v>
      </c>
      <c r="K131" s="996">
        <f t="shared" si="27"/>
        <v>382.39009605994522</v>
      </c>
      <c r="L131" s="996">
        <f t="shared" si="28"/>
        <v>213.95430273248849</v>
      </c>
      <c r="M131" s="967">
        <f>L131-K131</f>
        <v>-168.43579332745674</v>
      </c>
      <c r="N131" s="1056"/>
      <c r="O131" s="1057"/>
      <c r="P131" s="997" t="str">
        <f t="shared" si="29"/>
        <v/>
      </c>
      <c r="Q131" s="229"/>
      <c r="R131" s="291">
        <f>CF!E100</f>
        <v>596.34439879243371</v>
      </c>
      <c r="S131" s="291">
        <f>'CF1'!E81</f>
        <v>382.39009605994522</v>
      </c>
      <c r="T131" s="291">
        <f>'CF2'!E81</f>
        <v>213.95430273248849</v>
      </c>
      <c r="U131" s="291"/>
      <c r="V131" s="291"/>
      <c r="W131" s="291"/>
    </row>
    <row r="132" spans="1:23" s="213" customFormat="1">
      <c r="A132" s="253"/>
      <c r="B132" s="322" t="s">
        <v>139</v>
      </c>
      <c r="C132" s="250"/>
      <c r="D132" s="250"/>
      <c r="E132" s="250"/>
      <c r="F132" s="281"/>
      <c r="G132" s="585"/>
      <c r="H132" s="657">
        <f t="shared" si="54"/>
        <v>-5570.5128720563725</v>
      </c>
      <c r="I132" s="657">
        <f t="shared" si="54"/>
        <v>-3686.5226460205963</v>
      </c>
      <c r="J132" s="995">
        <f t="shared" si="26"/>
        <v>-988.64868381017277</v>
      </c>
      <c r="K132" s="996">
        <f t="shared" si="27"/>
        <v>-632.49374572421357</v>
      </c>
      <c r="L132" s="996">
        <f t="shared" si="28"/>
        <v>-356.1549380859592</v>
      </c>
      <c r="M132" s="967">
        <f>(L132-K132)</f>
        <v>276.33880763825437</v>
      </c>
      <c r="N132" s="1056"/>
      <c r="O132" s="1057"/>
      <c r="P132" s="1016" t="str">
        <f t="shared" si="29"/>
        <v/>
      </c>
      <c r="Q132" s="251"/>
      <c r="R132" s="274">
        <f t="shared" ref="R132" si="57">SUM(R133:R136)</f>
        <v>-988.64868381017277</v>
      </c>
      <c r="S132" s="274">
        <f t="shared" ref="S132" si="58">SUM(S133:S136)</f>
        <v>-632.49374572421357</v>
      </c>
      <c r="T132" s="274">
        <f t="shared" ref="T132" si="59">SUM(T133:T136)</f>
        <v>-356.1549380859592</v>
      </c>
      <c r="U132" s="274"/>
      <c r="V132" s="274"/>
      <c r="W132" s="274"/>
    </row>
    <row r="133" spans="1:23" s="225" customFormat="1">
      <c r="A133" s="275"/>
      <c r="B133" s="237" t="s">
        <v>361</v>
      </c>
      <c r="C133" s="254"/>
      <c r="D133" s="254"/>
      <c r="E133" s="254"/>
      <c r="F133" s="575"/>
      <c r="G133" s="588"/>
      <c r="H133" s="657">
        <f t="shared" si="54"/>
        <v>-3367.7944906945995</v>
      </c>
      <c r="I133" s="657">
        <f t="shared" si="54"/>
        <v>-2214.6186894831098</v>
      </c>
      <c r="J133" s="995">
        <f t="shared" si="26"/>
        <v>-596.34439879243371</v>
      </c>
      <c r="K133" s="996">
        <f t="shared" si="27"/>
        <v>-382.39009605994522</v>
      </c>
      <c r="L133" s="996">
        <f t="shared" si="28"/>
        <v>-213.95430273248849</v>
      </c>
      <c r="M133" s="967">
        <f>L133-K133</f>
        <v>168.43579332745674</v>
      </c>
      <c r="N133" s="1056"/>
      <c r="O133" s="1057"/>
      <c r="P133" s="997" t="str">
        <f t="shared" si="29"/>
        <v/>
      </c>
      <c r="Q133" s="229"/>
      <c r="R133" s="291">
        <f>CF!E101</f>
        <v>-596.34439879243371</v>
      </c>
      <c r="S133" s="291">
        <f>'CF1'!E82</f>
        <v>-382.39009605994522</v>
      </c>
      <c r="T133" s="291">
        <f>'CF2'!E82</f>
        <v>-213.95430273248849</v>
      </c>
      <c r="U133" s="291"/>
      <c r="V133" s="291"/>
      <c r="W133" s="291"/>
    </row>
    <row r="134" spans="1:23" s="225" customFormat="1">
      <c r="A134" s="275"/>
      <c r="B134" s="615" t="s">
        <v>362</v>
      </c>
      <c r="C134" s="616"/>
      <c r="D134" s="616"/>
      <c r="E134" s="616"/>
      <c r="F134" s="617"/>
      <c r="G134" s="618"/>
      <c r="H134" s="963">
        <f t="shared" si="54"/>
        <v>-2202.7183813617726</v>
      </c>
      <c r="I134" s="963">
        <f t="shared" si="54"/>
        <v>-1471.9039565374865</v>
      </c>
      <c r="J134" s="1036">
        <f t="shared" si="26"/>
        <v>-392.30428501773912</v>
      </c>
      <c r="K134" s="1019">
        <f t="shared" si="27"/>
        <v>-250.10364966426837</v>
      </c>
      <c r="L134" s="1019">
        <f t="shared" si="28"/>
        <v>-142.20063535347074</v>
      </c>
      <c r="M134" s="976">
        <f>L134-K134</f>
        <v>107.90301431079763</v>
      </c>
      <c r="N134" s="1066"/>
      <c r="O134" s="1067"/>
      <c r="P134" s="1037" t="str">
        <f t="shared" si="29"/>
        <v/>
      </c>
      <c r="Q134" s="229"/>
      <c r="R134" s="291">
        <f>CF!E104</f>
        <v>-392.30428501773912</v>
      </c>
      <c r="S134" s="291">
        <f>'CF1'!E85</f>
        <v>-250.10364966426837</v>
      </c>
      <c r="T134" s="291">
        <f>'CF2'!E85</f>
        <v>-142.20063535347074</v>
      </c>
      <c r="U134" s="291"/>
      <c r="V134" s="291"/>
      <c r="W134" s="291"/>
    </row>
    <row r="135" spans="1:23" s="225" customFormat="1" ht="15" hidden="1" customHeight="1" outlineLevel="1">
      <c r="A135" s="275"/>
      <c r="B135" s="319" t="s">
        <v>307</v>
      </c>
      <c r="C135" s="254"/>
      <c r="D135" s="254"/>
      <c r="E135" s="254"/>
      <c r="F135" s="575"/>
      <c r="G135" s="588"/>
      <c r="H135" s="660">
        <f t="shared" si="54"/>
        <v>0</v>
      </c>
      <c r="I135" s="660">
        <f t="shared" si="54"/>
        <v>0</v>
      </c>
      <c r="J135" s="1038">
        <f t="shared" ref="J135:J150" si="60">SUMIFS($R135:$W135,$R$5:$W$5,$J$5)</f>
        <v>0</v>
      </c>
      <c r="K135" s="1038">
        <f t="shared" ref="K135:K150" si="61">SUMIFS($R135:$W135,$R$5:$W$5,$K$5)</f>
        <v>0</v>
      </c>
      <c r="L135" s="1038">
        <f t="shared" ref="L135:L150" si="62">SUMIFS($R135:$W135,$R$5:$W$5,$L$5)</f>
        <v>0</v>
      </c>
      <c r="M135" s="983">
        <f>L135-K135</f>
        <v>0</v>
      </c>
      <c r="N135" s="1072"/>
      <c r="O135" s="1072"/>
      <c r="P135" s="1040" t="str">
        <f t="shared" ref="P135:P150" si="63">LEFT(Y135,4)</f>
        <v/>
      </c>
      <c r="Q135" s="229"/>
      <c r="R135" s="291"/>
      <c r="S135" s="291">
        <v>0</v>
      </c>
      <c r="T135" s="291"/>
      <c r="U135" s="291"/>
      <c r="V135" s="291"/>
      <c r="W135" s="291"/>
    </row>
    <row r="136" spans="1:23" s="225" customFormat="1" ht="15" hidden="1" customHeight="1" outlineLevel="1">
      <c r="A136" s="275"/>
      <c r="B136" s="319" t="s">
        <v>308</v>
      </c>
      <c r="C136" s="254"/>
      <c r="D136" s="254"/>
      <c r="E136" s="254"/>
      <c r="F136" s="575"/>
      <c r="G136" s="588"/>
      <c r="H136" s="660">
        <f t="shared" si="54"/>
        <v>0</v>
      </c>
      <c r="I136" s="660">
        <f t="shared" si="54"/>
        <v>0</v>
      </c>
      <c r="J136" s="1038">
        <f t="shared" si="60"/>
        <v>0</v>
      </c>
      <c r="K136" s="1038">
        <f t="shared" si="61"/>
        <v>0</v>
      </c>
      <c r="L136" s="1038">
        <f t="shared" si="62"/>
        <v>0</v>
      </c>
      <c r="M136" s="983">
        <f>L136-K136</f>
        <v>0</v>
      </c>
      <c r="N136" s="1072"/>
      <c r="O136" s="1072"/>
      <c r="P136" s="1040" t="str">
        <f t="shared" si="63"/>
        <v/>
      </c>
      <c r="Q136" s="229"/>
      <c r="R136" s="292"/>
      <c r="S136" s="292">
        <v>0</v>
      </c>
      <c r="T136" s="292"/>
      <c r="U136" s="292"/>
      <c r="V136" s="292"/>
      <c r="W136" s="292"/>
    </row>
    <row r="137" spans="1:23" s="213" customFormat="1" collapsed="1">
      <c r="A137" s="276"/>
      <c r="B137" s="629"/>
      <c r="C137" s="629"/>
      <c r="D137" s="629"/>
      <c r="E137" s="629"/>
      <c r="F137" s="630"/>
      <c r="G137" s="631"/>
      <c r="H137" s="661"/>
      <c r="I137" s="661"/>
      <c r="J137" s="629"/>
      <c r="K137" s="629"/>
      <c r="L137" s="629"/>
      <c r="M137" s="984"/>
      <c r="N137" s="661"/>
      <c r="O137" s="661"/>
      <c r="P137" s="629" t="str">
        <f t="shared" si="63"/>
        <v/>
      </c>
      <c r="Q137"/>
      <c r="R137" s="277"/>
      <c r="S137" s="277"/>
      <c r="T137" s="277"/>
      <c r="U137" s="277"/>
      <c r="V137" s="277"/>
      <c r="W137" s="277"/>
    </row>
    <row r="138" spans="1:23" s="211" customFormat="1" hidden="1">
      <c r="A138" s="253"/>
      <c r="B138" s="628" t="s">
        <v>309</v>
      </c>
      <c r="C138" s="607"/>
      <c r="D138" s="607"/>
      <c r="E138" s="607"/>
      <c r="F138" s="608"/>
      <c r="G138" s="609"/>
      <c r="H138" s="662">
        <f t="shared" ref="H138:I140" si="64">IFERROR(K138/K$17*1000000,)</f>
        <v>0</v>
      </c>
      <c r="I138" s="662">
        <f t="shared" si="64"/>
        <v>0</v>
      </c>
      <c r="J138" s="1041">
        <f t="shared" si="60"/>
        <v>0</v>
      </c>
      <c r="K138" s="1041">
        <f t="shared" si="61"/>
        <v>0</v>
      </c>
      <c r="L138" s="1041">
        <f t="shared" si="62"/>
        <v>0</v>
      </c>
      <c r="M138" s="986">
        <f>(L138-K138)</f>
        <v>0</v>
      </c>
      <c r="N138" s="1073"/>
      <c r="O138" s="1073"/>
      <c r="P138" s="1042" t="str">
        <f t="shared" si="63"/>
        <v/>
      </c>
      <c r="R138" s="255">
        <f>SUM(R139:R140)</f>
        <v>0</v>
      </c>
      <c r="S138" s="255">
        <f t="shared" ref="S138:T138" si="65">SUM(S139:S140)</f>
        <v>0</v>
      </c>
      <c r="T138" s="255">
        <f t="shared" si="65"/>
        <v>0</v>
      </c>
      <c r="U138" s="255"/>
      <c r="V138" s="255"/>
      <c r="W138" s="255"/>
    </row>
    <row r="139" spans="1:23" s="211" customFormat="1" ht="15" hidden="1" customHeight="1" outlineLevel="1">
      <c r="A139" s="253"/>
      <c r="B139" s="323" t="s">
        <v>310</v>
      </c>
      <c r="C139" s="278"/>
      <c r="D139" s="278"/>
      <c r="E139" s="278"/>
      <c r="F139" s="582"/>
      <c r="G139" s="595"/>
      <c r="H139" s="663">
        <f t="shared" si="64"/>
        <v>0</v>
      </c>
      <c r="I139" s="663">
        <f t="shared" si="64"/>
        <v>0</v>
      </c>
      <c r="J139" s="1043">
        <f t="shared" si="60"/>
        <v>0</v>
      </c>
      <c r="K139" s="1043">
        <f t="shared" si="61"/>
        <v>0</v>
      </c>
      <c r="L139" s="1043">
        <f t="shared" si="62"/>
        <v>0</v>
      </c>
      <c r="M139" s="987">
        <f>(L139-K139)</f>
        <v>0</v>
      </c>
      <c r="N139" s="1074"/>
      <c r="O139" s="1074"/>
      <c r="P139" s="1044" t="str">
        <f t="shared" si="63"/>
        <v/>
      </c>
      <c r="Q139" s="251"/>
      <c r="R139" s="291">
        <v>0</v>
      </c>
      <c r="S139" s="291">
        <v>0</v>
      </c>
      <c r="T139" s="291">
        <v>0</v>
      </c>
      <c r="U139" s="291"/>
      <c r="V139" s="291"/>
      <c r="W139" s="291"/>
    </row>
    <row r="140" spans="1:23" s="211" customFormat="1" ht="15" hidden="1" customHeight="1" outlineLevel="1">
      <c r="A140" s="253"/>
      <c r="B140" s="324" t="s">
        <v>311</v>
      </c>
      <c r="C140" s="279"/>
      <c r="D140" s="279"/>
      <c r="E140" s="279"/>
      <c r="F140" s="583"/>
      <c r="G140" s="596"/>
      <c r="H140" s="662">
        <f t="shared" si="64"/>
        <v>0</v>
      </c>
      <c r="I140" s="662">
        <f t="shared" si="64"/>
        <v>0</v>
      </c>
      <c r="J140" s="1041">
        <f t="shared" si="60"/>
        <v>0</v>
      </c>
      <c r="K140" s="1041">
        <f t="shared" si="61"/>
        <v>0</v>
      </c>
      <c r="L140" s="1041">
        <f t="shared" si="62"/>
        <v>0</v>
      </c>
      <c r="M140" s="985">
        <f>(L140-K140)</f>
        <v>0</v>
      </c>
      <c r="N140" s="1073"/>
      <c r="O140" s="1073"/>
      <c r="P140" s="1045" t="str">
        <f t="shared" si="63"/>
        <v/>
      </c>
      <c r="Q140" s="251"/>
      <c r="R140" s="292">
        <v>0</v>
      </c>
      <c r="S140" s="292">
        <v>0</v>
      </c>
      <c r="T140" s="292">
        <v>0</v>
      </c>
      <c r="U140" s="292"/>
      <c r="V140" s="292"/>
      <c r="W140" s="292"/>
    </row>
    <row r="141" spans="1:23" s="213" customFormat="1" hidden="1" collapsed="1">
      <c r="B141" s="258"/>
      <c r="F141" s="281"/>
      <c r="G141" s="585"/>
      <c r="H141" s="655"/>
      <c r="I141" s="655"/>
      <c r="J141" s="258">
        <f t="shared" si="60"/>
        <v>0</v>
      </c>
      <c r="K141" s="258">
        <f t="shared" si="61"/>
        <v>0</v>
      </c>
      <c r="L141" s="258">
        <f t="shared" si="62"/>
        <v>0</v>
      </c>
      <c r="M141" s="962"/>
      <c r="N141" s="655"/>
      <c r="O141" s="655"/>
      <c r="P141" s="258" t="str">
        <f t="shared" si="63"/>
        <v/>
      </c>
    </row>
    <row r="142" spans="1:23" s="213" customFormat="1">
      <c r="B142" s="622" t="s">
        <v>312</v>
      </c>
      <c r="C142" s="619"/>
      <c r="D142" s="619"/>
      <c r="E142" s="619"/>
      <c r="F142" s="620"/>
      <c r="G142" s="621"/>
      <c r="H142" s="658">
        <f>IFERROR(K142/K$17*1000000,)</f>
        <v>-61579.476137110221</v>
      </c>
      <c r="I142" s="658">
        <f>IFERROR(L142/L$17*1000000,)</f>
        <v>-39128.313755358555</v>
      </c>
      <c r="J142" s="636">
        <f t="shared" si="60"/>
        <v>-10772.115778733549</v>
      </c>
      <c r="K142" s="635">
        <f t="shared" si="61"/>
        <v>-6991.92954334161</v>
      </c>
      <c r="L142" s="635">
        <f t="shared" si="62"/>
        <v>-3780.186235391935</v>
      </c>
      <c r="M142" s="966">
        <f>L142-K142</f>
        <v>3211.743307949675</v>
      </c>
      <c r="N142" s="1054"/>
      <c r="O142" s="1055"/>
      <c r="P142" s="994" t="str">
        <f t="shared" si="63"/>
        <v/>
      </c>
      <c r="Q142" s="211"/>
      <c r="R142" s="255">
        <f>SUM(R103,R114,R129,R138)</f>
        <v>-10772.115778733549</v>
      </c>
      <c r="S142" s="255">
        <f t="shared" ref="S142:T142" si="66">SUM(S103,S114,S129,S138)</f>
        <v>-6991.92954334161</v>
      </c>
      <c r="T142" s="255">
        <f t="shared" si="66"/>
        <v>-3780.186235391935</v>
      </c>
      <c r="U142" s="255"/>
      <c r="V142" s="255"/>
      <c r="W142" s="255"/>
    </row>
    <row r="143" spans="1:23" s="213" customFormat="1">
      <c r="B143" s="258"/>
      <c r="C143" s="258"/>
      <c r="D143" s="258"/>
      <c r="E143" s="258"/>
      <c r="F143" s="281"/>
      <c r="G143" s="585"/>
      <c r="H143" s="585"/>
      <c r="I143" s="585"/>
      <c r="J143" s="585"/>
      <c r="K143" s="585"/>
      <c r="L143" s="585"/>
      <c r="M143" s="585"/>
      <c r="N143" s="585"/>
      <c r="O143" s="585"/>
      <c r="P143" s="1032" t="str">
        <f t="shared" si="63"/>
        <v/>
      </c>
      <c r="Q143" s="258"/>
      <c r="R143" s="282"/>
      <c r="S143" s="282"/>
      <c r="T143" s="283"/>
      <c r="U143" s="282"/>
      <c r="V143" s="282"/>
      <c r="W143" s="283"/>
    </row>
    <row r="144" spans="1:23" s="213" customFormat="1">
      <c r="B144" s="622" t="s">
        <v>313</v>
      </c>
      <c r="C144" s="619"/>
      <c r="D144" s="619"/>
      <c r="E144" s="619"/>
      <c r="F144" s="620"/>
      <c r="G144" s="621"/>
      <c r="H144" s="658">
        <f>IFERROR(K144/K$17*1000000,)</f>
        <v>43754.742878594858</v>
      </c>
      <c r="I144" s="658">
        <f>IFERROR(L144/L$17*1000000,)</f>
        <v>45311.027987369176</v>
      </c>
      <c r="J144" s="636">
        <f t="shared" si="60"/>
        <v>9345.5508791336233</v>
      </c>
      <c r="K144" s="635">
        <f t="shared" si="61"/>
        <v>4968.0526465180137</v>
      </c>
      <c r="L144" s="635">
        <f t="shared" si="62"/>
        <v>4377.4982326156241</v>
      </c>
      <c r="M144" s="966">
        <f>L144-K144</f>
        <v>-590.55441390238957</v>
      </c>
      <c r="N144" s="1075"/>
      <c r="O144" s="1055"/>
      <c r="P144" s="994" t="str">
        <f t="shared" si="63"/>
        <v/>
      </c>
      <c r="Q144" s="211"/>
      <c r="R144" s="255">
        <f>R101+R142-R135-R136</f>
        <v>9345.5508791336233</v>
      </c>
      <c r="S144" s="255">
        <f t="shared" ref="S144:T144" si="67">S101+S142-S135-S136</f>
        <v>4968.0526465180137</v>
      </c>
      <c r="T144" s="255">
        <f t="shared" si="67"/>
        <v>4377.4982326156241</v>
      </c>
      <c r="U144" s="255"/>
      <c r="V144" s="255"/>
      <c r="W144" s="255"/>
    </row>
    <row r="145" spans="1:23" s="213" customFormat="1" ht="16">
      <c r="A145" s="217"/>
      <c r="B145" s="325"/>
      <c r="C145" s="217"/>
      <c r="D145" s="217"/>
      <c r="E145" s="217"/>
      <c r="F145" s="584"/>
      <c r="G145" s="597"/>
      <c r="H145" s="597"/>
      <c r="I145" s="597"/>
      <c r="J145" s="597"/>
      <c r="K145" s="597"/>
      <c r="L145" s="597"/>
      <c r="M145" s="597"/>
      <c r="N145" s="655"/>
      <c r="O145" s="655"/>
      <c r="P145" s="325" t="str">
        <f t="shared" si="63"/>
        <v/>
      </c>
      <c r="Q145" s="217"/>
      <c r="R145" s="217"/>
      <c r="S145" s="217"/>
      <c r="T145" s="217"/>
      <c r="U145" s="217"/>
      <c r="V145" s="217"/>
      <c r="W145" s="217"/>
    </row>
    <row r="146" spans="1:23" s="211" customFormat="1" ht="15" customHeight="1">
      <c r="A146" s="284"/>
      <c r="B146" s="637" t="str">
        <f>DB!R39</f>
        <v>МАРЖИНАЛЬНОСТЬ до Н/О</v>
      </c>
      <c r="C146" s="638"/>
      <c r="D146" s="638"/>
      <c r="E146" s="638"/>
      <c r="F146" s="639"/>
      <c r="G146" s="640"/>
      <c r="H146" s="1416" t="s">
        <v>178</v>
      </c>
      <c r="I146" s="1417"/>
      <c r="J146" s="1046">
        <f t="shared" si="60"/>
        <v>0.17534919394942497</v>
      </c>
      <c r="K146" s="1047">
        <f t="shared" si="61"/>
        <v>0.16324891069007644</v>
      </c>
      <c r="L146" s="1047">
        <f t="shared" si="62"/>
        <v>0.18960680069667543</v>
      </c>
      <c r="M146" s="988">
        <f>L146-K146</f>
        <v>2.6357890006598994E-2</v>
      </c>
      <c r="N146" s="1076"/>
      <c r="O146" s="1077"/>
      <c r="P146" s="1048" t="str">
        <f t="shared" si="63"/>
        <v/>
      </c>
      <c r="R146" s="285">
        <f>DB!U39</f>
        <v>0.17534919394942497</v>
      </c>
      <c r="S146" s="285">
        <f>'DB1'!U39</f>
        <v>0.16324891069007644</v>
      </c>
      <c r="T146" s="285">
        <f>'DB2'!U39</f>
        <v>0.18960680069667543</v>
      </c>
      <c r="U146" s="285"/>
      <c r="V146" s="285"/>
      <c r="W146" s="285"/>
    </row>
    <row r="147" spans="1:23" s="211" customFormat="1" ht="15" customHeight="1">
      <c r="A147" s="284"/>
      <c r="B147" s="641" t="str">
        <f>DB!R40</f>
        <v>МАРЖ-СТЬ после Н/О</v>
      </c>
      <c r="C147" s="642"/>
      <c r="D147" s="642"/>
      <c r="E147" s="642"/>
      <c r="F147" s="643"/>
      <c r="G147" s="644"/>
      <c r="H147" s="1408" t="s">
        <v>178</v>
      </c>
      <c r="I147" s="1409"/>
      <c r="J147" s="1049">
        <f t="shared" si="60"/>
        <v>0.11867955041607946</v>
      </c>
      <c r="K147" s="1050">
        <f t="shared" si="61"/>
        <v>0.11663292978286487</v>
      </c>
      <c r="L147" s="1050">
        <f t="shared" si="62"/>
        <v>0.12109105695057633</v>
      </c>
      <c r="M147" s="989">
        <f t="shared" ref="M147:M150" si="68">L147-K147</f>
        <v>4.458127167711462E-3</v>
      </c>
      <c r="N147" s="1078"/>
      <c r="O147" s="1079"/>
      <c r="P147" s="1051" t="str">
        <f t="shared" si="63"/>
        <v/>
      </c>
      <c r="R147" s="285">
        <f>DB!U40</f>
        <v>0.11867955041607946</v>
      </c>
      <c r="S147" s="285">
        <f>'DB1'!U40</f>
        <v>0.11663292978286487</v>
      </c>
      <c r="T147" s="285">
        <f>'DB2'!U40</f>
        <v>0.12109105695057633</v>
      </c>
      <c r="U147" s="285"/>
      <c r="V147" s="285"/>
      <c r="W147" s="285"/>
    </row>
    <row r="148" spans="1:23" s="211" customFormat="1" ht="15" customHeight="1">
      <c r="A148" s="284"/>
      <c r="B148" s="641" t="str">
        <f>DB!R41</f>
        <v>IRR ПРОЕКТА (pre-tax)</v>
      </c>
      <c r="C148" s="642"/>
      <c r="D148" s="642"/>
      <c r="E148" s="642"/>
      <c r="F148" s="643"/>
      <c r="G148" s="644"/>
      <c r="H148" s="1408" t="s">
        <v>178</v>
      </c>
      <c r="I148" s="1409"/>
      <c r="J148" s="1049">
        <f t="shared" si="60"/>
        <v>0.17550439664713391</v>
      </c>
      <c r="K148" s="1050">
        <f t="shared" si="61"/>
        <v>0.17185455559824692</v>
      </c>
      <c r="L148" s="1050">
        <f t="shared" si="62"/>
        <v>0.18141413926058281</v>
      </c>
      <c r="M148" s="989">
        <f t="shared" si="68"/>
        <v>9.559583662335891E-3</v>
      </c>
      <c r="N148" s="1078"/>
      <c r="O148" s="1079"/>
      <c r="P148" s="1051" t="str">
        <f t="shared" si="63"/>
        <v/>
      </c>
      <c r="R148" s="285">
        <f>DB!U41</f>
        <v>0.17550439664713391</v>
      </c>
      <c r="S148" s="285">
        <f>'DB1'!U41</f>
        <v>0.17185455559824692</v>
      </c>
      <c r="T148" s="285">
        <f>'DB2'!U41</f>
        <v>0.18141413926058281</v>
      </c>
      <c r="U148" s="285"/>
      <c r="V148" s="285"/>
      <c r="W148" s="285"/>
    </row>
    <row r="149" spans="1:23" s="211" customFormat="1" ht="15" customHeight="1">
      <c r="A149" s="284"/>
      <c r="B149" s="641" t="str">
        <f>DB!R42</f>
        <v>IRR ИНВЕСТОРА</v>
      </c>
      <c r="C149" s="642"/>
      <c r="D149" s="642"/>
      <c r="E149" s="642"/>
      <c r="F149" s="643"/>
      <c r="G149" s="644"/>
      <c r="H149" s="1408" t="s">
        <v>178</v>
      </c>
      <c r="I149" s="1409"/>
      <c r="J149" s="1049">
        <f t="shared" si="60"/>
        <v>0.63323674874686486</v>
      </c>
      <c r="K149" s="1050">
        <f t="shared" si="61"/>
        <v>0.59770527053611744</v>
      </c>
      <c r="L149" s="1050">
        <f t="shared" si="62"/>
        <v>0.68880862816554322</v>
      </c>
      <c r="M149" s="989">
        <f t="shared" si="68"/>
        <v>9.1103357629425785E-2</v>
      </c>
      <c r="N149" s="1080"/>
      <c r="O149" s="1079"/>
      <c r="P149" s="1051" t="str">
        <f t="shared" si="63"/>
        <v/>
      </c>
      <c r="R149" s="285">
        <f>DB!U42</f>
        <v>0.63323674874686486</v>
      </c>
      <c r="S149" s="285">
        <f>'DB1'!U42</f>
        <v>0.59770527053611744</v>
      </c>
      <c r="T149" s="285">
        <f>'DB2'!U42</f>
        <v>0.68880862816554322</v>
      </c>
      <c r="U149" s="285"/>
      <c r="V149" s="285"/>
      <c r="W149" s="285"/>
    </row>
    <row r="150" spans="1:23" s="211" customFormat="1" ht="15" customHeight="1">
      <c r="A150" s="284"/>
      <c r="B150" s="645" t="str">
        <f>DB!R43</f>
        <v>LLSR</v>
      </c>
      <c r="C150" s="646"/>
      <c r="D150" s="647"/>
      <c r="E150" s="647"/>
      <c r="F150" s="648"/>
      <c r="G150" s="649"/>
      <c r="H150" s="1410"/>
      <c r="I150" s="1411"/>
      <c r="J150" s="650">
        <f t="shared" si="60"/>
        <v>1.1966655386188092</v>
      </c>
      <c r="K150" s="651">
        <f t="shared" si="61"/>
        <v>1.1962352592294523</v>
      </c>
      <c r="L150" s="651">
        <f t="shared" si="62"/>
        <v>1.197183973798126</v>
      </c>
      <c r="M150" s="990">
        <f t="shared" si="68"/>
        <v>9.4871456867373638E-4</v>
      </c>
      <c r="N150" s="1081"/>
      <c r="O150" s="1082"/>
      <c r="P150" s="1052" t="str">
        <f t="shared" si="63"/>
        <v/>
      </c>
      <c r="R150" s="572">
        <f>DB!U43</f>
        <v>1.1966655386188092</v>
      </c>
      <c r="S150" s="572">
        <f>'DB1'!U43</f>
        <v>1.1962352592294523</v>
      </c>
      <c r="T150" s="572">
        <f>'DB2'!U43</f>
        <v>1.197183973798126</v>
      </c>
      <c r="U150" s="572"/>
      <c r="V150" s="572"/>
      <c r="W150" s="572"/>
    </row>
    <row r="151" spans="1:23" s="213" customFormat="1" ht="16">
      <c r="F151" s="272"/>
      <c r="N151" s="655"/>
      <c r="O151" s="655"/>
      <c r="U151"/>
      <c r="V151" s="217"/>
    </row>
    <row r="152" spans="1:23" s="213" customFormat="1" ht="16">
      <c r="F152" s="272"/>
      <c r="N152" s="655"/>
      <c r="O152" s="655"/>
      <c r="U152"/>
      <c r="V152" s="217"/>
    </row>
  </sheetData>
  <mergeCells count="68">
    <mergeCell ref="H16:I16"/>
    <mergeCell ref="N4:O4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28:I28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52:I52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63:I63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148:I148"/>
    <mergeCell ref="H150:I150"/>
    <mergeCell ref="H64:I64"/>
    <mergeCell ref="H65:I65"/>
    <mergeCell ref="H66:I66"/>
    <mergeCell ref="H67:I67"/>
    <mergeCell ref="H146:I146"/>
    <mergeCell ref="H147:I147"/>
    <mergeCell ref="H149:I149"/>
  </mergeCells>
  <conditionalFormatting sqref="M72:M76">
    <cfRule type="colorScale" priority="16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M79:M80 M83 M85:M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88:M98">
    <cfRule type="colorScale" priority="7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M122:M12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2:M1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2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3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33:M134 M122:M124 M88:M9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3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46:M150">
    <cfRule type="colorScale" priority="14">
      <colorScale>
        <cfvo type="min"/>
        <cfvo type="num" val="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J5:M5" xr:uid="{BAD76811-FAF5-B745-8CAA-5DA50D746360}">
      <formula1>$Q$5:$T$5</formula1>
    </dataValidation>
  </dataValidations>
  <pageMargins left="0.7" right="0.7" top="0.75" bottom="0.75" header="0.3" footer="0.3"/>
  <pageSetup paperSize="9" scale="41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767C-EEAB-4FEE-A693-C780BB5AC499}">
  <sheetPr>
    <tabColor rgb="FF000000"/>
    <pageSetUpPr autoPageBreaks="0" fitToPage="1"/>
  </sheetPr>
  <dimension ref="A2:AF108"/>
  <sheetViews>
    <sheetView showGridLines="0" showZeros="0" topLeftCell="A6" zoomScale="75" zoomScaleNormal="90" workbookViewId="0">
      <selection activeCell="U43" sqref="U43"/>
    </sheetView>
  </sheetViews>
  <sheetFormatPr baseColWidth="10" defaultColWidth="9.1640625" defaultRowHeight="11"/>
  <cols>
    <col min="1" max="1" width="9" style="1186" bestFit="1" customWidth="1"/>
    <col min="2" max="2" width="14.6640625" style="1186" customWidth="1"/>
    <col min="3" max="3" width="13.6640625" style="1186" customWidth="1"/>
    <col min="4" max="4" width="8.5" style="1186" customWidth="1"/>
    <col min="5" max="5" width="9.5" style="1186" customWidth="1"/>
    <col min="6" max="6" width="11.5" style="1186" customWidth="1"/>
    <col min="7" max="7" width="10.83203125" style="1186" customWidth="1"/>
    <col min="8" max="10" width="10.5" style="1186" customWidth="1"/>
    <col min="11" max="11" width="7.33203125" style="1186" customWidth="1"/>
    <col min="12" max="12" width="15.1640625" style="1186" customWidth="1"/>
    <col min="13" max="13" width="13.5" style="1186" bestFit="1" customWidth="1"/>
    <col min="14" max="14" width="8.5" style="1186" bestFit="1" customWidth="1"/>
    <col min="15" max="15" width="13.6640625" style="1186" customWidth="1"/>
    <col min="16" max="16" width="12.5" style="1186" customWidth="1"/>
    <col min="17" max="17" width="7.5" style="1186" customWidth="1"/>
    <col min="18" max="18" width="9.5" style="1186" customWidth="1"/>
    <col min="19" max="19" width="13.1640625" style="1186" customWidth="1"/>
    <col min="20" max="20" width="6.83203125" style="1186" bestFit="1" customWidth="1"/>
    <col min="21" max="21" width="11.5" style="1186" customWidth="1"/>
    <col min="22" max="22" width="4.6640625" style="1186" customWidth="1"/>
    <col min="23" max="23" width="12.83203125" style="1186" bestFit="1" customWidth="1"/>
    <col min="24" max="24" width="9.1640625" style="1186"/>
    <col min="25" max="25" width="10.6640625" style="1186" bestFit="1" customWidth="1"/>
    <col min="26" max="26" width="10.5" style="1186" bestFit="1" customWidth="1"/>
    <col min="27" max="27" width="9.1640625" style="1186"/>
    <col min="28" max="28" width="10.5" style="1186" bestFit="1" customWidth="1"/>
    <col min="29" max="16384" width="9.1640625" style="1186"/>
  </cols>
  <sheetData>
    <row r="2" spans="1:21" s="1174" customFormat="1" ht="16">
      <c r="B2" s="1175" t="s">
        <v>468</v>
      </c>
      <c r="C2" s="1176" t="s">
        <v>483</v>
      </c>
      <c r="D2" s="1177"/>
      <c r="E2" s="1178" t="s">
        <v>144</v>
      </c>
      <c r="F2" s="1179" t="s">
        <v>952</v>
      </c>
      <c r="G2" s="1178" t="s">
        <v>20</v>
      </c>
      <c r="H2" s="1180" t="str">
        <f>P48</f>
        <v>77:02:0019010:102</v>
      </c>
      <c r="I2" s="1181"/>
      <c r="J2" s="1181"/>
      <c r="L2" s="1178" t="s">
        <v>158</v>
      </c>
      <c r="M2" s="1182">
        <f>P51/10000</f>
        <v>4.7619999999999996</v>
      </c>
      <c r="O2" s="1178" t="s">
        <v>160</v>
      </c>
      <c r="P2" s="1183">
        <v>35000</v>
      </c>
      <c r="Q2" s="1178" t="s">
        <v>184</v>
      </c>
      <c r="R2" s="1176" t="s">
        <v>484</v>
      </c>
      <c r="S2" s="1184"/>
      <c r="T2" s="1184"/>
      <c r="U2" s="1185">
        <v>45826</v>
      </c>
    </row>
    <row r="5" spans="1:21" ht="16">
      <c r="B5" s="1187" t="s">
        <v>2</v>
      </c>
      <c r="C5" s="1188"/>
      <c r="D5" s="1188"/>
      <c r="E5" s="1188"/>
      <c r="F5" s="1189" t="s">
        <v>105</v>
      </c>
      <c r="G5" s="1190">
        <v>7.0000000000000007E-2</v>
      </c>
      <c r="H5" s="1191"/>
      <c r="I5" s="1192"/>
      <c r="L5" s="1187" t="s">
        <v>53</v>
      </c>
      <c r="M5" s="1188"/>
      <c r="Q5" s="1193"/>
      <c r="T5" s="1193"/>
    </row>
    <row r="6" spans="1:21" ht="45">
      <c r="B6" s="1194"/>
      <c r="C6" s="1195"/>
      <c r="D6" s="1196"/>
      <c r="E6" s="1197"/>
      <c r="F6" s="1198" t="s">
        <v>0</v>
      </c>
      <c r="G6" s="1198" t="s">
        <v>119</v>
      </c>
      <c r="H6" s="1198" t="s">
        <v>117</v>
      </c>
      <c r="I6" s="1198" t="s">
        <v>3</v>
      </c>
      <c r="J6" s="1199" t="s">
        <v>118</v>
      </c>
      <c r="L6" s="1200"/>
      <c r="M6" s="1195"/>
      <c r="N6" s="1196"/>
      <c r="O6" s="1201"/>
      <c r="P6" s="1198" t="s">
        <v>167</v>
      </c>
      <c r="Q6" s="1198" t="s">
        <v>240</v>
      </c>
      <c r="R6" s="1198" t="s">
        <v>168</v>
      </c>
      <c r="S6" s="1198" t="s">
        <v>120</v>
      </c>
      <c r="T6" s="1198" t="s">
        <v>178</v>
      </c>
      <c r="U6" s="1199" t="s">
        <v>121</v>
      </c>
    </row>
    <row r="7" spans="1:21" s="1202" customFormat="1" ht="16">
      <c r="B7" s="1203" t="s">
        <v>46</v>
      </c>
      <c r="C7" s="1204"/>
      <c r="D7" s="1205"/>
      <c r="E7" s="1206" t="s">
        <v>143</v>
      </c>
      <c r="F7" s="1207">
        <f>SUM(F8:F14)</f>
        <v>178143.19999999998</v>
      </c>
      <c r="G7" s="1207">
        <f>SUM(G8:G14)</f>
        <v>165673.17600000001</v>
      </c>
      <c r="H7" s="1207">
        <f>SUM(H8:H14)</f>
        <v>116376.1173</v>
      </c>
      <c r="I7" s="1208">
        <f>IFERROR(1-SUM(H8:H12)/SUM(G8:G12),"")</f>
        <v>0.29755606725375994</v>
      </c>
      <c r="J7" s="1209"/>
      <c r="L7" s="1203" t="str">
        <f t="shared" ref="L7:L17" si="0">B7</f>
        <v>НАЗЕМНАЯ ЧАСТЬ</v>
      </c>
      <c r="M7" s="1206" t="s">
        <v>124</v>
      </c>
      <c r="N7" s="1206" t="s">
        <v>122</v>
      </c>
      <c r="O7" s="1210" t="s">
        <v>1103</v>
      </c>
      <c r="P7" s="1211">
        <f>(J43+J53+P42-S16)/H7*1000</f>
        <v>511.42981978018889</v>
      </c>
      <c r="Q7" s="1212"/>
      <c r="R7" s="1212"/>
      <c r="S7" s="1213"/>
      <c r="T7" s="1212"/>
      <c r="U7" s="1214"/>
    </row>
    <row r="8" spans="1:21" s="1202" customFormat="1" ht="16">
      <c r="A8" s="1215" t="s">
        <v>159</v>
      </c>
      <c r="B8" s="1216" t="s">
        <v>48</v>
      </c>
      <c r="C8" s="1217"/>
      <c r="D8" s="1218">
        <f>F8/$F$7</f>
        <v>0.95112134507519797</v>
      </c>
      <c r="E8" s="1219">
        <v>53</v>
      </c>
      <c r="F8" s="1220">
        <f>'DB1'!F8+'DB2'!F8</f>
        <v>169435.8</v>
      </c>
      <c r="G8" s="1220">
        <f>'DB1'!G8+'DB2'!G8</f>
        <v>157575.29399999999</v>
      </c>
      <c r="H8" s="1220">
        <f>'DB1'!H8+'DB2'!H8</f>
        <v>110302.7058</v>
      </c>
      <c r="I8" s="1221">
        <v>0.3</v>
      </c>
      <c r="J8" s="1209">
        <f>'DB1'!J8+'DB2'!J8</f>
        <v>2081</v>
      </c>
      <c r="L8" s="1216" t="str">
        <f t="shared" si="0"/>
        <v>КВАРТИРЫ</v>
      </c>
      <c r="M8" s="1222">
        <f>U25</f>
        <v>46296</v>
      </c>
      <c r="N8" s="1223"/>
      <c r="O8" s="1218">
        <f>Q8/P8-1</f>
        <v>0.35887676920904776</v>
      </c>
      <c r="P8" s="1224">
        <f>_xlfn.MINIFS(CF!$S$24:$AP$24,CF!$S$9:$AP$9,"&gt;0")</f>
        <v>522.9</v>
      </c>
      <c r="Q8" s="1224">
        <f>_xlfn.MAXIFS(CF!$S$24:$AP$24,CF!$S$9:$AP$9,"&gt;0")</f>
        <v>710.5566626194111</v>
      </c>
      <c r="R8" s="1225">
        <v>630</v>
      </c>
      <c r="S8" s="1226">
        <f>'DB1'!S8+'DB2'!S8</f>
        <v>69490.704654000001</v>
      </c>
      <c r="T8" s="1227">
        <f>S8/$S$18</f>
        <v>0.88246543120824772</v>
      </c>
      <c r="U8" s="1228">
        <f>AVERAGE(CF!S9:AP9)</f>
        <v>4595.9460749999998</v>
      </c>
    </row>
    <row r="9" spans="1:21" s="1202" customFormat="1" ht="16" hidden="1">
      <c r="A9" s="1215" t="s">
        <v>159</v>
      </c>
      <c r="B9" s="1216" t="s">
        <v>113</v>
      </c>
      <c r="C9" s="1217"/>
      <c r="D9" s="1229"/>
      <c r="E9" s="1219">
        <f>IFERROR(H9/J9,0)</f>
        <v>0</v>
      </c>
      <c r="F9" s="1220">
        <f>'DB1'!F9+'DB2'!F9</f>
        <v>0</v>
      </c>
      <c r="G9" s="1220">
        <f>'DB1'!G9+'DB2'!G9</f>
        <v>0</v>
      </c>
      <c r="H9" s="1220">
        <f>'DB1'!H9+'DB2'!H9</f>
        <v>0</v>
      </c>
      <c r="I9" s="1221">
        <v>0</v>
      </c>
      <c r="J9" s="1209">
        <f>'DB1'!J9+'DB2'!J9</f>
        <v>0</v>
      </c>
      <c r="L9" s="1216" t="str">
        <f t="shared" si="0"/>
        <v>АПАРТАМЕНТЫ</v>
      </c>
      <c r="M9" s="1222"/>
      <c r="N9" s="1223"/>
      <c r="O9" s="1218"/>
      <c r="P9" s="1224"/>
      <c r="Q9" s="1224"/>
      <c r="R9" s="1225">
        <f t="shared" ref="R9:R14" si="1">IFERROR(S9/H9*1000,0)</f>
        <v>0</v>
      </c>
      <c r="S9" s="1226">
        <f>'DB1'!S9+'DB2'!S9</f>
        <v>0</v>
      </c>
      <c r="T9" s="1227">
        <f>S9/$S$18</f>
        <v>0</v>
      </c>
      <c r="U9" s="1228"/>
    </row>
    <row r="10" spans="1:21" s="1202" customFormat="1" ht="16" hidden="1">
      <c r="A10" s="1215" t="s">
        <v>204</v>
      </c>
      <c r="B10" s="1216" t="s">
        <v>114</v>
      </c>
      <c r="C10" s="1217"/>
      <c r="D10" s="1229"/>
      <c r="E10" s="1219">
        <f>IFERROR(H10/J10,0)</f>
        <v>0</v>
      </c>
      <c r="F10" s="1220">
        <f>'DB1'!F10+'DB2'!F10</f>
        <v>0</v>
      </c>
      <c r="G10" s="1220">
        <f>'DB1'!G10+'DB2'!G10</f>
        <v>0</v>
      </c>
      <c r="H10" s="1220">
        <f>'DB1'!H10+'DB2'!H10</f>
        <v>0</v>
      </c>
      <c r="I10" s="1221">
        <v>0</v>
      </c>
      <c r="J10" s="1209">
        <f>'DB1'!J10+'DB2'!J10</f>
        <v>0</v>
      </c>
      <c r="L10" s="1216" t="str">
        <f t="shared" si="0"/>
        <v>ОФИСЫ</v>
      </c>
      <c r="M10" s="1222"/>
      <c r="N10" s="1223"/>
      <c r="O10" s="1218"/>
      <c r="P10" s="1224"/>
      <c r="Q10" s="1224"/>
      <c r="R10" s="1225">
        <f t="shared" si="1"/>
        <v>0</v>
      </c>
      <c r="S10" s="1226">
        <f>'DB1'!S10+'DB2'!S10</f>
        <v>0</v>
      </c>
      <c r="T10" s="1227">
        <f>S10/$S$18</f>
        <v>0</v>
      </c>
      <c r="U10" s="1228"/>
    </row>
    <row r="11" spans="1:21" s="1202" customFormat="1" ht="16">
      <c r="A11" s="1215" t="s">
        <v>208</v>
      </c>
      <c r="B11" s="1216" t="s">
        <v>116</v>
      </c>
      <c r="C11" s="1217"/>
      <c r="D11" s="1218">
        <f>F11/$F$7</f>
        <v>4.8878654924802069E-2</v>
      </c>
      <c r="E11" s="1219">
        <f>IFERROR(H11/J11,0)</f>
        <v>99.56412295081968</v>
      </c>
      <c r="F11" s="1220">
        <f>'DB1'!F11+'DB2'!F11</f>
        <v>8707.4</v>
      </c>
      <c r="G11" s="1220">
        <f>'DB1'!G11+'DB2'!G11</f>
        <v>8097.8819999999996</v>
      </c>
      <c r="H11" s="1220">
        <f>'DB1'!H11+'DB2'!H11</f>
        <v>6073.4115000000002</v>
      </c>
      <c r="I11" s="1221">
        <v>0.25</v>
      </c>
      <c r="J11" s="1209">
        <f>'DB1'!J11+'DB2'!J11</f>
        <v>61</v>
      </c>
      <c r="L11" s="1216" t="str">
        <f t="shared" si="0"/>
        <v>РИТЕЙЛ</v>
      </c>
      <c r="M11" s="1230">
        <v>1</v>
      </c>
      <c r="N11" s="1223"/>
      <c r="O11" s="1218">
        <f>Q11/P11-1</f>
        <v>0</v>
      </c>
      <c r="P11" s="1224">
        <f>_xlfn.MINIFS(CF!$S$29:$AP$29,CF!$S$16:$AP$16,"&gt;0")</f>
        <v>700</v>
      </c>
      <c r="Q11" s="1224">
        <f>_xlfn.MAXIFS(CF!$S$29:$AP$29,CF!$S$16:$AP$16,"&gt;0")</f>
        <v>700</v>
      </c>
      <c r="R11" s="1225">
        <f t="shared" si="1"/>
        <v>700</v>
      </c>
      <c r="S11" s="1226">
        <f>'DB1'!S11+'DB2'!S11</f>
        <v>4251.3880499999996</v>
      </c>
      <c r="T11" s="1227">
        <f>S11/$S$18</f>
        <v>5.3988558721009987E-2</v>
      </c>
      <c r="U11" s="1231"/>
    </row>
    <row r="12" spans="1:21" s="1202" customFormat="1" ht="16" hidden="1">
      <c r="A12" s="1215" t="s">
        <v>208</v>
      </c>
      <c r="B12" s="1216" t="s">
        <v>115</v>
      </c>
      <c r="C12" s="1217"/>
      <c r="D12" s="1229"/>
      <c r="E12" s="1219">
        <f>IFERROR(H12/J12,0)</f>
        <v>0</v>
      </c>
      <c r="F12" s="1220">
        <f>'DB1'!F12+'DB2'!F12</f>
        <v>0</v>
      </c>
      <c r="G12" s="1220">
        <f>'DB1'!G12+'DB2'!G12</f>
        <v>0</v>
      </c>
      <c r="H12" s="1220">
        <f>'DB1'!H12+'DB2'!H12</f>
        <v>0</v>
      </c>
      <c r="I12" s="1221">
        <v>0</v>
      </c>
      <c r="J12" s="1209">
        <f>'DB1'!J12+'DB2'!J12</f>
        <v>0</v>
      </c>
      <c r="L12" s="1216" t="str">
        <f t="shared" si="0"/>
        <v>ТЦ</v>
      </c>
      <c r="M12" s="1230"/>
      <c r="N12" s="1223"/>
      <c r="O12" s="1232"/>
      <c r="P12" s="1224" t="e">
        <f>#REF!</f>
        <v>#REF!</v>
      </c>
      <c r="Q12" s="1224" t="e">
        <f>#REF!</f>
        <v>#REF!</v>
      </c>
      <c r="R12" s="1225">
        <f t="shared" si="1"/>
        <v>0</v>
      </c>
      <c r="S12" s="1226">
        <f>'DB1'!S12+'DB2'!S12</f>
        <v>0</v>
      </c>
      <c r="T12" s="1227">
        <f>S12/$S$18</f>
        <v>0</v>
      </c>
      <c r="U12" s="1231"/>
    </row>
    <row r="13" spans="1:21" s="1202" customFormat="1" ht="16">
      <c r="A13" s="1215"/>
      <c r="B13" s="1216" t="s">
        <v>125</v>
      </c>
      <c r="C13" s="1233" t="s">
        <v>127</v>
      </c>
      <c r="D13" s="1234">
        <f>'DB1'!D13+'DB2'!D13</f>
        <v>1000</v>
      </c>
      <c r="E13" s="1235"/>
      <c r="F13" s="1220">
        <f>'DB1'!F13+'DB2'!F13</f>
        <v>0</v>
      </c>
      <c r="G13" s="1220">
        <f>'DB1'!G13+'DB2'!G13</f>
        <v>0</v>
      </c>
      <c r="H13" s="1220">
        <f>'DB1'!H13+'DB2'!H13</f>
        <v>0</v>
      </c>
      <c r="I13" s="1236">
        <f t="shared" ref="I13:I14" si="2">IFERROR(1-(H13/G13),0)</f>
        <v>0</v>
      </c>
      <c r="J13" s="1209">
        <f>'DB1'!J13+'DB2'!J13</f>
        <v>0</v>
      </c>
      <c r="L13" s="1216" t="str">
        <f t="shared" si="0"/>
        <v>ШКОЛА</v>
      </c>
      <c r="M13" s="1237"/>
      <c r="N13" s="1238"/>
      <c r="O13" s="1239"/>
      <c r="P13" s="1224"/>
      <c r="Q13" s="1224"/>
      <c r="R13" s="1225">
        <f t="shared" si="1"/>
        <v>0</v>
      </c>
      <c r="S13" s="1226">
        <f>'DB1'!S13+'DB2'!S13</f>
        <v>0</v>
      </c>
      <c r="T13" s="1240"/>
      <c r="U13" s="1231"/>
    </row>
    <row r="14" spans="1:21" s="1202" customFormat="1" ht="16">
      <c r="A14" s="1215">
        <f>A13</f>
        <v>0</v>
      </c>
      <c r="B14" s="1216" t="s">
        <v>126</v>
      </c>
      <c r="C14" s="1233" t="s">
        <v>127</v>
      </c>
      <c r="D14" s="1234">
        <f>'DB1'!D14+'DB2'!D14</f>
        <v>0</v>
      </c>
      <c r="E14" s="1235"/>
      <c r="F14" s="1220">
        <f>'DB1'!F14+'DB2'!F14</f>
        <v>0</v>
      </c>
      <c r="G14" s="1220">
        <f>'DB1'!G14+'DB2'!G14</f>
        <v>0</v>
      </c>
      <c r="H14" s="1220">
        <f>'DB1'!H14+'DB2'!H14</f>
        <v>0</v>
      </c>
      <c r="I14" s="1236">
        <f t="shared" si="2"/>
        <v>0</v>
      </c>
      <c r="J14" s="1209">
        <f>'DB1'!J14+'DB2'!J14</f>
        <v>0</v>
      </c>
      <c r="L14" s="1216" t="str">
        <f t="shared" si="0"/>
        <v>ДОУ</v>
      </c>
      <c r="M14" s="1237"/>
      <c r="N14" s="1238"/>
      <c r="O14" s="1239"/>
      <c r="P14" s="1224"/>
      <c r="Q14" s="1224"/>
      <c r="R14" s="1225">
        <f t="shared" si="1"/>
        <v>0</v>
      </c>
      <c r="S14" s="1226">
        <f>'DB1'!S14+'DB2'!S14</f>
        <v>0</v>
      </c>
      <c r="T14" s="1240"/>
      <c r="U14" s="1231"/>
    </row>
    <row r="15" spans="1:21" s="1202" customFormat="1" ht="16">
      <c r="B15" s="1203" t="s">
        <v>47</v>
      </c>
      <c r="C15" s="1204"/>
      <c r="D15" s="1206" t="s">
        <v>163</v>
      </c>
      <c r="E15" s="1206" t="s">
        <v>162</v>
      </c>
      <c r="F15" s="1207"/>
      <c r="G15" s="1207">
        <f>SUM(G16:G17)</f>
        <v>44480</v>
      </c>
      <c r="H15" s="1207">
        <f>SUM(H16:H17)</f>
        <v>16680</v>
      </c>
      <c r="I15" s="1241"/>
      <c r="J15" s="1209"/>
      <c r="L15" s="1203" t="str">
        <f t="shared" si="0"/>
        <v>ПОДЗЕМНАЯ ЧАСТЬ</v>
      </c>
      <c r="M15" s="1242"/>
      <c r="N15" s="1242"/>
      <c r="O15" s="1238"/>
      <c r="P15" s="1243"/>
      <c r="Q15" s="1243"/>
      <c r="R15" s="1212"/>
      <c r="S15" s="1244"/>
      <c r="T15" s="1212"/>
      <c r="U15" s="1214"/>
    </row>
    <row r="16" spans="1:21" s="1202" customFormat="1" ht="16">
      <c r="B16" s="1216" t="s">
        <v>128</v>
      </c>
      <c r="C16" s="1245">
        <f>J16/J8</f>
        <v>0.53435848149927923</v>
      </c>
      <c r="D16" s="1246">
        <v>40</v>
      </c>
      <c r="E16" s="1219">
        <v>15</v>
      </c>
      <c r="F16" s="1220">
        <f>'DB1'!F16+'DB2'!F16</f>
        <v>0</v>
      </c>
      <c r="G16" s="1220">
        <f>'DB1'!G16+'DB2'!G16</f>
        <v>44480</v>
      </c>
      <c r="H16" s="1220">
        <f>'DB1'!H16+'DB2'!H16</f>
        <v>16680</v>
      </c>
      <c r="I16" s="1247"/>
      <c r="J16" s="1209">
        <f>'DB1'!J16+'DB2'!J16</f>
        <v>1112</v>
      </c>
      <c r="L16" s="1216" t="str">
        <f t="shared" si="0"/>
        <v>ПАРКИНГ ЖИЛЬЕ</v>
      </c>
      <c r="M16" s="1248"/>
      <c r="N16" s="1223">
        <v>0.7</v>
      </c>
      <c r="O16" s="1218"/>
      <c r="P16" s="1224">
        <f>_xlfn.MINIFS(CF!$S$33:$AP$33,CF!$S$18:$AP$18,"&gt;0")</f>
        <v>4500</v>
      </c>
      <c r="Q16" s="1224">
        <f>_xlfn.MAXIFS(CF!$S$33:$AP$33,CF!$S$18:$AP$18,"&gt;0")</f>
        <v>4500</v>
      </c>
      <c r="R16" s="1225">
        <f>IFERROR(S16/J16*1000,0)</f>
        <v>4500</v>
      </c>
      <c r="S16" s="1226">
        <f>'DB1'!S16+'DB2'!S16</f>
        <v>5004</v>
      </c>
      <c r="T16" s="1227">
        <f>S16/$S$18</f>
        <v>6.3546010070742426E-2</v>
      </c>
      <c r="U16" s="1231"/>
    </row>
    <row r="17" spans="2:32" s="1202" customFormat="1" ht="16" hidden="1">
      <c r="B17" s="1216" t="s">
        <v>129</v>
      </c>
      <c r="C17" s="1245"/>
      <c r="D17" s="1219"/>
      <c r="E17" s="1219"/>
      <c r="F17" s="1220">
        <f>'DB1'!F17+'DB2'!F17</f>
        <v>0</v>
      </c>
      <c r="G17" s="1220">
        <f>'DB1'!G17+'DB2'!G17</f>
        <v>0</v>
      </c>
      <c r="H17" s="1220">
        <f>'DB1'!H17+'DB2'!H17</f>
        <v>0</v>
      </c>
      <c r="I17" s="1247"/>
      <c r="J17" s="1209">
        <f>'DB1'!J17+'DB2'!J17</f>
        <v>0</v>
      </c>
      <c r="L17" s="1216" t="str">
        <f t="shared" si="0"/>
        <v>ПАРКИНГ ОФИС</v>
      </c>
      <c r="M17" s="1237"/>
      <c r="N17" s="1223">
        <v>0.7</v>
      </c>
      <c r="O17" s="1218"/>
      <c r="P17" s="1224"/>
      <c r="Q17" s="1224"/>
      <c r="R17" s="1228">
        <f>IFERROR(S17/J17*1000,0)</f>
        <v>0</v>
      </c>
      <c r="S17" s="1226">
        <f>'DB1'!S17+'DB2'!S17</f>
        <v>0</v>
      </c>
      <c r="T17" s="1227">
        <f>S17/$S$18</f>
        <v>0</v>
      </c>
      <c r="U17" s="1231"/>
    </row>
    <row r="18" spans="2:32" s="1255" customFormat="1" ht="19">
      <c r="B18" s="1249" t="s">
        <v>316</v>
      </c>
      <c r="C18" s="1250"/>
      <c r="D18" s="1251"/>
      <c r="E18" s="1251"/>
      <c r="F18" s="1252">
        <f>F15+F7</f>
        <v>178143.19999999998</v>
      </c>
      <c r="G18" s="1252">
        <f>G15+G7</f>
        <v>210153.17600000001</v>
      </c>
      <c r="H18" s="1252">
        <f>SUM(H7,H15)</f>
        <v>133056.11729999998</v>
      </c>
      <c r="I18" s="1253">
        <f>IFERROR(100%-SUM(H8:H12)/SUM(G8:G12),)</f>
        <v>0.29755606725375994</v>
      </c>
      <c r="J18" s="1254"/>
      <c r="L18" s="1249" t="s">
        <v>53</v>
      </c>
      <c r="M18" s="1250"/>
      <c r="N18" s="1251"/>
      <c r="O18" s="1251"/>
      <c r="P18" s="1256"/>
      <c r="Q18" s="1256"/>
      <c r="R18" s="1256"/>
      <c r="S18" s="1257">
        <f>SUM(S8:S17)</f>
        <v>78746.092703999995</v>
      </c>
      <c r="T18" s="1258"/>
      <c r="U18" s="1259"/>
    </row>
    <row r="20" spans="2:32" ht="16">
      <c r="B20" s="1187" t="s">
        <v>13</v>
      </c>
      <c r="C20" s="1187"/>
      <c r="F20" s="1193"/>
      <c r="G20" s="1193"/>
      <c r="L20" s="1187" t="s">
        <v>56</v>
      </c>
      <c r="M20" s="1260"/>
      <c r="R20" s="1187" t="s">
        <v>54</v>
      </c>
      <c r="S20" s="1261"/>
    </row>
    <row r="21" spans="2:32" ht="15">
      <c r="B21" s="1200"/>
      <c r="C21" s="1198"/>
      <c r="D21" s="1198"/>
      <c r="E21" s="1198"/>
      <c r="F21" s="1198"/>
      <c r="G21" s="1198"/>
      <c r="H21" s="1262" t="s">
        <v>14</v>
      </c>
      <c r="I21" s="1198" t="s">
        <v>15</v>
      </c>
      <c r="J21" s="1199" t="s">
        <v>9</v>
      </c>
      <c r="L21" s="1263" t="s">
        <v>106</v>
      </c>
      <c r="M21" s="1198"/>
      <c r="N21" s="1198"/>
      <c r="O21" s="1198"/>
      <c r="P21" s="1199"/>
      <c r="R21" s="1264"/>
      <c r="S21" s="1264"/>
      <c r="T21" s="1265"/>
      <c r="U21" s="1266" t="s">
        <v>183</v>
      </c>
    </row>
    <row r="22" spans="2:32" ht="14">
      <c r="B22" s="1203" t="s">
        <v>31</v>
      </c>
      <c r="C22" s="1267"/>
      <c r="D22" s="1268"/>
      <c r="E22" s="1267"/>
      <c r="F22" s="1269">
        <f>J22/M2</f>
        <v>806.66647500679767</v>
      </c>
      <c r="G22" s="1270" t="s">
        <v>186</v>
      </c>
      <c r="H22" s="1271">
        <f>IFERROR(J22/$G$18*1000000,0)</f>
        <v>18278.789914563891</v>
      </c>
      <c r="I22" s="1271">
        <f t="shared" ref="I22:I25" si="3">IFERROR(J22/$H$18*1000000,0)</f>
        <v>28870.117600991885</v>
      </c>
      <c r="J22" s="1272">
        <f>'DB1'!J22+'DB2'!J22</f>
        <v>3841.3457539823703</v>
      </c>
      <c r="L22" s="1273" t="s">
        <v>169</v>
      </c>
      <c r="M22" s="1274"/>
      <c r="N22" s="1267"/>
      <c r="O22" s="1267"/>
      <c r="P22" s="1275">
        <f>'TS1'!J85</f>
        <v>0.2</v>
      </c>
      <c r="R22" s="1216" t="s">
        <v>457</v>
      </c>
      <c r="S22" s="1276"/>
      <c r="T22" s="1277"/>
      <c r="U22" s="1278">
        <v>45017</v>
      </c>
    </row>
    <row r="23" spans="2:32" ht="14">
      <c r="B23" s="1216" t="s">
        <v>130</v>
      </c>
      <c r="C23" s="1279"/>
      <c r="D23" s="1268"/>
      <c r="E23" s="1268"/>
      <c r="F23" s="1280"/>
      <c r="G23" s="1270" t="s">
        <v>131</v>
      </c>
      <c r="H23" s="1271">
        <f>IFERROR(J23/$G$18*1000000,0)</f>
        <v>0</v>
      </c>
      <c r="I23" s="1271">
        <f t="shared" si="3"/>
        <v>0</v>
      </c>
      <c r="J23" s="1281">
        <f>'DB1'!J23+'DB2'!J23</f>
        <v>0</v>
      </c>
      <c r="L23" s="1216" t="s">
        <v>189</v>
      </c>
      <c r="M23" s="1282"/>
      <c r="N23" s="1283">
        <v>0.05</v>
      </c>
      <c r="O23" s="1268"/>
      <c r="P23" s="1284">
        <f>P22+N23</f>
        <v>0.25</v>
      </c>
      <c r="R23" s="1216" t="s">
        <v>458</v>
      </c>
      <c r="S23" s="1276"/>
      <c r="T23" s="1277"/>
      <c r="U23" s="1278">
        <v>45748</v>
      </c>
    </row>
    <row r="24" spans="2:32" ht="14">
      <c r="B24" s="1203" t="s">
        <v>50</v>
      </c>
      <c r="C24" s="1285"/>
      <c r="D24" s="1267"/>
      <c r="E24" s="1267"/>
      <c r="F24" s="1286"/>
      <c r="G24" s="1286"/>
      <c r="H24" s="1231">
        <f>J24/$G$18*1000000</f>
        <v>23436.307118747591</v>
      </c>
      <c r="I24" s="1231">
        <f t="shared" si="3"/>
        <v>37016.068668315304</v>
      </c>
      <c r="J24" s="1281">
        <f>'DB1'!J24+'DB2'!J24</f>
        <v>4925.2143747162154</v>
      </c>
      <c r="L24" s="1216" t="s">
        <v>190</v>
      </c>
      <c r="M24" s="1282"/>
      <c r="N24" s="1283">
        <v>3.7999999999999999E-2</v>
      </c>
      <c r="O24" s="1268"/>
      <c r="P24" s="1284">
        <f>P22+N24</f>
        <v>0.23800000000000002</v>
      </c>
      <c r="R24" s="1216" t="s">
        <v>1697</v>
      </c>
      <c r="S24" s="1276"/>
      <c r="T24" s="1277"/>
      <c r="U24" s="1287">
        <v>5</v>
      </c>
    </row>
    <row r="25" spans="2:32" ht="14">
      <c r="B25" s="1216" t="s">
        <v>10</v>
      </c>
      <c r="C25" s="1288">
        <f>IF(D25&gt;0,"со скидкой",0)</f>
        <v>0</v>
      </c>
      <c r="D25" s="1289"/>
      <c r="E25" s="1270"/>
      <c r="F25" s="1270"/>
      <c r="G25" s="1270"/>
      <c r="H25" s="1271">
        <f t="shared" ref="H25" si="4">IFERROR(J25/$G$18*1000000,0)</f>
        <v>40248.471605517669</v>
      </c>
      <c r="I25" s="1271">
        <f t="shared" si="3"/>
        <v>63569.750182732561</v>
      </c>
      <c r="J25" s="1281">
        <f>'DB1'!J25+'DB2'!J25</f>
        <v>8458.3441370453584</v>
      </c>
      <c r="L25" s="1216" t="s">
        <v>191</v>
      </c>
      <c r="M25" s="1290"/>
      <c r="N25" s="1291"/>
      <c r="O25" s="1268"/>
      <c r="P25" s="1292">
        <f>N24</f>
        <v>3.7999999999999999E-2</v>
      </c>
      <c r="R25" s="1293" t="s">
        <v>950</v>
      </c>
      <c r="S25" s="1294"/>
      <c r="T25" s="1295"/>
      <c r="U25" s="1278">
        <f>'DB1'!U25</f>
        <v>46296</v>
      </c>
    </row>
    <row r="26" spans="2:32" ht="14">
      <c r="B26" s="1216" t="s">
        <v>218</v>
      </c>
      <c r="C26" s="1270"/>
      <c r="D26" s="1270"/>
      <c r="E26" s="1270"/>
      <c r="F26" s="1270"/>
      <c r="G26" s="1270"/>
      <c r="H26" s="1271">
        <f t="shared" ref="H26:H27" si="5">IFERROR(J26/$G$18*1000000,0)</f>
        <v>-40248.471605517669</v>
      </c>
      <c r="I26" s="1271">
        <f t="shared" ref="I26:I27" si="6">IFERROR(J26/$H$18*1000000,0)</f>
        <v>-63569.750182732561</v>
      </c>
      <c r="J26" s="1281">
        <f>'DB1'!J26+'DB2'!J26</f>
        <v>-8458.3441370453584</v>
      </c>
      <c r="L26" s="1273" t="s">
        <v>170</v>
      </c>
      <c r="M26" s="1296"/>
      <c r="N26" s="1268"/>
      <c r="O26" s="1268"/>
      <c r="P26" s="1297"/>
      <c r="R26" s="1216" t="s">
        <v>1698</v>
      </c>
      <c r="S26" s="1276"/>
      <c r="T26" s="1277"/>
      <c r="U26" s="1287">
        <f>(U27-U25)/(365/4)</f>
        <v>16</v>
      </c>
    </row>
    <row r="27" spans="2:32" ht="14">
      <c r="B27" s="1216" t="s">
        <v>373</v>
      </c>
      <c r="C27" s="1270"/>
      <c r="D27" s="1270"/>
      <c r="E27" s="1270"/>
      <c r="F27" s="1270"/>
      <c r="G27" s="1270"/>
      <c r="H27" s="1271">
        <f t="shared" si="5"/>
        <v>22313.699209700331</v>
      </c>
      <c r="I27" s="1271">
        <f t="shared" si="6"/>
        <v>35242.985083160966</v>
      </c>
      <c r="J27" s="1281">
        <f>'DB1'!J27+'DB2'!J27</f>
        <v>4689.2947572272151</v>
      </c>
      <c r="L27" s="1216" t="s">
        <v>188</v>
      </c>
      <c r="M27" s="1298"/>
      <c r="N27" s="1268"/>
      <c r="O27" s="1299">
        <f>(P31+P32+P33)*P27</f>
        <v>303.39454785149388</v>
      </c>
      <c r="P27" s="1300">
        <v>5.0000000000000001E-3</v>
      </c>
      <c r="R27" s="1301" t="s">
        <v>951</v>
      </c>
      <c r="S27" s="1302"/>
      <c r="T27" s="1295"/>
      <c r="U27" s="1303">
        <f>'DB2'!U27</f>
        <v>47756</v>
      </c>
    </row>
    <row r="28" spans="2:32" ht="15">
      <c r="B28" s="1216" t="s">
        <v>38</v>
      </c>
      <c r="D28" s="1304"/>
      <c r="E28" s="1305"/>
      <c r="F28" s="1288"/>
      <c r="G28" s="1270"/>
      <c r="H28" s="1271">
        <f t="shared" ref="H28:H30" si="7">IFERROR(J28/$G$18*1000000,0)</f>
        <v>0</v>
      </c>
      <c r="I28" s="1271">
        <f t="shared" ref="I28:I32" si="8">IFERROR(J28/$H$18*1000000,0)</f>
        <v>0</v>
      </c>
      <c r="J28" s="1281">
        <f>'DB1'!J28+'DB2'!J28</f>
        <v>0</v>
      </c>
      <c r="L28" s="1216" t="s">
        <v>248</v>
      </c>
      <c r="M28" s="1298"/>
      <c r="N28" s="1268"/>
      <c r="O28" s="1299">
        <f>(P31+P32)*P28</f>
        <v>0</v>
      </c>
      <c r="P28" s="1306">
        <v>0</v>
      </c>
      <c r="R28" s="1216" t="s">
        <v>112</v>
      </c>
      <c r="S28" s="1276"/>
      <c r="T28" s="1307"/>
      <c r="U28" s="1308">
        <f>_xlfn.MAXIFS(CF!$F$6:$BM$6,CF!$F$9:$BM$9,"&gt;0")</f>
        <v>48213</v>
      </c>
      <c r="AF28" s="1396"/>
    </row>
    <row r="29" spans="2:32" ht="16">
      <c r="B29" s="1216" t="s">
        <v>39</v>
      </c>
      <c r="C29" s="1309"/>
      <c r="D29" s="1305"/>
      <c r="E29" s="1305"/>
      <c r="F29" s="1310" t="str">
        <f>P49</f>
        <v>АРЕНДА</v>
      </c>
      <c r="G29" s="1288"/>
      <c r="H29" s="1271">
        <f t="shared" si="7"/>
        <v>1122.607909047256</v>
      </c>
      <c r="I29" s="1271">
        <f t="shared" si="8"/>
        <v>1773.083585154337</v>
      </c>
      <c r="J29" s="1281">
        <f>'DB1'!J29+'DB2'!J29</f>
        <v>235.91961748899999</v>
      </c>
      <c r="L29" s="1216" t="s">
        <v>249</v>
      </c>
      <c r="M29" s="1298"/>
      <c r="N29" s="1268"/>
      <c r="O29" s="1299">
        <f>(P33+P32)*P29</f>
        <v>0</v>
      </c>
      <c r="P29" s="1306"/>
      <c r="R29" s="1311" t="s">
        <v>315</v>
      </c>
      <c r="S29" s="1311"/>
      <c r="T29" s="1312"/>
      <c r="U29" s="1313">
        <f>(U28-U23)/365</f>
        <v>6.7534246575342465</v>
      </c>
    </row>
    <row r="30" spans="2:32" ht="14">
      <c r="B30" s="1203" t="s">
        <v>49</v>
      </c>
      <c r="C30" s="1267"/>
      <c r="D30" s="1267"/>
      <c r="E30" s="1267"/>
      <c r="F30" s="1286"/>
      <c r="G30" s="1286"/>
      <c r="H30" s="1231">
        <f t="shared" si="7"/>
        <v>185503.48082787913</v>
      </c>
      <c r="I30" s="1231">
        <f t="shared" si="8"/>
        <v>292990.25438369613</v>
      </c>
      <c r="J30" s="1281">
        <f>'DB1'!J30+'DB2'!J30</f>
        <v>38984.145655033906</v>
      </c>
      <c r="L30" s="1273" t="s">
        <v>235</v>
      </c>
      <c r="M30" s="1296"/>
      <c r="N30" s="1268"/>
      <c r="O30" s="1268"/>
      <c r="P30" s="1297"/>
    </row>
    <row r="31" spans="2:32" ht="16">
      <c r="B31" s="1216" t="s">
        <v>958</v>
      </c>
      <c r="C31" s="1314"/>
      <c r="D31" s="1268"/>
      <c r="E31" s="1268"/>
      <c r="F31" s="1315">
        <f>H31</f>
        <v>7310.4315777744896</v>
      </c>
      <c r="G31" s="1270" t="s">
        <v>16</v>
      </c>
      <c r="H31" s="1271">
        <f>IFERROR(J31/$G$18*1000000,0)</f>
        <v>7310.4315777744896</v>
      </c>
      <c r="I31" s="1271">
        <f t="shared" si="8"/>
        <v>11546.334322503188</v>
      </c>
      <c r="J31" s="1281">
        <f>'DB1'!J31+'DB2'!J31</f>
        <v>1536.310414</v>
      </c>
      <c r="L31" s="1216" t="s">
        <v>31</v>
      </c>
      <c r="M31" s="1316"/>
      <c r="N31" s="1268"/>
      <c r="O31" s="1317" t="s">
        <v>19</v>
      </c>
      <c r="P31" s="1318">
        <f>'DB1'!P31+'DB2'!P31</f>
        <v>0</v>
      </c>
      <c r="R31" s="1187" t="s">
        <v>164</v>
      </c>
      <c r="S31" s="1319"/>
    </row>
    <row r="32" spans="2:32" ht="15">
      <c r="B32" s="1216" t="s">
        <v>32</v>
      </c>
      <c r="C32" s="1314"/>
      <c r="D32" s="1268"/>
      <c r="E32" s="1268"/>
      <c r="F32" s="1315">
        <f t="shared" ref="F32:F36" si="9">H32</f>
        <v>1000</v>
      </c>
      <c r="G32" s="1270" t="s">
        <v>16</v>
      </c>
      <c r="H32" s="1271">
        <f>IFERROR(J32/$G$18*1000000,0)</f>
        <v>1000</v>
      </c>
      <c r="I32" s="1271">
        <f t="shared" si="8"/>
        <v>1579.4326504069727</v>
      </c>
      <c r="J32" s="1281">
        <f>'DB1'!J32+'DB2'!J32</f>
        <v>210.153176</v>
      </c>
      <c r="L32" s="1216" t="s">
        <v>200</v>
      </c>
      <c r="M32" s="1316"/>
      <c r="N32" s="1268"/>
      <c r="O32" s="1317" t="s">
        <v>19</v>
      </c>
      <c r="P32" s="1318">
        <f>'DB1'!P32+'DB2'!P32</f>
        <v>9723.0276815730685</v>
      </c>
      <c r="Q32" s="1320"/>
      <c r="R32" s="1321"/>
      <c r="S32" s="1322"/>
      <c r="T32" s="1323"/>
      <c r="U32" s="1266" t="s">
        <v>19</v>
      </c>
    </row>
    <row r="33" spans="1:32" ht="14">
      <c r="B33" s="1216" t="s">
        <v>955</v>
      </c>
      <c r="C33" s="1314"/>
      <c r="D33" s="1314"/>
      <c r="E33" s="1268"/>
      <c r="F33" s="1315">
        <v>137000</v>
      </c>
      <c r="G33" s="1270" t="s">
        <v>16</v>
      </c>
      <c r="H33" s="1271">
        <f>IFERROR(J33/(G18)*1000000,0)</f>
        <v>137000</v>
      </c>
      <c r="I33" s="1271">
        <f>IFERROR(J33/($H$8+$H$9+$H$11+$H$16)*1000000,0)</f>
        <v>216382.27310575524</v>
      </c>
      <c r="J33" s="1281">
        <f>'DB1'!J33+'DB2'!J33</f>
        <v>28790.985112000002</v>
      </c>
      <c r="L33" s="1216" t="s">
        <v>467</v>
      </c>
      <c r="M33" s="1316"/>
      <c r="N33" s="1268"/>
      <c r="O33" s="1317" t="s">
        <v>19</v>
      </c>
      <c r="P33" s="1318">
        <f>'DB1'!P33+'DB2'!P33</f>
        <v>50955.881888725708</v>
      </c>
      <c r="Q33" s="1320"/>
      <c r="R33" s="1216" t="s">
        <v>53</v>
      </c>
      <c r="S33" s="1276"/>
      <c r="T33" s="1268"/>
      <c r="U33" s="1281">
        <f>'DB1'!U33+'DB2'!U33</f>
        <v>78746.09270400001</v>
      </c>
    </row>
    <row r="34" spans="1:32" ht="14">
      <c r="B34" s="1324" t="s">
        <v>956</v>
      </c>
      <c r="C34" s="1314"/>
      <c r="D34" s="1268"/>
      <c r="E34" s="1268"/>
      <c r="F34" s="1315">
        <f t="shared" si="9"/>
        <v>0</v>
      </c>
      <c r="G34" s="1270" t="s">
        <v>16</v>
      </c>
      <c r="H34" s="1271">
        <f>IFERROR(J34/($G$10+$G$17)*1000000,0)</f>
        <v>0</v>
      </c>
      <c r="I34" s="1271">
        <f>IFERROR(J34/($H$10+$H$17)*1000000,0)</f>
        <v>0</v>
      </c>
      <c r="J34" s="1281">
        <f>'DB1'!J34+'DB2'!J34</f>
        <v>0</v>
      </c>
      <c r="L34" s="1216" t="s">
        <v>201</v>
      </c>
      <c r="M34" s="1316"/>
      <c r="N34" s="1268"/>
      <c r="O34" s="1317" t="s">
        <v>19</v>
      </c>
      <c r="P34" s="1318">
        <f>'DB1'!P34+'DB2'!P34</f>
        <v>10379.811493715808</v>
      </c>
      <c r="Q34" s="1320"/>
      <c r="R34" s="1216" t="s">
        <v>465</v>
      </c>
      <c r="S34" s="1276"/>
      <c r="T34" s="1268"/>
      <c r="U34" s="1281">
        <f>'DB1'!U34+'DB2'!U34</f>
        <v>-5999.3951349910767</v>
      </c>
      <c r="W34" s="1320"/>
      <c r="AC34" s="1325"/>
      <c r="AD34" s="1325"/>
      <c r="AE34" s="1325"/>
      <c r="AF34" s="1325"/>
    </row>
    <row r="35" spans="1:32" ht="14">
      <c r="B35" s="1324" t="s">
        <v>957</v>
      </c>
      <c r="C35" s="1314"/>
      <c r="D35" s="1268"/>
      <c r="E35" s="1268"/>
      <c r="F35" s="1315">
        <f t="shared" si="9"/>
        <v>0</v>
      </c>
      <c r="G35" s="1270" t="s">
        <v>16</v>
      </c>
      <c r="H35" s="1271">
        <f>IFERROR(J35/$G$12*1000000,0)</f>
        <v>0</v>
      </c>
      <c r="I35" s="1271">
        <f>IFERROR(J35/$H$12*1000000,0)</f>
        <v>0</v>
      </c>
      <c r="J35" s="1281">
        <f>'DB1'!J35+'DB2'!J35</f>
        <v>0</v>
      </c>
      <c r="L35" s="1216"/>
      <c r="M35" s="1326" t="s">
        <v>377</v>
      </c>
      <c r="N35" s="1268"/>
      <c r="O35" s="1317" t="s">
        <v>19</v>
      </c>
      <c r="P35" s="1327">
        <f>'DB1'!P35+'DB2'!P35</f>
        <v>1452.0383294672354</v>
      </c>
      <c r="Q35" s="1320"/>
      <c r="R35" s="1216" t="s">
        <v>13</v>
      </c>
      <c r="S35" s="1276"/>
      <c r="T35" s="1268"/>
      <c r="U35" s="1281">
        <f>'DB1'!U35+'DB2'!U35</f>
        <v>-47750.705783732483</v>
      </c>
    </row>
    <row r="36" spans="1:32" ht="14">
      <c r="B36" s="1216" t="s">
        <v>988</v>
      </c>
      <c r="C36" s="1314"/>
      <c r="D36" s="1268"/>
      <c r="E36" s="1268"/>
      <c r="F36" s="1315">
        <f t="shared" si="9"/>
        <v>20790.730019112769</v>
      </c>
      <c r="G36" s="1270" t="s">
        <v>18</v>
      </c>
      <c r="H36" s="1271">
        <f>IFERROR(J36/(G18)*1000000,0)</f>
        <v>20790.730019112769</v>
      </c>
      <c r="I36" s="1271">
        <f>IFERROR(J36/(H18)*1000000,0)</f>
        <v>32837.557817983085</v>
      </c>
      <c r="J36" s="1281">
        <f>'DB1'!J36+'DB2'!J36</f>
        <v>4369.2379448750889</v>
      </c>
      <c r="L36" s="1216"/>
      <c r="M36" s="1326" t="s">
        <v>378</v>
      </c>
      <c r="N36" s="1268"/>
      <c r="O36" s="1317" t="s">
        <v>19</v>
      </c>
      <c r="P36" s="1327">
        <f>'DB1'!P36+'DB2'!P36</f>
        <v>8624.3786163970799</v>
      </c>
      <c r="R36" s="1216" t="s">
        <v>84</v>
      </c>
      <c r="S36" s="1276"/>
      <c r="T36" s="1268"/>
      <c r="U36" s="1281">
        <f>'DB1'!U36+'DB2'!U36</f>
        <v>-10772.115778733547</v>
      </c>
      <c r="W36" s="1320"/>
    </row>
    <row r="37" spans="1:32" ht="14">
      <c r="B37" s="1324" t="s">
        <v>192</v>
      </c>
      <c r="C37" s="1314"/>
      <c r="D37" s="1268"/>
      <c r="E37" s="1268"/>
      <c r="F37" s="1315">
        <f>I37</f>
        <v>0</v>
      </c>
      <c r="G37" s="1270" t="s">
        <v>17</v>
      </c>
      <c r="H37" s="1271">
        <f>IFERROR(J37/($G$8+$G$9)*1000000,0)</f>
        <v>0</v>
      </c>
      <c r="I37" s="1271">
        <f>IFERROR(J37/($H$8+$H$9)*1000000,0)</f>
        <v>0</v>
      </c>
      <c r="J37" s="1281">
        <f>'DB1'!J37+'DB2'!J37</f>
        <v>0</v>
      </c>
      <c r="L37" s="1216"/>
      <c r="M37" s="1326" t="s">
        <v>379</v>
      </c>
      <c r="N37" s="1268"/>
      <c r="O37" s="1317" t="s">
        <v>19</v>
      </c>
      <c r="P37" s="1327">
        <f>'DB1'!P37+'DB2'!P37</f>
        <v>303.39454785149383</v>
      </c>
      <c r="R37" s="1216" t="s">
        <v>60</v>
      </c>
      <c r="S37" s="1276"/>
      <c r="T37" s="1268"/>
      <c r="U37" s="1281">
        <f>'DB1'!U37+'DB2'!U37</f>
        <v>-4878.3251274092727</v>
      </c>
    </row>
    <row r="38" spans="1:32" ht="19">
      <c r="B38" s="1216" t="str">
        <f>'DB1'!B38</f>
        <v>СОДЕРЖАНИЕ ПЛОЩАДКИ</v>
      </c>
      <c r="C38" s="1314"/>
      <c r="D38" s="1268"/>
      <c r="E38" s="1268"/>
      <c r="F38" s="1315">
        <f>H38</f>
        <v>770.14385925816327</v>
      </c>
      <c r="G38" s="1270" t="s">
        <v>16</v>
      </c>
      <c r="H38" s="1271">
        <f t="shared" ref="H38:H43" si="10">IFERROR(J38/$G$18*1000000,0)</f>
        <v>770.14385925816327</v>
      </c>
      <c r="I38" s="1271">
        <f t="shared" ref="I38:I43" si="11">IFERROR(J38/$H$18*1000000,0)</f>
        <v>1216.3903568227752</v>
      </c>
      <c r="J38" s="1281">
        <f>'DB1'!J38+'DB2'!J39</f>
        <v>161.84817800000002</v>
      </c>
      <c r="L38" s="1263" t="s">
        <v>182</v>
      </c>
      <c r="M38" s="1198"/>
      <c r="N38" s="1198"/>
      <c r="O38" s="1198"/>
      <c r="P38" s="1199"/>
      <c r="R38" s="1328" t="s">
        <v>459</v>
      </c>
      <c r="S38" s="1328"/>
      <c r="T38" s="1329"/>
      <c r="U38" s="1330">
        <f>'DB1'!U38+'DB2'!U38</f>
        <v>9345.550879133636</v>
      </c>
    </row>
    <row r="39" spans="1:32" ht="16">
      <c r="B39" s="1216" t="s">
        <v>33</v>
      </c>
      <c r="C39" s="1314"/>
      <c r="D39" s="1268"/>
      <c r="E39" s="1268"/>
      <c r="F39" s="1331">
        <v>5500</v>
      </c>
      <c r="G39" s="1270" t="s">
        <v>18</v>
      </c>
      <c r="H39" s="1271">
        <f t="shared" si="10"/>
        <v>5499.9999999999991</v>
      </c>
      <c r="I39" s="1271">
        <f t="shared" si="11"/>
        <v>8686.8795772383473</v>
      </c>
      <c r="J39" s="1332">
        <f>'DB1'!J39+'DB2'!J38</f>
        <v>1155.8424679999998</v>
      </c>
      <c r="L39" s="1216" t="s">
        <v>108</v>
      </c>
      <c r="M39" s="1290"/>
      <c r="N39" s="1283">
        <v>0.01</v>
      </c>
      <c r="O39" s="1268"/>
      <c r="P39" s="1284">
        <f>P22+N39</f>
        <v>0.21000000000000002</v>
      </c>
      <c r="R39" s="1333" t="s">
        <v>238</v>
      </c>
      <c r="S39" s="1334"/>
      <c r="T39" s="1335"/>
      <c r="U39" s="1336">
        <f>(U38-CF!E146)/U33</f>
        <v>0.17534919394942497</v>
      </c>
    </row>
    <row r="40" spans="1:32" ht="16">
      <c r="B40" s="1216" t="s">
        <v>45</v>
      </c>
      <c r="C40" s="1314"/>
      <c r="D40" s="1337"/>
      <c r="E40" s="1338"/>
      <c r="F40" s="1315">
        <f>H40</f>
        <v>2499.9999999999995</v>
      </c>
      <c r="G40" s="1270" t="s">
        <v>18</v>
      </c>
      <c r="H40" s="1271">
        <f t="shared" si="10"/>
        <v>2499.9999999999995</v>
      </c>
      <c r="I40" s="1271">
        <f t="shared" si="11"/>
        <v>3948.5816260174311</v>
      </c>
      <c r="J40" s="1281">
        <f>'DB1'!J40+'DB2'!J40</f>
        <v>525.38293999999996</v>
      </c>
      <c r="L40" s="1216" t="s">
        <v>317</v>
      </c>
      <c r="M40" s="1316"/>
      <c r="N40" s="1268"/>
      <c r="O40" s="1317" t="s">
        <v>19</v>
      </c>
      <c r="P40" s="1318">
        <f>'DB1'!P40+'DB2'!P40</f>
        <v>596.34439879243371</v>
      </c>
      <c r="R40" s="1333" t="s">
        <v>953</v>
      </c>
      <c r="S40" s="1334"/>
      <c r="T40" s="1335"/>
      <c r="U40" s="1336">
        <f>U38/U33</f>
        <v>0.11867955041607946</v>
      </c>
    </row>
    <row r="41" spans="1:32" s="1340" customFormat="1" ht="12" customHeight="1">
      <c r="A41" s="1186"/>
      <c r="B41" s="1216" t="s">
        <v>34</v>
      </c>
      <c r="C41" s="1314"/>
      <c r="D41" s="1337">
        <f>J41/(DETAILS!F361*3)</f>
        <v>20.824864131962556</v>
      </c>
      <c r="E41" s="1338" t="s">
        <v>237</v>
      </c>
      <c r="F41" s="1280">
        <v>0.04</v>
      </c>
      <c r="G41" s="1270" t="s">
        <v>11</v>
      </c>
      <c r="H41" s="1271">
        <f t="shared" si="10"/>
        <v>7134.7492626107351</v>
      </c>
      <c r="I41" s="1271">
        <f t="shared" si="11"/>
        <v>11268.855937834465</v>
      </c>
      <c r="J41" s="1281">
        <f>'DB1'!J41+'DB2'!J41</f>
        <v>1499.3902175013041</v>
      </c>
      <c r="K41" s="1339">
        <f>(J43+J53-U36-J50-J41)*3.5%</f>
        <v>2172.7255678627735</v>
      </c>
      <c r="L41" s="1216" t="s">
        <v>178</v>
      </c>
      <c r="M41" s="1316"/>
      <c r="N41" s="1268"/>
      <c r="O41" s="1317" t="s">
        <v>19</v>
      </c>
      <c r="P41" s="1318">
        <f>'DB1'!P41+'DB2'!P41</f>
        <v>392.30428501773912</v>
      </c>
      <c r="R41" s="1333" t="s">
        <v>466</v>
      </c>
      <c r="S41" s="1334"/>
      <c r="T41" s="1335"/>
      <c r="U41" s="1336">
        <f>IFERROR(POWER((1+IRR(CF!F95:BM95,0.01)),4)-1,0)</f>
        <v>0.17550439664713391</v>
      </c>
      <c r="Y41" s="1186"/>
    </row>
    <row r="42" spans="1:32" ht="19">
      <c r="B42" s="1216" t="s">
        <v>35</v>
      </c>
      <c r="C42" s="1314"/>
      <c r="D42" s="1268"/>
      <c r="E42" s="1268"/>
      <c r="F42" s="1280">
        <f>J42/SUM(J31:J40)</f>
        <v>0.02</v>
      </c>
      <c r="G42" s="1270" t="s">
        <v>11</v>
      </c>
      <c r="H42" s="1271">
        <f t="shared" si="10"/>
        <v>3497.4261091229087</v>
      </c>
      <c r="I42" s="1271">
        <f t="shared" si="11"/>
        <v>5523.9489891345411</v>
      </c>
      <c r="J42" s="1281">
        <f>'DB1'!J42+'DB2'!J42</f>
        <v>734.99520465750186</v>
      </c>
      <c r="K42" s="1341">
        <f>J41/(J43+J53-U36-J50-J41)</f>
        <v>2.41533760124924E-2</v>
      </c>
      <c r="L42" s="1311" t="s">
        <v>84</v>
      </c>
      <c r="M42" s="1311"/>
      <c r="N42" s="1342">
        <f>IFERROR(P42/$G$18*1000000,0)</f>
        <v>51258.401056634742</v>
      </c>
      <c r="O42" s="1342">
        <f>IFERROR(P42/$H$18*1000000,0)</f>
        <v>80959.192236504183</v>
      </c>
      <c r="P42" s="1328">
        <f>-U36</f>
        <v>10772.115778733547</v>
      </c>
      <c r="R42" s="1333" t="s">
        <v>181</v>
      </c>
      <c r="S42" s="1334"/>
      <c r="T42" s="1335"/>
      <c r="U42" s="1336">
        <f>IFERROR(POWER((1+IRR(CF!F190:BM190,0.01)),4)-1,0)</f>
        <v>0.63323674874686486</v>
      </c>
    </row>
    <row r="43" spans="1:32" ht="19">
      <c r="A43" s="1340"/>
      <c r="B43" s="1249" t="s">
        <v>13</v>
      </c>
      <c r="C43" s="1250"/>
      <c r="D43" s="1250"/>
      <c r="E43" s="1250"/>
      <c r="F43" s="1250"/>
      <c r="G43" s="1250"/>
      <c r="H43" s="1343">
        <f t="shared" si="10"/>
        <v>227218.5778611906</v>
      </c>
      <c r="I43" s="1343">
        <f t="shared" si="11"/>
        <v>358876.44065300329</v>
      </c>
      <c r="J43" s="1344">
        <f>SUM(J22,J24,J30)</f>
        <v>47750.70578373249</v>
      </c>
      <c r="R43" s="1333" t="s">
        <v>464</v>
      </c>
      <c r="S43" s="1334"/>
      <c r="T43" s="1335"/>
      <c r="U43" s="1345">
        <f>(-U33-U37)/(U36-P33)</f>
        <v>1.1966655386188092</v>
      </c>
    </row>
    <row r="44" spans="1:32" ht="15.75" customHeight="1">
      <c r="R44" s="1333" t="s">
        <v>1656</v>
      </c>
      <c r="S44" s="1346">
        <f>((1+T44)^(1/4))-1</f>
        <v>4.6635139392105618E-2</v>
      </c>
      <c r="T44" s="1347">
        <v>0.2</v>
      </c>
      <c r="U44" s="1348">
        <f>NPV(S44,CF!F190:BM190)</f>
        <v>1866.4392570118118</v>
      </c>
    </row>
    <row r="45" spans="1:32" ht="16">
      <c r="B45" s="1187" t="s">
        <v>465</v>
      </c>
      <c r="C45" s="1187"/>
      <c r="G45" s="1193"/>
    </row>
    <row r="46" spans="1:32" ht="16">
      <c r="B46" s="1200"/>
      <c r="C46" s="1198"/>
      <c r="D46" s="1198"/>
      <c r="E46" s="1198"/>
      <c r="F46" s="1198"/>
      <c r="G46" s="1198"/>
      <c r="H46" s="1198" t="s">
        <v>14</v>
      </c>
      <c r="I46" s="1198" t="s">
        <v>15</v>
      </c>
      <c r="J46" s="1199" t="s">
        <v>9</v>
      </c>
      <c r="L46" s="1187" t="s">
        <v>20</v>
      </c>
      <c r="M46" s="1188"/>
      <c r="R46" s="1349" t="s">
        <v>187</v>
      </c>
      <c r="S46" s="1184"/>
      <c r="T46" s="1350"/>
      <c r="U46" s="1351"/>
    </row>
    <row r="47" spans="1:32" ht="15">
      <c r="B47" s="1216" t="s">
        <v>6</v>
      </c>
      <c r="C47" s="1314"/>
      <c r="D47" s="1268"/>
      <c r="E47" s="1268"/>
      <c r="F47" s="1352">
        <v>2</v>
      </c>
      <c r="G47" s="1353" t="s">
        <v>37</v>
      </c>
      <c r="H47" s="1271">
        <f t="shared" ref="H47:H53" si="12">J47/$G$18*1000000</f>
        <v>756.59099246732296</v>
      </c>
      <c r="I47" s="1271">
        <f t="shared" ref="I47:I53" si="13">J47/$H$18*1000000</f>
        <v>1194.9845165067056</v>
      </c>
      <c r="J47" s="1281">
        <f>'DB1'!J47+'DB2'!J47</f>
        <v>159</v>
      </c>
      <c r="L47" s="1354"/>
      <c r="M47" s="1355"/>
      <c r="N47" s="1355"/>
      <c r="O47" s="1355"/>
      <c r="P47" s="1356"/>
      <c r="R47" s="1357"/>
      <c r="S47" s="1357"/>
      <c r="T47" s="1323"/>
      <c r="U47" s="1266" t="s">
        <v>19</v>
      </c>
    </row>
    <row r="48" spans="1:32" ht="14">
      <c r="B48" s="1216" t="s">
        <v>26</v>
      </c>
      <c r="C48" s="1314"/>
      <c r="D48" s="1268"/>
      <c r="E48" s="1268"/>
      <c r="F48" s="1358">
        <v>0.03</v>
      </c>
      <c r="G48" s="1353" t="s">
        <v>12</v>
      </c>
      <c r="H48" s="1271">
        <f t="shared" si="12"/>
        <v>11241.24234563079</v>
      </c>
      <c r="I48" s="1271">
        <f t="shared" si="13"/>
        <v>17754.78519182673</v>
      </c>
      <c r="J48" s="1281">
        <f>'DB1'!J48+'DB2'!J48</f>
        <v>2362.3827811200003</v>
      </c>
      <c r="L48" s="1216" t="s">
        <v>165</v>
      </c>
      <c r="M48" s="1314"/>
      <c r="N48" s="1268"/>
      <c r="O48" s="1359"/>
      <c r="P48" s="1360" t="s">
        <v>482</v>
      </c>
      <c r="R48" s="1216" t="str">
        <f>B41</f>
        <v>УПРАВЛЕНИЕ ПРОЕКТОМ</v>
      </c>
      <c r="S48" s="1276"/>
      <c r="T48" s="1268"/>
      <c r="U48" s="1281">
        <f>'DB1'!U48+'DB2'!U48</f>
        <v>1499.3902175013041</v>
      </c>
    </row>
    <row r="49" spans="2:21" ht="14">
      <c r="B49" s="1216" t="s">
        <v>25</v>
      </c>
      <c r="C49" s="1314"/>
      <c r="D49" s="1268"/>
      <c r="E49" s="1268"/>
      <c r="F49" s="1358">
        <v>0.03</v>
      </c>
      <c r="G49" s="1353" t="s">
        <v>12</v>
      </c>
      <c r="H49" s="1271">
        <f t="shared" si="12"/>
        <v>11241.242345630788</v>
      </c>
      <c r="I49" s="1271">
        <f t="shared" si="13"/>
        <v>17754.785191826726</v>
      </c>
      <c r="J49" s="1281">
        <f>'DB1'!J49+'DB2'!J49</f>
        <v>2362.3827811199999</v>
      </c>
      <c r="L49" s="1216" t="s">
        <v>977</v>
      </c>
      <c r="M49" s="1276"/>
      <c r="N49" s="1361"/>
      <c r="O49" s="1362"/>
      <c r="P49" s="1363" t="s">
        <v>88</v>
      </c>
      <c r="R49" s="1216" t="str">
        <f>B50</f>
        <v>УПРАВЛЕНИЕ ПРОДАЖАМИ</v>
      </c>
      <c r="S49" s="1276"/>
      <c r="T49" s="1268"/>
      <c r="U49" s="1281">
        <f>'DB1'!U49+'DB2'!U49</f>
        <v>944.95311244799996</v>
      </c>
    </row>
    <row r="50" spans="2:21" ht="14">
      <c r="B50" s="1216" t="s">
        <v>40</v>
      </c>
      <c r="C50" s="1314"/>
      <c r="D50" s="1268"/>
      <c r="E50" s="1268"/>
      <c r="F50" s="1358">
        <v>1.2E-2</v>
      </c>
      <c r="G50" s="1353" t="s">
        <v>12</v>
      </c>
      <c r="H50" s="1271">
        <f t="shared" si="12"/>
        <v>4496.496938252315</v>
      </c>
      <c r="I50" s="1271">
        <f t="shared" si="13"/>
        <v>7101.9140767306908</v>
      </c>
      <c r="J50" s="1281">
        <f>'DB1'!J50+'DB2'!J50</f>
        <v>944.95311244799996</v>
      </c>
      <c r="L50" s="1216" t="s">
        <v>193</v>
      </c>
      <c r="M50" s="1314"/>
      <c r="N50" s="1268"/>
      <c r="O50" s="1359" t="s">
        <v>183</v>
      </c>
      <c r="P50" s="1364">
        <v>2</v>
      </c>
      <c r="R50" s="1216" t="s">
        <v>110</v>
      </c>
      <c r="S50" s="1276"/>
      <c r="T50" s="1268"/>
      <c r="U50" s="1281">
        <f>'DB1'!U50+'DB2'!U50</f>
        <v>0</v>
      </c>
    </row>
    <row r="51" spans="2:21" ht="14">
      <c r="B51" s="1216" t="s">
        <v>141</v>
      </c>
      <c r="C51" s="1314"/>
      <c r="D51" s="1268"/>
      <c r="E51" s="1268"/>
      <c r="F51" s="1315">
        <v>30000</v>
      </c>
      <c r="G51" s="1353" t="s">
        <v>142</v>
      </c>
      <c r="H51" s="1271">
        <f t="shared" si="12"/>
        <v>657.02810997286804</v>
      </c>
      <c r="I51" s="1271">
        <f t="shared" si="13"/>
        <v>1037.7316491263309</v>
      </c>
      <c r="J51" s="1281">
        <f>'DB1'!J51+'DB2'!J51</f>
        <v>138.0765440320755</v>
      </c>
      <c r="L51" s="1216" t="s">
        <v>158</v>
      </c>
      <c r="M51" s="1314"/>
      <c r="N51" s="1268"/>
      <c r="O51" s="1365" t="s">
        <v>22</v>
      </c>
      <c r="P51" s="1364">
        <f>'DB1'!P51+'DB2'!P51</f>
        <v>47620</v>
      </c>
      <c r="R51" s="1216" t="s">
        <v>130</v>
      </c>
      <c r="S51" s="1276"/>
      <c r="T51" s="1268"/>
      <c r="U51" s="1281">
        <f>'DB1'!U51+'DB2'!U51</f>
        <v>0</v>
      </c>
    </row>
    <row r="52" spans="2:21" ht="14">
      <c r="B52" s="1216" t="s">
        <v>147</v>
      </c>
      <c r="C52" s="1309"/>
      <c r="D52" s="1305"/>
      <c r="E52" s="1305"/>
      <c r="F52" s="1305"/>
      <c r="G52" s="1366"/>
      <c r="H52" s="1271">
        <f t="shared" si="12"/>
        <v>155.12454720646238</v>
      </c>
      <c r="I52" s="1271">
        <f t="shared" si="13"/>
        <v>245.0087747374844</v>
      </c>
      <c r="J52" s="1281">
        <f>'DB1'!J52+'DB2'!J52</f>
        <v>32.599916270999998</v>
      </c>
      <c r="L52" s="1216" t="s">
        <v>166</v>
      </c>
      <c r="M52" s="1314"/>
      <c r="N52" s="1268"/>
      <c r="O52" s="1365" t="s">
        <v>481</v>
      </c>
      <c r="P52" s="1364">
        <f>1098511881.06/50873</f>
        <v>21593.219999999998</v>
      </c>
      <c r="R52" s="1216" t="s">
        <v>85</v>
      </c>
      <c r="S52" s="1276"/>
      <c r="T52" s="1292">
        <f>U52/U38</f>
        <v>0.05</v>
      </c>
      <c r="U52" s="1281">
        <f>'DB1'!U52+'DB2'!U52</f>
        <v>467.27754395668182</v>
      </c>
    </row>
    <row r="53" spans="2:21" ht="19">
      <c r="B53" s="1249" t="s">
        <v>30</v>
      </c>
      <c r="C53" s="1251"/>
      <c r="D53" s="1251"/>
      <c r="E53" s="1251"/>
      <c r="F53" s="1251"/>
      <c r="G53" s="1251"/>
      <c r="H53" s="1343">
        <f t="shared" si="12"/>
        <v>28547.72527916055</v>
      </c>
      <c r="I53" s="1343">
        <f t="shared" si="13"/>
        <v>45089.209400754669</v>
      </c>
      <c r="J53" s="1344">
        <f>SUM(J47:J52)</f>
        <v>5999.3951349910758</v>
      </c>
      <c r="L53" s="1367"/>
      <c r="M53" s="1368"/>
      <c r="N53" s="1368"/>
      <c r="O53" s="1368"/>
      <c r="P53" s="1369"/>
      <c r="R53" s="1311"/>
      <c r="S53" s="1311"/>
      <c r="T53" s="1312"/>
      <c r="U53" s="1370">
        <f>SUM(U48:U52)</f>
        <v>2911.6208739059857</v>
      </c>
    </row>
    <row r="55" spans="2:21">
      <c r="I55" s="1320"/>
    </row>
    <row r="65" spans="1:15" ht="16">
      <c r="B65" s="1349" t="s">
        <v>1693</v>
      </c>
      <c r="C65" s="1349"/>
      <c r="D65" s="1351"/>
      <c r="F65" s="1193"/>
      <c r="G65" s="1193"/>
    </row>
    <row r="66" spans="1:15" s="1255" customFormat="1" ht="16">
      <c r="B66" s="1371" t="s">
        <v>1694</v>
      </c>
      <c r="C66" s="1372"/>
      <c r="D66" s="1372"/>
      <c r="E66" s="1372"/>
      <c r="F66" s="1372"/>
      <c r="G66" s="1372"/>
      <c r="H66" s="1373"/>
      <c r="I66" s="1372"/>
    </row>
    <row r="68" spans="1:15" ht="14">
      <c r="C68" s="1374">
        <f t="shared" ref="C68:I68" si="14">C69-$F$69</f>
        <v>-30</v>
      </c>
      <c r="D68" s="1374">
        <f t="shared" si="14"/>
        <v>-20</v>
      </c>
      <c r="E68" s="1374">
        <f t="shared" si="14"/>
        <v>-10</v>
      </c>
      <c r="F68" s="1375">
        <f t="shared" si="14"/>
        <v>0</v>
      </c>
      <c r="G68" s="1375">
        <f t="shared" si="14"/>
        <v>10</v>
      </c>
      <c r="H68" s="1375">
        <f t="shared" si="14"/>
        <v>20</v>
      </c>
      <c r="I68" s="1375">
        <f t="shared" si="14"/>
        <v>30</v>
      </c>
    </row>
    <row r="69" spans="1:15" ht="16">
      <c r="A69" s="1376"/>
      <c r="B69" s="1377">
        <f>U38</f>
        <v>9345.550879133636</v>
      </c>
      <c r="C69" s="1378">
        <v>600</v>
      </c>
      <c r="D69" s="1378">
        <v>610</v>
      </c>
      <c r="E69" s="1378">
        <v>620</v>
      </c>
      <c r="F69" s="1379">
        <v>630</v>
      </c>
      <c r="G69" s="1378">
        <v>640</v>
      </c>
      <c r="H69" s="1378">
        <v>650</v>
      </c>
      <c r="I69" s="1378">
        <v>660</v>
      </c>
    </row>
    <row r="70" spans="1:15" ht="16">
      <c r="A70" s="1380">
        <f t="shared" ref="A70:A76" si="15">B70-$B$73</f>
        <v>-20550</v>
      </c>
      <c r="B70" s="1378">
        <f>$B$73/100*85</f>
        <v>116450</v>
      </c>
      <c r="C70" s="1381">
        <f t="dataTable" ref="C70:I76" dt2D="1" dtr="1" r1="R8" r2="F33"/>
        <v>11258.365574270078</v>
      </c>
      <c r="D70" s="1381">
        <v>12120.209875179038</v>
      </c>
      <c r="E70" s="1381">
        <v>12980.405240791741</v>
      </c>
      <c r="F70" s="1382">
        <v>13842.044656651937</v>
      </c>
      <c r="G70" s="1381">
        <v>14698.960397488858</v>
      </c>
      <c r="H70" s="1381">
        <v>15554.877846238498</v>
      </c>
      <c r="I70" s="1381">
        <v>16408.934088757022</v>
      </c>
    </row>
    <row r="71" spans="1:15" ht="16">
      <c r="A71" s="1380">
        <f t="shared" si="15"/>
        <v>-13700</v>
      </c>
      <c r="B71" s="1378">
        <f>$B$73/100*90</f>
        <v>123300</v>
      </c>
      <c r="C71" s="1381">
        <v>9752.9947615764941</v>
      </c>
      <c r="D71" s="1381">
        <v>10628.717776932561</v>
      </c>
      <c r="E71" s="1381">
        <v>11499.204201559161</v>
      </c>
      <c r="F71" s="1382">
        <v>12360.998065652779</v>
      </c>
      <c r="G71" s="1381">
        <v>13219.699260476154</v>
      </c>
      <c r="H71" s="1381">
        <v>14083.309111371858</v>
      </c>
      <c r="I71" s="1381">
        <v>14940.239386128434</v>
      </c>
    </row>
    <row r="72" spans="1:15" ht="16">
      <c r="A72" s="1380">
        <f t="shared" si="15"/>
        <v>-6850</v>
      </c>
      <c r="B72" s="1378">
        <f>$B$73/100*95</f>
        <v>130150</v>
      </c>
      <c r="C72" s="1381">
        <v>8232.5895934779728</v>
      </c>
      <c r="D72" s="1381">
        <v>9108.4117843549593</v>
      </c>
      <c r="E72" s="1381">
        <v>9989.2673301348386</v>
      </c>
      <c r="F72" s="1382">
        <v>10865.861725369619</v>
      </c>
      <c r="G72" s="1381">
        <v>11738.341893333254</v>
      </c>
      <c r="H72" s="1381">
        <v>12601.161011854252</v>
      </c>
      <c r="I72" s="1381">
        <v>13460.189317055085</v>
      </c>
    </row>
    <row r="73" spans="1:15" ht="16">
      <c r="A73" s="1383">
        <f t="shared" si="15"/>
        <v>0</v>
      </c>
      <c r="B73" s="1379">
        <v>137000</v>
      </c>
      <c r="C73" s="1382">
        <v>6704.1060648719267</v>
      </c>
      <c r="D73" s="1382">
        <v>7590.7019271108247</v>
      </c>
      <c r="E73" s="1382">
        <v>8469.81463153603</v>
      </c>
      <c r="F73" s="1384">
        <v>9345.550879133636</v>
      </c>
      <c r="G73" s="1381">
        <v>10225.534336316865</v>
      </c>
      <c r="H73" s="1381">
        <v>11103.004124967516</v>
      </c>
      <c r="I73" s="1381">
        <v>11976.375441654891</v>
      </c>
      <c r="J73" s="1385"/>
      <c r="K73" s="1385"/>
      <c r="L73" s="1385"/>
      <c r="M73" s="1385"/>
      <c r="N73" s="1385"/>
      <c r="O73" s="1385"/>
    </row>
    <row r="74" spans="1:15" ht="16">
      <c r="A74" s="1383">
        <f t="shared" si="15"/>
        <v>6850</v>
      </c>
      <c r="B74" s="1378">
        <f>$B$73*1.05</f>
        <v>143850</v>
      </c>
      <c r="C74" s="1381">
        <v>4635.6901735321162</v>
      </c>
      <c r="D74" s="1381">
        <v>5622.5591219998132</v>
      </c>
      <c r="E74" s="1381">
        <v>6941.0095423585944</v>
      </c>
      <c r="F74" s="1381">
        <v>7827.3105031158102</v>
      </c>
      <c r="G74" s="1381">
        <v>8707.0245524048823</v>
      </c>
      <c r="H74" s="1381">
        <v>9582.6797517073956</v>
      </c>
      <c r="I74" s="1381">
        <v>10461.795568897096</v>
      </c>
      <c r="J74" s="1385"/>
      <c r="K74" s="1385"/>
      <c r="L74" s="1385"/>
      <c r="M74" s="1385"/>
      <c r="N74" s="1385"/>
      <c r="O74" s="1385"/>
    </row>
    <row r="75" spans="1:15" ht="16">
      <c r="A75" s="1383">
        <f t="shared" si="15"/>
        <v>13700</v>
      </c>
      <c r="B75" s="1378">
        <f>$B$73*1.1</f>
        <v>150700</v>
      </c>
      <c r="C75" s="1381">
        <v>2857.5735968655399</v>
      </c>
      <c r="D75" s="1381">
        <v>3868.9040895313146</v>
      </c>
      <c r="E75" s="1381">
        <v>4873.3626522675131</v>
      </c>
      <c r="F75" s="1381">
        <v>5858.8513013478187</v>
      </c>
      <c r="G75" s="1381">
        <v>7177.8879100291651</v>
      </c>
      <c r="H75" s="1381">
        <v>8063.9002015894494</v>
      </c>
      <c r="I75" s="1381">
        <v>8944.2200194387769</v>
      </c>
      <c r="J75" s="1385"/>
      <c r="K75" s="1385"/>
      <c r="L75" s="1385"/>
      <c r="M75" s="1385"/>
      <c r="N75" s="1385"/>
      <c r="O75" s="1385"/>
    </row>
    <row r="76" spans="1:15" ht="16">
      <c r="A76" s="1383">
        <f t="shared" si="15"/>
        <v>20550</v>
      </c>
      <c r="B76" s="1378">
        <f>$B$73*1.15</f>
        <v>157550</v>
      </c>
      <c r="C76" s="1381">
        <v>1077.997101062728</v>
      </c>
      <c r="D76" s="1381">
        <v>2087.4074866524788</v>
      </c>
      <c r="E76" s="1381">
        <v>3095.3508943176962</v>
      </c>
      <c r="F76" s="1381">
        <v>4107.7892108238557</v>
      </c>
      <c r="G76" s="1381">
        <v>5111.004277521005</v>
      </c>
      <c r="H76" s="1381">
        <v>6095.1200801135783</v>
      </c>
      <c r="I76" s="1381">
        <v>7414.7426674857061</v>
      </c>
      <c r="J76" s="1385"/>
      <c r="K76" s="1385"/>
      <c r="L76" s="1385"/>
      <c r="M76" s="1385"/>
      <c r="N76" s="1385"/>
      <c r="O76" s="1385"/>
    </row>
    <row r="77" spans="1:15">
      <c r="J77" s="1385"/>
      <c r="K77" s="1385"/>
      <c r="L77" s="1385"/>
      <c r="M77" s="1385"/>
      <c r="N77" s="1385"/>
      <c r="O77" s="1385"/>
    </row>
    <row r="78" spans="1:15">
      <c r="J78" s="1385"/>
      <c r="K78" s="1385"/>
      <c r="L78" s="1385"/>
      <c r="M78" s="1385"/>
      <c r="N78" s="1385"/>
      <c r="O78" s="1385"/>
    </row>
    <row r="79" spans="1:15">
      <c r="J79" s="1385"/>
      <c r="K79" s="1385"/>
      <c r="L79" s="1385"/>
      <c r="M79" s="1385"/>
      <c r="N79" s="1385"/>
      <c r="O79" s="1385"/>
    </row>
    <row r="80" spans="1:15">
      <c r="J80" s="1385"/>
      <c r="K80" s="1385"/>
      <c r="L80" s="1385"/>
      <c r="M80" s="1385"/>
      <c r="N80" s="1385"/>
      <c r="O80" s="1385"/>
    </row>
    <row r="81" spans="1:15">
      <c r="F81" s="1193"/>
      <c r="G81" s="1193"/>
      <c r="J81" s="1385"/>
      <c r="K81" s="1385"/>
      <c r="N81" s="1385"/>
      <c r="O81" s="1385"/>
    </row>
    <row r="82" spans="1:15" s="1255" customFormat="1" ht="16">
      <c r="B82" s="1371" t="s">
        <v>1695</v>
      </c>
      <c r="C82" s="1372"/>
      <c r="D82" s="1372"/>
      <c r="E82" s="1372"/>
      <c r="F82" s="1372"/>
      <c r="G82" s="1372"/>
      <c r="H82" s="1373"/>
      <c r="I82" s="1372"/>
      <c r="J82" s="1386"/>
      <c r="K82" s="1386"/>
      <c r="N82" s="1386"/>
      <c r="O82" s="1386"/>
    </row>
    <row r="83" spans="1:15">
      <c r="J83" s="1385"/>
      <c r="K83" s="1385"/>
      <c r="N83" s="1385"/>
      <c r="O83" s="1385"/>
    </row>
    <row r="84" spans="1:15" ht="16">
      <c r="B84" s="1387">
        <f>'МАСТЕР ПЛАН'!$AA$31*B85</f>
        <v>59380.75499999999</v>
      </c>
      <c r="C84" s="1387">
        <f>'МАСТЕР ПЛАН'!$AA$31*C85</f>
        <v>55987.568999999996</v>
      </c>
      <c r="D84" s="1387">
        <f>'МАСТЕР ПЛАН'!$AA$31*D85</f>
        <v>67863.72</v>
      </c>
      <c r="E84" s="1387">
        <f>'МАСТЕР ПЛАН'!$AA$31*E85</f>
        <v>84829.65</v>
      </c>
      <c r="F84" s="1387">
        <f>'МАСТЕР ПЛАН'!$AA$31*F85</f>
        <v>93312.615000000005</v>
      </c>
      <c r="G84" s="1387">
        <f>'МАСТЕР ПЛАН'!$AA$31*G85</f>
        <v>106885.359</v>
      </c>
      <c r="H84" s="1387">
        <f>'МАСТЕР ПЛАН'!$AA$31*H85</f>
        <v>118761.50999999998</v>
      </c>
      <c r="I84" s="1255"/>
      <c r="J84" s="1385"/>
      <c r="K84" s="1385"/>
      <c r="N84" s="1385"/>
      <c r="O84" s="1385"/>
    </row>
    <row r="85" spans="1:15" ht="16">
      <c r="B85" s="1388">
        <v>0.35</v>
      </c>
      <c r="C85" s="1388">
        <v>0.33</v>
      </c>
      <c r="D85" s="1388">
        <v>0.4</v>
      </c>
      <c r="E85" s="1389">
        <v>0.5</v>
      </c>
      <c r="F85" s="1388">
        <v>0.55000000000000004</v>
      </c>
      <c r="G85" s="1388">
        <v>0.63</v>
      </c>
      <c r="H85" s="1388">
        <v>0.7</v>
      </c>
      <c r="I85" s="1390" t="s">
        <v>488</v>
      </c>
      <c r="J85" s="1385"/>
      <c r="K85" s="1385"/>
      <c r="L85" s="1385"/>
      <c r="M85" s="1385"/>
      <c r="N85" s="1385"/>
      <c r="O85" s="1385"/>
    </row>
    <row r="86" spans="1:15" ht="16">
      <c r="A86" s="1391">
        <f>U38</f>
        <v>9345.550879133636</v>
      </c>
      <c r="B86" s="1378">
        <f t="dataTable" ref="B86:H86" dt2D="0" dtr="1" r1="B107" ca="1"/>
        <v>9345.550879133636</v>
      </c>
      <c r="C86" s="1378">
        <v>9345.550879133636</v>
      </c>
      <c r="D86" s="1378">
        <v>9345.550879133636</v>
      </c>
      <c r="E86" s="1378">
        <v>9345.550879133636</v>
      </c>
      <c r="F86" s="1378">
        <v>9345.550879133636</v>
      </c>
      <c r="G86" s="1378">
        <v>9345.550879133636</v>
      </c>
      <c r="H86" s="1378">
        <v>9345.550879133636</v>
      </c>
      <c r="I86" s="1255"/>
      <c r="M86" s="1385"/>
    </row>
    <row r="87" spans="1:15" ht="16">
      <c r="B87" s="1388">
        <f t="shared" ref="B87:H87" si="16">1-B85</f>
        <v>0.65</v>
      </c>
      <c r="C87" s="1388">
        <f t="shared" si="16"/>
        <v>0.66999999999999993</v>
      </c>
      <c r="D87" s="1388">
        <f t="shared" si="16"/>
        <v>0.6</v>
      </c>
      <c r="E87" s="1389">
        <f t="shared" si="16"/>
        <v>0.5</v>
      </c>
      <c r="F87" s="1388">
        <f t="shared" si="16"/>
        <v>0.44999999999999996</v>
      </c>
      <c r="G87" s="1388">
        <f t="shared" si="16"/>
        <v>0.37</v>
      </c>
      <c r="H87" s="1388">
        <f t="shared" si="16"/>
        <v>0.30000000000000004</v>
      </c>
      <c r="I87" s="1390" t="s">
        <v>489</v>
      </c>
    </row>
    <row r="88" spans="1:15" ht="16">
      <c r="B88" s="1387">
        <f>'МАСТЕР ПЛАН'!$AA$31*B87</f>
        <v>110278.545</v>
      </c>
      <c r="C88" s="1387">
        <f>'МАСТЕР ПЛАН'!$AA$31*C87</f>
        <v>113671.73099999999</v>
      </c>
      <c r="D88" s="1387">
        <f>'МАСТЕР ПЛАН'!$AA$31*D87</f>
        <v>101795.57999999999</v>
      </c>
      <c r="E88" s="1387">
        <f>'МАСТЕР ПЛАН'!$AA$31*E87</f>
        <v>84829.65</v>
      </c>
      <c r="F88" s="1387">
        <f>'МАСТЕР ПЛАН'!$AA$31*F87</f>
        <v>76346.684999999983</v>
      </c>
      <c r="G88" s="1387">
        <f>'МАСТЕР ПЛАН'!$AA$31*G87</f>
        <v>62773.940999999992</v>
      </c>
      <c r="H88" s="1387">
        <f>'МАСТЕР ПЛАН'!$AA$31*H87</f>
        <v>50897.79</v>
      </c>
      <c r="I88" s="1255"/>
    </row>
    <row r="92" spans="1:15">
      <c r="F92" s="1193"/>
      <c r="G92" s="1193"/>
    </row>
    <row r="93" spans="1:15" s="1255" customFormat="1" ht="16">
      <c r="B93" s="1371" t="s">
        <v>1696</v>
      </c>
      <c r="C93" s="1372"/>
      <c r="D93" s="1372"/>
      <c r="E93" s="1372"/>
      <c r="F93" s="1372"/>
      <c r="G93" s="1372"/>
      <c r="H93" s="1373"/>
      <c r="I93" s="1372"/>
    </row>
    <row r="95" spans="1:15" ht="16">
      <c r="B95" s="1387">
        <f>'МАСТЕР ПЛАН'!$AA$31*B96</f>
        <v>50897.789999999994</v>
      </c>
      <c r="C95" s="1387">
        <f>'МАСТЕР ПЛАН'!$AA$31*C96</f>
        <v>55987.568999999996</v>
      </c>
      <c r="D95" s="1387">
        <f>'МАСТЕР ПЛАН'!$AA$31*D96</f>
        <v>67863.72</v>
      </c>
      <c r="E95" s="1387">
        <f>'МАСТЕР ПЛАН'!$AA$31*E96</f>
        <v>84829.65</v>
      </c>
      <c r="F95" s="1387">
        <f>'МАСТЕР ПЛАН'!$AA$31*F96</f>
        <v>93312.615000000005</v>
      </c>
      <c r="G95" s="1387">
        <f>'МАСТЕР ПЛАН'!$AA$31*G96</f>
        <v>101795.57999999999</v>
      </c>
      <c r="H95" s="1387">
        <f>'МАСТЕР ПЛАН'!$AA$31*H96</f>
        <v>118761.50999999998</v>
      </c>
      <c r="I95" s="1255"/>
    </row>
    <row r="96" spans="1:15" ht="16">
      <c r="B96" s="1388">
        <v>0.3</v>
      </c>
      <c r="C96" s="1388">
        <v>0.33</v>
      </c>
      <c r="D96" s="1388">
        <v>0.4</v>
      </c>
      <c r="E96" s="1389">
        <v>0.5</v>
      </c>
      <c r="F96" s="1388">
        <v>0.55000000000000004</v>
      </c>
      <c r="G96" s="1388">
        <v>0.6</v>
      </c>
      <c r="H96" s="1388">
        <v>0.7</v>
      </c>
      <c r="I96" s="1390" t="s">
        <v>488</v>
      </c>
    </row>
    <row r="97" spans="1:9" ht="16">
      <c r="A97" s="1391">
        <f>U44</f>
        <v>1866.4392570118118</v>
      </c>
      <c r="B97" s="1378">
        <f t="dataTable" ref="B97:H97" dt2D="0" dtr="1" r1="B107" ca="1"/>
        <v>1866.4392570118118</v>
      </c>
      <c r="C97" s="1378">
        <v>1866.4392570118118</v>
      </c>
      <c r="D97" s="1378">
        <v>1866.4392570118118</v>
      </c>
      <c r="E97" s="1378">
        <v>1866.4392570118118</v>
      </c>
      <c r="F97" s="1378">
        <v>1866.4392570118118</v>
      </c>
      <c r="G97" s="1378">
        <v>1866.4392570118118</v>
      </c>
      <c r="H97" s="1378">
        <v>1866.4392570118118</v>
      </c>
      <c r="I97" s="1255"/>
    </row>
    <row r="98" spans="1:9" ht="16">
      <c r="B98" s="1388">
        <f t="shared" ref="B98:H98" si="17">1-B96</f>
        <v>0.7</v>
      </c>
      <c r="C98" s="1388">
        <f t="shared" si="17"/>
        <v>0.66999999999999993</v>
      </c>
      <c r="D98" s="1388">
        <f t="shared" si="17"/>
        <v>0.6</v>
      </c>
      <c r="E98" s="1389">
        <f t="shared" si="17"/>
        <v>0.5</v>
      </c>
      <c r="F98" s="1388">
        <f t="shared" si="17"/>
        <v>0.44999999999999996</v>
      </c>
      <c r="G98" s="1388">
        <f t="shared" si="17"/>
        <v>0.4</v>
      </c>
      <c r="H98" s="1388">
        <f t="shared" si="17"/>
        <v>0.30000000000000004</v>
      </c>
      <c r="I98" s="1390" t="s">
        <v>489</v>
      </c>
    </row>
    <row r="99" spans="1:9" ht="16">
      <c r="B99" s="1387">
        <f>'МАСТЕР ПЛАН'!$AA$31*B98</f>
        <v>118761.50999999998</v>
      </c>
      <c r="C99" s="1387">
        <f>'МАСТЕР ПЛАН'!$AA$31*C98</f>
        <v>113671.73099999999</v>
      </c>
      <c r="D99" s="1387">
        <f>'МАСТЕР ПЛАН'!$AA$31*D98</f>
        <v>101795.57999999999</v>
      </c>
      <c r="E99" s="1387">
        <f>'МАСТЕР ПЛАН'!$AA$31*E98</f>
        <v>84829.65</v>
      </c>
      <c r="F99" s="1387">
        <f>'МАСТЕР ПЛАН'!$AA$31*F98</f>
        <v>76346.684999999983</v>
      </c>
      <c r="G99" s="1387">
        <f>'МАСТЕР ПЛАН'!$AA$31*G98</f>
        <v>67863.72</v>
      </c>
      <c r="H99" s="1387">
        <f>'МАСТЕР ПЛАН'!$AA$31*H98</f>
        <v>50897.79</v>
      </c>
      <c r="I99" s="1255"/>
    </row>
    <row r="106" spans="1:9">
      <c r="B106" s="1392" t="s">
        <v>488</v>
      </c>
      <c r="C106" s="1392" t="s">
        <v>489</v>
      </c>
    </row>
    <row r="107" spans="1:9">
      <c r="B107" s="1393">
        <v>0.5</v>
      </c>
      <c r="C107" s="1393">
        <f>1-B107</f>
        <v>0.5</v>
      </c>
    </row>
    <row r="108" spans="1:9">
      <c r="B108" s="1394">
        <f>U38</f>
        <v>9345.550879133636</v>
      </c>
      <c r="C108" s="1395"/>
    </row>
  </sheetData>
  <protectedRanges>
    <protectedRange sqref="T13:T14" name="Диапазон1"/>
    <protectedRange sqref="T8:T12 T16:T17 R16:R17 R8:R14" name="Диапазон1_1"/>
    <protectedRange sqref="J16:J17" name="Диапазон1_3"/>
    <protectedRange sqref="G16:H17" name="Диапазон1_4"/>
    <protectedRange sqref="U27:U28 U25" name="Диапазон1_1_1"/>
  </protectedRanges>
  <conditionalFormatting sqref="B86:H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7:H9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0:I72 C74:I76 C73:E73 G73:I7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3:N24">
    <cfRule type="expression" dxfId="23" priority="6">
      <formula>#REF!="Нет"</formula>
    </cfRule>
  </conditionalFormatting>
  <conditionalFormatting sqref="N39">
    <cfRule type="expression" dxfId="22" priority="5">
      <formula>#REF!="Нет"</formula>
    </cfRule>
  </conditionalFormatting>
  <conditionalFormatting sqref="P23:P30 P39">
    <cfRule type="expression" dxfId="21" priority="7">
      <formula>#REF!="Нет"</formula>
    </cfRule>
  </conditionalFormatting>
  <conditionalFormatting sqref="T44">
    <cfRule type="expression" dxfId="20" priority="2">
      <formula>#REF!="Нет"</formula>
    </cfRule>
  </conditionalFormatting>
  <conditionalFormatting sqref="T52">
    <cfRule type="expression" dxfId="19" priority="8">
      <formula>#REF!="Нет"</formula>
    </cfRule>
  </conditionalFormatting>
  <dataValidations count="1">
    <dataValidation type="list" allowBlank="1" showInputMessage="1" showErrorMessage="1" sqref="P49" xr:uid="{59E9542E-7A79-43DD-8A7E-6E2886F3917F}">
      <formula1>"АРЕНДА,СОБСТВЕННОСТЬ"</formula1>
    </dataValidation>
  </dataValidations>
  <pageMargins left="0.25" right="0.25" top="0.75" bottom="0.75" header="0.3" footer="0.3"/>
  <pageSetup paperSize="9" scale="66" orientation="landscape" r:id="rId1"/>
  <colBreaks count="1" manualBreakCount="1">
    <brk id="2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pageSetUpPr autoPageBreaks="0" fitToPage="1"/>
  </sheetPr>
  <dimension ref="A2:AF53"/>
  <sheetViews>
    <sheetView showGridLines="0" showZeros="0" topLeftCell="A4" zoomScale="86" zoomScaleNormal="90" workbookViewId="0">
      <selection activeCell="U43" sqref="U43"/>
    </sheetView>
  </sheetViews>
  <sheetFormatPr baseColWidth="10" defaultColWidth="9.1640625" defaultRowHeight="11"/>
  <cols>
    <col min="1" max="1" width="7.33203125" style="419" customWidth="1"/>
    <col min="2" max="2" width="14.6640625" style="419" customWidth="1"/>
    <col min="3" max="3" width="13.6640625" style="419" customWidth="1"/>
    <col min="4" max="4" width="7.6640625" style="419" customWidth="1"/>
    <col min="5" max="5" width="9.6640625" style="419" customWidth="1"/>
    <col min="6" max="6" width="11.33203125" style="419" customWidth="1"/>
    <col min="7" max="10" width="10.83203125" style="419" customWidth="1"/>
    <col min="11" max="11" width="7.33203125" style="419" customWidth="1"/>
    <col min="12" max="12" width="15.1640625" style="419" customWidth="1"/>
    <col min="13" max="13" width="13.5" style="419" customWidth="1"/>
    <col min="14" max="14" width="7.6640625" style="419" customWidth="1"/>
    <col min="15" max="15" width="13.6640625" style="419" customWidth="1"/>
    <col min="16" max="16" width="11.5" style="419" customWidth="1"/>
    <col min="17" max="17" width="7.33203125" style="419" customWidth="1"/>
    <col min="18" max="18" width="9.6640625" style="419" customWidth="1"/>
    <col min="19" max="19" width="11" style="419" customWidth="1"/>
    <col min="20" max="20" width="7.33203125" style="419" customWidth="1"/>
    <col min="21" max="21" width="12.5" style="419" bestFit="1" customWidth="1"/>
    <col min="22" max="22" width="7.33203125" style="419" customWidth="1"/>
    <col min="23" max="25" width="9.1640625" style="419"/>
    <col min="26" max="26" width="9.1640625" style="419" customWidth="1"/>
    <col min="27" max="16384" width="9.1640625" style="419"/>
  </cols>
  <sheetData>
    <row r="2" spans="1:23" s="425" customFormat="1" ht="16">
      <c r="B2" s="420" t="s">
        <v>468</v>
      </c>
      <c r="C2" s="20" t="str">
        <f>DB!C2</f>
        <v>КАСАТКИНА</v>
      </c>
      <c r="D2" s="421"/>
      <c r="E2" s="422" t="s">
        <v>144</v>
      </c>
      <c r="F2" s="423">
        <v>1</v>
      </c>
      <c r="G2" s="422" t="s">
        <v>20</v>
      </c>
      <c r="H2" s="20" t="str">
        <f>P48</f>
        <v>77:02:0019010:102</v>
      </c>
      <c r="I2" s="424"/>
      <c r="J2" s="424"/>
      <c r="L2" s="422" t="s">
        <v>158</v>
      </c>
      <c r="M2" s="426">
        <f>P51/10000</f>
        <v>2.544</v>
      </c>
      <c r="O2" s="422" t="s">
        <v>160</v>
      </c>
      <c r="P2" s="427">
        <f>DB!P2</f>
        <v>35000</v>
      </c>
      <c r="Q2" s="422" t="s">
        <v>184</v>
      </c>
      <c r="R2" s="20" t="str">
        <f>DB!R2</f>
        <v xml:space="preserve"> ул. КАСАТКИНА, ВЛ. 7</v>
      </c>
      <c r="S2" s="428"/>
      <c r="T2" s="428"/>
      <c r="U2" s="429">
        <f>DB!U2</f>
        <v>45826</v>
      </c>
    </row>
    <row r="5" spans="1:23" ht="16">
      <c r="B5" s="305" t="s">
        <v>2</v>
      </c>
      <c r="C5" s="3"/>
      <c r="F5" s="430" t="s">
        <v>105</v>
      </c>
      <c r="G5" s="431">
        <f>DB!$G$5</f>
        <v>7.0000000000000007E-2</v>
      </c>
      <c r="H5" s="432"/>
      <c r="I5" s="433"/>
      <c r="L5" s="305" t="s">
        <v>53</v>
      </c>
      <c r="M5" s="3"/>
      <c r="Q5" s="434"/>
      <c r="T5" s="434"/>
    </row>
    <row r="6" spans="1:23" ht="30">
      <c r="B6" s="8"/>
      <c r="C6" s="9"/>
      <c r="D6" s="10"/>
      <c r="E6" s="11"/>
      <c r="F6" s="12" t="s">
        <v>0</v>
      </c>
      <c r="G6" s="12" t="s">
        <v>119</v>
      </c>
      <c r="H6" s="12" t="s">
        <v>117</v>
      </c>
      <c r="I6" s="12" t="s">
        <v>3</v>
      </c>
      <c r="J6" s="13" t="s">
        <v>118</v>
      </c>
      <c r="L6" s="14"/>
      <c r="M6" s="9"/>
      <c r="N6" s="10"/>
      <c r="O6" s="435"/>
      <c r="P6" s="12" t="s">
        <v>167</v>
      </c>
      <c r="Q6" s="12" t="s">
        <v>240</v>
      </c>
      <c r="R6" s="12" t="s">
        <v>168</v>
      </c>
      <c r="S6" s="12" t="s">
        <v>120</v>
      </c>
      <c r="T6" s="12" t="s">
        <v>178</v>
      </c>
      <c r="U6" s="13" t="s">
        <v>121</v>
      </c>
    </row>
    <row r="7" spans="1:23" s="443" customFormat="1" ht="16">
      <c r="B7" s="436" t="s">
        <v>46</v>
      </c>
      <c r="C7" s="437"/>
      <c r="D7" s="438"/>
      <c r="E7" s="439" t="s">
        <v>143</v>
      </c>
      <c r="F7" s="440">
        <f>F8+F11</f>
        <v>96326</v>
      </c>
      <c r="G7" s="440">
        <f>SUM(G8:G14)</f>
        <v>89583.18</v>
      </c>
      <c r="H7" s="440">
        <f>SUM(H8:H14)</f>
        <v>62942.716199999988</v>
      </c>
      <c r="I7" s="441">
        <f>IFERROR(1-H7/G7,"")</f>
        <v>0.29738243049643931</v>
      </c>
      <c r="J7" s="442"/>
      <c r="L7" s="436" t="str">
        <f t="shared" ref="L7:L17" si="0">B7</f>
        <v>НАЗЕМНАЯ ЧАСТЬ</v>
      </c>
      <c r="M7" s="439" t="s">
        <v>124</v>
      </c>
      <c r="N7" s="439" t="s">
        <v>122</v>
      </c>
      <c r="O7" s="439" t="s">
        <v>123</v>
      </c>
      <c r="P7" s="961"/>
      <c r="Q7" s="444"/>
      <c r="R7" s="444"/>
      <c r="S7" s="445"/>
      <c r="T7" s="444"/>
      <c r="U7" s="446"/>
    </row>
    <row r="8" spans="1:23" s="443" customFormat="1" ht="16">
      <c r="A8" s="526" t="s">
        <v>159</v>
      </c>
      <c r="B8" s="33" t="s">
        <v>48</v>
      </c>
      <c r="C8" s="447"/>
      <c r="D8" s="453">
        <f>F8/$F$7</f>
        <v>0.94764860992878353</v>
      </c>
      <c r="E8" s="449">
        <f>DB!E8</f>
        <v>53</v>
      </c>
      <c r="F8" s="450">
        <f>IF('МАСТЕР ПЛАН'!$AE$2=TRUE,'МАСТЕР ПЛАН'!AB5,IF('МАСТЕР ПЛАН'!$AE$11=TRUE,'МАСТЕР ПЛАН'!AB14,IF('МАСТЕР ПЛАН'!$AE$19=TRUE,'МАСТЕР ПЛАН'!AB22,IF('МАСТЕР ПЛАН'!$AE$28=TRUE,'МАСТЕР ПЛАН'!AB31,0))))</f>
        <v>91283.199999999997</v>
      </c>
      <c r="G8" s="450">
        <f>F8*(1-$G$5)</f>
        <v>84893.375999999989</v>
      </c>
      <c r="H8" s="450">
        <f>G8*(1-I8)</f>
        <v>59425.363199999985</v>
      </c>
      <c r="I8" s="451">
        <f>DB!$I8</f>
        <v>0.3</v>
      </c>
      <c r="J8" s="442">
        <f>IFERROR(ROUND(H8/E8,0),0)</f>
        <v>1121</v>
      </c>
      <c r="L8" s="33" t="str">
        <f t="shared" si="0"/>
        <v>КВАРТИРЫ</v>
      </c>
      <c r="M8" s="452">
        <f>$U$25</f>
        <v>46296</v>
      </c>
      <c r="N8" s="453">
        <v>0.7</v>
      </c>
      <c r="O8" s="454">
        <v>-0.17</v>
      </c>
      <c r="P8" s="455">
        <f>_xlfn.MINIFS('CF1'!$F17:$AS17,'CF1'!$F8:$AS8,"&gt;0")</f>
        <v>522.9</v>
      </c>
      <c r="Q8" s="455">
        <f>_xlfn.MAXIFS('CF1'!$F17:$AS17,'CF1'!$F8:$AS8,"&gt;0")</f>
        <v>698.3709669824749</v>
      </c>
      <c r="R8" s="456">
        <f>DB!R8</f>
        <v>630</v>
      </c>
      <c r="S8" s="457">
        <f>'CF1'!E26</f>
        <v>37437.978815999988</v>
      </c>
      <c r="T8" s="458">
        <f>S8/$S$18</f>
        <v>0.8789160391686448</v>
      </c>
      <c r="U8" s="459">
        <v>3000</v>
      </c>
    </row>
    <row r="9" spans="1:23" s="443" customFormat="1" ht="16" hidden="1">
      <c r="A9" s="526" t="s">
        <v>159</v>
      </c>
      <c r="B9" s="33" t="s">
        <v>113</v>
      </c>
      <c r="C9" s="447"/>
      <c r="D9" s="448">
        <f t="shared" ref="D9:D12" si="1">F9/$F$7</f>
        <v>0</v>
      </c>
      <c r="E9" s="449">
        <v>60</v>
      </c>
      <c r="F9" s="450"/>
      <c r="G9" s="450">
        <f t="shared" ref="G9:G14" si="2">F9*(1-$G$5)</f>
        <v>0</v>
      </c>
      <c r="H9" s="450">
        <f>G9*(1-I9)</f>
        <v>0</v>
      </c>
      <c r="I9" s="451">
        <f>DB!$I9</f>
        <v>0</v>
      </c>
      <c r="J9" s="442">
        <f t="shared" ref="J9:J12" si="3">IFERROR(ROUND(H9/E9,0),0)</f>
        <v>0</v>
      </c>
      <c r="L9" s="33" t="str">
        <f t="shared" si="0"/>
        <v>АПАРТАМЕНТЫ</v>
      </c>
      <c r="M9" s="452">
        <f>$U$25</f>
        <v>46296</v>
      </c>
      <c r="N9" s="453">
        <v>0.7</v>
      </c>
      <c r="O9" s="454"/>
      <c r="P9" s="455">
        <f>_xlfn.MINIFS('CF1'!$F18:$AS18,'CF1'!$F9:$AS9,"&gt;0")</f>
        <v>0</v>
      </c>
      <c r="Q9" s="455">
        <f>_xlfn.MAXIFS('CF1'!$F18:$AS18,'CF1'!$F9:$AS9,"&gt;0")</f>
        <v>0</v>
      </c>
      <c r="R9" s="456"/>
      <c r="S9" s="457">
        <f>'CF1'!E27</f>
        <v>0</v>
      </c>
      <c r="T9" s="458">
        <f>S9/$S$18</f>
        <v>0</v>
      </c>
      <c r="U9" s="459"/>
    </row>
    <row r="10" spans="1:23" s="443" customFormat="1" ht="16" hidden="1">
      <c r="A10" s="526" t="s">
        <v>204</v>
      </c>
      <c r="B10" s="33" t="s">
        <v>114</v>
      </c>
      <c r="C10" s="447"/>
      <c r="D10" s="448">
        <f t="shared" si="1"/>
        <v>0</v>
      </c>
      <c r="E10" s="449">
        <v>100</v>
      </c>
      <c r="F10" s="450"/>
      <c r="G10" s="450">
        <f t="shared" si="2"/>
        <v>0</v>
      </c>
      <c r="H10" s="450">
        <f>G10*(1-I10)</f>
        <v>0</v>
      </c>
      <c r="I10" s="451">
        <f>DB!$I10</f>
        <v>0</v>
      </c>
      <c r="J10" s="442">
        <f t="shared" si="3"/>
        <v>0</v>
      </c>
      <c r="L10" s="33" t="str">
        <f t="shared" si="0"/>
        <v>ОФИСЫ</v>
      </c>
      <c r="M10" s="452">
        <f>$U$25</f>
        <v>46296</v>
      </c>
      <c r="N10" s="453">
        <v>0.7</v>
      </c>
      <c r="O10" s="454"/>
      <c r="P10" s="455">
        <f>_xlfn.MINIFS('CF1'!$F19:$AS19,'CF1'!$F10:$AS10,"&gt;0")</f>
        <v>0</v>
      </c>
      <c r="Q10" s="455">
        <f>_xlfn.MAXIFS('CF1'!$F19:$AS19,'CF1'!$F10:$AS10,"&gt;0")</f>
        <v>0</v>
      </c>
      <c r="R10" s="456"/>
      <c r="S10" s="457">
        <f>'CF1'!E28</f>
        <v>0</v>
      </c>
      <c r="T10" s="458">
        <f>S10/$S$18</f>
        <v>0</v>
      </c>
      <c r="U10" s="459"/>
    </row>
    <row r="11" spans="1:23" s="443" customFormat="1" ht="16">
      <c r="A11" s="526" t="s">
        <v>208</v>
      </c>
      <c r="B11" s="33" t="s">
        <v>116</v>
      </c>
      <c r="C11" s="447"/>
      <c r="D11" s="453">
        <f>F11/$F$7</f>
        <v>5.2351390071216496E-2</v>
      </c>
      <c r="E11" s="449">
        <v>100</v>
      </c>
      <c r="F11" s="450">
        <f>IF('МАСТЕР ПЛАН'!$AE$2=TRUE,'МАСТЕР ПЛАН'!AB6,IF('МАСТЕР ПЛАН'!$AE$11=TRUE,'МАСТЕР ПЛАН'!AB15,IF('МАСТЕР ПЛАН'!$AE$19=TRUE,'МАСТЕР ПЛАН'!AB23,IF('МАСТЕР ПЛАН'!$AE$28=TRUE,'МАСТЕР ПЛАН'!AB32,0))))</f>
        <v>5042.8</v>
      </c>
      <c r="G11" s="450">
        <f>F11*(1-$G$5)</f>
        <v>4689.8040000000001</v>
      </c>
      <c r="H11" s="450">
        <f>G11*(1-I11)</f>
        <v>3517.3530000000001</v>
      </c>
      <c r="I11" s="451">
        <f>DB!$I11</f>
        <v>0.25</v>
      </c>
      <c r="J11" s="442">
        <f t="shared" si="3"/>
        <v>35</v>
      </c>
      <c r="L11" s="33" t="str">
        <f t="shared" si="0"/>
        <v>РИТЕЙЛ</v>
      </c>
      <c r="M11" s="460">
        <f>DB!$M$11</f>
        <v>1</v>
      </c>
      <c r="N11" s="453">
        <v>1</v>
      </c>
      <c r="O11" s="454">
        <f>Q11/P11-1</f>
        <v>0</v>
      </c>
      <c r="P11" s="455">
        <f>_xlfn.MINIFS('CF1'!$F20:$AS20,'CF1'!$F11:$AS11,"&gt;0")</f>
        <v>700</v>
      </c>
      <c r="Q11" s="455">
        <f>_xlfn.MAXIFS('CF1'!$F20:$AS20,'CF1'!$F11:$AS11,"&gt;0")</f>
        <v>700</v>
      </c>
      <c r="R11" s="456">
        <v>700</v>
      </c>
      <c r="S11" s="457">
        <f>'CF1'!E29</f>
        <v>2462.1471000000001</v>
      </c>
      <c r="T11" s="458">
        <f>S11/$S$18</f>
        <v>5.780281536079402E-2</v>
      </c>
      <c r="U11" s="462"/>
    </row>
    <row r="12" spans="1:23" s="443" customFormat="1" ht="16">
      <c r="A12" s="526" t="s">
        <v>208</v>
      </c>
      <c r="B12" s="33" t="s">
        <v>115</v>
      </c>
      <c r="C12" s="447"/>
      <c r="D12" s="448">
        <f t="shared" si="1"/>
        <v>0</v>
      </c>
      <c r="E12" s="449">
        <v>100</v>
      </c>
      <c r="F12" s="450"/>
      <c r="G12" s="450">
        <f>F12*(1-$G$5)</f>
        <v>0</v>
      </c>
      <c r="H12" s="450">
        <f>G12*(1-I12)</f>
        <v>0</v>
      </c>
      <c r="I12" s="451">
        <f>DB!$I12</f>
        <v>0</v>
      </c>
      <c r="J12" s="442">
        <f t="shared" si="3"/>
        <v>0</v>
      </c>
      <c r="L12" s="33" t="str">
        <f t="shared" si="0"/>
        <v>ТЦ</v>
      </c>
      <c r="M12" s="460">
        <f>DB!$M$12</f>
        <v>0</v>
      </c>
      <c r="N12" s="453"/>
      <c r="O12" s="461"/>
      <c r="P12" s="455">
        <f>_xlfn.MINIFS('CF1'!$F21:$AS21,'CF1'!$F12:$AS12,"&gt;0")</f>
        <v>0</v>
      </c>
      <c r="Q12" s="455">
        <f>_xlfn.MAXIFS('CF1'!$F21:$AS21,'CF1'!$F12:$AS12,"&gt;0")</f>
        <v>0</v>
      </c>
      <c r="R12" s="456"/>
      <c r="S12" s="457">
        <f>'CF1'!E30</f>
        <v>0</v>
      </c>
      <c r="T12" s="458">
        <f>S12/$S$18</f>
        <v>0</v>
      </c>
      <c r="U12" s="462"/>
    </row>
    <row r="13" spans="1:23" s="443" customFormat="1" ht="16">
      <c r="A13" s="526" t="str">
        <f>'TS1'!B68</f>
        <v>СОЦИАЛКА</v>
      </c>
      <c r="B13" s="33" t="s">
        <v>125</v>
      </c>
      <c r="C13" s="463" t="s">
        <v>127</v>
      </c>
      <c r="D13" s="464"/>
      <c r="E13" s="465"/>
      <c r="F13" s="450"/>
      <c r="G13" s="450">
        <f t="shared" si="2"/>
        <v>0</v>
      </c>
      <c r="H13" s="450"/>
      <c r="I13" s="466"/>
      <c r="J13" s="442"/>
      <c r="L13" s="33" t="str">
        <f t="shared" si="0"/>
        <v>ШКОЛА</v>
      </c>
      <c r="M13" s="467"/>
      <c r="N13" s="468"/>
      <c r="O13" s="469"/>
      <c r="P13" s="455"/>
      <c r="Q13" s="455"/>
      <c r="R13" s="470"/>
      <c r="S13" s="457"/>
      <c r="T13" s="471"/>
      <c r="U13" s="462"/>
    </row>
    <row r="14" spans="1:23" s="443" customFormat="1" ht="16">
      <c r="A14" s="526" t="str">
        <f>A13</f>
        <v>СОЦИАЛКА</v>
      </c>
      <c r="B14" s="33" t="s">
        <v>126</v>
      </c>
      <c r="C14" s="463" t="s">
        <v>127</v>
      </c>
      <c r="D14" s="464"/>
      <c r="E14" s="465"/>
      <c r="F14" s="450"/>
      <c r="G14" s="450">
        <f t="shared" si="2"/>
        <v>0</v>
      </c>
      <c r="H14" s="450"/>
      <c r="I14" s="466"/>
      <c r="J14" s="442"/>
      <c r="L14" s="33" t="str">
        <f t="shared" si="0"/>
        <v>ДОУ</v>
      </c>
      <c r="M14" s="467"/>
      <c r="N14" s="468"/>
      <c r="O14" s="469"/>
      <c r="P14" s="455"/>
      <c r="Q14" s="455"/>
      <c r="R14" s="470"/>
      <c r="S14" s="457"/>
      <c r="T14" s="471"/>
      <c r="U14" s="462"/>
    </row>
    <row r="15" spans="1:23" s="443" customFormat="1" ht="16">
      <c r="B15" s="436" t="s">
        <v>47</v>
      </c>
      <c r="C15" s="437"/>
      <c r="D15" s="439" t="s">
        <v>163</v>
      </c>
      <c r="E15" s="439" t="s">
        <v>162</v>
      </c>
      <c r="F15" s="440"/>
      <c r="G15" s="440">
        <f>G16</f>
        <v>23960</v>
      </c>
      <c r="H15" s="440">
        <f>H16</f>
        <v>8985</v>
      </c>
      <c r="I15" s="472"/>
      <c r="J15" s="442"/>
      <c r="L15" s="436" t="str">
        <f t="shared" si="0"/>
        <v>ПОДЗЕМНАЯ ЧАСТЬ</v>
      </c>
      <c r="M15" s="473"/>
      <c r="N15" s="473"/>
      <c r="O15" s="468"/>
      <c r="P15" s="474"/>
      <c r="Q15" s="474"/>
      <c r="R15" s="475"/>
      <c r="S15" s="476"/>
      <c r="T15" s="444"/>
      <c r="U15" s="446"/>
    </row>
    <row r="16" spans="1:23" s="443" customFormat="1" ht="16">
      <c r="B16" s="33" t="s">
        <v>128</v>
      </c>
      <c r="C16" s="477">
        <f>J16/J8</f>
        <v>0.53434433541480819</v>
      </c>
      <c r="D16" s="449">
        <f>DB!D16</f>
        <v>40</v>
      </c>
      <c r="E16" s="449">
        <f>DB!E16</f>
        <v>15</v>
      </c>
      <c r="F16" s="450"/>
      <c r="G16" s="450">
        <f>J16*D16</f>
        <v>23960</v>
      </c>
      <c r="H16" s="450">
        <f>J16*E16</f>
        <v>8985</v>
      </c>
      <c r="I16" s="478"/>
      <c r="J16" s="442">
        <f>ROUNDUP((J8*2.1*0.257*0.9)*1.1,0)</f>
        <v>599</v>
      </c>
      <c r="L16" s="33" t="str">
        <f t="shared" si="0"/>
        <v>ПАРКИНГ ЖИЛЬЕ</v>
      </c>
      <c r="M16" s="479"/>
      <c r="N16" s="453">
        <f>DB!N16</f>
        <v>0.7</v>
      </c>
      <c r="O16" s="454"/>
      <c r="P16" s="455">
        <f>_xlfn.MINIFS('CF1'!$F22:$AS22,'CF1'!$F13:$AS13,"&gt;0")</f>
        <v>4500</v>
      </c>
      <c r="Q16" s="455">
        <f>_xlfn.MAXIFS('CF1'!$F22:$AS22,'CF1'!$F13:$AS13,"&gt;0")</f>
        <v>4500</v>
      </c>
      <c r="R16" s="456">
        <v>4500</v>
      </c>
      <c r="S16" s="457">
        <f>'CF1'!E31</f>
        <v>2695.5</v>
      </c>
      <c r="T16" s="458">
        <f>S16/$S$18</f>
        <v>6.3281145470561156E-2</v>
      </c>
      <c r="U16" s="462"/>
      <c r="W16" s="480"/>
    </row>
    <row r="17" spans="2:32" s="443" customFormat="1" ht="16" hidden="1">
      <c r="B17" s="33" t="s">
        <v>129</v>
      </c>
      <c r="C17" s="477">
        <f>DB!C17</f>
        <v>0</v>
      </c>
      <c r="D17" s="449">
        <f>DB!D17</f>
        <v>0</v>
      </c>
      <c r="E17" s="449">
        <f>DB!E17</f>
        <v>0</v>
      </c>
      <c r="F17" s="481"/>
      <c r="G17" s="450">
        <f>J17*D17</f>
        <v>0</v>
      </c>
      <c r="H17" s="450">
        <f>J17*E17</f>
        <v>0</v>
      </c>
      <c r="I17" s="478"/>
      <c r="J17" s="442">
        <f>IFERROR(ROUND(J10*C17,0),0)</f>
        <v>0</v>
      </c>
      <c r="L17" s="33" t="str">
        <f t="shared" si="0"/>
        <v>ПАРКИНГ ОФИС</v>
      </c>
      <c r="M17" s="467"/>
      <c r="N17" s="453"/>
      <c r="O17" s="454"/>
      <c r="P17" s="455">
        <f>_xlfn.MINIFS('CF1'!$F23:$AS23,'CF1'!$F14:$AS14,"&gt;0")</f>
        <v>0</v>
      </c>
      <c r="Q17" s="455">
        <f>_xlfn.MAXIFS('CF1'!$F23:$AS23,'CF1'!$F14:$AS14,"&gt;0")</f>
        <v>0</v>
      </c>
      <c r="R17" s="456"/>
      <c r="S17" s="457">
        <f>'CF1'!E32</f>
        <v>0</v>
      </c>
      <c r="T17" s="458">
        <f>S17/$S$18</f>
        <v>0</v>
      </c>
      <c r="U17" s="462"/>
    </row>
    <row r="18" spans="2:32" s="482" customFormat="1" ht="19">
      <c r="B18" s="678" t="s">
        <v>316</v>
      </c>
      <c r="C18" s="679"/>
      <c r="D18" s="680"/>
      <c r="E18" s="680"/>
      <c r="F18" s="681">
        <f>F7</f>
        <v>96326</v>
      </c>
      <c r="G18" s="681">
        <f>G15+G7</f>
        <v>113543.18</v>
      </c>
      <c r="H18" s="681">
        <f>SUM(H7,H15)</f>
        <v>71927.716199999995</v>
      </c>
      <c r="I18" s="682">
        <f>I7</f>
        <v>0.29738243049643931</v>
      </c>
      <c r="J18" s="683"/>
      <c r="L18" s="678" t="s">
        <v>53</v>
      </c>
      <c r="M18" s="679"/>
      <c r="N18" s="680"/>
      <c r="O18" s="680"/>
      <c r="P18" s="684"/>
      <c r="Q18" s="684"/>
      <c r="R18" s="684"/>
      <c r="S18" s="685">
        <f>SUM(S8:S17)</f>
        <v>42595.62591599999</v>
      </c>
      <c r="T18" s="686"/>
      <c r="U18" s="684"/>
    </row>
    <row r="20" spans="2:32" ht="15.75" customHeight="1">
      <c r="B20" s="305" t="s">
        <v>13</v>
      </c>
      <c r="C20" s="305"/>
      <c r="G20" s="434"/>
      <c r="L20" s="305" t="s">
        <v>56</v>
      </c>
      <c r="M20" s="22"/>
      <c r="R20" s="305" t="s">
        <v>54</v>
      </c>
      <c r="S20" s="4"/>
    </row>
    <row r="21" spans="2:32" ht="15.75" customHeight="1">
      <c r="B21" s="14"/>
      <c r="C21" s="12"/>
      <c r="D21" s="12"/>
      <c r="E21" s="12"/>
      <c r="F21" s="12"/>
      <c r="G21" s="12"/>
      <c r="H21" s="483" t="s">
        <v>14</v>
      </c>
      <c r="I21" s="12" t="s">
        <v>15</v>
      </c>
      <c r="J21" s="13" t="s">
        <v>9</v>
      </c>
      <c r="L21" s="18" t="s">
        <v>106</v>
      </c>
      <c r="M21" s="12"/>
      <c r="N21" s="12"/>
      <c r="O21" s="12"/>
      <c r="P21" s="13"/>
      <c r="R21" s="5"/>
      <c r="S21" s="5"/>
      <c r="T21" s="6"/>
      <c r="U21" s="7" t="s">
        <v>183</v>
      </c>
    </row>
    <row r="22" spans="2:32" ht="14">
      <c r="B22" s="436" t="s">
        <v>31</v>
      </c>
      <c r="C22" s="401"/>
      <c r="D22" s="35"/>
      <c r="E22" s="401"/>
      <c r="F22" s="484">
        <f>J22/M2</f>
        <v>1303.0054064396109</v>
      </c>
      <c r="G22" s="485" t="s">
        <v>186</v>
      </c>
      <c r="H22" s="38">
        <f>IFERROR(J22/$G$18*1000000,0)</f>
        <v>29194.582659939333</v>
      </c>
      <c r="I22" s="38">
        <f t="shared" ref="I22:I25" si="4">IFERROR(J22/$H$18*1000000,0)</f>
        <v>46085.791807503134</v>
      </c>
      <c r="J22" s="531">
        <f>-SUMIFS(DETAILS!$I$138:$I$146,DETAILS!$C$138:$C$146,'DB1'!F2)/10^6</f>
        <v>3314.8457539823703</v>
      </c>
      <c r="L22" s="399" t="s">
        <v>169</v>
      </c>
      <c r="M22" s="400"/>
      <c r="N22" s="401"/>
      <c r="O22" s="401"/>
      <c r="P22" s="402">
        <f>'TS1'!J85</f>
        <v>0.2</v>
      </c>
      <c r="R22" s="33" t="s">
        <v>457</v>
      </c>
      <c r="S22" s="486"/>
      <c r="T22" s="487"/>
      <c r="U22" s="488">
        <f>DB!U22</f>
        <v>45017</v>
      </c>
    </row>
    <row r="23" spans="2:32" ht="14">
      <c r="B23" s="33" t="s">
        <v>130</v>
      </c>
      <c r="C23" s="489"/>
      <c r="D23" s="35"/>
      <c r="E23" s="35"/>
      <c r="F23" s="490"/>
      <c r="G23" s="485" t="s">
        <v>131</v>
      </c>
      <c r="H23" s="38">
        <f>IFERROR(J23/$G$18*1000000,0)</f>
        <v>0</v>
      </c>
      <c r="I23" s="38">
        <f t="shared" si="4"/>
        <v>0</v>
      </c>
      <c r="J23" s="39">
        <f>F23*J22</f>
        <v>0</v>
      </c>
      <c r="L23" s="33" t="s">
        <v>189</v>
      </c>
      <c r="M23" s="403"/>
      <c r="N23" s="404">
        <f>DB!N23</f>
        <v>0.05</v>
      </c>
      <c r="O23" s="35"/>
      <c r="P23" s="405">
        <f>P22+N23</f>
        <v>0.25</v>
      </c>
      <c r="R23" s="33" t="s">
        <v>458</v>
      </c>
      <c r="S23" s="486"/>
      <c r="T23" s="487"/>
      <c r="U23" s="488">
        <f>DB!U23</f>
        <v>45748</v>
      </c>
    </row>
    <row r="24" spans="2:32" ht="14">
      <c r="B24" s="436" t="s">
        <v>50</v>
      </c>
      <c r="C24" s="491"/>
      <c r="D24" s="401"/>
      <c r="E24" s="401"/>
      <c r="F24" s="492"/>
      <c r="G24" s="492"/>
      <c r="H24" s="462">
        <f>J24/$G$18*1000000</f>
        <v>25151.909738976254</v>
      </c>
      <c r="I24" s="462">
        <f t="shared" si="4"/>
        <v>39704.135842371339</v>
      </c>
      <c r="J24" s="39">
        <f>SUM(J25:J29)</f>
        <v>2855.8278148363338</v>
      </c>
      <c r="L24" s="33" t="s">
        <v>190</v>
      </c>
      <c r="M24" s="403"/>
      <c r="N24" s="404">
        <f>DB!N24</f>
        <v>3.7999999999999999E-2</v>
      </c>
      <c r="O24" s="35"/>
      <c r="P24" s="405">
        <f>P22+N24</f>
        <v>0.23800000000000002</v>
      </c>
      <c r="R24" s="33" t="s">
        <v>485</v>
      </c>
      <c r="S24" s="486"/>
      <c r="T24" s="487"/>
      <c r="U24" s="493">
        <v>6</v>
      </c>
    </row>
    <row r="25" spans="2:32" ht="14">
      <c r="B25" s="33" t="s">
        <v>10</v>
      </c>
      <c r="C25" s="494">
        <f>IF(D25&gt;0,"со скидкой",0)</f>
        <v>0</v>
      </c>
      <c r="D25" s="495">
        <f>'TS1'!E76</f>
        <v>0</v>
      </c>
      <c r="E25" s="485"/>
      <c r="F25" s="485"/>
      <c r="G25" s="485"/>
      <c r="H25" s="38">
        <f>IFERROR(J25/$G$18*1000000,0)</f>
        <v>40131.176967158135</v>
      </c>
      <c r="I25" s="38">
        <f t="shared" si="4"/>
        <v>63350.008741051759</v>
      </c>
      <c r="J25" s="39">
        <f>'TS1'!E77/10^6</f>
        <v>4556.6214499938897</v>
      </c>
      <c r="L25" s="33" t="s">
        <v>191</v>
      </c>
      <c r="M25" s="406"/>
      <c r="N25" s="407"/>
      <c r="O25" s="35"/>
      <c r="P25" s="408">
        <f>DB!P25</f>
        <v>3.7999999999999999E-2</v>
      </c>
      <c r="R25" s="496" t="s">
        <v>134</v>
      </c>
      <c r="S25" s="497"/>
      <c r="T25" s="498"/>
      <c r="U25" s="499">
        <f>EOMONTH(_xlfn.MINIFS('TS1'!$F$17:$AS$17,'TS1'!$F$25:$AS$25,"&gt;0"),-3)+1</f>
        <v>46296</v>
      </c>
    </row>
    <row r="26" spans="2:32" ht="14">
      <c r="B26" s="33" t="s">
        <v>218</v>
      </c>
      <c r="C26" s="485"/>
      <c r="D26" s="485"/>
      <c r="E26" s="485"/>
      <c r="F26" s="485"/>
      <c r="G26" s="485"/>
      <c r="H26" s="38">
        <f t="shared" ref="H26:H30" si="5">IFERROR(J26/$G$18*1000000,0)</f>
        <v>-40131.176967158135</v>
      </c>
      <c r="I26" s="38">
        <f t="shared" ref="I26" si="6">IFERROR(J26/$H$18*1000000,0)</f>
        <v>-63350.008741051759</v>
      </c>
      <c r="J26" s="39">
        <f>-'TS1'!C81/10^6</f>
        <v>-4556.6214499938897</v>
      </c>
      <c r="L26" s="399" t="s">
        <v>170</v>
      </c>
      <c r="M26" s="409"/>
      <c r="N26" s="35"/>
      <c r="O26" s="35"/>
      <c r="P26" s="410"/>
      <c r="R26" s="33" t="s">
        <v>486</v>
      </c>
      <c r="S26" s="486"/>
      <c r="T26" s="487"/>
      <c r="U26" s="493">
        <v>12</v>
      </c>
    </row>
    <row r="27" spans="2:32" ht="14">
      <c r="B27" s="33" t="s">
        <v>373</v>
      </c>
      <c r="C27" s="485"/>
      <c r="D27" s="485"/>
      <c r="E27" s="485"/>
      <c r="F27" s="485"/>
      <c r="G27" s="485"/>
      <c r="H27" s="38">
        <f>IFERROR(J27/$G$18*1000000,0)</f>
        <v>24078.706180294881</v>
      </c>
      <c r="I27" s="38">
        <f t="shared" ref="I27" si="7">IFERROR(J27/$H$18*1000000,0)</f>
        <v>38010.005244631058</v>
      </c>
      <c r="J27" s="39">
        <f>'TS1'!AA113+'TS1'!AC113</f>
        <v>2733.9728699963339</v>
      </c>
      <c r="L27" s="33" t="s">
        <v>188</v>
      </c>
      <c r="M27" s="411"/>
      <c r="N27" s="35"/>
      <c r="O27" s="398">
        <f>(P31+P32+P33)*P27</f>
        <v>166.8548776598812</v>
      </c>
      <c r="P27" s="412">
        <v>5.0000000000000001E-3</v>
      </c>
      <c r="R27" s="500" t="s">
        <v>107</v>
      </c>
      <c r="S27" s="501"/>
      <c r="T27" s="498"/>
      <c r="U27" s="502">
        <f>_xlfn.MINIFS('TS1'!$F$17:$AS$17,'TS1'!$F$16:$AS$16,'DB1'!R27)</f>
        <v>47391</v>
      </c>
    </row>
    <row r="28" spans="2:32" ht="15">
      <c r="B28" s="33" t="s">
        <v>38</v>
      </c>
      <c r="D28" s="503"/>
      <c r="E28" s="43"/>
      <c r="F28" s="494"/>
      <c r="G28" s="485"/>
      <c r="H28" s="38">
        <f t="shared" si="5"/>
        <v>0</v>
      </c>
      <c r="I28" s="38">
        <f t="shared" ref="I28:I32" si="8">IFERROR(J28/$H$18*1000000,0)</f>
        <v>0</v>
      </c>
      <c r="J28" s="39">
        <f>'TS1'!N67</f>
        <v>0</v>
      </c>
      <c r="L28" s="33" t="s">
        <v>248</v>
      </c>
      <c r="M28" s="411"/>
      <c r="N28" s="35"/>
      <c r="O28" s="398">
        <f>(P31+P32)*P28</f>
        <v>0</v>
      </c>
      <c r="P28" s="413">
        <v>0</v>
      </c>
      <c r="R28" s="33" t="s">
        <v>112</v>
      </c>
      <c r="S28" s="486"/>
      <c r="T28" s="504"/>
      <c r="U28" s="505">
        <f>_xlfn.MAXIFS('TS1'!$F$36:$AS$36,'TS1'!$F$38:$AS$38,"&gt;0")</f>
        <v>48121</v>
      </c>
      <c r="AF28" s="1396"/>
    </row>
    <row r="29" spans="2:32" ht="16">
      <c r="B29" s="33" t="s">
        <v>39</v>
      </c>
      <c r="C29" s="42"/>
      <c r="D29" s="43"/>
      <c r="E29" s="43"/>
      <c r="F29" s="506" t="str">
        <f>P49</f>
        <v>АРЕНДА</v>
      </c>
      <c r="G29" s="494"/>
      <c r="H29" s="38">
        <f>IFERROR(J29/$G$18*1000000,0)</f>
        <v>1073.2035586813754</v>
      </c>
      <c r="I29" s="38">
        <f t="shared" si="8"/>
        <v>1694.1305977402906</v>
      </c>
      <c r="J29" s="39">
        <f>-'CF1'!E62</f>
        <v>121.85494483999997</v>
      </c>
      <c r="L29" s="33" t="s">
        <v>249</v>
      </c>
      <c r="M29" s="411"/>
      <c r="N29" s="35"/>
      <c r="O29" s="398">
        <f>(P33+P32)*P29</f>
        <v>0</v>
      </c>
      <c r="P29" s="413"/>
      <c r="R29" s="687" t="s">
        <v>315</v>
      </c>
      <c r="S29" s="687"/>
      <c r="T29" s="688"/>
      <c r="U29" s="689">
        <f>(U28-U23)/365</f>
        <v>6.5013698630136982</v>
      </c>
    </row>
    <row r="30" spans="2:32" ht="14">
      <c r="B30" s="436" t="s">
        <v>49</v>
      </c>
      <c r="C30" s="401"/>
      <c r="D30" s="401"/>
      <c r="E30" s="401"/>
      <c r="F30" s="492"/>
      <c r="G30" s="492"/>
      <c r="H30" s="462">
        <f t="shared" si="5"/>
        <v>167175.27439919021</v>
      </c>
      <c r="I30" s="462">
        <f t="shared" si="8"/>
        <v>263898.44242902083</v>
      </c>
      <c r="J30" s="39">
        <f>SUM(J31:J42)</f>
        <v>18981.612272656646</v>
      </c>
      <c r="L30" s="399" t="s">
        <v>235</v>
      </c>
      <c r="M30" s="409"/>
      <c r="N30" s="35"/>
      <c r="O30" s="35"/>
      <c r="P30" s="410"/>
    </row>
    <row r="31" spans="2:32" ht="16">
      <c r="B31" s="33" t="s">
        <v>958</v>
      </c>
      <c r="C31" s="34"/>
      <c r="D31" s="35"/>
      <c r="E31" s="35"/>
      <c r="F31" s="41">
        <v>8000</v>
      </c>
      <c r="G31" s="485" t="s">
        <v>16</v>
      </c>
      <c r="H31" s="38">
        <f>IFERROR(J31/$G$18*1000000,0)</f>
        <v>8000</v>
      </c>
      <c r="I31" s="38">
        <f t="shared" si="8"/>
        <v>12628.58725382414</v>
      </c>
      <c r="J31" s="39">
        <f>$G$18*F31/10^6</f>
        <v>908.34544000000005</v>
      </c>
      <c r="L31" s="33" t="s">
        <v>31</v>
      </c>
      <c r="M31" s="414"/>
      <c r="N31" s="35"/>
      <c r="O31" s="415" t="s">
        <v>19</v>
      </c>
      <c r="P31" s="416">
        <f>-'CF1'!F60</f>
        <v>0</v>
      </c>
      <c r="R31" s="305" t="s">
        <v>164</v>
      </c>
      <c r="S31" s="21"/>
    </row>
    <row r="32" spans="2:32" ht="15">
      <c r="B32" s="33" t="s">
        <v>32</v>
      </c>
      <c r="C32" s="34"/>
      <c r="D32" s="35"/>
      <c r="E32" s="35"/>
      <c r="F32" s="41">
        <v>1000</v>
      </c>
      <c r="G32" s="485" t="s">
        <v>16</v>
      </c>
      <c r="H32" s="38">
        <f>IFERROR(J32/$G$18*1000000,0)</f>
        <v>1000</v>
      </c>
      <c r="I32" s="38">
        <f t="shared" si="8"/>
        <v>1578.5734067280175</v>
      </c>
      <c r="J32" s="39">
        <f>$G$18*F32/10^6</f>
        <v>113.54318000000001</v>
      </c>
      <c r="L32" s="33" t="s">
        <v>200</v>
      </c>
      <c r="M32" s="414"/>
      <c r="N32" s="35"/>
      <c r="O32" s="415" t="s">
        <v>19</v>
      </c>
      <c r="P32" s="416">
        <f>-SUMIFS('CF1'!$F$50:$BM$50,'CF1'!$F$5:$BM$5,"&lt;"&amp;(EOMONTH('DB1'!U25,2)))-SUMIFS('CF1'!$F$59:$BM$59,'CF1'!$F$5:$BM$5,"&lt;"&amp;(EOMONTH('DB1'!U25,2)))-P31</f>
        <v>6630.9833822359524</v>
      </c>
      <c r="R32" s="507"/>
      <c r="S32" s="508"/>
      <c r="T32" s="509"/>
      <c r="U32" s="7" t="s">
        <v>19</v>
      </c>
    </row>
    <row r="33" spans="1:32" ht="14">
      <c r="B33" s="33" t="s">
        <v>955</v>
      </c>
      <c r="C33" s="34"/>
      <c r="D33" s="1107" t="s">
        <v>453</v>
      </c>
      <c r="E33" s="1108">
        <f>-DETAILS!G288</f>
        <v>126510.59852295839</v>
      </c>
      <c r="F33" s="41">
        <f>DB!F33</f>
        <v>137000</v>
      </c>
      <c r="G33" s="485" t="s">
        <v>16</v>
      </c>
      <c r="H33" s="38">
        <f>IFERROR(J33/($G$8+$G$9+$G$11+$G$16)*1000000,0)</f>
        <v>137000</v>
      </c>
      <c r="I33" s="38">
        <f>IFERROR(J33/($H$8+$H$9+$H$11+$H$16)*1000000,0)</f>
        <v>216264.55672173837</v>
      </c>
      <c r="J33" s="39">
        <f>($G$16+$G$11+$G$9+$G$8)*F33/10^6</f>
        <v>15555.415659999999</v>
      </c>
      <c r="L33" s="33" t="s">
        <v>467</v>
      </c>
      <c r="M33" s="414"/>
      <c r="N33" s="35"/>
      <c r="O33" s="415" t="s">
        <v>19</v>
      </c>
      <c r="P33" s="416">
        <f>-SUMIFS('CF1'!$F$50:$BM$50,'CF1'!$F$5:$BM$5,"&lt;="&amp;'DB1'!U27)-SUMIFS('CF1'!$F$59:$BM$59,'CF1'!$F$5:$BM$5,"&lt;="&amp;'DB1'!U27)-P31</f>
        <v>26739.99214974029</v>
      </c>
      <c r="R33" s="33" t="s">
        <v>53</v>
      </c>
      <c r="S33" s="486"/>
      <c r="T33" s="35"/>
      <c r="U33" s="39">
        <f>'CF1'!E34</f>
        <v>42595.62591599999</v>
      </c>
    </row>
    <row r="34" spans="1:32" ht="14">
      <c r="B34" s="510" t="s">
        <v>956</v>
      </c>
      <c r="C34" s="34"/>
      <c r="D34" s="35"/>
      <c r="E34" s="35"/>
      <c r="F34" s="41">
        <v>0</v>
      </c>
      <c r="G34" s="485" t="s">
        <v>16</v>
      </c>
      <c r="H34" s="38">
        <f>IFERROR(J34/($G$10+$G$17)*1000000,0)</f>
        <v>0</v>
      </c>
      <c r="I34" s="38">
        <f>IFERROR(J34/($H$10+$H$17)*1000000,0)</f>
        <v>0</v>
      </c>
      <c r="J34" s="39">
        <f>($G$10+$G$17)*F34/10^6</f>
        <v>0</v>
      </c>
      <c r="L34" s="33" t="s">
        <v>201</v>
      </c>
      <c r="M34" s="414"/>
      <c r="N34" s="35"/>
      <c r="O34" s="415" t="s">
        <v>19</v>
      </c>
      <c r="P34" s="416">
        <f>'CF1'!E90+'CF1'!E92+'CF1'!E98+'CF1'!E100+O27</f>
        <v>6741.8258936773445</v>
      </c>
      <c r="R34" s="33" t="s">
        <v>465</v>
      </c>
      <c r="S34" s="486"/>
      <c r="T34" s="35"/>
      <c r="U34" s="39">
        <f>'CF1'!E50</f>
        <v>-3239.046059496452</v>
      </c>
      <c r="AB34" s="280"/>
      <c r="AC34" s="280"/>
      <c r="AD34" s="280"/>
      <c r="AE34" s="280"/>
      <c r="AF34" s="280"/>
    </row>
    <row r="35" spans="1:32" ht="14">
      <c r="B35" s="510" t="s">
        <v>957</v>
      </c>
      <c r="C35" s="34"/>
      <c r="D35" s="35"/>
      <c r="E35" s="35"/>
      <c r="F35" s="41">
        <v>0</v>
      </c>
      <c r="G35" s="485" t="s">
        <v>16</v>
      </c>
      <c r="H35" s="38">
        <f>IFERROR(J35/$G$12*1000000,0)</f>
        <v>0</v>
      </c>
      <c r="I35" s="38">
        <f>IFERROR(J35/$H$12*1000000,0)</f>
        <v>0</v>
      </c>
      <c r="J35" s="39">
        <f>$G$12*F35/10^6</f>
        <v>0</v>
      </c>
      <c r="L35" s="33"/>
      <c r="M35" s="417" t="s">
        <v>377</v>
      </c>
      <c r="N35" s="35"/>
      <c r="O35" s="415" t="s">
        <v>19</v>
      </c>
      <c r="P35" s="418">
        <f>'CF1'!E90+'CF1'!E92</f>
        <v>1068.6792075990616</v>
      </c>
      <c r="R35" s="33" t="s">
        <v>13</v>
      </c>
      <c r="S35" s="486"/>
      <c r="T35" s="35"/>
      <c r="U35" s="39">
        <f>'CF1'!E59</f>
        <v>-25152.285841475346</v>
      </c>
    </row>
    <row r="36" spans="1:32" ht="14">
      <c r="B36" s="25" t="s">
        <v>988</v>
      </c>
      <c r="C36" s="34"/>
      <c r="D36" s="35"/>
      <c r="E36" s="35"/>
      <c r="F36" s="41">
        <v>0</v>
      </c>
      <c r="G36" s="485" t="s">
        <v>18</v>
      </c>
      <c r="H36" s="38">
        <f>IFERROR(J36/($G$7+$G$15)*1000000,0)</f>
        <v>2593.5844637916607</v>
      </c>
      <c r="I36" s="38">
        <f>IFERROR(J36/($H$8+$H$9+$H$11+$H$16)*1000000,0)</f>
        <v>4094.1634626444607</v>
      </c>
      <c r="J36" s="39">
        <f>-'CF1'!E68</f>
        <v>294.48382761750003</v>
      </c>
      <c r="L36" s="33"/>
      <c r="M36" s="417" t="s">
        <v>378</v>
      </c>
      <c r="N36" s="35"/>
      <c r="O36" s="415" t="s">
        <v>19</v>
      </c>
      <c r="P36" s="418">
        <f>'CF1'!E98+'CF1'!E100</f>
        <v>5506.2918084184021</v>
      </c>
      <c r="R36" s="33" t="s">
        <v>84</v>
      </c>
      <c r="S36" s="486"/>
      <c r="T36" s="35"/>
      <c r="U36" s="39">
        <f>'CF1'!E85+'CF1'!E91+'CF1'!E93+'CF1'!E99+'CF1'!E101+'CF1'!E104</f>
        <v>-6991.9295433416128</v>
      </c>
    </row>
    <row r="37" spans="1:32" ht="14">
      <c r="B37" s="336" t="s">
        <v>192</v>
      </c>
      <c r="C37" s="34"/>
      <c r="D37" s="35"/>
      <c r="E37" s="35"/>
      <c r="F37" s="41">
        <v>0</v>
      </c>
      <c r="G37" s="485" t="s">
        <v>487</v>
      </c>
      <c r="H37" s="38">
        <f>IFERROR(J37/($G$8+$G$9)*1000000,0)</f>
        <v>0</v>
      </c>
      <c r="I37" s="38">
        <f>IFERROR(J37/($H$8+$H$9)*1000000,0)</f>
        <v>0</v>
      </c>
      <c r="J37" s="39">
        <f>($H$8+$H$9)*F37/10^6</f>
        <v>0</v>
      </c>
      <c r="L37" s="33"/>
      <c r="M37" s="417" t="s">
        <v>379</v>
      </c>
      <c r="N37" s="35"/>
      <c r="O37" s="415" t="s">
        <v>19</v>
      </c>
      <c r="P37" s="418">
        <f>'CF1'!E103</f>
        <v>166.8548776598812</v>
      </c>
      <c r="R37" s="33" t="s">
        <v>60</v>
      </c>
      <c r="S37" s="486"/>
      <c r="T37" s="35"/>
      <c r="U37" s="39">
        <f>'CF1'!E111</f>
        <v>-2244.3118251685719</v>
      </c>
    </row>
    <row r="38" spans="1:32" ht="19">
      <c r="B38" s="33" t="s">
        <v>346</v>
      </c>
      <c r="C38" s="34"/>
      <c r="D38" s="35"/>
      <c r="E38" s="35"/>
      <c r="F38" s="41">
        <v>1000</v>
      </c>
      <c r="G38" s="485" t="s">
        <v>16</v>
      </c>
      <c r="H38" s="38">
        <f t="shared" ref="H38:H43" si="9">IFERROR(J38/$G$18*1000000,0)</f>
        <v>1000</v>
      </c>
      <c r="I38" s="38">
        <f t="shared" ref="I38:I43" si="10">IFERROR(J38/$H$18*1000000,0)</f>
        <v>1578.5734067280175</v>
      </c>
      <c r="J38" s="39">
        <f>$G$18*F38/10^6</f>
        <v>113.54318000000001</v>
      </c>
      <c r="L38" s="18" t="s">
        <v>182</v>
      </c>
      <c r="M38" s="12"/>
      <c r="N38" s="12"/>
      <c r="O38" s="12"/>
      <c r="P38" s="13"/>
      <c r="R38" s="326" t="s">
        <v>459</v>
      </c>
      <c r="S38" s="326"/>
      <c r="T38" s="327"/>
      <c r="U38" s="328">
        <f>SUM(U33:U37)</f>
        <v>4968.0526465180055</v>
      </c>
    </row>
    <row r="39" spans="1:32" ht="16">
      <c r="B39" s="33" t="s">
        <v>33</v>
      </c>
      <c r="C39" s="34"/>
      <c r="D39" s="35"/>
      <c r="E39" s="35"/>
      <c r="F39" s="41">
        <f>DB!F39</f>
        <v>5500</v>
      </c>
      <c r="G39" s="485" t="s">
        <v>18</v>
      </c>
      <c r="H39" s="38">
        <f t="shared" si="9"/>
        <v>5500.0000000000009</v>
      </c>
      <c r="I39" s="38">
        <f t="shared" si="10"/>
        <v>8682.1537370040951</v>
      </c>
      <c r="J39" s="39">
        <f>$G$18*F39/10^6</f>
        <v>624.48748999999998</v>
      </c>
      <c r="L39" s="33" t="s">
        <v>108</v>
      </c>
      <c r="M39" s="406"/>
      <c r="N39" s="404">
        <v>0.01</v>
      </c>
      <c r="O39" s="35"/>
      <c r="P39" s="405">
        <f>P22+N39</f>
        <v>0.21000000000000002</v>
      </c>
      <c r="R39" s="46" t="s">
        <v>238</v>
      </c>
      <c r="S39" s="47"/>
      <c r="T39" s="48"/>
      <c r="U39" s="49">
        <f>(U38-'CF1'!E127)/U33</f>
        <v>0.16324891069007644</v>
      </c>
    </row>
    <row r="40" spans="1:32" ht="16">
      <c r="B40" s="33" t="s">
        <v>45</v>
      </c>
      <c r="C40" s="34"/>
      <c r="D40" s="511">
        <f>MIN('CF1'!$F$72:$BM$72)/-3</f>
        <v>6.3296910256410257</v>
      </c>
      <c r="E40" s="512" t="s">
        <v>237</v>
      </c>
      <c r="F40" s="41">
        <v>2500</v>
      </c>
      <c r="G40" s="485" t="s">
        <v>18</v>
      </c>
      <c r="H40" s="38">
        <f t="shared" si="9"/>
        <v>2500.0000000000005</v>
      </c>
      <c r="I40" s="38">
        <f t="shared" si="10"/>
        <v>3946.4335168200432</v>
      </c>
      <c r="J40" s="39">
        <f>$G$18*F40/10^6</f>
        <v>283.85795000000002</v>
      </c>
      <c r="L40" s="33" t="s">
        <v>317</v>
      </c>
      <c r="M40" s="414"/>
      <c r="N40" s="35"/>
      <c r="O40" s="415" t="s">
        <v>19</v>
      </c>
      <c r="P40" s="416">
        <f>'CF1'!E81</f>
        <v>382.39009605994522</v>
      </c>
      <c r="R40" s="46" t="s">
        <v>953</v>
      </c>
      <c r="S40" s="47"/>
      <c r="T40" s="48"/>
      <c r="U40" s="49">
        <f>U38/U33</f>
        <v>0.11663292978286487</v>
      </c>
    </row>
    <row r="41" spans="1:32" s="513" customFormat="1" ht="16">
      <c r="A41" s="419"/>
      <c r="B41" s="33" t="s">
        <v>34</v>
      </c>
      <c r="C41" s="34"/>
      <c r="D41" s="511">
        <f>J41/('TS1'!D33*3)</f>
        <v>12.167700174779901</v>
      </c>
      <c r="E41" s="512" t="s">
        <v>237</v>
      </c>
      <c r="F41" s="490">
        <f>DB!F41</f>
        <v>0.04</v>
      </c>
      <c r="G41" s="485" t="s">
        <v>11</v>
      </c>
      <c r="H41" s="38">
        <f t="shared" si="9"/>
        <v>6429.8182461227007</v>
      </c>
      <c r="I41" s="38">
        <f t="shared" si="10"/>
        <v>10149.940093423878</v>
      </c>
      <c r="J41" s="39">
        <f>SUM($J$31:$J$40,J42)*$F41</f>
        <v>730.06201048679407</v>
      </c>
      <c r="K41" s="694">
        <f>(J43+J53-U36-J50-J41)*3.5%</f>
        <v>1194.971817299212</v>
      </c>
      <c r="L41" s="33" t="s">
        <v>178</v>
      </c>
      <c r="M41" s="414"/>
      <c r="N41" s="35"/>
      <c r="O41" s="415" t="s">
        <v>19</v>
      </c>
      <c r="P41" s="416">
        <f>'CF1'!E84</f>
        <v>250.10364966426837</v>
      </c>
      <c r="R41" s="46" t="s">
        <v>466</v>
      </c>
      <c r="S41" s="47"/>
      <c r="T41" s="48"/>
      <c r="U41" s="49">
        <f>IFERROR(POWER((1+IRR('CF1'!F76:BM76,0.01)),4)-1,0)</f>
        <v>0.17185455559824692</v>
      </c>
    </row>
    <row r="42" spans="1:32" ht="19">
      <c r="A42" s="513"/>
      <c r="B42" s="33" t="s">
        <v>35</v>
      </c>
      <c r="C42" s="34"/>
      <c r="D42" s="35"/>
      <c r="E42" s="35"/>
      <c r="F42" s="490">
        <v>0.02</v>
      </c>
      <c r="G42" s="485" t="s">
        <v>11</v>
      </c>
      <c r="H42" s="38">
        <f t="shared" si="9"/>
        <v>3151.8716892758334</v>
      </c>
      <c r="I42" s="38">
        <f t="shared" si="10"/>
        <v>4975.4608301097433</v>
      </c>
      <c r="J42" s="39">
        <f>SUM($J$31:$J$40)*$F42</f>
        <v>357.87353455235001</v>
      </c>
      <c r="K42" s="959">
        <f>J41/(J43+J53-U36-J50-J41)</f>
        <v>2.1383073640003449E-2</v>
      </c>
      <c r="L42" s="687" t="s">
        <v>84</v>
      </c>
      <c r="M42" s="687"/>
      <c r="N42" s="677">
        <f t="shared" ref="N42" si="11">P42/$G$18*1000000</f>
        <v>61579.47613711025</v>
      </c>
      <c r="O42" s="677">
        <f>P42/$H$18*1000000</f>
        <v>97207.723430284765</v>
      </c>
      <c r="P42" s="691">
        <f>-U36</f>
        <v>6991.9295433416128</v>
      </c>
      <c r="R42" s="46" t="s">
        <v>181</v>
      </c>
      <c r="S42" s="47"/>
      <c r="T42" s="48"/>
      <c r="U42" s="49">
        <f>IFERROR(POWER((1+IRR('CF1'!F171:BM171,0.01)),4)-1,0)</f>
        <v>0.59770527053611744</v>
      </c>
    </row>
    <row r="43" spans="1:32" ht="19">
      <c r="B43" s="678" t="s">
        <v>13</v>
      </c>
      <c r="C43" s="679"/>
      <c r="D43" s="679"/>
      <c r="E43" s="679"/>
      <c r="F43" s="679"/>
      <c r="G43" s="679"/>
      <c r="H43" s="677">
        <f t="shared" si="9"/>
        <v>221521.76679810582</v>
      </c>
      <c r="I43" s="677">
        <f t="shared" si="10"/>
        <v>349688.3700788953</v>
      </c>
      <c r="J43" s="693">
        <f>SUM(J22,J24,J30)</f>
        <v>25152.28584147535</v>
      </c>
      <c r="R43" s="46" t="s">
        <v>464</v>
      </c>
      <c r="S43" s="47"/>
      <c r="T43" s="48"/>
      <c r="U43" s="392">
        <f>(-U33-U37)/(U36-P33)</f>
        <v>1.1962352592294523</v>
      </c>
    </row>
    <row r="45" spans="1:32" ht="16">
      <c r="B45" s="305" t="s">
        <v>465</v>
      </c>
      <c r="C45" s="305"/>
      <c r="G45" s="434"/>
    </row>
    <row r="46" spans="1:32" ht="16">
      <c r="B46" s="14"/>
      <c r="C46" s="12"/>
      <c r="D46" s="12"/>
      <c r="E46" s="12"/>
      <c r="F46" s="12"/>
      <c r="G46" s="12"/>
      <c r="H46" s="12" t="s">
        <v>14</v>
      </c>
      <c r="I46" s="12" t="s">
        <v>15</v>
      </c>
      <c r="J46" s="13" t="s">
        <v>9</v>
      </c>
      <c r="L46" s="305" t="s">
        <v>20</v>
      </c>
      <c r="M46" s="3"/>
      <c r="R46" s="397" t="s">
        <v>187</v>
      </c>
      <c r="S46" s="428"/>
      <c r="T46" s="514"/>
      <c r="U46" s="527"/>
    </row>
    <row r="47" spans="1:32" ht="15">
      <c r="B47" s="33" t="s">
        <v>6</v>
      </c>
      <c r="C47" s="34"/>
      <c r="D47" s="35"/>
      <c r="E47" s="35"/>
      <c r="F47" s="36">
        <v>3</v>
      </c>
      <c r="G47" s="37" t="s">
        <v>37</v>
      </c>
      <c r="H47" s="38">
        <f t="shared" ref="H47:H53" si="12">J47/$G$18*1000000</f>
        <v>686.96332091456327</v>
      </c>
      <c r="I47" s="38">
        <f t="shared" ref="I47:I53" si="13">J47/$H$18*1000000</f>
        <v>1084.4220297932943</v>
      </c>
      <c r="J47" s="39">
        <f>-'CF1'!$E$56</f>
        <v>78.000000000000014</v>
      </c>
      <c r="L47" s="515"/>
      <c r="M47" s="516"/>
      <c r="N47" s="516"/>
      <c r="O47" s="516"/>
      <c r="P47" s="517"/>
      <c r="R47" s="518"/>
      <c r="S47" s="518"/>
      <c r="T47" s="509"/>
      <c r="U47" s="7" t="s">
        <v>19</v>
      </c>
    </row>
    <row r="48" spans="1:32" ht="14">
      <c r="B48" s="33" t="s">
        <v>26</v>
      </c>
      <c r="C48" s="34"/>
      <c r="D48" s="35"/>
      <c r="E48" s="35"/>
      <c r="F48" s="40">
        <f>DB!F48</f>
        <v>0.03</v>
      </c>
      <c r="G48" s="37" t="s">
        <v>12</v>
      </c>
      <c r="H48" s="38">
        <f t="shared" si="12"/>
        <v>11254.474090649916</v>
      </c>
      <c r="I48" s="38">
        <f t="shared" si="13"/>
        <v>17766.013506209441</v>
      </c>
      <c r="J48" s="39">
        <f>-'CF1'!$E$53</f>
        <v>1277.8687774799996</v>
      </c>
      <c r="L48" s="33" t="s">
        <v>165</v>
      </c>
      <c r="M48" s="34"/>
      <c r="N48" s="35"/>
      <c r="O48" s="519"/>
      <c r="P48" s="520" t="str">
        <f>DB!$P$48</f>
        <v>77:02:0019010:102</v>
      </c>
      <c r="R48" s="33" t="str">
        <f>B41</f>
        <v>УПРАВЛЕНИЕ ПРОЕКТОМ</v>
      </c>
      <c r="S48" s="486"/>
      <c r="T48" s="35"/>
      <c r="U48" s="39">
        <f>J41</f>
        <v>730.06201048679407</v>
      </c>
    </row>
    <row r="49" spans="2:21" ht="14">
      <c r="B49" s="33" t="s">
        <v>25</v>
      </c>
      <c r="C49" s="34"/>
      <c r="D49" s="35"/>
      <c r="E49" s="35"/>
      <c r="F49" s="40">
        <f>DB!F49</f>
        <v>0.03</v>
      </c>
      <c r="G49" s="37" t="s">
        <v>12</v>
      </c>
      <c r="H49" s="38">
        <f t="shared" si="12"/>
        <v>11254.474090649914</v>
      </c>
      <c r="I49" s="38">
        <f t="shared" si="13"/>
        <v>17766.013506209441</v>
      </c>
      <c r="J49" s="39">
        <f>-'CF1'!E51</f>
        <v>1277.8687774799994</v>
      </c>
      <c r="L49" s="25" t="s">
        <v>977</v>
      </c>
      <c r="M49" s="486"/>
      <c r="N49" s="521" t="s">
        <v>239</v>
      </c>
      <c r="O49" s="522">
        <v>45748</v>
      </c>
      <c r="P49" s="523" t="s">
        <v>88</v>
      </c>
      <c r="R49" s="33" t="str">
        <f>B50</f>
        <v>УПРАВЛЕНИЕ ПРОДАЖАМИ</v>
      </c>
      <c r="S49" s="486"/>
      <c r="T49" s="35"/>
      <c r="U49" s="39">
        <f>J50</f>
        <v>511.1475109919997</v>
      </c>
    </row>
    <row r="50" spans="2:21" ht="14">
      <c r="B50" s="33" t="s">
        <v>40</v>
      </c>
      <c r="C50" s="34"/>
      <c r="D50" s="35"/>
      <c r="E50" s="35"/>
      <c r="F50" s="40">
        <v>1.2E-2</v>
      </c>
      <c r="G50" s="37" t="s">
        <v>12</v>
      </c>
      <c r="H50" s="38">
        <f t="shared" si="12"/>
        <v>4501.7896362599649</v>
      </c>
      <c r="I50" s="38">
        <f t="shared" si="13"/>
        <v>7106.4054024837751</v>
      </c>
      <c r="J50" s="39">
        <f>-'CF1'!$E$52</f>
        <v>511.1475109919997</v>
      </c>
      <c r="L50" s="33" t="s">
        <v>193</v>
      </c>
      <c r="M50" s="34"/>
      <c r="N50" s="35"/>
      <c r="O50" s="519" t="s">
        <v>183</v>
      </c>
      <c r="P50" s="524">
        <f>DB!P50</f>
        <v>2</v>
      </c>
      <c r="R50" s="33" t="s">
        <v>110</v>
      </c>
      <c r="S50" s="486"/>
      <c r="T50" s="35"/>
      <c r="U50" s="39">
        <f>O28+O29</f>
        <v>0</v>
      </c>
    </row>
    <row r="51" spans="2:21" ht="14">
      <c r="B51" s="33" t="s">
        <v>141</v>
      </c>
      <c r="C51" s="34"/>
      <c r="D51" s="35"/>
      <c r="E51" s="35"/>
      <c r="F51" s="41">
        <v>30000</v>
      </c>
      <c r="G51" s="37" t="s">
        <v>142</v>
      </c>
      <c r="H51" s="38">
        <f t="shared" si="12"/>
        <v>675.91168921332689</v>
      </c>
      <c r="I51" s="38">
        <f t="shared" si="13"/>
        <v>1066.9762178887702</v>
      </c>
      <c r="J51" s="39">
        <f>-'CF1'!E55</f>
        <v>76.745162592452829</v>
      </c>
      <c r="L51" s="33" t="s">
        <v>158</v>
      </c>
      <c r="M51" s="34"/>
      <c r="N51" s="35"/>
      <c r="O51" s="525" t="s">
        <v>22</v>
      </c>
      <c r="P51" s="524">
        <f>IF('МАСТЕР ПЛАН'!AE2=TRUE,'МАСТЕР ПЛАН'!AB8,IF('МАСТЕР ПЛАН'!AE11=TRUE,'МАСТЕР ПЛАН'!AB17,IF('МАСТЕР ПЛАН'!AE19=TRUE,'МАСТЕР ПЛАН'!AB25,IF('МАСТЕР ПЛАН'!AE28=TRUE,'МАСТЕР ПЛАН'!AA34*'МАСТЕР ПЛАН'!AB29,))))</f>
        <v>25440</v>
      </c>
      <c r="R51" s="33" t="s">
        <v>130</v>
      </c>
      <c r="S51" s="486"/>
      <c r="T51" s="35"/>
      <c r="U51" s="39">
        <f>J23</f>
        <v>0</v>
      </c>
    </row>
    <row r="52" spans="2:21" ht="14">
      <c r="B52" s="33" t="s">
        <v>147</v>
      </c>
      <c r="C52" s="42"/>
      <c r="D52" s="43"/>
      <c r="E52" s="43"/>
      <c r="F52" s="43"/>
      <c r="G52" s="44"/>
      <c r="H52" s="38">
        <f t="shared" si="12"/>
        <v>153.38509060605844</v>
      </c>
      <c r="I52" s="38">
        <f t="shared" si="13"/>
        <v>242.12962501929127</v>
      </c>
      <c r="J52" s="39">
        <f>-'CF1'!E54</f>
        <v>17.415830952</v>
      </c>
      <c r="L52" s="33" t="s">
        <v>166</v>
      </c>
      <c r="M52" s="34"/>
      <c r="N52" s="35"/>
      <c r="O52" s="525" t="s">
        <v>24</v>
      </c>
      <c r="P52" s="524">
        <f>DB!P52</f>
        <v>21593.219999999998</v>
      </c>
      <c r="R52" s="33" t="s">
        <v>85</v>
      </c>
      <c r="S52" s="486"/>
      <c r="T52" s="408">
        <v>0.05</v>
      </c>
      <c r="U52" s="39">
        <f>U38*T52</f>
        <v>248.4026323259003</v>
      </c>
    </row>
    <row r="53" spans="2:21" ht="19">
      <c r="B53" s="678" t="s">
        <v>30</v>
      </c>
      <c r="C53" s="680"/>
      <c r="D53" s="680"/>
      <c r="E53" s="680"/>
      <c r="F53" s="680"/>
      <c r="G53" s="680"/>
      <c r="H53" s="677">
        <f t="shared" si="12"/>
        <v>28526.997918293742</v>
      </c>
      <c r="I53" s="677">
        <f t="shared" si="13"/>
        <v>45031.960287604015</v>
      </c>
      <c r="J53" s="693">
        <f>SUM(J47:J52)</f>
        <v>3239.0460594964516</v>
      </c>
      <c r="L53" s="692"/>
      <c r="M53" s="692"/>
      <c r="N53" s="692"/>
      <c r="O53" s="692"/>
      <c r="P53" s="692"/>
      <c r="R53" s="687"/>
      <c r="S53" s="687"/>
      <c r="T53" s="688"/>
      <c r="U53" s="690">
        <f>SUM(U48:U52)</f>
        <v>1489.6121538046941</v>
      </c>
    </row>
  </sheetData>
  <protectedRanges>
    <protectedRange sqref="T13:T14 R11:R14" name="Диапазон1"/>
    <protectedRange sqref="U27:U28 U25 T8:T12 T16:T17 R8:R10 G8:H14" name="Диапазон1_1"/>
    <protectedRange sqref="J16:J17" name="Диапазон1_3"/>
    <protectedRange sqref="R16:R17 G16:H17" name="Диапазон1_4"/>
  </protectedRanges>
  <phoneticPr fontId="9" type="noConversion"/>
  <conditionalFormatting sqref="N23:N24">
    <cfRule type="expression" dxfId="18" priority="3">
      <formula>#REF!="Нет"</formula>
    </cfRule>
  </conditionalFormatting>
  <conditionalFormatting sqref="N39">
    <cfRule type="expression" dxfId="17" priority="2">
      <formula>#REF!="Нет"</formula>
    </cfRule>
  </conditionalFormatting>
  <conditionalFormatting sqref="P23:P30 P39">
    <cfRule type="expression" dxfId="16" priority="6">
      <formula>#REF!="Нет"</formula>
    </cfRule>
  </conditionalFormatting>
  <conditionalFormatting sqref="T52">
    <cfRule type="expression" dxfId="15" priority="1">
      <formula>#REF!="Нет"</formula>
    </cfRule>
  </conditionalFormatting>
  <dataValidations disablePrompts="1" count="1">
    <dataValidation type="list" allowBlank="1" showInputMessage="1" showErrorMessage="1" sqref="P49" xr:uid="{D6357341-D9B8-43D6-9379-A90DED9D72FE}">
      <formula1>"АРЕНДА,СОБСТВЕННОСТЬ"</formula1>
    </dataValidation>
  </dataValidations>
  <pageMargins left="0.25" right="0.25" top="0.75" bottom="0.75" header="0.3" footer="0.3"/>
  <pageSetup paperSize="9" scale="66" orientation="landscape" r:id="rId1"/>
  <colBreaks count="1" manualBreakCount="1">
    <brk id="2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27BD-C2F5-4126-B9E2-B90087904141}">
  <sheetPr>
    <tabColor rgb="FF000000"/>
    <pageSetUpPr autoPageBreaks="0" fitToPage="1"/>
  </sheetPr>
  <dimension ref="A2:AF53"/>
  <sheetViews>
    <sheetView showGridLines="0" showZeros="0" topLeftCell="A5" zoomScale="89" zoomScaleNormal="90" workbookViewId="0">
      <selection activeCell="W43" sqref="W43"/>
    </sheetView>
  </sheetViews>
  <sheetFormatPr baseColWidth="10" defaultColWidth="9.1640625" defaultRowHeight="11"/>
  <cols>
    <col min="1" max="1" width="7.33203125" style="419" customWidth="1"/>
    <col min="2" max="2" width="14.6640625" style="419" customWidth="1"/>
    <col min="3" max="3" width="12.1640625" style="419" customWidth="1"/>
    <col min="4" max="4" width="7.6640625" style="419" customWidth="1"/>
    <col min="5" max="5" width="9.6640625" style="419" customWidth="1"/>
    <col min="6" max="6" width="11.33203125" style="419" customWidth="1"/>
    <col min="7" max="10" width="10.83203125" style="419" customWidth="1"/>
    <col min="11" max="11" width="7.33203125" style="419" customWidth="1"/>
    <col min="12" max="12" width="15.1640625" style="419" customWidth="1"/>
    <col min="13" max="13" width="13.5" style="419" customWidth="1"/>
    <col min="14" max="14" width="7.6640625" style="419" customWidth="1"/>
    <col min="15" max="15" width="13.6640625" style="419" customWidth="1"/>
    <col min="16" max="16" width="11.5" style="419" customWidth="1"/>
    <col min="17" max="17" width="7.33203125" style="419" customWidth="1"/>
    <col min="18" max="18" width="9.6640625" style="419" customWidth="1"/>
    <col min="19" max="19" width="11" style="419" customWidth="1"/>
    <col min="20" max="20" width="7.33203125" style="419" customWidth="1"/>
    <col min="21" max="21" width="12.5" style="419" customWidth="1"/>
    <col min="22" max="22" width="7.33203125" style="419" customWidth="1"/>
    <col min="23" max="25" width="9.1640625" style="419"/>
    <col min="26" max="26" width="9.1640625" style="419" customWidth="1"/>
    <col min="27" max="16384" width="9.1640625" style="419"/>
  </cols>
  <sheetData>
    <row r="2" spans="1:23" s="425" customFormat="1" ht="16">
      <c r="B2" s="420" t="s">
        <v>468</v>
      </c>
      <c r="C2" s="20" t="str">
        <f>DB!C2</f>
        <v>КАСАТКИНА</v>
      </c>
      <c r="D2" s="421"/>
      <c r="E2" s="422" t="s">
        <v>144</v>
      </c>
      <c r="F2" s="423">
        <v>2</v>
      </c>
      <c r="G2" s="422" t="s">
        <v>20</v>
      </c>
      <c r="H2" s="20" t="str">
        <f>P48</f>
        <v>77:02:0019010:102</v>
      </c>
      <c r="I2" s="424"/>
      <c r="J2" s="424"/>
      <c r="L2" s="422" t="s">
        <v>158</v>
      </c>
      <c r="M2" s="426">
        <f>P51/10000</f>
        <v>2.218</v>
      </c>
      <c r="O2" s="422" t="s">
        <v>160</v>
      </c>
      <c r="P2" s="427">
        <f>DB!P2</f>
        <v>35000</v>
      </c>
      <c r="Q2" s="422" t="s">
        <v>184</v>
      </c>
      <c r="R2" s="20" t="str">
        <f>DB!R2</f>
        <v xml:space="preserve"> ул. КАСАТКИНА, ВЛ. 7</v>
      </c>
      <c r="S2" s="428"/>
      <c r="T2" s="428"/>
      <c r="U2" s="429">
        <f>DB!U2</f>
        <v>45826</v>
      </c>
    </row>
    <row r="5" spans="1:23" ht="16">
      <c r="B5" s="305" t="s">
        <v>2</v>
      </c>
      <c r="C5" s="3"/>
      <c r="F5" s="430" t="s">
        <v>105</v>
      </c>
      <c r="G5" s="431">
        <f>DB!$G$5</f>
        <v>7.0000000000000007E-2</v>
      </c>
      <c r="H5" s="432"/>
      <c r="I5" s="433"/>
      <c r="L5" s="305" t="s">
        <v>53</v>
      </c>
      <c r="M5" s="3"/>
      <c r="Q5" s="434"/>
      <c r="T5" s="434"/>
    </row>
    <row r="6" spans="1:23" ht="30">
      <c r="B6" s="8"/>
      <c r="C6" s="9"/>
      <c r="D6" s="10"/>
      <c r="E6" s="11"/>
      <c r="F6" s="12" t="s">
        <v>0</v>
      </c>
      <c r="G6" s="12" t="s">
        <v>119</v>
      </c>
      <c r="H6" s="12" t="s">
        <v>117</v>
      </c>
      <c r="I6" s="12" t="s">
        <v>3</v>
      </c>
      <c r="J6" s="13" t="s">
        <v>118</v>
      </c>
      <c r="L6" s="14"/>
      <c r="M6" s="9"/>
      <c r="N6" s="10"/>
      <c r="O6" s="435"/>
      <c r="P6" s="12" t="s">
        <v>167</v>
      </c>
      <c r="Q6" s="12" t="s">
        <v>240</v>
      </c>
      <c r="R6" s="12" t="s">
        <v>168</v>
      </c>
      <c r="S6" s="12" t="s">
        <v>120</v>
      </c>
      <c r="T6" s="12" t="s">
        <v>178</v>
      </c>
      <c r="U6" s="13" t="s">
        <v>121</v>
      </c>
    </row>
    <row r="7" spans="1:23" s="443" customFormat="1" ht="16">
      <c r="B7" s="436" t="s">
        <v>46</v>
      </c>
      <c r="C7" s="437"/>
      <c r="D7" s="438"/>
      <c r="E7" s="439" t="s">
        <v>143</v>
      </c>
      <c r="F7" s="440">
        <f>F8+F11</f>
        <v>81817.200000000012</v>
      </c>
      <c r="G7" s="440">
        <f>SUM(G8:G14)</f>
        <v>76089.995999999999</v>
      </c>
      <c r="H7" s="440">
        <f>SUM(H8:H14)</f>
        <v>53433.401100000003</v>
      </c>
      <c r="I7" s="441">
        <f>IFERROR(1-H7/G7,"")</f>
        <v>0.2977604953481664</v>
      </c>
      <c r="J7" s="442"/>
      <c r="L7" s="436" t="str">
        <f t="shared" ref="L7:L17" si="0">B7</f>
        <v>НАЗЕМНАЯ ЧАСТЬ</v>
      </c>
      <c r="M7" s="439" t="s">
        <v>124</v>
      </c>
      <c r="N7" s="439" t="s">
        <v>122</v>
      </c>
      <c r="O7" s="439" t="s">
        <v>123</v>
      </c>
      <c r="P7" s="444"/>
      <c r="Q7" s="444"/>
      <c r="R7" s="444"/>
      <c r="S7" s="445"/>
      <c r="T7" s="444"/>
      <c r="U7" s="446"/>
    </row>
    <row r="8" spans="1:23" s="443" customFormat="1" ht="16">
      <c r="A8" s="526" t="s">
        <v>159</v>
      </c>
      <c r="B8" s="33" t="s">
        <v>48</v>
      </c>
      <c r="C8" s="699">
        <f>ROUND(J8*2.1,0)</f>
        <v>2016</v>
      </c>
      <c r="D8" s="454">
        <f>F8/F7</f>
        <v>0.95520990696332797</v>
      </c>
      <c r="E8" s="449">
        <f>DB!E8</f>
        <v>53</v>
      </c>
      <c r="F8" s="450">
        <f>IF('МАСТЕР ПЛАН'!$AE$2=TRUE,'МАСТЕР ПЛАН'!AC5,IF('МАСТЕР ПЛАН'!$AE$11=TRUE,'МАСТЕР ПЛАН'!AC14,IF('МАСТЕР ПЛАН'!$AE$19=TRUE,'МАСТЕР ПЛАН'!AC22,IF('МАСТЕР ПЛАН'!$AE$28=TRUE,'МАСТЕР ПЛАН'!AC31,0))))</f>
        <v>78152.600000000006</v>
      </c>
      <c r="G8" s="450">
        <f>F8*(1-$G$5)</f>
        <v>72681.918000000005</v>
      </c>
      <c r="H8" s="450">
        <f>G8*(1-I8)</f>
        <v>50877.342600000004</v>
      </c>
      <c r="I8" s="451">
        <f>DB!$I8</f>
        <v>0.3</v>
      </c>
      <c r="J8" s="442">
        <f>IFERROR(ROUND(H8/E8,0),0)</f>
        <v>960</v>
      </c>
      <c r="L8" s="33" t="str">
        <f t="shared" si="0"/>
        <v>КВАРТИРЫ</v>
      </c>
      <c r="M8" s="452">
        <f>$U$25</f>
        <v>46661</v>
      </c>
      <c r="N8" s="453">
        <v>0.7</v>
      </c>
      <c r="O8" s="454">
        <v>-0.17</v>
      </c>
      <c r="P8" s="455">
        <f>_xlfn.MINIFS('CF2'!$F17:$AS17,'CF2'!$F8:$AS8,"&gt;0")</f>
        <v>522.9</v>
      </c>
      <c r="Q8" s="455">
        <f>_xlfn.MAXIFS('CF2'!$F17:$AS17,'CF2'!$F8:$AS8,"&gt;0")</f>
        <v>710.5566626194111</v>
      </c>
      <c r="R8" s="456">
        <f>'DB1'!R8</f>
        <v>630</v>
      </c>
      <c r="S8" s="457">
        <f>'CF2'!E26</f>
        <v>32052.72583800002</v>
      </c>
      <c r="T8" s="458">
        <f>S8/$S$18</f>
        <v>0.88664763379043765</v>
      </c>
      <c r="U8" s="459">
        <v>3000</v>
      </c>
    </row>
    <row r="9" spans="1:23" s="443" customFormat="1" ht="16" hidden="1">
      <c r="A9" s="526" t="s">
        <v>159</v>
      </c>
      <c r="B9" s="33" t="s">
        <v>113</v>
      </c>
      <c r="C9" s="447"/>
      <c r="D9" s="448">
        <f t="shared" ref="D9:D12" si="1">F9/$F$7</f>
        <v>0</v>
      </c>
      <c r="E9" s="449">
        <v>60</v>
      </c>
      <c r="F9" s="450"/>
      <c r="G9" s="450">
        <f t="shared" ref="G9:G14" si="2">F9*(1-$G$5)</f>
        <v>0</v>
      </c>
      <c r="H9" s="450">
        <f>G9*(1-I9)</f>
        <v>0</v>
      </c>
      <c r="I9" s="451">
        <f>DB!$I9</f>
        <v>0</v>
      </c>
      <c r="J9" s="442">
        <f t="shared" ref="J9:J12" si="3">IFERROR(ROUND(H9/E9,0),0)</f>
        <v>0</v>
      </c>
      <c r="L9" s="33" t="str">
        <f t="shared" si="0"/>
        <v>АПАРТАМЕНТЫ</v>
      </c>
      <c r="M9" s="452">
        <f t="shared" ref="M9:M10" si="4">$U$25</f>
        <v>46661</v>
      </c>
      <c r="N9" s="453">
        <v>0.7</v>
      </c>
      <c r="O9" s="454"/>
      <c r="P9" s="455">
        <f>_xlfn.MINIFS('CF2'!$F18:$AS18,'CF2'!$F9:$AS9,"&gt;0")</f>
        <v>0</v>
      </c>
      <c r="Q9" s="455">
        <f>_xlfn.MAXIFS('CF2'!$F18:$AS18,'CF2'!$F9:$AS9,"&gt;0")</f>
        <v>0</v>
      </c>
      <c r="R9" s="456"/>
      <c r="S9" s="457">
        <f>'CF2'!E27</f>
        <v>0</v>
      </c>
      <c r="T9" s="458">
        <f>S9/$S$18</f>
        <v>0</v>
      </c>
      <c r="U9" s="459"/>
    </row>
    <row r="10" spans="1:23" s="443" customFormat="1" ht="16" hidden="1">
      <c r="A10" s="526" t="s">
        <v>204</v>
      </c>
      <c r="B10" s="33" t="s">
        <v>114</v>
      </c>
      <c r="C10" s="447"/>
      <c r="D10" s="448">
        <f t="shared" si="1"/>
        <v>0</v>
      </c>
      <c r="E10" s="449">
        <v>100</v>
      </c>
      <c r="F10" s="450"/>
      <c r="G10" s="450">
        <f t="shared" si="2"/>
        <v>0</v>
      </c>
      <c r="H10" s="450">
        <f>G10*(1-I10)</f>
        <v>0</v>
      </c>
      <c r="I10" s="451">
        <f>DB!$I10</f>
        <v>0</v>
      </c>
      <c r="J10" s="442">
        <f t="shared" si="3"/>
        <v>0</v>
      </c>
      <c r="L10" s="33" t="str">
        <f t="shared" si="0"/>
        <v>ОФИСЫ</v>
      </c>
      <c r="M10" s="452">
        <f t="shared" si="4"/>
        <v>46661</v>
      </c>
      <c r="N10" s="453">
        <v>0.7</v>
      </c>
      <c r="O10" s="454"/>
      <c r="P10" s="455">
        <f>_xlfn.MINIFS('CF2'!$F19:$AS19,'CF2'!$F10:$AS10,"&gt;0")</f>
        <v>0</v>
      </c>
      <c r="Q10" s="455">
        <f>_xlfn.MAXIFS('CF2'!$F19:$AS19,'CF2'!$F10:$AS10,"&gt;0")</f>
        <v>0</v>
      </c>
      <c r="R10" s="456"/>
      <c r="S10" s="457">
        <f>'CF2'!E28</f>
        <v>0</v>
      </c>
      <c r="T10" s="458">
        <f>S10/$S$18</f>
        <v>0</v>
      </c>
      <c r="U10" s="459"/>
    </row>
    <row r="11" spans="1:23" s="443" customFormat="1" ht="16">
      <c r="A11" s="526" t="s">
        <v>208</v>
      </c>
      <c r="B11" s="33" t="s">
        <v>116</v>
      </c>
      <c r="C11" s="447"/>
      <c r="D11" s="454">
        <f>F11/F7</f>
        <v>4.4790093036671988E-2</v>
      </c>
      <c r="E11" s="449">
        <v>100</v>
      </c>
      <c r="F11" s="450">
        <f>IF('МАСТЕР ПЛАН'!$AE$2=TRUE,'МАСТЕР ПЛАН'!AC6,IF('МАСТЕР ПЛАН'!$AE$11=TRUE,'МАСТЕР ПЛАН'!AC15,IF('МАСТЕР ПЛАН'!$AE$19=TRUE,'МАСТЕР ПЛАН'!AC23,IF('МАСТЕР ПЛАН'!$AE$28=TRUE,'МАСТЕР ПЛАН'!AC32,0))))</f>
        <v>3664.6</v>
      </c>
      <c r="G11" s="450">
        <f>F11*(1-$G$5)</f>
        <v>3408.0779999999995</v>
      </c>
      <c r="H11" s="450">
        <f>G11*(1-I11)</f>
        <v>2556.0584999999996</v>
      </c>
      <c r="I11" s="451">
        <f>DB!$I11</f>
        <v>0.25</v>
      </c>
      <c r="J11" s="442">
        <f t="shared" si="3"/>
        <v>26</v>
      </c>
      <c r="L11" s="33" t="str">
        <f t="shared" si="0"/>
        <v>РИТЕЙЛ</v>
      </c>
      <c r="M11" s="460">
        <f>DB!$M$11</f>
        <v>1</v>
      </c>
      <c r="N11" s="453">
        <v>1</v>
      </c>
      <c r="O11" s="454">
        <f>Q11/P11-1</f>
        <v>0</v>
      </c>
      <c r="P11" s="455">
        <f>_xlfn.MINIFS('CF2'!$F20:$AS20,'CF2'!$F11:$AS11,"&gt;0")</f>
        <v>700</v>
      </c>
      <c r="Q11" s="455">
        <f>_xlfn.MAXIFS('CF2'!$F20:$AS20,'CF2'!$F11:$AS11,"&gt;0")</f>
        <v>700</v>
      </c>
      <c r="R11" s="456">
        <v>700</v>
      </c>
      <c r="S11" s="457">
        <f>'CF2'!E29</f>
        <v>1789.2409499999997</v>
      </c>
      <c r="T11" s="458">
        <f>S11/$S$18</f>
        <v>4.9494269617396197E-2</v>
      </c>
      <c r="U11" s="462"/>
    </row>
    <row r="12" spans="1:23" s="443" customFormat="1" ht="16">
      <c r="A12" s="526" t="s">
        <v>208</v>
      </c>
      <c r="B12" s="33" t="s">
        <v>115</v>
      </c>
      <c r="C12" s="447"/>
      <c r="D12" s="448">
        <f t="shared" si="1"/>
        <v>0</v>
      </c>
      <c r="E12" s="449">
        <v>100</v>
      </c>
      <c r="F12" s="450"/>
      <c r="G12" s="450">
        <f t="shared" si="2"/>
        <v>0</v>
      </c>
      <c r="H12" s="450">
        <f>G12*(1-I12)</f>
        <v>0</v>
      </c>
      <c r="I12" s="451">
        <f>DB!$I12</f>
        <v>0</v>
      </c>
      <c r="J12" s="442">
        <f t="shared" si="3"/>
        <v>0</v>
      </c>
      <c r="L12" s="33" t="str">
        <f t="shared" si="0"/>
        <v>ТЦ</v>
      </c>
      <c r="M12" s="460">
        <f>DB!$M$12</f>
        <v>0</v>
      </c>
      <c r="N12" s="453"/>
      <c r="O12" s="461"/>
      <c r="P12" s="455">
        <f>_xlfn.MINIFS('CF2'!$F21:$AS21,'CF2'!$F12:$AS12,"&gt;0")</f>
        <v>0</v>
      </c>
      <c r="Q12" s="455">
        <f>_xlfn.MAXIFS('CF2'!$F21:$AS21,'CF2'!$F12:$AS12,"&gt;0")</f>
        <v>0</v>
      </c>
      <c r="R12" s="456"/>
      <c r="S12" s="457">
        <f>'CF2'!E30</f>
        <v>0</v>
      </c>
      <c r="T12" s="458">
        <f>S12/$S$18</f>
        <v>0</v>
      </c>
      <c r="U12" s="462"/>
    </row>
    <row r="13" spans="1:23" s="443" customFormat="1" ht="16">
      <c r="A13" s="526" t="str">
        <f>'TS2'!B68</f>
        <v>СОЦИАЛКА</v>
      </c>
      <c r="B13" s="33" t="s">
        <v>125</v>
      </c>
      <c r="C13" s="463" t="s">
        <v>127</v>
      </c>
      <c r="D13" s="464">
        <v>1000</v>
      </c>
      <c r="E13" s="465"/>
      <c r="F13" s="450"/>
      <c r="G13" s="450">
        <f t="shared" si="2"/>
        <v>0</v>
      </c>
      <c r="H13" s="450"/>
      <c r="I13" s="466"/>
      <c r="J13" s="442"/>
      <c r="L13" s="33" t="str">
        <f t="shared" si="0"/>
        <v>ШКОЛА</v>
      </c>
      <c r="M13" s="467"/>
      <c r="N13" s="468"/>
      <c r="O13" s="469"/>
      <c r="P13" s="455"/>
      <c r="Q13" s="455"/>
      <c r="R13" s="470"/>
      <c r="S13" s="457"/>
      <c r="T13" s="471"/>
      <c r="U13" s="462"/>
    </row>
    <row r="14" spans="1:23" s="443" customFormat="1" ht="16">
      <c r="A14" s="526" t="str">
        <f>A13</f>
        <v>СОЦИАЛКА</v>
      </c>
      <c r="B14" s="33" t="s">
        <v>126</v>
      </c>
      <c r="C14" s="463" t="s">
        <v>127</v>
      </c>
      <c r="D14" s="464"/>
      <c r="E14" s="465"/>
      <c r="F14" s="450"/>
      <c r="G14" s="450">
        <f t="shared" si="2"/>
        <v>0</v>
      </c>
      <c r="H14" s="450"/>
      <c r="I14" s="466"/>
      <c r="J14" s="442"/>
      <c r="L14" s="33" t="str">
        <f t="shared" si="0"/>
        <v>ДОУ</v>
      </c>
      <c r="M14" s="467"/>
      <c r="N14" s="468"/>
      <c r="O14" s="469"/>
      <c r="P14" s="455"/>
      <c r="Q14" s="455"/>
      <c r="R14" s="470"/>
      <c r="S14" s="457"/>
      <c r="T14" s="471"/>
      <c r="U14" s="462"/>
    </row>
    <row r="15" spans="1:23" s="443" customFormat="1" ht="16">
      <c r="B15" s="436" t="s">
        <v>47</v>
      </c>
      <c r="C15" s="437"/>
      <c r="D15" s="439" t="s">
        <v>163</v>
      </c>
      <c r="E15" s="439" t="s">
        <v>162</v>
      </c>
      <c r="F15" s="440"/>
      <c r="G15" s="440">
        <f>G16</f>
        <v>20520</v>
      </c>
      <c r="H15" s="440">
        <f>H16</f>
        <v>7695</v>
      </c>
      <c r="I15" s="472"/>
      <c r="J15" s="442"/>
      <c r="L15" s="436" t="str">
        <f t="shared" si="0"/>
        <v>ПОДЗЕМНАЯ ЧАСТЬ</v>
      </c>
      <c r="M15" s="473"/>
      <c r="N15" s="473"/>
      <c r="O15" s="468"/>
      <c r="P15" s="474"/>
      <c r="Q15" s="474"/>
      <c r="R15" s="475"/>
      <c r="S15" s="476"/>
      <c r="T15" s="444"/>
      <c r="U15" s="446"/>
    </row>
    <row r="16" spans="1:23" s="443" customFormat="1" ht="16">
      <c r="B16" s="33" t="s">
        <v>128</v>
      </c>
      <c r="C16" s="477">
        <f>J16/J8</f>
        <v>0.53437500000000004</v>
      </c>
      <c r="D16" s="449">
        <f>DB!D16</f>
        <v>40</v>
      </c>
      <c r="E16" s="449">
        <f>DB!E16</f>
        <v>15</v>
      </c>
      <c r="F16" s="450"/>
      <c r="G16" s="450">
        <f>J16*D16</f>
        <v>20520</v>
      </c>
      <c r="H16" s="450">
        <f>J16*E16</f>
        <v>7695</v>
      </c>
      <c r="I16" s="478"/>
      <c r="J16" s="442">
        <f>ROUNDUP((J8*2.1*0.257*0.9)*1.1,0)</f>
        <v>513</v>
      </c>
      <c r="L16" s="33" t="str">
        <f t="shared" si="0"/>
        <v>ПАРКИНГ ЖИЛЬЕ</v>
      </c>
      <c r="M16" s="479"/>
      <c r="N16" s="453">
        <f>DB!N16</f>
        <v>0.7</v>
      </c>
      <c r="O16" s="454"/>
      <c r="P16" s="455">
        <f>_xlfn.MINIFS('CF2'!$F22:$AS22,'CF2'!$F13:$AS13,"&gt;0")</f>
        <v>4500</v>
      </c>
      <c r="Q16" s="455">
        <f>_xlfn.MAXIFS('CF2'!$F22:$AS22,'CF2'!$F13:$AS13,"&gt;0")</f>
        <v>4500</v>
      </c>
      <c r="R16" s="456">
        <f>'DB1'!R16</f>
        <v>4500</v>
      </c>
      <c r="S16" s="457">
        <f>'CF2'!E31</f>
        <v>2308.5</v>
      </c>
      <c r="T16" s="458">
        <f>S16/$S$18</f>
        <v>6.3858096592166166E-2</v>
      </c>
      <c r="U16" s="462"/>
      <c r="W16" s="480"/>
    </row>
    <row r="17" spans="2:32" s="443" customFormat="1" ht="16" hidden="1">
      <c r="B17" s="33" t="s">
        <v>129</v>
      </c>
      <c r="C17" s="477">
        <f>DB!C17</f>
        <v>0</v>
      </c>
      <c r="D17" s="449">
        <f>DB!D17</f>
        <v>0</v>
      </c>
      <c r="E17" s="449">
        <f>DB!E17</f>
        <v>0</v>
      </c>
      <c r="F17" s="481"/>
      <c r="G17" s="450">
        <f>J17*D17</f>
        <v>0</v>
      </c>
      <c r="H17" s="450">
        <f>J17*E17</f>
        <v>0</v>
      </c>
      <c r="I17" s="478"/>
      <c r="J17" s="442">
        <f>IFERROR(ROUND(J10*C17,0),0)</f>
        <v>0</v>
      </c>
      <c r="L17" s="33" t="str">
        <f t="shared" si="0"/>
        <v>ПАРКИНГ ОФИС</v>
      </c>
      <c r="M17" s="467"/>
      <c r="N17" s="453"/>
      <c r="O17" s="454"/>
      <c r="P17" s="455">
        <f>_xlfn.MINIFS('CF2'!$F23:$AS23,'CF2'!$F14:$AS14,"&gt;0")</f>
        <v>0</v>
      </c>
      <c r="Q17" s="455">
        <f>_xlfn.MAXIFS('CF2'!$F23:$AS23,'CF2'!$F14:$AS14,"&gt;0")</f>
        <v>0</v>
      </c>
      <c r="R17" s="456"/>
      <c r="S17" s="457">
        <f>'CF2'!E32</f>
        <v>0</v>
      </c>
      <c r="T17" s="458">
        <f>S17/$S$18</f>
        <v>0</v>
      </c>
      <c r="U17" s="462"/>
    </row>
    <row r="18" spans="2:32" s="482" customFormat="1" ht="19">
      <c r="B18" s="678" t="s">
        <v>316</v>
      </c>
      <c r="C18" s="698"/>
      <c r="D18" s="698"/>
      <c r="E18" s="680"/>
      <c r="F18" s="681">
        <f>F7</f>
        <v>81817.200000000012</v>
      </c>
      <c r="G18" s="681">
        <f>G15+G7</f>
        <v>96609.995999999999</v>
      </c>
      <c r="H18" s="681">
        <f>SUM(H7,H15)</f>
        <v>61128.401100000003</v>
      </c>
      <c r="I18" s="682">
        <f>I7</f>
        <v>0.2977604953481664</v>
      </c>
      <c r="J18" s="683"/>
      <c r="L18" s="678" t="s">
        <v>53</v>
      </c>
      <c r="M18" s="679"/>
      <c r="N18" s="680"/>
      <c r="O18" s="680"/>
      <c r="P18" s="684"/>
      <c r="Q18" s="684"/>
      <c r="R18" s="684"/>
      <c r="S18" s="685">
        <f>SUM(S8:S17)</f>
        <v>36150.46678800002</v>
      </c>
      <c r="T18" s="686"/>
      <c r="U18" s="684"/>
    </row>
    <row r="20" spans="2:32" ht="15.75" customHeight="1">
      <c r="B20" s="305" t="s">
        <v>13</v>
      </c>
      <c r="C20" s="305"/>
      <c r="G20" s="434"/>
      <c r="L20" s="305" t="s">
        <v>56</v>
      </c>
      <c r="M20" s="22"/>
      <c r="R20" s="305" t="s">
        <v>54</v>
      </c>
      <c r="S20" s="4"/>
    </row>
    <row r="21" spans="2:32" ht="15.75" customHeight="1">
      <c r="B21" s="14"/>
      <c r="C21" s="12"/>
      <c r="D21" s="12"/>
      <c r="E21" s="12"/>
      <c r="F21" s="12"/>
      <c r="G21" s="12"/>
      <c r="H21" s="483" t="s">
        <v>14</v>
      </c>
      <c r="I21" s="12" t="s">
        <v>15</v>
      </c>
      <c r="J21" s="13" t="s">
        <v>9</v>
      </c>
      <c r="L21" s="18" t="s">
        <v>106</v>
      </c>
      <c r="M21" s="12"/>
      <c r="N21" s="12"/>
      <c r="O21" s="12"/>
      <c r="P21" s="13"/>
      <c r="R21" s="5"/>
      <c r="S21" s="5"/>
      <c r="T21" s="6"/>
      <c r="U21" s="7" t="s">
        <v>183</v>
      </c>
    </row>
    <row r="22" spans="2:32" ht="14">
      <c r="B22" s="436" t="s">
        <v>31</v>
      </c>
      <c r="C22" s="401"/>
      <c r="D22" s="35"/>
      <c r="E22" s="401"/>
      <c r="F22" s="484">
        <f>J22/M2</f>
        <v>237.37601442741214</v>
      </c>
      <c r="G22" s="485" t="s">
        <v>186</v>
      </c>
      <c r="H22" s="38">
        <f>IFERROR(J22/$G$18*1000000,0)</f>
        <v>5449.7466287028947</v>
      </c>
      <c r="I22" s="38">
        <f t="shared" ref="I22:I32" si="5">IFERROR(J22/$H$18*1000000,0)</f>
        <v>8613.0176894157321</v>
      </c>
      <c r="J22" s="531">
        <f>-SUMIFS(DETAILS!$I$138:$I$146,DETAILS!$C$138:$C$146,'DB2'!F2)/10^6</f>
        <v>526.50000000000011</v>
      </c>
      <c r="L22" s="399" t="s">
        <v>169</v>
      </c>
      <c r="M22" s="400"/>
      <c r="N22" s="401"/>
      <c r="O22" s="401"/>
      <c r="P22" s="402">
        <f>'TS2'!J85</f>
        <v>0.2</v>
      </c>
      <c r="R22" s="33" t="s">
        <v>457</v>
      </c>
      <c r="S22" s="486"/>
      <c r="T22" s="487"/>
      <c r="U22" s="488">
        <f>DB!U22</f>
        <v>45017</v>
      </c>
    </row>
    <row r="23" spans="2:32" ht="14">
      <c r="B23" s="33" t="s">
        <v>130</v>
      </c>
      <c r="C23" s="489"/>
      <c r="D23" s="35"/>
      <c r="E23" s="35"/>
      <c r="F23" s="490"/>
      <c r="G23" s="485" t="s">
        <v>131</v>
      </c>
      <c r="H23" s="38">
        <f>IFERROR(J23/$G$18*1000000,0)</f>
        <v>0</v>
      </c>
      <c r="I23" s="38">
        <f t="shared" si="5"/>
        <v>0</v>
      </c>
      <c r="J23" s="39">
        <f>F23*J22</f>
        <v>0</v>
      </c>
      <c r="L23" s="33" t="s">
        <v>189</v>
      </c>
      <c r="M23" s="403"/>
      <c r="N23" s="404">
        <f>DB!N23</f>
        <v>0.05</v>
      </c>
      <c r="O23" s="35"/>
      <c r="P23" s="405">
        <f>P22+N23</f>
        <v>0.25</v>
      </c>
      <c r="R23" s="33" t="s">
        <v>458</v>
      </c>
      <c r="S23" s="486"/>
      <c r="T23" s="487"/>
      <c r="U23" s="488">
        <f>DB!U23</f>
        <v>45748</v>
      </c>
    </row>
    <row r="24" spans="2:32" ht="14">
      <c r="B24" s="436" t="s">
        <v>50</v>
      </c>
      <c r="C24" s="491"/>
      <c r="D24" s="401"/>
      <c r="E24" s="401"/>
      <c r="F24" s="492"/>
      <c r="G24" s="492"/>
      <c r="H24" s="462">
        <f>J24/$G$18*1000000</f>
        <v>21420.004611943899</v>
      </c>
      <c r="I24" s="462">
        <f t="shared" si="5"/>
        <v>33853.111199400919</v>
      </c>
      <c r="J24" s="39">
        <f>SUM(J25:J29)</f>
        <v>2069.3865598798816</v>
      </c>
      <c r="L24" s="33" t="s">
        <v>190</v>
      </c>
      <c r="M24" s="403"/>
      <c r="N24" s="404">
        <f>DB!N24</f>
        <v>3.7999999999999999E-2</v>
      </c>
      <c r="O24" s="35"/>
      <c r="P24" s="405">
        <f>P22+N24</f>
        <v>0.23800000000000002</v>
      </c>
      <c r="R24" s="33" t="s">
        <v>485</v>
      </c>
      <c r="S24" s="486"/>
      <c r="T24" s="487"/>
      <c r="U24" s="493">
        <f>5+4+1</f>
        <v>10</v>
      </c>
    </row>
    <row r="25" spans="2:32" ht="14">
      <c r="B25" s="33" t="s">
        <v>10</v>
      </c>
      <c r="C25" s="494">
        <f>IF(D25&gt;0,"со скидкой",0)</f>
        <v>0</v>
      </c>
      <c r="D25" s="495">
        <f>'TS2'!E76</f>
        <v>0</v>
      </c>
      <c r="E25" s="485"/>
      <c r="F25" s="485"/>
      <c r="G25" s="485"/>
      <c r="H25" s="38">
        <f>IFERROR(J25/$G$18*1000000,0)</f>
        <v>40386.324900080406</v>
      </c>
      <c r="I25" s="38">
        <f t="shared" si="5"/>
        <v>63828.312483891692</v>
      </c>
      <c r="J25" s="39">
        <f>'TS2'!E77/10^6</f>
        <v>3901.7226870514687</v>
      </c>
      <c r="L25" s="33" t="s">
        <v>191</v>
      </c>
      <c r="M25" s="406"/>
      <c r="N25" s="407"/>
      <c r="O25" s="35"/>
      <c r="P25" s="408">
        <f>DB!P25</f>
        <v>3.7999999999999999E-2</v>
      </c>
      <c r="R25" s="496" t="s">
        <v>134</v>
      </c>
      <c r="S25" s="497"/>
      <c r="T25" s="498"/>
      <c r="U25" s="499">
        <f>EOMONTH(_xlfn.MINIFS('TS2'!$F$17:$AS$17,'TS2'!$F$25:$AS$25,"&gt;0"),-3)+1</f>
        <v>46661</v>
      </c>
    </row>
    <row r="26" spans="2:32" ht="14">
      <c r="B26" s="33" t="s">
        <v>218</v>
      </c>
      <c r="C26" s="485"/>
      <c r="D26" s="485"/>
      <c r="E26" s="485"/>
      <c r="F26" s="485"/>
      <c r="G26" s="485"/>
      <c r="H26" s="38">
        <f t="shared" ref="H26:H30" si="6">IFERROR(J26/$G$18*1000000,0)</f>
        <v>-40386.324900080406</v>
      </c>
      <c r="I26" s="38">
        <f t="shared" si="5"/>
        <v>-63828.312483891692</v>
      </c>
      <c r="J26" s="39">
        <f>-'TS2'!C81/10^6</f>
        <v>-3901.7226870514687</v>
      </c>
      <c r="L26" s="399" t="s">
        <v>170</v>
      </c>
      <c r="M26" s="409"/>
      <c r="N26" s="35"/>
      <c r="O26" s="35"/>
      <c r="P26" s="410"/>
      <c r="R26" s="33" t="s">
        <v>486</v>
      </c>
      <c r="S26" s="486"/>
      <c r="T26" s="487"/>
      <c r="U26" s="493">
        <v>12</v>
      </c>
    </row>
    <row r="27" spans="2:32" ht="14">
      <c r="B27" s="33" t="s">
        <v>373</v>
      </c>
      <c r="C27" s="485"/>
      <c r="D27" s="485"/>
      <c r="E27" s="485"/>
      <c r="F27" s="485"/>
      <c r="G27" s="485"/>
      <c r="H27" s="38">
        <f>IFERROR(J27/$G$18*1000000,0)</f>
        <v>20239.333073058831</v>
      </c>
      <c r="I27" s="38">
        <f t="shared" si="5"/>
        <v>31987.126311911361</v>
      </c>
      <c r="J27" s="39">
        <f>'TS2'!AA113+'TS2'!AC113</f>
        <v>1955.3218872308814</v>
      </c>
      <c r="L27" s="33" t="s">
        <v>188</v>
      </c>
      <c r="M27" s="411"/>
      <c r="N27" s="35"/>
      <c r="O27" s="398">
        <f>(P31+P32+P33)*P27</f>
        <v>136.53967019161266</v>
      </c>
      <c r="P27" s="412">
        <v>5.0000000000000001E-3</v>
      </c>
      <c r="R27" s="500" t="s">
        <v>107</v>
      </c>
      <c r="S27" s="501"/>
      <c r="T27" s="498"/>
      <c r="U27" s="502">
        <f>_xlfn.MINIFS('TS2'!$F$17:$AS$17,'TS2'!$F$16:$AS$16,'DB2'!R27)</f>
        <v>47756</v>
      </c>
    </row>
    <row r="28" spans="2:32" ht="15">
      <c r="B28" s="33" t="s">
        <v>38</v>
      </c>
      <c r="D28" s="503"/>
      <c r="E28" s="43"/>
      <c r="F28" s="494"/>
      <c r="G28" s="485"/>
      <c r="H28" s="38">
        <f t="shared" si="6"/>
        <v>0</v>
      </c>
      <c r="I28" s="38">
        <f t="shared" si="5"/>
        <v>0</v>
      </c>
      <c r="J28" s="39">
        <f>'TS2'!N67</f>
        <v>0</v>
      </c>
      <c r="L28" s="33" t="s">
        <v>248</v>
      </c>
      <c r="M28" s="411"/>
      <c r="N28" s="35"/>
      <c r="O28" s="398">
        <f>(P31+P32)*P28</f>
        <v>0</v>
      </c>
      <c r="P28" s="413">
        <v>0</v>
      </c>
      <c r="R28" s="33" t="s">
        <v>112</v>
      </c>
      <c r="S28" s="486"/>
      <c r="T28" s="504"/>
      <c r="U28" s="505">
        <f>_xlfn.MAXIFS('TS2'!$F$36:$AS$36,'TS2'!$F$38:$AS$38,"&gt;0")</f>
        <v>48213</v>
      </c>
      <c r="AF28" s="1396"/>
    </row>
    <row r="29" spans="2:32" ht="16">
      <c r="B29" s="33" t="s">
        <v>39</v>
      </c>
      <c r="C29" s="42"/>
      <c r="D29" s="43"/>
      <c r="E29" s="43"/>
      <c r="F29" s="506" t="str">
        <f>P49</f>
        <v>АРЕНДА</v>
      </c>
      <c r="G29" s="494"/>
      <c r="H29" s="38">
        <f>IFERROR(J29/$G$18*1000000,0)</f>
        <v>1180.6715388850653</v>
      </c>
      <c r="I29" s="38">
        <f t="shared" si="5"/>
        <v>1865.984887489557</v>
      </c>
      <c r="J29" s="39">
        <f>-'CF2'!E62</f>
        <v>114.06467264900002</v>
      </c>
      <c r="L29" s="33" t="s">
        <v>249</v>
      </c>
      <c r="M29" s="411"/>
      <c r="N29" s="35"/>
      <c r="O29" s="398">
        <f>(P33+P32)*P29</f>
        <v>0</v>
      </c>
      <c r="P29" s="413"/>
      <c r="R29" s="50" t="s">
        <v>315</v>
      </c>
      <c r="S29" s="50"/>
      <c r="T29" s="51"/>
      <c r="U29" s="297">
        <f>(U28-U23)/365</f>
        <v>6.7534246575342465</v>
      </c>
    </row>
    <row r="30" spans="2:32" ht="14">
      <c r="B30" s="436" t="s">
        <v>49</v>
      </c>
      <c r="C30" s="401"/>
      <c r="D30" s="401"/>
      <c r="E30" s="401"/>
      <c r="F30" s="492"/>
      <c r="G30" s="492"/>
      <c r="H30" s="462">
        <f t="shared" si="6"/>
        <v>207044.13839720329</v>
      </c>
      <c r="I30" s="462">
        <f t="shared" si="5"/>
        <v>327221.60276456591</v>
      </c>
      <c r="J30" s="39">
        <f>SUM(J31:J42)</f>
        <v>20002.533382377256</v>
      </c>
      <c r="L30" s="399" t="s">
        <v>235</v>
      </c>
      <c r="M30" s="409"/>
      <c r="N30" s="35"/>
      <c r="O30" s="35"/>
      <c r="P30" s="410"/>
    </row>
    <row r="31" spans="2:32" ht="16">
      <c r="B31" s="33" t="s">
        <v>954</v>
      </c>
      <c r="C31" s="34"/>
      <c r="D31" s="35"/>
      <c r="E31" s="35"/>
      <c r="F31" s="41">
        <v>6500</v>
      </c>
      <c r="G31" s="485" t="s">
        <v>16</v>
      </c>
      <c r="H31" s="38">
        <f>IFERROR(J31/$G$18*1000000,0)</f>
        <v>6500</v>
      </c>
      <c r="I31" s="38">
        <f t="shared" si="5"/>
        <v>10272.884006449172</v>
      </c>
      <c r="J31" s="39">
        <f>$G$18*F31/10^6</f>
        <v>627.96497399999998</v>
      </c>
      <c r="L31" s="33" t="s">
        <v>31</v>
      </c>
      <c r="M31" s="414"/>
      <c r="N31" s="35"/>
      <c r="O31" s="415" t="s">
        <v>19</v>
      </c>
      <c r="P31" s="416">
        <f>-'CF2'!F60</f>
        <v>0</v>
      </c>
      <c r="R31" s="305" t="s">
        <v>164</v>
      </c>
      <c r="S31" s="21"/>
    </row>
    <row r="32" spans="2:32" ht="15">
      <c r="B32" s="33" t="s">
        <v>32</v>
      </c>
      <c r="C32" s="34"/>
      <c r="D32" s="35"/>
      <c r="E32" s="35"/>
      <c r="F32" s="41">
        <v>1000</v>
      </c>
      <c r="G32" s="485" t="s">
        <v>16</v>
      </c>
      <c r="H32" s="38">
        <f>IFERROR(J32/$G$18*1000000,0)</f>
        <v>1000</v>
      </c>
      <c r="I32" s="38">
        <f t="shared" si="5"/>
        <v>1580.4436932998726</v>
      </c>
      <c r="J32" s="39">
        <f>$G$18*F32/10^6</f>
        <v>96.609995999999995</v>
      </c>
      <c r="L32" s="33" t="s">
        <v>200</v>
      </c>
      <c r="M32" s="414"/>
      <c r="N32" s="35"/>
      <c r="O32" s="415" t="s">
        <v>19</v>
      </c>
      <c r="P32" s="416">
        <f>-SUMIFS('CF2'!$F$50:$BM$50,'CF2'!$F$5:$BM$5,"&lt;"&amp;(EOMONTH('DB2'!U25,2)))-SUMIFS('CF2'!$F$59:$BM$59,'CF2'!$F$5:$BM$5,"&lt;"&amp;(EOMONTH('DB2'!U25,2)))-P31</f>
        <v>3092.0442993371153</v>
      </c>
      <c r="R32" s="507"/>
      <c r="S32" s="508"/>
      <c r="T32" s="509"/>
      <c r="U32" s="7" t="s">
        <v>19</v>
      </c>
    </row>
    <row r="33" spans="1:32" ht="14">
      <c r="B33" s="33" t="s">
        <v>955</v>
      </c>
      <c r="C33" s="34"/>
      <c r="D33" s="1107" t="s">
        <v>453</v>
      </c>
      <c r="E33" s="1108">
        <f>-DETAILS!G308</f>
        <v>128357.00202285488</v>
      </c>
      <c r="F33" s="41">
        <f>DB!F33</f>
        <v>137000</v>
      </c>
      <c r="G33" s="485" t="s">
        <v>16</v>
      </c>
      <c r="H33" s="38">
        <f>IFERROR(J33/($G$8+$G$9+$G$11+$G$16)*1000000,0)</f>
        <v>137000</v>
      </c>
      <c r="I33" s="38">
        <f>IFERROR(J33/($H$8+$H$9+$H$11+$H$16)*1000000,0)</f>
        <v>216520.78598208257</v>
      </c>
      <c r="J33" s="39">
        <f>($G$16+$G$11+$G$9+$G$8)*F33/10^6</f>
        <v>13235.569452000002</v>
      </c>
      <c r="L33" s="33" t="s">
        <v>467</v>
      </c>
      <c r="M33" s="414"/>
      <c r="N33" s="35"/>
      <c r="O33" s="415" t="s">
        <v>19</v>
      </c>
      <c r="P33" s="416">
        <f>-SUMIFS('CF2'!$F$50:$BM$50,'CF2'!$F$5:$BM$5,"&lt;="&amp;'DB2'!U27)-SUMIFS('CF2'!$F$59:$BM$59,'CF2'!$F$5:$BM$5,"&lt;="&amp;'DB2'!U27)-P31</f>
        <v>24215.889738985417</v>
      </c>
      <c r="R33" s="33" t="s">
        <v>53</v>
      </c>
      <c r="S33" s="486"/>
      <c r="T33" s="35"/>
      <c r="U33" s="39">
        <f>'CF2'!E34</f>
        <v>36150.466788000027</v>
      </c>
    </row>
    <row r="34" spans="1:32" ht="14">
      <c r="B34" s="510" t="s">
        <v>956</v>
      </c>
      <c r="C34" s="34"/>
      <c r="D34" s="35"/>
      <c r="E34" s="35"/>
      <c r="F34" s="41">
        <v>0</v>
      </c>
      <c r="G34" s="485" t="s">
        <v>16</v>
      </c>
      <c r="H34" s="38">
        <f>IFERROR(J34/($G$10+$G$17)*1000000,0)</f>
        <v>0</v>
      </c>
      <c r="I34" s="38">
        <f>IFERROR(J34/($H$10+$H$17)*1000000,0)</f>
        <v>0</v>
      </c>
      <c r="J34" s="39">
        <f>($G$10+$G$17)*F34/10^6</f>
        <v>0</v>
      </c>
      <c r="L34" s="33" t="s">
        <v>201</v>
      </c>
      <c r="M34" s="414"/>
      <c r="N34" s="35"/>
      <c r="O34" s="415" t="s">
        <v>19</v>
      </c>
      <c r="P34" s="416">
        <f>'CF2'!E90+'CF2'!E92+'CF2'!E98+'CF2'!E100+O27</f>
        <v>3637.9856000384634</v>
      </c>
      <c r="R34" s="33" t="s">
        <v>465</v>
      </c>
      <c r="S34" s="486"/>
      <c r="T34" s="35"/>
      <c r="U34" s="39">
        <f>'CF2'!E50</f>
        <v>-2760.3490754946247</v>
      </c>
      <c r="AB34" s="280"/>
      <c r="AC34" s="280"/>
      <c r="AD34" s="280"/>
      <c r="AE34" s="280"/>
      <c r="AF34" s="280"/>
    </row>
    <row r="35" spans="1:32" ht="14">
      <c r="B35" s="510" t="s">
        <v>957</v>
      </c>
      <c r="C35" s="34"/>
      <c r="D35" s="35"/>
      <c r="E35" s="35"/>
      <c r="F35" s="41">
        <v>0</v>
      </c>
      <c r="G35" s="485" t="s">
        <v>16</v>
      </c>
      <c r="H35" s="38">
        <f>IFERROR(J35/$G$12*1000000,0)</f>
        <v>0</v>
      </c>
      <c r="I35" s="38">
        <f>IFERROR(J35/$H$12*1000000,0)</f>
        <v>0</v>
      </c>
      <c r="J35" s="39">
        <f>$G$12*F35/10^6</f>
        <v>0</v>
      </c>
      <c r="L35" s="33"/>
      <c r="M35" s="417" t="s">
        <v>377</v>
      </c>
      <c r="N35" s="35"/>
      <c r="O35" s="415" t="s">
        <v>19</v>
      </c>
      <c r="P35" s="418">
        <f>'CF2'!E90+'CF2'!E92</f>
        <v>383.35912186817382</v>
      </c>
      <c r="R35" s="33" t="s">
        <v>13</v>
      </c>
      <c r="S35" s="486"/>
      <c r="T35" s="35"/>
      <c r="U35" s="39">
        <f>'CF2'!E59</f>
        <v>-22598.419942257136</v>
      </c>
    </row>
    <row r="36" spans="1:32" ht="14">
      <c r="B36" s="25" t="s">
        <v>988</v>
      </c>
      <c r="C36" s="34"/>
      <c r="D36" s="35"/>
      <c r="E36" s="35"/>
      <c r="F36" s="41">
        <v>0</v>
      </c>
      <c r="G36" s="485" t="s">
        <v>18</v>
      </c>
      <c r="H36" s="38">
        <f>IFERROR(J36/($G$7+$G$15)*1000000,0)</f>
        <v>42177.355200983438</v>
      </c>
      <c r="I36" s="38">
        <f>IFERROR(J36/($H$8+$H$9+$H$11+$H$16)*1000000,0)</f>
        <v>66658.935027462852</v>
      </c>
      <c r="J36" s="39">
        <f>-'CF2'!E68</f>
        <v>4074.7541172575893</v>
      </c>
      <c r="L36" s="33"/>
      <c r="M36" s="417" t="s">
        <v>378</v>
      </c>
      <c r="N36" s="35"/>
      <c r="O36" s="415" t="s">
        <v>19</v>
      </c>
      <c r="P36" s="418">
        <f>'CF2'!E98+'CF2'!E100</f>
        <v>3118.0868079786774</v>
      </c>
      <c r="R36" s="33" t="s">
        <v>84</v>
      </c>
      <c r="S36" s="486"/>
      <c r="T36" s="35"/>
      <c r="U36" s="39">
        <f>'CF2'!E85+'CF2'!E91+'CF2'!E93+'CF2'!E99+'CF2'!E101+'CF2'!E104</f>
        <v>-3780.1862353919341</v>
      </c>
    </row>
    <row r="37" spans="1:32" ht="14">
      <c r="B37" s="336" t="s">
        <v>192</v>
      </c>
      <c r="C37" s="34"/>
      <c r="D37" s="35"/>
      <c r="E37" s="35"/>
      <c r="F37" s="41">
        <v>0</v>
      </c>
      <c r="G37" s="485" t="s">
        <v>17</v>
      </c>
      <c r="H37" s="38">
        <f>IFERROR(J37/($G$8+$G$9)*1000000,0)</f>
        <v>0</v>
      </c>
      <c r="I37" s="38">
        <f>IFERROR(J37/($H$8+$H$9)*1000000,0)</f>
        <v>0</v>
      </c>
      <c r="J37" s="39">
        <f>($H$8+$H$9)*F37/10^6</f>
        <v>0</v>
      </c>
      <c r="L37" s="33"/>
      <c r="M37" s="417" t="s">
        <v>379</v>
      </c>
      <c r="N37" s="35"/>
      <c r="O37" s="415" t="s">
        <v>19</v>
      </c>
      <c r="P37" s="418">
        <f>'CF2'!E103</f>
        <v>136.53967019161266</v>
      </c>
      <c r="R37" s="33" t="s">
        <v>60</v>
      </c>
      <c r="S37" s="486"/>
      <c r="T37" s="35"/>
      <c r="U37" s="39">
        <f>'CF2'!E111</f>
        <v>-2634.0133022407013</v>
      </c>
    </row>
    <row r="38" spans="1:32" ht="19">
      <c r="B38" s="33" t="s">
        <v>33</v>
      </c>
      <c r="C38" s="34"/>
      <c r="D38" s="35"/>
      <c r="E38" s="35"/>
      <c r="F38" s="41">
        <f>DB!F39</f>
        <v>5500</v>
      </c>
      <c r="G38" s="485" t="s">
        <v>18</v>
      </c>
      <c r="H38" s="38">
        <f t="shared" ref="H38:H43" si="7">IFERROR(J38/$G$18*1000000,0)</f>
        <v>5500</v>
      </c>
      <c r="I38" s="38">
        <f t="shared" ref="I38:I43" si="8">IFERROR(J38/$H$18*1000000,0)</f>
        <v>8692.4403131493</v>
      </c>
      <c r="J38" s="39">
        <f>$G$18*F38/10^6</f>
        <v>531.35497799999996</v>
      </c>
      <c r="L38" s="18" t="s">
        <v>182</v>
      </c>
      <c r="M38" s="12"/>
      <c r="N38" s="12"/>
      <c r="O38" s="12"/>
      <c r="P38" s="13"/>
      <c r="R38" s="326" t="s">
        <v>459</v>
      </c>
      <c r="S38" s="326"/>
      <c r="T38" s="327"/>
      <c r="U38" s="328">
        <f>SUM(U33:U37)</f>
        <v>4377.4982326156296</v>
      </c>
    </row>
    <row r="39" spans="1:32" ht="16">
      <c r="B39" s="33" t="s">
        <v>346</v>
      </c>
      <c r="C39" s="34"/>
      <c r="D39" s="35"/>
      <c r="E39" s="35"/>
      <c r="F39" s="41">
        <v>500</v>
      </c>
      <c r="G39" s="485" t="s">
        <v>16</v>
      </c>
      <c r="H39" s="38">
        <f t="shared" si="7"/>
        <v>500</v>
      </c>
      <c r="I39" s="38">
        <f t="shared" si="8"/>
        <v>790.22184664993631</v>
      </c>
      <c r="J39" s="39">
        <f>$G$18*F39/10^6</f>
        <v>48.304997999999998</v>
      </c>
      <c r="L39" s="33" t="s">
        <v>108</v>
      </c>
      <c r="M39" s="406"/>
      <c r="N39" s="404">
        <v>0.01</v>
      </c>
      <c r="O39" s="35"/>
      <c r="P39" s="405">
        <f>P22+N39</f>
        <v>0.21000000000000002</v>
      </c>
      <c r="R39" s="46" t="s">
        <v>238</v>
      </c>
      <c r="S39" s="47"/>
      <c r="T39" s="48"/>
      <c r="U39" s="49">
        <f>(U38-'CF2'!E127)/U33</f>
        <v>0.18960680069667543</v>
      </c>
    </row>
    <row r="40" spans="1:32" ht="16">
      <c r="B40" s="33" t="s">
        <v>45</v>
      </c>
      <c r="C40" s="34"/>
      <c r="D40" s="511">
        <f>MIN('CF2'!$F$72:$BM$72)/-3</f>
        <v>5.2442305128205122</v>
      </c>
      <c r="E40" s="512" t="s">
        <v>237</v>
      </c>
      <c r="F40" s="41">
        <v>2500</v>
      </c>
      <c r="G40" s="485" t="s">
        <v>18</v>
      </c>
      <c r="H40" s="38">
        <f t="shared" si="7"/>
        <v>2500</v>
      </c>
      <c r="I40" s="38">
        <f t="shared" si="8"/>
        <v>3951.1092332496814</v>
      </c>
      <c r="J40" s="39">
        <f>$G$18*F40/10^6</f>
        <v>241.52499</v>
      </c>
      <c r="L40" s="33" t="s">
        <v>317</v>
      </c>
      <c r="M40" s="414"/>
      <c r="N40" s="35"/>
      <c r="O40" s="415" t="s">
        <v>19</v>
      </c>
      <c r="P40" s="416">
        <f>'CF2'!E81</f>
        <v>213.95430273248849</v>
      </c>
      <c r="R40" s="46" t="s">
        <v>953</v>
      </c>
      <c r="S40" s="47"/>
      <c r="T40" s="48"/>
      <c r="U40" s="49">
        <f>U38/U33</f>
        <v>0.12109105695057633</v>
      </c>
    </row>
    <row r="41" spans="1:32" s="513" customFormat="1" ht="16">
      <c r="A41" s="419"/>
      <c r="B41" s="33" t="s">
        <v>34</v>
      </c>
      <c r="C41" s="34"/>
      <c r="D41" s="511">
        <f>J41/('TS2'!D33*3)</f>
        <v>10.685113986312636</v>
      </c>
      <c r="E41" s="512" t="s">
        <v>237</v>
      </c>
      <c r="F41" s="490">
        <f>DB!F41</f>
        <v>0.04</v>
      </c>
      <c r="G41" s="485" t="s">
        <v>11</v>
      </c>
      <c r="H41" s="38">
        <f t="shared" si="7"/>
        <v>7963.2360922001262</v>
      </c>
      <c r="I41" s="38">
        <f t="shared" si="8"/>
        <v>12585.446260175613</v>
      </c>
      <c r="J41" s="39">
        <f>SUM($J$31:$J$40,J42)*$F41</f>
        <v>769.32820701450987</v>
      </c>
      <c r="K41" s="694">
        <f>(J43+J53-U36-J50-J41)*3.5%</f>
        <v>977.75375056356165</v>
      </c>
      <c r="L41" s="33" t="s">
        <v>178</v>
      </c>
      <c r="M41" s="414"/>
      <c r="N41" s="35"/>
      <c r="O41" s="415" t="s">
        <v>19</v>
      </c>
      <c r="P41" s="416">
        <f>'CF2'!E84</f>
        <v>142.20063535347074</v>
      </c>
      <c r="R41" s="46" t="s">
        <v>466</v>
      </c>
      <c r="S41" s="47"/>
      <c r="T41" s="48"/>
      <c r="U41" s="49">
        <f>POWER((1+IRR('CF2'!F76:BM76,0.01)),4)-1</f>
        <v>0.18141413926058281</v>
      </c>
    </row>
    <row r="42" spans="1:32" ht="19">
      <c r="A42" s="513"/>
      <c r="B42" s="33" t="s">
        <v>35</v>
      </c>
      <c r="C42" s="34"/>
      <c r="D42" s="35"/>
      <c r="E42" s="35"/>
      <c r="F42" s="490">
        <v>0.02</v>
      </c>
      <c r="G42" s="485" t="s">
        <v>11</v>
      </c>
      <c r="H42" s="38">
        <f t="shared" si="7"/>
        <v>3903.5471040196694</v>
      </c>
      <c r="I42" s="38">
        <f t="shared" si="8"/>
        <v>6169.336402046868</v>
      </c>
      <c r="J42" s="39">
        <f>SUM($J$31:$J$40)*$F42</f>
        <v>377.12167010515185</v>
      </c>
      <c r="K42" s="959">
        <f>J41/(J43+J53-U36-J50-J41)</f>
        <v>2.7539129591666461E-2</v>
      </c>
      <c r="L42" s="687" t="s">
        <v>84</v>
      </c>
      <c r="M42" s="687"/>
      <c r="N42" s="677">
        <f t="shared" ref="N42" si="9">P42/$G$18*1000000</f>
        <v>39128.313755358547</v>
      </c>
      <c r="O42" s="677">
        <f t="shared" ref="O42" si="10">P42/$H$18*1000000</f>
        <v>61840.096704115072</v>
      </c>
      <c r="P42" s="691">
        <f>-U36</f>
        <v>3780.1862353919341</v>
      </c>
      <c r="R42" s="46" t="s">
        <v>181</v>
      </c>
      <c r="S42" s="47"/>
      <c r="T42" s="48"/>
      <c r="U42" s="49">
        <f>IFERROR(POWER((1+IRR('CF2'!F171:BM171,0.01)),4)-1,0)</f>
        <v>0.68880862816554322</v>
      </c>
    </row>
    <row r="43" spans="1:32" ht="19">
      <c r="B43" s="678" t="s">
        <v>13</v>
      </c>
      <c r="C43" s="679"/>
      <c r="D43" s="679"/>
      <c r="E43" s="679"/>
      <c r="F43" s="679"/>
      <c r="G43" s="679"/>
      <c r="H43" s="677">
        <f t="shared" si="7"/>
        <v>233913.88963785005</v>
      </c>
      <c r="I43" s="677">
        <f t="shared" si="8"/>
        <v>369687.73165338254</v>
      </c>
      <c r="J43" s="693">
        <f>SUM(J22,J24,J30)</f>
        <v>22598.419942257136</v>
      </c>
      <c r="R43" s="46" t="s">
        <v>464</v>
      </c>
      <c r="S43" s="47"/>
      <c r="T43" s="48"/>
      <c r="U43" s="392">
        <f>(-U33-U37)/(U36-P33)</f>
        <v>1.197183973798126</v>
      </c>
      <c r="W43" s="1406">
        <v>0.85</v>
      </c>
    </row>
    <row r="44" spans="1:32">
      <c r="U44" s="1407">
        <f>'DB1'!U43</f>
        <v>1.1962352592294523</v>
      </c>
    </row>
    <row r="45" spans="1:32" ht="16">
      <c r="B45" s="305" t="s">
        <v>465</v>
      </c>
      <c r="C45" s="305"/>
      <c r="G45" s="434"/>
    </row>
    <row r="46" spans="1:32" ht="16">
      <c r="B46" s="14"/>
      <c r="C46" s="12"/>
      <c r="D46" s="12"/>
      <c r="E46" s="12"/>
      <c r="F46" s="12"/>
      <c r="G46" s="12"/>
      <c r="H46" s="12" t="s">
        <v>14</v>
      </c>
      <c r="I46" s="12" t="s">
        <v>15</v>
      </c>
      <c r="J46" s="13" t="s">
        <v>9</v>
      </c>
      <c r="L46" s="305" t="s">
        <v>20</v>
      </c>
      <c r="M46" s="3"/>
      <c r="R46" s="305" t="s">
        <v>187</v>
      </c>
      <c r="S46" s="428"/>
      <c r="T46" s="514"/>
    </row>
    <row r="47" spans="1:32" ht="15">
      <c r="B47" s="33" t="s">
        <v>6</v>
      </c>
      <c r="C47" s="34"/>
      <c r="D47" s="35"/>
      <c r="E47" s="35"/>
      <c r="F47" s="36">
        <v>3</v>
      </c>
      <c r="G47" s="37" t="s">
        <v>37</v>
      </c>
      <c r="H47" s="38">
        <f t="shared" ref="H47:H53" si="11">J47/$G$18*1000000</f>
        <v>838.42255826198357</v>
      </c>
      <c r="I47" s="38">
        <f t="shared" ref="I47:I53" si="12">J47/$H$18*1000000</f>
        <v>1325.0796445254971</v>
      </c>
      <c r="J47" s="39">
        <f>-'CF2'!$E$56</f>
        <v>81</v>
      </c>
      <c r="L47" s="515"/>
      <c r="M47" s="516"/>
      <c r="N47" s="516"/>
      <c r="O47" s="516"/>
      <c r="P47" s="517"/>
      <c r="R47" s="518"/>
      <c r="S47" s="518"/>
      <c r="T47" s="509"/>
      <c r="U47" s="7" t="s">
        <v>19</v>
      </c>
    </row>
    <row r="48" spans="1:32" ht="14">
      <c r="B48" s="33" t="s">
        <v>26</v>
      </c>
      <c r="C48" s="34"/>
      <c r="D48" s="35"/>
      <c r="E48" s="35"/>
      <c r="F48" s="40">
        <f>DB!F48</f>
        <v>0.03</v>
      </c>
      <c r="G48" s="37" t="s">
        <v>12</v>
      </c>
      <c r="H48" s="38">
        <f t="shared" si="11"/>
        <v>11225.691424725872</v>
      </c>
      <c r="I48" s="38">
        <f t="shared" si="12"/>
        <v>17741.573215138465</v>
      </c>
      <c r="J48" s="39">
        <f>-'CF2'!$E$53</f>
        <v>1084.5140036400007</v>
      </c>
      <c r="L48" s="33" t="s">
        <v>165</v>
      </c>
      <c r="M48" s="34"/>
      <c r="N48" s="35"/>
      <c r="O48" s="519"/>
      <c r="P48" s="520" t="str">
        <f>DB!$P$48</f>
        <v>77:02:0019010:102</v>
      </c>
      <c r="R48" s="33" t="str">
        <f>B41</f>
        <v>УПРАВЛЕНИЕ ПРОЕКТОМ</v>
      </c>
      <c r="S48" s="486"/>
      <c r="T48" s="35"/>
      <c r="U48" s="39">
        <f>J41</f>
        <v>769.32820701450987</v>
      </c>
    </row>
    <row r="49" spans="2:21" ht="14">
      <c r="B49" s="33" t="s">
        <v>25</v>
      </c>
      <c r="C49" s="34"/>
      <c r="D49" s="35"/>
      <c r="E49" s="35"/>
      <c r="F49" s="40">
        <f>DB!F49</f>
        <v>0.03</v>
      </c>
      <c r="G49" s="37" t="s">
        <v>12</v>
      </c>
      <c r="H49" s="38">
        <f t="shared" si="11"/>
        <v>11225.691424725872</v>
      </c>
      <c r="I49" s="38">
        <f t="shared" si="12"/>
        <v>17741.573215138465</v>
      </c>
      <c r="J49" s="39">
        <f>-'CF2'!E51</f>
        <v>1084.5140036400007</v>
      </c>
      <c r="L49" s="25" t="s">
        <v>977</v>
      </c>
      <c r="M49" s="486"/>
      <c r="N49" s="521" t="s">
        <v>239</v>
      </c>
      <c r="O49" s="522">
        <v>45748</v>
      </c>
      <c r="P49" s="523" t="s">
        <v>88</v>
      </c>
      <c r="R49" s="33" t="str">
        <f>B50</f>
        <v>УПРАВЛЕНИЕ ПРОДАЖАМИ</v>
      </c>
      <c r="S49" s="486"/>
      <c r="T49" s="35"/>
      <c r="U49" s="39">
        <f>J50</f>
        <v>433.8056014560002</v>
      </c>
    </row>
    <row r="50" spans="2:21" ht="14">
      <c r="B50" s="33" t="s">
        <v>40</v>
      </c>
      <c r="C50" s="34"/>
      <c r="D50" s="35"/>
      <c r="E50" s="35"/>
      <c r="F50" s="40">
        <v>1.2E-2</v>
      </c>
      <c r="G50" s="37" t="s">
        <v>12</v>
      </c>
      <c r="H50" s="38">
        <f t="shared" si="11"/>
        <v>4490.2765698903477</v>
      </c>
      <c r="I50" s="38">
        <f t="shared" si="12"/>
        <v>7096.629286055384</v>
      </c>
      <c r="J50" s="39">
        <f>-'CF2'!$E$52</f>
        <v>433.8056014560002</v>
      </c>
      <c r="L50" s="33" t="s">
        <v>193</v>
      </c>
      <c r="M50" s="34"/>
      <c r="N50" s="35"/>
      <c r="O50" s="519" t="s">
        <v>183</v>
      </c>
      <c r="P50" s="524">
        <f>DB!P50</f>
        <v>2</v>
      </c>
      <c r="R50" s="33" t="s">
        <v>110</v>
      </c>
      <c r="S50" s="486"/>
      <c r="T50" s="35"/>
      <c r="U50" s="39">
        <f>O28+O29</f>
        <v>0</v>
      </c>
    </row>
    <row r="51" spans="2:21" ht="14">
      <c r="B51" s="33" t="s">
        <v>141</v>
      </c>
      <c r="C51" s="34"/>
      <c r="D51" s="35"/>
      <c r="E51" s="35"/>
      <c r="F51" s="41">
        <v>30000</v>
      </c>
      <c r="G51" s="37" t="s">
        <v>142</v>
      </c>
      <c r="H51" s="38">
        <f t="shared" si="11"/>
        <v>634.83473738703663</v>
      </c>
      <c r="I51" s="38">
        <f t="shared" si="12"/>
        <v>1003.320556991023</v>
      </c>
      <c r="J51" s="39">
        <f>-'CF2'!E55</f>
        <v>61.33138143962266</v>
      </c>
      <c r="L51" s="33" t="s">
        <v>158</v>
      </c>
      <c r="M51" s="34"/>
      <c r="N51" s="35"/>
      <c r="O51" s="525" t="s">
        <v>22</v>
      </c>
      <c r="P51" s="524">
        <f>IF('МАСТЕР ПЛАН'!AE2=TRUE,'МАСТЕР ПЛАН'!AC8,IF('МАСТЕР ПЛАН'!AE11=TRUE,'МАСТЕР ПЛАН'!AC17,IF('МАСТЕР ПЛАН'!AE19=TRUE,'МАСТЕР ПЛАН'!AC25,IF('МАСТЕР ПЛАН'!AE28=TRUE,'МАСТЕР ПЛАН'!AA34*'МАСТЕР ПЛАН'!AC29,0))))</f>
        <v>22180</v>
      </c>
      <c r="R51" s="33" t="s">
        <v>130</v>
      </c>
      <c r="S51" s="486"/>
      <c r="T51" s="35"/>
      <c r="U51" s="39">
        <f>J23</f>
        <v>0</v>
      </c>
    </row>
    <row r="52" spans="2:21" ht="14">
      <c r="B52" s="33" t="s">
        <v>147</v>
      </c>
      <c r="C52" s="42"/>
      <c r="D52" s="43"/>
      <c r="E52" s="43"/>
      <c r="F52" s="43"/>
      <c r="G52" s="44"/>
      <c r="H52" s="38">
        <f t="shared" si="11"/>
        <v>157.16888466696551</v>
      </c>
      <c r="I52" s="38">
        <f t="shared" si="12"/>
        <v>248.39657255488069</v>
      </c>
      <c r="J52" s="39">
        <f>-'CF2'!E54</f>
        <v>15.184085318999999</v>
      </c>
      <c r="L52" s="33" t="s">
        <v>166</v>
      </c>
      <c r="M52" s="34"/>
      <c r="N52" s="35"/>
      <c r="O52" s="525" t="s">
        <v>24</v>
      </c>
      <c r="P52" s="524">
        <f>DB!P52</f>
        <v>21593.219999999998</v>
      </c>
      <c r="R52" s="33" t="s">
        <v>85</v>
      </c>
      <c r="S52" s="486"/>
      <c r="T52" s="408">
        <v>0.05</v>
      </c>
      <c r="U52" s="39">
        <f>U38*T52</f>
        <v>218.8749116307815</v>
      </c>
    </row>
    <row r="53" spans="2:21" ht="19">
      <c r="B53" s="678" t="s">
        <v>30</v>
      </c>
      <c r="C53" s="680"/>
      <c r="D53" s="680"/>
      <c r="E53" s="680"/>
      <c r="F53" s="680"/>
      <c r="G53" s="680"/>
      <c r="H53" s="677">
        <f t="shared" si="11"/>
        <v>28572.085599658079</v>
      </c>
      <c r="I53" s="677">
        <f t="shared" si="12"/>
        <v>45156.572490403727</v>
      </c>
      <c r="J53" s="693">
        <f>SUM(J47:J52)</f>
        <v>2760.3490754946247</v>
      </c>
      <c r="L53" s="692"/>
      <c r="M53" s="692"/>
      <c r="N53" s="692"/>
      <c r="O53" s="692"/>
      <c r="P53" s="692"/>
      <c r="R53" s="687"/>
      <c r="S53" s="687"/>
      <c r="T53" s="688"/>
      <c r="U53" s="690">
        <f>SUM(U48:U52)</f>
        <v>1422.0087201012916</v>
      </c>
    </row>
  </sheetData>
  <protectedRanges>
    <protectedRange sqref="T13:T14 R11:R14" name="Диапазон1"/>
    <protectedRange sqref="U27:U28 G8:H14 U25 T8:T12 T16:T17 R8:R10" name="Диапазон1_1"/>
    <protectedRange sqref="J17" name="Диапазон1_3"/>
    <protectedRange sqref="R16:R17 G16:H17" name="Диапазон1_4"/>
    <protectedRange sqref="J16" name="Диапазон1_3_1"/>
  </protectedRanges>
  <conditionalFormatting sqref="N23:N24">
    <cfRule type="expression" dxfId="14" priority="3">
      <formula>#REF!="Нет"</formula>
    </cfRule>
  </conditionalFormatting>
  <conditionalFormatting sqref="N39">
    <cfRule type="expression" dxfId="13" priority="2">
      <formula>#REF!="Нет"</formula>
    </cfRule>
  </conditionalFormatting>
  <conditionalFormatting sqref="P23:P30 P39">
    <cfRule type="expression" dxfId="12" priority="4">
      <formula>#REF!="Нет"</formula>
    </cfRule>
  </conditionalFormatting>
  <conditionalFormatting sqref="T52">
    <cfRule type="expression" dxfId="11" priority="1">
      <formula>#REF!="Нет"</formula>
    </cfRule>
  </conditionalFormatting>
  <dataValidations disablePrompts="1" count="1">
    <dataValidation type="list" allowBlank="1" showInputMessage="1" showErrorMessage="1" sqref="P49" xr:uid="{454DB7E2-2EE2-4B4F-A513-5EC957F1144F}">
      <formula1>"АРЕНДА,СОБСТВЕННОСТЬ"</formula1>
    </dataValidation>
  </dataValidations>
  <pageMargins left="0.25" right="0.25" top="0.75" bottom="0.75" header="0.3" footer="0.3"/>
  <pageSetup paperSize="9" scale="66" orientation="landscape" r:id="rId1"/>
  <colBreaks count="1" manualBreakCount="1">
    <brk id="2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3DBB-FC42-408B-B79E-A2E3D29353DA}">
  <sheetPr>
    <tabColor rgb="FF8158EF"/>
    <pageSetUpPr autoPageBreaks="0" fitToPage="1"/>
  </sheetPr>
  <dimension ref="A2:BP223"/>
  <sheetViews>
    <sheetView showGridLines="0" showZeros="0" tabSelected="1" zoomScale="90" zoomScaleNormal="90" workbookViewId="0">
      <pane xSplit="5" ySplit="7" topLeftCell="F8" activePane="bottomRight" state="frozen"/>
      <selection activeCell="AF28" sqref="AF28"/>
      <selection pane="topRight" activeCell="AF28" sqref="AF28"/>
      <selection pane="bottomLeft" activeCell="AF28" sqref="AF28"/>
      <selection pane="bottomRight" activeCell="AQ26" sqref="AO26:AQ26"/>
    </sheetView>
  </sheetViews>
  <sheetFormatPr baseColWidth="10" defaultColWidth="9.1640625" defaultRowHeight="14" outlineLevelRow="1"/>
  <cols>
    <col min="1" max="1" width="6.6640625" style="23" customWidth="1"/>
    <col min="2" max="2" width="13.6640625" style="23" customWidth="1"/>
    <col min="3" max="3" width="16.33203125" style="23" customWidth="1"/>
    <col min="4" max="4" width="8.6640625" style="128" customWidth="1"/>
    <col min="5" max="5" width="8.6640625" style="124" customWidth="1"/>
    <col min="6" max="13" width="9.5" style="23" customWidth="1"/>
    <col min="14" max="14" width="12.33203125" style="23" bestFit="1" customWidth="1"/>
    <col min="15" max="65" width="9.5" style="23" customWidth="1"/>
    <col min="66" max="16384" width="9.1640625" style="23"/>
  </cols>
  <sheetData>
    <row r="2" spans="2:65" s="124" customFormat="1" ht="16">
      <c r="B2" s="201" t="s">
        <v>8</v>
      </c>
      <c r="C2" s="125"/>
      <c r="D2" s="126"/>
      <c r="F2" s="127"/>
    </row>
    <row r="4" spans="2:65">
      <c r="B4" s="126" t="s">
        <v>488</v>
      </c>
      <c r="F4" s="129" t="str">
        <f>'CF1'!F4</f>
        <v/>
      </c>
      <c r="G4" s="129" t="str">
        <f>'CF1'!G4</f>
        <v/>
      </c>
      <c r="H4" s="129" t="str">
        <f>'CF1'!H4</f>
        <v/>
      </c>
      <c r="I4" s="129" t="str">
        <f>'CF1'!I4</f>
        <v/>
      </c>
      <c r="J4" s="129" t="str">
        <f>'CF1'!J4</f>
        <v/>
      </c>
      <c r="K4" s="129" t="str">
        <f>'CF1'!K4</f>
        <v/>
      </c>
      <c r="L4" s="129" t="str">
        <f>'CF1'!L4</f>
        <v/>
      </c>
      <c r="M4" s="129" t="str">
        <f>'CF1'!M4</f>
        <v/>
      </c>
      <c r="N4" s="129" t="str">
        <f>'CF1'!N4</f>
        <v/>
      </c>
      <c r="O4" s="129" t="str">
        <f>'CF1'!O4</f>
        <v/>
      </c>
      <c r="P4" s="129" t="str">
        <f>'CF1'!P4</f>
        <v/>
      </c>
      <c r="Q4" s="129" t="str">
        <f>'CF1'!Q4</f>
        <v/>
      </c>
      <c r="R4" s="129" t="str">
        <f>'CF1'!R4</f>
        <v/>
      </c>
      <c r="S4" s="129" t="str">
        <f>'CF1'!S4</f>
        <v/>
      </c>
      <c r="T4" s="129" t="str">
        <f>'CF1'!T4</f>
        <v>РнС</v>
      </c>
      <c r="U4" s="129" t="str">
        <f>'CF1'!U4</f>
        <v/>
      </c>
      <c r="V4" s="129" t="str">
        <f>'CF1'!V4</f>
        <v/>
      </c>
      <c r="W4" s="129" t="str">
        <f>'CF1'!W4</f>
        <v/>
      </c>
      <c r="X4" s="129" t="str">
        <f>'CF1'!X4</f>
        <v/>
      </c>
      <c r="Y4" s="129" t="str">
        <f>'CF1'!Y4</f>
        <v/>
      </c>
      <c r="Z4" s="129" t="str">
        <f>'CF1'!Z4</f>
        <v/>
      </c>
      <c r="AA4" s="129" t="str">
        <f>'CF1'!AA4</f>
        <v/>
      </c>
      <c r="AB4" s="129" t="str">
        <f>'CF1'!AB4</f>
        <v/>
      </c>
      <c r="AC4" s="129" t="str">
        <f>'CF1'!AC4</f>
        <v/>
      </c>
      <c r="AD4" s="129" t="str">
        <f>'CF1'!AD4</f>
        <v/>
      </c>
      <c r="AE4" s="129" t="str">
        <f>'CF1'!AE4</f>
        <v>РнВ</v>
      </c>
      <c r="AF4" s="129" t="str">
        <f>'CF1'!AF4</f>
        <v/>
      </c>
      <c r="AG4" s="129" t="str">
        <f>'CF1'!AG4</f>
        <v/>
      </c>
      <c r="AH4" s="129" t="str">
        <f>'CF1'!AH4</f>
        <v/>
      </c>
      <c r="AI4" s="129" t="str">
        <f>'CF1'!AI4</f>
        <v/>
      </c>
      <c r="AJ4" s="129" t="str">
        <f>'CF1'!AJ4</f>
        <v/>
      </c>
      <c r="AK4" s="129" t="str">
        <f>'CF1'!AK4</f>
        <v/>
      </c>
      <c r="AL4" s="129" t="str">
        <f>'CF1'!AL4</f>
        <v/>
      </c>
      <c r="AM4" s="129" t="str">
        <f>'CF1'!AM4</f>
        <v/>
      </c>
      <c r="AN4" s="129" t="str">
        <f>'CF1'!AN4</f>
        <v/>
      </c>
      <c r="AO4" s="129" t="str">
        <f>'CF1'!AO4</f>
        <v/>
      </c>
      <c r="AP4" s="129" t="str">
        <f>'CF1'!AP4</f>
        <v/>
      </c>
      <c r="AQ4" s="129" t="str">
        <f>'CF1'!AQ4</f>
        <v/>
      </c>
      <c r="AR4" s="129" t="str">
        <f>'CF1'!AR4</f>
        <v/>
      </c>
      <c r="AS4" s="129" t="str">
        <f>'CF1'!AS4</f>
        <v/>
      </c>
      <c r="AT4" s="129">
        <f>'CF1'!AT4</f>
        <v>0</v>
      </c>
      <c r="AU4" s="129">
        <f>'CF1'!AU4</f>
        <v>0</v>
      </c>
      <c r="AV4" s="129">
        <f>'CF1'!AV4</f>
        <v>0</v>
      </c>
      <c r="AW4" s="129">
        <f>'CF1'!AW4</f>
        <v>0</v>
      </c>
      <c r="AX4" s="129">
        <f>'CF1'!AX4</f>
        <v>0</v>
      </c>
      <c r="AY4" s="129">
        <f>'CF1'!AY4</f>
        <v>0</v>
      </c>
      <c r="AZ4" s="129">
        <f>'CF1'!AZ4</f>
        <v>0</v>
      </c>
      <c r="BA4" s="129">
        <f>'CF1'!BA4</f>
        <v>0</v>
      </c>
      <c r="BB4" s="129">
        <f>'CF1'!BB4</f>
        <v>0</v>
      </c>
      <c r="BC4" s="129">
        <f>'CF1'!BC4</f>
        <v>0</v>
      </c>
      <c r="BD4" s="129">
        <f>'CF1'!BD4</f>
        <v>0</v>
      </c>
      <c r="BE4" s="129">
        <f>'CF1'!BE4</f>
        <v>0</v>
      </c>
      <c r="BF4" s="129">
        <f>'CF1'!BF4</f>
        <v>0</v>
      </c>
      <c r="BG4" s="129">
        <f>'CF1'!BG4</f>
        <v>0</v>
      </c>
      <c r="BH4" s="129">
        <f>'CF1'!BH4</f>
        <v>0</v>
      </c>
      <c r="BI4" s="129">
        <f>'CF1'!BI4</f>
        <v>0</v>
      </c>
      <c r="BJ4" s="129">
        <f>'CF1'!BJ4</f>
        <v>0</v>
      </c>
      <c r="BK4" s="129">
        <f>'CF1'!BK4</f>
        <v>0</v>
      </c>
      <c r="BL4" s="129">
        <f>'CF1'!BL4</f>
        <v>0</v>
      </c>
      <c r="BM4" s="129">
        <f>'CF1'!BM4</f>
        <v>0</v>
      </c>
    </row>
    <row r="5" spans="2:65">
      <c r="B5" s="126" t="s">
        <v>489</v>
      </c>
      <c r="F5" s="129" t="str">
        <f>'CF2'!F3</f>
        <v/>
      </c>
      <c r="G5" s="129" t="str">
        <f>'CF2'!G3</f>
        <v/>
      </c>
      <c r="H5" s="129" t="str">
        <f>'CF2'!H3</f>
        <v/>
      </c>
      <c r="I5" s="129" t="str">
        <f>'CF2'!I3</f>
        <v/>
      </c>
      <c r="J5" s="129" t="str">
        <f>'CF2'!J3</f>
        <v/>
      </c>
      <c r="K5" s="129" t="str">
        <f>'CF2'!K3</f>
        <v/>
      </c>
      <c r="L5" s="129" t="str">
        <f>'CF2'!L3</f>
        <v/>
      </c>
      <c r="M5" s="129" t="str">
        <f>'CF2'!M3</f>
        <v/>
      </c>
      <c r="N5" s="129" t="str">
        <f>'CF2'!N3</f>
        <v/>
      </c>
      <c r="O5" s="129" t="str">
        <f>'CF2'!O3</f>
        <v/>
      </c>
      <c r="P5" s="129" t="str">
        <f>'CF2'!P3</f>
        <v/>
      </c>
      <c r="Q5" s="129" t="str">
        <f>'CF2'!Q3</f>
        <v/>
      </c>
      <c r="R5" s="129" t="str">
        <f>'CF2'!R3</f>
        <v/>
      </c>
      <c r="S5" s="129" t="str">
        <f>'CF2'!S3</f>
        <v/>
      </c>
      <c r="T5" s="129" t="str">
        <f>'CF2'!T3</f>
        <v/>
      </c>
      <c r="U5" s="129" t="str">
        <f>'CF2'!U3</f>
        <v/>
      </c>
      <c r="V5" s="129" t="str">
        <f>'CF2'!V3</f>
        <v/>
      </c>
      <c r="W5" s="129" t="str">
        <f>'CF2'!W3</f>
        <v/>
      </c>
      <c r="X5" s="129" t="str">
        <f>'CF2'!X3</f>
        <v>РнС</v>
      </c>
      <c r="Y5" s="129" t="str">
        <f>'CF2'!Y3</f>
        <v/>
      </c>
      <c r="Z5" s="129" t="str">
        <f>'CF2'!Z3</f>
        <v/>
      </c>
      <c r="AA5" s="129" t="str">
        <f>'CF2'!AA3</f>
        <v/>
      </c>
      <c r="AB5" s="129" t="str">
        <f>'CF2'!AB3</f>
        <v/>
      </c>
      <c r="AC5" s="129" t="str">
        <f>'CF2'!AC3</f>
        <v/>
      </c>
      <c r="AD5" s="129" t="str">
        <f>'CF2'!AD3</f>
        <v/>
      </c>
      <c r="AE5" s="129" t="str">
        <f>'CF2'!AE3</f>
        <v/>
      </c>
      <c r="AF5" s="129" t="str">
        <f>'CF2'!AF3</f>
        <v/>
      </c>
      <c r="AG5" s="129" t="str">
        <f>'CF2'!AG3</f>
        <v/>
      </c>
      <c r="AH5" s="129" t="str">
        <f>'CF2'!AH3</f>
        <v/>
      </c>
      <c r="AI5" s="129" t="str">
        <f>'CF2'!AI3</f>
        <v>РнВ</v>
      </c>
      <c r="AJ5" s="129" t="str">
        <f>'CF2'!AJ3</f>
        <v/>
      </c>
      <c r="AK5" s="129" t="str">
        <f>'CF2'!AK3</f>
        <v/>
      </c>
      <c r="AL5" s="129" t="str">
        <f>'CF2'!AL3</f>
        <v/>
      </c>
      <c r="AM5" s="129" t="str">
        <f>'CF2'!AM3</f>
        <v/>
      </c>
      <c r="AN5" s="129" t="str">
        <f>'CF2'!AN3</f>
        <v/>
      </c>
      <c r="AO5" s="129" t="str">
        <f>'CF2'!AO3</f>
        <v/>
      </c>
      <c r="AP5" s="129" t="str">
        <f>'CF2'!AP3</f>
        <v/>
      </c>
      <c r="AQ5" s="129" t="str">
        <f>'CF2'!AQ3</f>
        <v/>
      </c>
      <c r="AR5" s="129" t="str">
        <f>'CF2'!AR3</f>
        <v/>
      </c>
      <c r="AS5" s="129" t="str">
        <f>'CF2'!AS3</f>
        <v/>
      </c>
      <c r="AT5" s="129" t="str">
        <f>'CF2'!AT3</f>
        <v/>
      </c>
      <c r="AU5" s="129" t="str">
        <f>'CF2'!AU3</f>
        <v/>
      </c>
      <c r="AV5" s="129" t="str">
        <f>'CF2'!AV3</f>
        <v/>
      </c>
      <c r="AW5" s="129" t="str">
        <f>'CF2'!AW3</f>
        <v/>
      </c>
      <c r="AX5" s="129" t="str">
        <f>'CF2'!AX3</f>
        <v/>
      </c>
      <c r="AY5" s="129" t="str">
        <f>'CF2'!AY3</f>
        <v/>
      </c>
      <c r="AZ5" s="129" t="str">
        <f>'CF2'!AZ3</f>
        <v/>
      </c>
      <c r="BA5" s="129" t="str">
        <f>'CF2'!BA3</f>
        <v/>
      </c>
      <c r="BB5" s="129" t="str">
        <f>'CF2'!BB3</f>
        <v/>
      </c>
      <c r="BC5" s="129" t="str">
        <f>'CF2'!BC3</f>
        <v/>
      </c>
      <c r="BD5" s="129" t="str">
        <f>'CF2'!BD3</f>
        <v/>
      </c>
      <c r="BE5" s="129" t="str">
        <f>'CF2'!BE3</f>
        <v/>
      </c>
      <c r="BF5" s="129" t="str">
        <f>'CF2'!BF3</f>
        <v/>
      </c>
      <c r="BG5" s="129" t="str">
        <f>'CF2'!BG3</f>
        <v/>
      </c>
      <c r="BH5" s="129" t="str">
        <f>'CF2'!BH3</f>
        <v/>
      </c>
      <c r="BI5" s="129" t="str">
        <f>'CF2'!BI3</f>
        <v/>
      </c>
      <c r="BJ5" s="129" t="str">
        <f>'CF2'!BJ3</f>
        <v/>
      </c>
      <c r="BK5" s="129" t="str">
        <f>'CF2'!BK3</f>
        <v/>
      </c>
      <c r="BL5" s="129" t="str">
        <f>'CF2'!BL3</f>
        <v/>
      </c>
      <c r="BM5" s="129" t="str">
        <f>'CF2'!BM3</f>
        <v/>
      </c>
    </row>
    <row r="6" spans="2:65">
      <c r="B6" s="174" t="s">
        <v>111</v>
      </c>
      <c r="C6" s="175"/>
      <c r="D6" s="175"/>
      <c r="E6" s="175" t="s">
        <v>1</v>
      </c>
      <c r="F6" s="176">
        <f>EOMONTH('DB1'!$U$22,2)</f>
        <v>45107</v>
      </c>
      <c r="G6" s="176">
        <f t="shared" ref="G6:BM6" si="0">EOMONTH(F6,3)</f>
        <v>45199</v>
      </c>
      <c r="H6" s="176">
        <f t="shared" si="0"/>
        <v>45291</v>
      </c>
      <c r="I6" s="176">
        <f t="shared" si="0"/>
        <v>45382</v>
      </c>
      <c r="J6" s="176">
        <f t="shared" si="0"/>
        <v>45473</v>
      </c>
      <c r="K6" s="176">
        <f t="shared" si="0"/>
        <v>45565</v>
      </c>
      <c r="L6" s="176">
        <f t="shared" si="0"/>
        <v>45657</v>
      </c>
      <c r="M6" s="176">
        <f t="shared" si="0"/>
        <v>45747</v>
      </c>
      <c r="N6" s="176">
        <f t="shared" si="0"/>
        <v>45838</v>
      </c>
      <c r="O6" s="176">
        <f t="shared" si="0"/>
        <v>45930</v>
      </c>
      <c r="P6" s="176">
        <f t="shared" si="0"/>
        <v>46022</v>
      </c>
      <c r="Q6" s="176">
        <f t="shared" si="0"/>
        <v>46112</v>
      </c>
      <c r="R6" s="176">
        <f t="shared" si="0"/>
        <v>46203</v>
      </c>
      <c r="S6" s="176">
        <f t="shared" si="0"/>
        <v>46295</v>
      </c>
      <c r="T6" s="176">
        <f t="shared" si="0"/>
        <v>46387</v>
      </c>
      <c r="U6" s="176">
        <f t="shared" si="0"/>
        <v>46477</v>
      </c>
      <c r="V6" s="176">
        <f t="shared" si="0"/>
        <v>46568</v>
      </c>
      <c r="W6" s="176">
        <f t="shared" si="0"/>
        <v>46660</v>
      </c>
      <c r="X6" s="176">
        <f t="shared" si="0"/>
        <v>46752</v>
      </c>
      <c r="Y6" s="176">
        <f t="shared" si="0"/>
        <v>46843</v>
      </c>
      <c r="Z6" s="176">
        <f t="shared" si="0"/>
        <v>46934</v>
      </c>
      <c r="AA6" s="176">
        <f t="shared" si="0"/>
        <v>47026</v>
      </c>
      <c r="AB6" s="176">
        <f t="shared" si="0"/>
        <v>47118</v>
      </c>
      <c r="AC6" s="176">
        <f t="shared" si="0"/>
        <v>47208</v>
      </c>
      <c r="AD6" s="176">
        <f t="shared" si="0"/>
        <v>47299</v>
      </c>
      <c r="AE6" s="176">
        <f t="shared" si="0"/>
        <v>47391</v>
      </c>
      <c r="AF6" s="176">
        <f t="shared" si="0"/>
        <v>47483</v>
      </c>
      <c r="AG6" s="176">
        <f t="shared" si="0"/>
        <v>47573</v>
      </c>
      <c r="AH6" s="176">
        <f t="shared" si="0"/>
        <v>47664</v>
      </c>
      <c r="AI6" s="176">
        <f t="shared" si="0"/>
        <v>47756</v>
      </c>
      <c r="AJ6" s="176">
        <f t="shared" si="0"/>
        <v>47848</v>
      </c>
      <c r="AK6" s="176">
        <f t="shared" si="0"/>
        <v>47938</v>
      </c>
      <c r="AL6" s="176">
        <f t="shared" si="0"/>
        <v>48029</v>
      </c>
      <c r="AM6" s="176">
        <f t="shared" si="0"/>
        <v>48121</v>
      </c>
      <c r="AN6" s="176">
        <f t="shared" si="0"/>
        <v>48213</v>
      </c>
      <c r="AO6" s="176">
        <f t="shared" si="0"/>
        <v>48304</v>
      </c>
      <c r="AP6" s="176">
        <f t="shared" si="0"/>
        <v>48395</v>
      </c>
      <c r="AQ6" s="176">
        <f t="shared" si="0"/>
        <v>48487</v>
      </c>
      <c r="AR6" s="176">
        <f t="shared" si="0"/>
        <v>48579</v>
      </c>
      <c r="AS6" s="176">
        <f t="shared" si="0"/>
        <v>48669</v>
      </c>
      <c r="AT6" s="176">
        <f t="shared" si="0"/>
        <v>48760</v>
      </c>
      <c r="AU6" s="176">
        <f t="shared" si="0"/>
        <v>48852</v>
      </c>
      <c r="AV6" s="176">
        <f t="shared" si="0"/>
        <v>48944</v>
      </c>
      <c r="AW6" s="176">
        <f t="shared" si="0"/>
        <v>49034</v>
      </c>
      <c r="AX6" s="176">
        <f t="shared" si="0"/>
        <v>49125</v>
      </c>
      <c r="AY6" s="176">
        <f t="shared" si="0"/>
        <v>49217</v>
      </c>
      <c r="AZ6" s="176">
        <f t="shared" si="0"/>
        <v>49309</v>
      </c>
      <c r="BA6" s="176">
        <f t="shared" si="0"/>
        <v>49399</v>
      </c>
      <c r="BB6" s="176">
        <f t="shared" si="0"/>
        <v>49490</v>
      </c>
      <c r="BC6" s="176">
        <f t="shared" si="0"/>
        <v>49582</v>
      </c>
      <c r="BD6" s="176">
        <f t="shared" si="0"/>
        <v>49674</v>
      </c>
      <c r="BE6" s="176">
        <f t="shared" si="0"/>
        <v>49765</v>
      </c>
      <c r="BF6" s="176">
        <f t="shared" si="0"/>
        <v>49856</v>
      </c>
      <c r="BG6" s="176">
        <f t="shared" si="0"/>
        <v>49948</v>
      </c>
      <c r="BH6" s="176">
        <f t="shared" si="0"/>
        <v>50040</v>
      </c>
      <c r="BI6" s="176">
        <f t="shared" si="0"/>
        <v>50130</v>
      </c>
      <c r="BJ6" s="176">
        <f t="shared" si="0"/>
        <v>50221</v>
      </c>
      <c r="BK6" s="176">
        <f t="shared" si="0"/>
        <v>50313</v>
      </c>
      <c r="BL6" s="176">
        <f t="shared" si="0"/>
        <v>50405</v>
      </c>
      <c r="BM6" s="176">
        <f t="shared" si="0"/>
        <v>50495</v>
      </c>
    </row>
    <row r="7" spans="2:65">
      <c r="B7" s="174"/>
      <c r="C7" s="175"/>
      <c r="D7" s="175"/>
      <c r="E7" s="175"/>
      <c r="F7" s="176" t="str">
        <f t="shared" ref="F7:BM7" si="1">CONCATENATE(IF(MONTH(F6)&lt;=3,"1",IF(MONTH(F6)&lt;=6,"2",IF(MONTH(F6)&lt;=9,"3","4"))),"Q",YEAR(F6))</f>
        <v>2Q2023</v>
      </c>
      <c r="G7" s="176" t="str">
        <f t="shared" si="1"/>
        <v>3Q2023</v>
      </c>
      <c r="H7" s="176" t="str">
        <f t="shared" si="1"/>
        <v>4Q2023</v>
      </c>
      <c r="I7" s="176" t="str">
        <f t="shared" si="1"/>
        <v>1Q2024</v>
      </c>
      <c r="J7" s="176" t="str">
        <f t="shared" si="1"/>
        <v>2Q2024</v>
      </c>
      <c r="K7" s="176" t="str">
        <f t="shared" si="1"/>
        <v>3Q2024</v>
      </c>
      <c r="L7" s="176" t="str">
        <f t="shared" si="1"/>
        <v>4Q2024</v>
      </c>
      <c r="M7" s="176" t="str">
        <f t="shared" si="1"/>
        <v>1Q2025</v>
      </c>
      <c r="N7" s="176" t="str">
        <f t="shared" si="1"/>
        <v>2Q2025</v>
      </c>
      <c r="O7" s="176" t="str">
        <f t="shared" si="1"/>
        <v>3Q2025</v>
      </c>
      <c r="P7" s="176" t="str">
        <f t="shared" si="1"/>
        <v>4Q2025</v>
      </c>
      <c r="Q7" s="176" t="str">
        <f t="shared" si="1"/>
        <v>1Q2026</v>
      </c>
      <c r="R7" s="176" t="str">
        <f t="shared" si="1"/>
        <v>2Q2026</v>
      </c>
      <c r="S7" s="176" t="str">
        <f t="shared" si="1"/>
        <v>3Q2026</v>
      </c>
      <c r="T7" s="176" t="str">
        <f t="shared" si="1"/>
        <v>4Q2026</v>
      </c>
      <c r="U7" s="176" t="str">
        <f t="shared" si="1"/>
        <v>1Q2027</v>
      </c>
      <c r="V7" s="176" t="str">
        <f t="shared" si="1"/>
        <v>2Q2027</v>
      </c>
      <c r="W7" s="176" t="str">
        <f t="shared" si="1"/>
        <v>3Q2027</v>
      </c>
      <c r="X7" s="176" t="str">
        <f t="shared" si="1"/>
        <v>4Q2027</v>
      </c>
      <c r="Y7" s="176" t="str">
        <f t="shared" si="1"/>
        <v>1Q2028</v>
      </c>
      <c r="Z7" s="176" t="str">
        <f t="shared" si="1"/>
        <v>2Q2028</v>
      </c>
      <c r="AA7" s="176" t="str">
        <f t="shared" si="1"/>
        <v>3Q2028</v>
      </c>
      <c r="AB7" s="176" t="str">
        <f t="shared" si="1"/>
        <v>4Q2028</v>
      </c>
      <c r="AC7" s="176" t="str">
        <f t="shared" si="1"/>
        <v>1Q2029</v>
      </c>
      <c r="AD7" s="176" t="str">
        <f t="shared" si="1"/>
        <v>2Q2029</v>
      </c>
      <c r="AE7" s="176" t="str">
        <f t="shared" si="1"/>
        <v>3Q2029</v>
      </c>
      <c r="AF7" s="176" t="str">
        <f t="shared" si="1"/>
        <v>4Q2029</v>
      </c>
      <c r="AG7" s="176" t="str">
        <f t="shared" si="1"/>
        <v>1Q2030</v>
      </c>
      <c r="AH7" s="176" t="str">
        <f t="shared" si="1"/>
        <v>2Q2030</v>
      </c>
      <c r="AI7" s="176" t="str">
        <f t="shared" si="1"/>
        <v>3Q2030</v>
      </c>
      <c r="AJ7" s="176" t="str">
        <f t="shared" si="1"/>
        <v>4Q2030</v>
      </c>
      <c r="AK7" s="176" t="str">
        <f t="shared" si="1"/>
        <v>1Q2031</v>
      </c>
      <c r="AL7" s="176" t="str">
        <f t="shared" si="1"/>
        <v>2Q2031</v>
      </c>
      <c r="AM7" s="176" t="str">
        <f t="shared" si="1"/>
        <v>3Q2031</v>
      </c>
      <c r="AN7" s="176" t="str">
        <f t="shared" si="1"/>
        <v>4Q2031</v>
      </c>
      <c r="AO7" s="176" t="str">
        <f t="shared" si="1"/>
        <v>1Q2032</v>
      </c>
      <c r="AP7" s="176" t="str">
        <f t="shared" si="1"/>
        <v>2Q2032</v>
      </c>
      <c r="AQ7" s="176" t="str">
        <f t="shared" si="1"/>
        <v>3Q2032</v>
      </c>
      <c r="AR7" s="176" t="str">
        <f t="shared" si="1"/>
        <v>4Q2032</v>
      </c>
      <c r="AS7" s="176" t="str">
        <f t="shared" si="1"/>
        <v>1Q2033</v>
      </c>
      <c r="AT7" s="176" t="str">
        <f t="shared" si="1"/>
        <v>2Q2033</v>
      </c>
      <c r="AU7" s="176" t="str">
        <f t="shared" si="1"/>
        <v>3Q2033</v>
      </c>
      <c r="AV7" s="176" t="str">
        <f t="shared" si="1"/>
        <v>4Q2033</v>
      </c>
      <c r="AW7" s="176" t="str">
        <f t="shared" si="1"/>
        <v>1Q2034</v>
      </c>
      <c r="AX7" s="176" t="str">
        <f t="shared" si="1"/>
        <v>2Q2034</v>
      </c>
      <c r="AY7" s="176" t="str">
        <f t="shared" si="1"/>
        <v>3Q2034</v>
      </c>
      <c r="AZ7" s="176" t="str">
        <f t="shared" si="1"/>
        <v>4Q2034</v>
      </c>
      <c r="BA7" s="176" t="str">
        <f t="shared" si="1"/>
        <v>1Q2035</v>
      </c>
      <c r="BB7" s="176" t="str">
        <f t="shared" si="1"/>
        <v>2Q2035</v>
      </c>
      <c r="BC7" s="176" t="str">
        <f t="shared" si="1"/>
        <v>3Q2035</v>
      </c>
      <c r="BD7" s="176" t="str">
        <f t="shared" si="1"/>
        <v>4Q2035</v>
      </c>
      <c r="BE7" s="176" t="str">
        <f t="shared" si="1"/>
        <v>1Q2036</v>
      </c>
      <c r="BF7" s="176" t="str">
        <f t="shared" si="1"/>
        <v>2Q2036</v>
      </c>
      <c r="BG7" s="176" t="str">
        <f t="shared" si="1"/>
        <v>3Q2036</v>
      </c>
      <c r="BH7" s="176" t="str">
        <f t="shared" si="1"/>
        <v>4Q2036</v>
      </c>
      <c r="BI7" s="176" t="str">
        <f t="shared" si="1"/>
        <v>1Q2037</v>
      </c>
      <c r="BJ7" s="176" t="str">
        <f t="shared" si="1"/>
        <v>2Q2037</v>
      </c>
      <c r="BK7" s="176" t="str">
        <f t="shared" si="1"/>
        <v>3Q2037</v>
      </c>
      <c r="BL7" s="176" t="str">
        <f t="shared" si="1"/>
        <v>4Q2037</v>
      </c>
      <c r="BM7" s="176" t="str">
        <f t="shared" si="1"/>
        <v>1Q2038</v>
      </c>
    </row>
    <row r="8" spans="2:65" s="163" customFormat="1" outlineLevel="1">
      <c r="B8" s="293" t="s">
        <v>27</v>
      </c>
      <c r="C8" s="293"/>
      <c r="D8" s="294" t="s">
        <v>22</v>
      </c>
      <c r="E8" s="295"/>
      <c r="F8" s="296"/>
      <c r="G8" s="296"/>
      <c r="H8" s="296"/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296"/>
      <c r="AS8" s="296"/>
      <c r="AT8" s="296"/>
      <c r="AU8" s="296"/>
      <c r="AV8" s="296"/>
      <c r="AW8" s="296"/>
      <c r="AX8" s="296"/>
      <c r="AY8" s="296"/>
      <c r="AZ8" s="296"/>
      <c r="BA8" s="296"/>
      <c r="BB8" s="296"/>
      <c r="BC8" s="296"/>
      <c r="BD8" s="296"/>
      <c r="BE8" s="296"/>
      <c r="BF8" s="296"/>
      <c r="BG8" s="296"/>
      <c r="BH8" s="296"/>
      <c r="BI8" s="296"/>
      <c r="BJ8" s="296"/>
      <c r="BK8" s="296"/>
      <c r="BL8" s="296"/>
      <c r="BM8" s="296"/>
    </row>
    <row r="9" spans="2:65" s="3" customFormat="1" outlineLevel="1">
      <c r="B9" s="528" t="str">
        <f>'DB1'!B8</f>
        <v>КВАРТИРЫ</v>
      </c>
      <c r="C9" s="529"/>
      <c r="D9" s="530" t="s">
        <v>22</v>
      </c>
      <c r="E9" s="531">
        <f t="shared" ref="E9:E21" si="2">SUM(F9:BM9)</f>
        <v>110302.7058</v>
      </c>
      <c r="F9" s="563">
        <f>F10+F11</f>
        <v>0</v>
      </c>
      <c r="G9" s="563">
        <f t="shared" ref="G9:BM9" si="3">G10+G11</f>
        <v>0</v>
      </c>
      <c r="H9" s="563">
        <f t="shared" si="3"/>
        <v>0</v>
      </c>
      <c r="I9" s="563">
        <f t="shared" si="3"/>
        <v>0</v>
      </c>
      <c r="J9" s="563">
        <f t="shared" si="3"/>
        <v>0</v>
      </c>
      <c r="K9" s="563">
        <f t="shared" si="3"/>
        <v>0</v>
      </c>
      <c r="L9" s="563">
        <f t="shared" si="3"/>
        <v>0</v>
      </c>
      <c r="M9" s="563">
        <f t="shared" si="3"/>
        <v>0</v>
      </c>
      <c r="N9" s="532">
        <f t="shared" si="3"/>
        <v>0</v>
      </c>
      <c r="O9" s="532">
        <f t="shared" si="3"/>
        <v>0</v>
      </c>
      <c r="P9" s="532">
        <f t="shared" si="3"/>
        <v>0</v>
      </c>
      <c r="Q9" s="532">
        <f t="shared" si="3"/>
        <v>0</v>
      </c>
      <c r="R9" s="532">
        <f t="shared" si="3"/>
        <v>0</v>
      </c>
      <c r="S9" s="532">
        <f t="shared" si="3"/>
        <v>0</v>
      </c>
      <c r="T9" s="1405">
        <f t="shared" si="3"/>
        <v>3000</v>
      </c>
      <c r="U9" s="1405">
        <f t="shared" si="3"/>
        <v>3000</v>
      </c>
      <c r="V9" s="1405">
        <f t="shared" si="3"/>
        <v>3000</v>
      </c>
      <c r="W9" s="1405">
        <f t="shared" si="3"/>
        <v>3000</v>
      </c>
      <c r="X9" s="1405">
        <f t="shared" si="3"/>
        <v>6000</v>
      </c>
      <c r="Y9" s="1405">
        <f t="shared" si="3"/>
        <v>6000</v>
      </c>
      <c r="Z9" s="1405">
        <f t="shared" si="3"/>
        <v>6000</v>
      </c>
      <c r="AA9" s="1405">
        <f t="shared" si="3"/>
        <v>6000</v>
      </c>
      <c r="AB9" s="1405">
        <f t="shared" si="3"/>
        <v>6000</v>
      </c>
      <c r="AC9" s="1405">
        <f t="shared" si="3"/>
        <v>6000</v>
      </c>
      <c r="AD9" s="1405">
        <f t="shared" si="3"/>
        <v>6000</v>
      </c>
      <c r="AE9" s="1405">
        <f t="shared" si="3"/>
        <v>6000</v>
      </c>
      <c r="AF9" s="1405">
        <f t="shared" si="3"/>
        <v>6000</v>
      </c>
      <c r="AG9" s="1405">
        <f t="shared" si="3"/>
        <v>6000</v>
      </c>
      <c r="AH9" s="1405">
        <f t="shared" si="3"/>
        <v>6000</v>
      </c>
      <c r="AI9" s="1405">
        <f t="shared" si="3"/>
        <v>6000</v>
      </c>
      <c r="AJ9" s="1405">
        <f t="shared" si="3"/>
        <v>6000</v>
      </c>
      <c r="AK9" s="1405">
        <f t="shared" si="3"/>
        <v>6000</v>
      </c>
      <c r="AL9" s="1405">
        <f t="shared" si="3"/>
        <v>6000</v>
      </c>
      <c r="AM9" s="1405">
        <f t="shared" si="3"/>
        <v>5425.3631999999852</v>
      </c>
      <c r="AN9" s="1405">
        <f t="shared" si="3"/>
        <v>2877.3426000000036</v>
      </c>
      <c r="AO9" s="532">
        <f t="shared" si="3"/>
        <v>0</v>
      </c>
      <c r="AP9" s="532">
        <f t="shared" si="3"/>
        <v>0</v>
      </c>
      <c r="AQ9" s="532">
        <f t="shared" si="3"/>
        <v>0</v>
      </c>
      <c r="AR9" s="532">
        <f t="shared" si="3"/>
        <v>0</v>
      </c>
      <c r="AS9" s="532">
        <f t="shared" si="3"/>
        <v>0</v>
      </c>
      <c r="AT9" s="532">
        <f t="shared" si="3"/>
        <v>0</v>
      </c>
      <c r="AU9" s="532">
        <f t="shared" si="3"/>
        <v>0</v>
      </c>
      <c r="AV9" s="532">
        <f t="shared" si="3"/>
        <v>0</v>
      </c>
      <c r="AW9" s="532">
        <f t="shared" si="3"/>
        <v>0</v>
      </c>
      <c r="AX9" s="532">
        <f t="shared" si="3"/>
        <v>0</v>
      </c>
      <c r="AY9" s="532">
        <f t="shared" si="3"/>
        <v>0</v>
      </c>
      <c r="AZ9" s="532">
        <f t="shared" si="3"/>
        <v>0</v>
      </c>
      <c r="BA9" s="532">
        <f t="shared" si="3"/>
        <v>0</v>
      </c>
      <c r="BB9" s="532">
        <f t="shared" si="3"/>
        <v>0</v>
      </c>
      <c r="BC9" s="532">
        <f t="shared" si="3"/>
        <v>0</v>
      </c>
      <c r="BD9" s="532">
        <f t="shared" si="3"/>
        <v>0</v>
      </c>
      <c r="BE9" s="532">
        <f t="shared" si="3"/>
        <v>0</v>
      </c>
      <c r="BF9" s="532">
        <f t="shared" si="3"/>
        <v>0</v>
      </c>
      <c r="BG9" s="532">
        <f t="shared" si="3"/>
        <v>0</v>
      </c>
      <c r="BH9" s="532">
        <f t="shared" si="3"/>
        <v>0</v>
      </c>
      <c r="BI9" s="532">
        <f t="shared" si="3"/>
        <v>0</v>
      </c>
      <c r="BJ9" s="532">
        <f t="shared" si="3"/>
        <v>0</v>
      </c>
      <c r="BK9" s="532">
        <f t="shared" si="3"/>
        <v>0</v>
      </c>
      <c r="BL9" s="532">
        <f t="shared" si="3"/>
        <v>0</v>
      </c>
      <c r="BM9" s="532">
        <f t="shared" si="3"/>
        <v>0</v>
      </c>
    </row>
    <row r="10" spans="2:65" outlineLevel="1">
      <c r="B10" s="130"/>
      <c r="C10" s="28" t="s">
        <v>488</v>
      </c>
      <c r="D10" s="131" t="s">
        <v>22</v>
      </c>
      <c r="E10" s="309">
        <f t="shared" si="2"/>
        <v>59425.363199999985</v>
      </c>
      <c r="F10" s="551">
        <f>'CF1'!F8</f>
        <v>0</v>
      </c>
      <c r="G10" s="551">
        <f>'CF1'!G8</f>
        <v>0</v>
      </c>
      <c r="H10" s="551">
        <f>'CF1'!H8</f>
        <v>0</v>
      </c>
      <c r="I10" s="551">
        <f>'CF1'!I8</f>
        <v>0</v>
      </c>
      <c r="J10" s="551">
        <f>'CF1'!J8</f>
        <v>0</v>
      </c>
      <c r="K10" s="551">
        <f>'CF1'!K8</f>
        <v>0</v>
      </c>
      <c r="L10" s="551">
        <f>'CF1'!L8</f>
        <v>0</v>
      </c>
      <c r="M10" s="551">
        <f>'CF1'!M8</f>
        <v>0</v>
      </c>
      <c r="N10" s="133">
        <f>'CF1'!N8</f>
        <v>0</v>
      </c>
      <c r="O10" s="133">
        <f>'CF1'!O8</f>
        <v>0</v>
      </c>
      <c r="P10" s="133">
        <f>'CF1'!P8</f>
        <v>0</v>
      </c>
      <c r="Q10" s="133">
        <f>'CF1'!Q8</f>
        <v>0</v>
      </c>
      <c r="R10" s="133">
        <f>'CF1'!R8</f>
        <v>0</v>
      </c>
      <c r="S10" s="133">
        <f>'CF1'!S8</f>
        <v>0</v>
      </c>
      <c r="T10" s="1102">
        <f>'CF1'!T8</f>
        <v>3000</v>
      </c>
      <c r="U10" s="1102">
        <f>'CF1'!U8</f>
        <v>3000</v>
      </c>
      <c r="V10" s="1102">
        <f>'CF1'!V8</f>
        <v>3000</v>
      </c>
      <c r="W10" s="1102">
        <f>'CF1'!W8</f>
        <v>3000</v>
      </c>
      <c r="X10" s="1102">
        <f>'CF1'!X8</f>
        <v>3000</v>
      </c>
      <c r="Y10" s="1102">
        <f>'CF1'!Y8</f>
        <v>3000</v>
      </c>
      <c r="Z10" s="1102">
        <f>'CF1'!Z8</f>
        <v>3000</v>
      </c>
      <c r="AA10" s="1102">
        <f>'CF1'!AA8</f>
        <v>3000</v>
      </c>
      <c r="AB10" s="1102">
        <f>'CF1'!AB8</f>
        <v>3000</v>
      </c>
      <c r="AC10" s="1102">
        <f>'CF1'!AC8</f>
        <v>3000</v>
      </c>
      <c r="AD10" s="1102">
        <f>'CF1'!AD8</f>
        <v>3000</v>
      </c>
      <c r="AE10" s="1102">
        <f>'CF1'!AE8</f>
        <v>3000</v>
      </c>
      <c r="AF10" s="1102">
        <f>'CF1'!AF8</f>
        <v>3000</v>
      </c>
      <c r="AG10" s="1102">
        <f>'CF1'!AG8</f>
        <v>3000</v>
      </c>
      <c r="AH10" s="1102">
        <f>'CF1'!AH8</f>
        <v>3000</v>
      </c>
      <c r="AI10" s="1102">
        <f>'CF1'!AI8</f>
        <v>3000</v>
      </c>
      <c r="AJ10" s="1102">
        <f>'CF1'!AJ8</f>
        <v>3000</v>
      </c>
      <c r="AK10" s="1102">
        <f>'CF1'!AK8</f>
        <v>3000</v>
      </c>
      <c r="AL10" s="1102">
        <f>'CF1'!AL8</f>
        <v>3000</v>
      </c>
      <c r="AM10" s="1102">
        <f>'CF1'!AM8</f>
        <v>2425.3631999999852</v>
      </c>
      <c r="AN10" s="133">
        <f>'CF1'!AN8</f>
        <v>0</v>
      </c>
      <c r="AO10" s="133">
        <f>'CF1'!AO8</f>
        <v>0</v>
      </c>
      <c r="AP10" s="133">
        <f>'CF1'!AP8</f>
        <v>0</v>
      </c>
      <c r="AQ10" s="133">
        <f>'CF1'!AQ8</f>
        <v>0</v>
      </c>
      <c r="AR10" s="133">
        <f>'CF1'!AR8</f>
        <v>0</v>
      </c>
      <c r="AS10" s="133">
        <f>'CF1'!AS8</f>
        <v>0</v>
      </c>
      <c r="AT10" s="133">
        <f>'CF1'!AT8</f>
        <v>0</v>
      </c>
      <c r="AU10" s="133">
        <f>'CF1'!AU8</f>
        <v>0</v>
      </c>
      <c r="AV10" s="133">
        <f>'CF1'!AV8</f>
        <v>0</v>
      </c>
      <c r="AW10" s="133">
        <f>'CF1'!AW8</f>
        <v>0</v>
      </c>
      <c r="AX10" s="133">
        <f>'CF1'!AX8</f>
        <v>0</v>
      </c>
      <c r="AY10" s="133">
        <f>'CF1'!AY8</f>
        <v>0</v>
      </c>
      <c r="AZ10" s="133">
        <f>'CF1'!AZ8</f>
        <v>0</v>
      </c>
      <c r="BA10" s="133">
        <f>'CF1'!BA8</f>
        <v>0</v>
      </c>
      <c r="BB10" s="133">
        <f>'CF1'!BB8</f>
        <v>0</v>
      </c>
      <c r="BC10" s="133">
        <f>'CF1'!BC8</f>
        <v>0</v>
      </c>
      <c r="BD10" s="133">
        <f>'CF1'!BD8</f>
        <v>0</v>
      </c>
      <c r="BE10" s="133">
        <f>'CF1'!BE8</f>
        <v>0</v>
      </c>
      <c r="BF10" s="133">
        <f>'CF1'!BF8</f>
        <v>0</v>
      </c>
      <c r="BG10" s="133">
        <f>'CF1'!BG8</f>
        <v>0</v>
      </c>
      <c r="BH10" s="133">
        <f>'CF1'!BH8</f>
        <v>0</v>
      </c>
      <c r="BI10" s="133">
        <f>'CF1'!BI8</f>
        <v>0</v>
      </c>
      <c r="BJ10" s="133">
        <f>'CF1'!BJ8</f>
        <v>0</v>
      </c>
      <c r="BK10" s="133">
        <f>'CF1'!BK8</f>
        <v>0</v>
      </c>
      <c r="BL10" s="133">
        <f>'CF1'!BL8</f>
        <v>0</v>
      </c>
      <c r="BM10" s="133">
        <f>'CF1'!BM8</f>
        <v>0</v>
      </c>
    </row>
    <row r="11" spans="2:65" outlineLevel="1">
      <c r="B11" s="130"/>
      <c r="C11" s="28" t="s">
        <v>489</v>
      </c>
      <c r="D11" s="131" t="s">
        <v>22</v>
      </c>
      <c r="E11" s="309">
        <f t="shared" si="2"/>
        <v>50877.342600000004</v>
      </c>
      <c r="F11" s="551">
        <f>'CF2'!F8</f>
        <v>0</v>
      </c>
      <c r="G11" s="551">
        <f>'CF2'!G8</f>
        <v>0</v>
      </c>
      <c r="H11" s="551">
        <f>'CF2'!H8</f>
        <v>0</v>
      </c>
      <c r="I11" s="551">
        <f>'CF2'!I8</f>
        <v>0</v>
      </c>
      <c r="J11" s="551">
        <f>'CF2'!J8</f>
        <v>0</v>
      </c>
      <c r="K11" s="551">
        <f>'CF2'!K8</f>
        <v>0</v>
      </c>
      <c r="L11" s="551">
        <f>'CF2'!L8</f>
        <v>0</v>
      </c>
      <c r="M11" s="551">
        <f>'CF2'!M8</f>
        <v>0</v>
      </c>
      <c r="N11" s="133">
        <f>'CF2'!N8</f>
        <v>0</v>
      </c>
      <c r="O11" s="133">
        <f>'CF2'!O8</f>
        <v>0</v>
      </c>
      <c r="P11" s="133">
        <f>'CF2'!P8</f>
        <v>0</v>
      </c>
      <c r="Q11" s="133">
        <f>'CF2'!Q8</f>
        <v>0</v>
      </c>
      <c r="R11" s="133">
        <f>'CF2'!R8</f>
        <v>0</v>
      </c>
      <c r="S11" s="133">
        <f>'CF2'!S8</f>
        <v>0</v>
      </c>
      <c r="T11" s="133">
        <f>'CF2'!T8</f>
        <v>0</v>
      </c>
      <c r="U11" s="133">
        <f>'CF2'!U8</f>
        <v>0</v>
      </c>
      <c r="V11" s="133">
        <f>'CF2'!V8</f>
        <v>0</v>
      </c>
      <c r="W11" s="133">
        <f>'CF2'!W8</f>
        <v>0</v>
      </c>
      <c r="X11" s="1102">
        <f>'CF2'!X8</f>
        <v>3000</v>
      </c>
      <c r="Y11" s="1102">
        <f>'CF2'!Y8</f>
        <v>3000</v>
      </c>
      <c r="Z11" s="1102">
        <f>'CF2'!Z8</f>
        <v>3000</v>
      </c>
      <c r="AA11" s="1102">
        <f>'CF2'!AA8</f>
        <v>3000</v>
      </c>
      <c r="AB11" s="1102">
        <f>'CF2'!AB8</f>
        <v>3000</v>
      </c>
      <c r="AC11" s="1102">
        <f>'CF2'!AC8</f>
        <v>3000</v>
      </c>
      <c r="AD11" s="1102">
        <f>'CF2'!AD8</f>
        <v>3000</v>
      </c>
      <c r="AE11" s="1102">
        <f>'CF2'!AE8</f>
        <v>3000</v>
      </c>
      <c r="AF11" s="1102">
        <f>'CF2'!AF8</f>
        <v>3000</v>
      </c>
      <c r="AG11" s="1102">
        <f>'CF2'!AG8</f>
        <v>3000</v>
      </c>
      <c r="AH11" s="1102">
        <f>'CF2'!AH8</f>
        <v>3000</v>
      </c>
      <c r="AI11" s="1102">
        <f>'CF2'!AI8</f>
        <v>3000</v>
      </c>
      <c r="AJ11" s="1102">
        <f>'CF2'!AJ8</f>
        <v>3000</v>
      </c>
      <c r="AK11" s="1102">
        <f>'CF2'!AK8</f>
        <v>3000</v>
      </c>
      <c r="AL11" s="1102">
        <f>'CF2'!AL8</f>
        <v>3000</v>
      </c>
      <c r="AM11" s="1102">
        <f>'CF2'!AM8</f>
        <v>3000</v>
      </c>
      <c r="AN11" s="1102">
        <f>'CF2'!AN8</f>
        <v>2877.3426000000036</v>
      </c>
      <c r="AO11" s="133">
        <f>'CF2'!AO8</f>
        <v>0</v>
      </c>
      <c r="AP11" s="133">
        <f>'CF2'!AP8</f>
        <v>0</v>
      </c>
      <c r="AQ11" s="133">
        <f>'CF2'!AQ8</f>
        <v>0</v>
      </c>
      <c r="AR11" s="133">
        <f>'CF2'!AR8</f>
        <v>0</v>
      </c>
      <c r="AS11" s="133">
        <f>'CF2'!AS8</f>
        <v>0</v>
      </c>
      <c r="AT11" s="133">
        <f>'CF2'!AT8</f>
        <v>0</v>
      </c>
      <c r="AU11" s="133">
        <f>'CF2'!AU8</f>
        <v>0</v>
      </c>
      <c r="AV11" s="133">
        <f>'CF2'!AV8</f>
        <v>0</v>
      </c>
      <c r="AW11" s="133">
        <f>'CF2'!AW8</f>
        <v>0</v>
      </c>
      <c r="AX11" s="133">
        <f>'CF2'!AX8</f>
        <v>0</v>
      </c>
      <c r="AY11" s="133">
        <f>'CF2'!AY8</f>
        <v>0</v>
      </c>
      <c r="AZ11" s="133">
        <f>'CF2'!AZ8</f>
        <v>0</v>
      </c>
      <c r="BA11" s="133">
        <f>'CF2'!BA8</f>
        <v>0</v>
      </c>
      <c r="BB11" s="133">
        <f>'CF2'!BB8</f>
        <v>0</v>
      </c>
      <c r="BC11" s="133">
        <f>'CF2'!BC8</f>
        <v>0</v>
      </c>
      <c r="BD11" s="133">
        <f>'CF2'!BD8</f>
        <v>0</v>
      </c>
      <c r="BE11" s="133">
        <f>'CF2'!BE8</f>
        <v>0</v>
      </c>
      <c r="BF11" s="133">
        <f>'CF2'!BF8</f>
        <v>0</v>
      </c>
      <c r="BG11" s="133">
        <f>'CF2'!BG8</f>
        <v>0</v>
      </c>
      <c r="BH11" s="133">
        <f>'CF2'!BH8</f>
        <v>0</v>
      </c>
      <c r="BI11" s="133">
        <f>'CF2'!BI8</f>
        <v>0</v>
      </c>
      <c r="BJ11" s="133">
        <f>'CF2'!BJ8</f>
        <v>0</v>
      </c>
      <c r="BK11" s="133">
        <f>'CF2'!BK8</f>
        <v>0</v>
      </c>
      <c r="BL11" s="133">
        <f>'CF2'!BL8</f>
        <v>0</v>
      </c>
      <c r="BM11" s="133">
        <f>'CF2'!BM8</f>
        <v>0</v>
      </c>
    </row>
    <row r="12" spans="2:65" hidden="1" outlineLevel="1">
      <c r="B12" s="130" t="str">
        <f>'DB1'!B9</f>
        <v>АПАРТАМЕНТЫ</v>
      </c>
      <c r="C12" s="28"/>
      <c r="D12" s="131" t="s">
        <v>22</v>
      </c>
      <c r="E12" s="132">
        <f t="shared" si="2"/>
        <v>0</v>
      </c>
      <c r="F12" s="551"/>
      <c r="G12" s="551"/>
      <c r="H12" s="551"/>
      <c r="I12" s="551"/>
      <c r="J12" s="551"/>
      <c r="K12" s="551"/>
      <c r="L12" s="551"/>
      <c r="M12" s="551"/>
      <c r="N12" s="133"/>
      <c r="O12" s="133"/>
      <c r="P12" s="133"/>
      <c r="Q12" s="133"/>
      <c r="R12" s="133"/>
      <c r="S12" s="133"/>
      <c r="T12" s="133"/>
      <c r="U12" s="133"/>
      <c r="V12" s="133">
        <f>'CF2'!V9</f>
        <v>0</v>
      </c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</row>
    <row r="13" spans="2:65" hidden="1" outlineLevel="1">
      <c r="B13" s="130" t="str">
        <f>'DB1'!B10</f>
        <v>ОФИСЫ</v>
      </c>
      <c r="C13" s="28"/>
      <c r="D13" s="131" t="s">
        <v>22</v>
      </c>
      <c r="E13" s="132">
        <f t="shared" si="2"/>
        <v>0</v>
      </c>
      <c r="F13" s="551"/>
      <c r="G13" s="551"/>
      <c r="H13" s="551"/>
      <c r="I13" s="551"/>
      <c r="J13" s="551"/>
      <c r="K13" s="551"/>
      <c r="L13" s="551"/>
      <c r="M13" s="551"/>
      <c r="N13" s="133"/>
      <c r="O13" s="133"/>
      <c r="P13" s="133"/>
      <c r="Q13" s="133"/>
      <c r="R13" s="133"/>
      <c r="S13" s="133"/>
      <c r="T13" s="133"/>
      <c r="U13" s="133"/>
      <c r="V13" s="133">
        <f>'CF2'!V10</f>
        <v>0</v>
      </c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</row>
    <row r="14" spans="2:65" s="3" customFormat="1" outlineLevel="1">
      <c r="B14" s="528" t="str">
        <f>'DB1'!B11</f>
        <v>РИТЕЙЛ</v>
      </c>
      <c r="C14" s="529"/>
      <c r="D14" s="530" t="s">
        <v>22</v>
      </c>
      <c r="E14" s="531">
        <f t="shared" si="2"/>
        <v>6073.4114999999993</v>
      </c>
      <c r="F14" s="563">
        <f>F15+F16</f>
        <v>0</v>
      </c>
      <c r="G14" s="563">
        <f t="shared" ref="G14:BM14" si="4">G15+G16</f>
        <v>0</v>
      </c>
      <c r="H14" s="563">
        <f t="shared" si="4"/>
        <v>0</v>
      </c>
      <c r="I14" s="563">
        <f t="shared" si="4"/>
        <v>0</v>
      </c>
      <c r="J14" s="563">
        <f t="shared" si="4"/>
        <v>0</v>
      </c>
      <c r="K14" s="563">
        <f t="shared" si="4"/>
        <v>0</v>
      </c>
      <c r="L14" s="563">
        <f t="shared" si="4"/>
        <v>0</v>
      </c>
      <c r="M14" s="563">
        <f t="shared" si="4"/>
        <v>0</v>
      </c>
      <c r="N14" s="532">
        <f t="shared" si="4"/>
        <v>0</v>
      </c>
      <c r="O14" s="532">
        <f t="shared" si="4"/>
        <v>0</v>
      </c>
      <c r="P14" s="532">
        <f t="shared" si="4"/>
        <v>0</v>
      </c>
      <c r="Q14" s="532">
        <f t="shared" si="4"/>
        <v>0</v>
      </c>
      <c r="R14" s="532">
        <f t="shared" si="4"/>
        <v>0</v>
      </c>
      <c r="S14" s="532">
        <f t="shared" si="4"/>
        <v>0</v>
      </c>
      <c r="T14" s="532">
        <f t="shared" si="4"/>
        <v>0</v>
      </c>
      <c r="U14" s="532">
        <f t="shared" si="4"/>
        <v>0</v>
      </c>
      <c r="V14" s="532">
        <f t="shared" si="4"/>
        <v>0</v>
      </c>
      <c r="W14" s="532">
        <f t="shared" si="4"/>
        <v>0</v>
      </c>
      <c r="X14" s="532">
        <f t="shared" si="4"/>
        <v>0</v>
      </c>
      <c r="Y14" s="532">
        <f t="shared" si="4"/>
        <v>0</v>
      </c>
      <c r="Z14" s="532">
        <f t="shared" si="4"/>
        <v>0</v>
      </c>
      <c r="AA14" s="532">
        <f t="shared" si="4"/>
        <v>0</v>
      </c>
      <c r="AB14" s="532">
        <f t="shared" si="4"/>
        <v>0</v>
      </c>
      <c r="AC14" s="532">
        <f t="shared" si="4"/>
        <v>0</v>
      </c>
      <c r="AD14" s="532">
        <f t="shared" si="4"/>
        <v>0</v>
      </c>
      <c r="AE14" s="532">
        <f t="shared" si="4"/>
        <v>0</v>
      </c>
      <c r="AF14" s="532">
        <f t="shared" si="4"/>
        <v>0</v>
      </c>
      <c r="AG14" s="532">
        <f t="shared" si="4"/>
        <v>1758.6765</v>
      </c>
      <c r="AH14" s="532">
        <f t="shared" si="4"/>
        <v>1758.6765</v>
      </c>
      <c r="AI14" s="532">
        <f t="shared" si="4"/>
        <v>0</v>
      </c>
      <c r="AJ14" s="532">
        <f t="shared" si="4"/>
        <v>0</v>
      </c>
      <c r="AK14" s="532">
        <f t="shared" si="4"/>
        <v>1278.0292499999998</v>
      </c>
      <c r="AL14" s="532">
        <f t="shared" si="4"/>
        <v>1278.0292499999998</v>
      </c>
      <c r="AM14" s="532">
        <f t="shared" si="4"/>
        <v>0</v>
      </c>
      <c r="AN14" s="532">
        <f t="shared" si="4"/>
        <v>0</v>
      </c>
      <c r="AO14" s="532">
        <f t="shared" si="4"/>
        <v>0</v>
      </c>
      <c r="AP14" s="532">
        <f t="shared" si="4"/>
        <v>0</v>
      </c>
      <c r="AQ14" s="532">
        <f t="shared" si="4"/>
        <v>0</v>
      </c>
      <c r="AR14" s="532">
        <f t="shared" si="4"/>
        <v>0</v>
      </c>
      <c r="AS14" s="532">
        <f t="shared" si="4"/>
        <v>0</v>
      </c>
      <c r="AT14" s="532">
        <f t="shared" si="4"/>
        <v>0</v>
      </c>
      <c r="AU14" s="532">
        <f t="shared" si="4"/>
        <v>0</v>
      </c>
      <c r="AV14" s="532">
        <f t="shared" si="4"/>
        <v>0</v>
      </c>
      <c r="AW14" s="532">
        <f t="shared" si="4"/>
        <v>0</v>
      </c>
      <c r="AX14" s="532">
        <f t="shared" si="4"/>
        <v>0</v>
      </c>
      <c r="AY14" s="532">
        <f t="shared" si="4"/>
        <v>0</v>
      </c>
      <c r="AZ14" s="532">
        <f t="shared" si="4"/>
        <v>0</v>
      </c>
      <c r="BA14" s="532">
        <f t="shared" si="4"/>
        <v>0</v>
      </c>
      <c r="BB14" s="532">
        <f t="shared" si="4"/>
        <v>0</v>
      </c>
      <c r="BC14" s="532">
        <f t="shared" si="4"/>
        <v>0</v>
      </c>
      <c r="BD14" s="532">
        <f t="shared" si="4"/>
        <v>0</v>
      </c>
      <c r="BE14" s="532">
        <f t="shared" si="4"/>
        <v>0</v>
      </c>
      <c r="BF14" s="532">
        <f t="shared" si="4"/>
        <v>0</v>
      </c>
      <c r="BG14" s="532">
        <f t="shared" si="4"/>
        <v>0</v>
      </c>
      <c r="BH14" s="532">
        <f t="shared" si="4"/>
        <v>0</v>
      </c>
      <c r="BI14" s="532">
        <f t="shared" si="4"/>
        <v>0</v>
      </c>
      <c r="BJ14" s="532">
        <f t="shared" si="4"/>
        <v>0</v>
      </c>
      <c r="BK14" s="532">
        <f t="shared" si="4"/>
        <v>0</v>
      </c>
      <c r="BL14" s="532">
        <f t="shared" si="4"/>
        <v>0</v>
      </c>
      <c r="BM14" s="532">
        <f t="shared" si="4"/>
        <v>0</v>
      </c>
    </row>
    <row r="15" spans="2:65" outlineLevel="1">
      <c r="B15" s="130"/>
      <c r="C15" s="28" t="s">
        <v>488</v>
      </c>
      <c r="D15" s="131" t="s">
        <v>22</v>
      </c>
      <c r="E15" s="309">
        <f t="shared" si="2"/>
        <v>3517.3530000000001</v>
      </c>
      <c r="F15" s="551">
        <f>'CF1'!F11</f>
        <v>0</v>
      </c>
      <c r="G15" s="551">
        <f>'CF1'!G11</f>
        <v>0</v>
      </c>
      <c r="H15" s="551">
        <f>'CF1'!H11</f>
        <v>0</v>
      </c>
      <c r="I15" s="551">
        <f>'CF1'!I11</f>
        <v>0</v>
      </c>
      <c r="J15" s="551">
        <f>'CF1'!J11</f>
        <v>0</v>
      </c>
      <c r="K15" s="551">
        <f>'CF1'!K11</f>
        <v>0</v>
      </c>
      <c r="L15" s="551">
        <f>'CF1'!L11</f>
        <v>0</v>
      </c>
      <c r="M15" s="551">
        <f>'CF1'!M11</f>
        <v>0</v>
      </c>
      <c r="N15" s="133">
        <f>'CF1'!N11</f>
        <v>0</v>
      </c>
      <c r="O15" s="133">
        <f>'CF1'!O11</f>
        <v>0</v>
      </c>
      <c r="P15" s="133">
        <f>'CF1'!P11</f>
        <v>0</v>
      </c>
      <c r="Q15" s="133">
        <f>'CF1'!Q11</f>
        <v>0</v>
      </c>
      <c r="R15" s="133">
        <f>'CF1'!R11</f>
        <v>0</v>
      </c>
      <c r="S15" s="133">
        <f>'CF1'!S11</f>
        <v>0</v>
      </c>
      <c r="T15" s="133">
        <f>'CF1'!T11</f>
        <v>0</v>
      </c>
      <c r="U15" s="133">
        <f>'CF1'!U11</f>
        <v>0</v>
      </c>
      <c r="V15" s="133">
        <f>'CF1'!V11</f>
        <v>0</v>
      </c>
      <c r="W15" s="133">
        <f>'CF1'!W11</f>
        <v>0</v>
      </c>
      <c r="X15" s="133">
        <f>'CF1'!X11</f>
        <v>0</v>
      </c>
      <c r="Y15" s="133">
        <f>'CF1'!Y11</f>
        <v>0</v>
      </c>
      <c r="Z15" s="133">
        <f>'CF1'!Z11</f>
        <v>0</v>
      </c>
      <c r="AA15" s="133">
        <f>'CF1'!AA11</f>
        <v>0</v>
      </c>
      <c r="AB15" s="133">
        <f>'CF1'!AB11</f>
        <v>0</v>
      </c>
      <c r="AC15" s="133">
        <f>'CF1'!AC11</f>
        <v>0</v>
      </c>
      <c r="AD15" s="133">
        <f>'CF1'!AD11</f>
        <v>0</v>
      </c>
      <c r="AE15" s="133">
        <f>'CF1'!AE11</f>
        <v>0</v>
      </c>
      <c r="AF15" s="133">
        <f>'CF1'!AF11</f>
        <v>0</v>
      </c>
      <c r="AG15" s="133">
        <f>'CF1'!AG11</f>
        <v>1758.6765</v>
      </c>
      <c r="AH15" s="133">
        <f>'CF1'!AH11</f>
        <v>1758.6765</v>
      </c>
      <c r="AI15" s="133">
        <f>'CF1'!AI11</f>
        <v>0</v>
      </c>
      <c r="AJ15" s="133">
        <f>'CF1'!AJ11</f>
        <v>0</v>
      </c>
      <c r="AK15" s="133">
        <f>'CF1'!AK11</f>
        <v>0</v>
      </c>
      <c r="AL15" s="133">
        <f>'CF1'!AL11</f>
        <v>0</v>
      </c>
      <c r="AM15" s="133">
        <f>'CF1'!AM11</f>
        <v>0</v>
      </c>
      <c r="AN15" s="133">
        <f>'CF1'!AN11</f>
        <v>0</v>
      </c>
      <c r="AO15" s="133">
        <f>'CF1'!AO11</f>
        <v>0</v>
      </c>
      <c r="AP15" s="133">
        <f>'CF1'!AP11</f>
        <v>0</v>
      </c>
      <c r="AQ15" s="133">
        <f>'CF1'!AQ11</f>
        <v>0</v>
      </c>
      <c r="AR15" s="133">
        <f>'CF1'!AR11</f>
        <v>0</v>
      </c>
      <c r="AS15" s="133">
        <f>'CF1'!AS11</f>
        <v>0</v>
      </c>
      <c r="AT15" s="133">
        <f>'CF1'!AT11</f>
        <v>0</v>
      </c>
      <c r="AU15" s="133">
        <f>'CF1'!AU11</f>
        <v>0</v>
      </c>
      <c r="AV15" s="133">
        <f>'CF1'!AV11</f>
        <v>0</v>
      </c>
      <c r="AW15" s="133">
        <f>'CF1'!AW11</f>
        <v>0</v>
      </c>
      <c r="AX15" s="133">
        <f>'CF1'!AX11</f>
        <v>0</v>
      </c>
      <c r="AY15" s="133">
        <f>'CF1'!AY11</f>
        <v>0</v>
      </c>
      <c r="AZ15" s="133">
        <f>'CF1'!AZ11</f>
        <v>0</v>
      </c>
      <c r="BA15" s="133">
        <f>'CF1'!BA11</f>
        <v>0</v>
      </c>
      <c r="BB15" s="133">
        <f>'CF1'!BB11</f>
        <v>0</v>
      </c>
      <c r="BC15" s="133">
        <f>'CF1'!BC11</f>
        <v>0</v>
      </c>
      <c r="BD15" s="133">
        <f>'CF1'!BD11</f>
        <v>0</v>
      </c>
      <c r="BE15" s="133">
        <f>'CF1'!BE11</f>
        <v>0</v>
      </c>
      <c r="BF15" s="133">
        <f>'CF1'!BF11</f>
        <v>0</v>
      </c>
      <c r="BG15" s="133">
        <f>'CF1'!BG11</f>
        <v>0</v>
      </c>
      <c r="BH15" s="133">
        <f>'CF1'!BH11</f>
        <v>0</v>
      </c>
      <c r="BI15" s="133">
        <f>'CF1'!BI11</f>
        <v>0</v>
      </c>
      <c r="BJ15" s="133">
        <f>'CF1'!BJ11</f>
        <v>0</v>
      </c>
      <c r="BK15" s="133">
        <f>'CF1'!BK11</f>
        <v>0</v>
      </c>
      <c r="BL15" s="133">
        <f>'CF1'!BL11</f>
        <v>0</v>
      </c>
      <c r="BM15" s="133">
        <f>'CF1'!BM11</f>
        <v>0</v>
      </c>
    </row>
    <row r="16" spans="2:65" outlineLevel="1">
      <c r="B16" s="130"/>
      <c r="C16" s="28" t="s">
        <v>489</v>
      </c>
      <c r="D16" s="131" t="s">
        <v>22</v>
      </c>
      <c r="E16" s="309">
        <f t="shared" si="2"/>
        <v>2556.0584999999996</v>
      </c>
      <c r="F16" s="551">
        <f>'CF2'!F11</f>
        <v>0</v>
      </c>
      <c r="G16" s="551">
        <f>'CF2'!G11</f>
        <v>0</v>
      </c>
      <c r="H16" s="551">
        <f>'CF2'!H11</f>
        <v>0</v>
      </c>
      <c r="I16" s="551">
        <f>'CF2'!I11</f>
        <v>0</v>
      </c>
      <c r="J16" s="551">
        <f>'CF2'!J11</f>
        <v>0</v>
      </c>
      <c r="K16" s="551">
        <f>'CF2'!K11</f>
        <v>0</v>
      </c>
      <c r="L16" s="551">
        <f>'CF2'!L11</f>
        <v>0</v>
      </c>
      <c r="M16" s="551">
        <f>'CF2'!M11</f>
        <v>0</v>
      </c>
      <c r="N16" s="133">
        <f>'CF2'!N11</f>
        <v>0</v>
      </c>
      <c r="O16" s="133">
        <f>'CF2'!O11</f>
        <v>0</v>
      </c>
      <c r="P16" s="133">
        <f>'CF2'!P11</f>
        <v>0</v>
      </c>
      <c r="Q16" s="133">
        <f>'CF2'!Q11</f>
        <v>0</v>
      </c>
      <c r="R16" s="133">
        <f>'CF2'!R11</f>
        <v>0</v>
      </c>
      <c r="S16" s="133">
        <f>'CF2'!S11</f>
        <v>0</v>
      </c>
      <c r="T16" s="133">
        <f>'CF2'!T11</f>
        <v>0</v>
      </c>
      <c r="U16" s="133">
        <f>'CF2'!U11</f>
        <v>0</v>
      </c>
      <c r="V16" s="133">
        <f>'CF2'!V11</f>
        <v>0</v>
      </c>
      <c r="W16" s="133">
        <f>'CF2'!W11</f>
        <v>0</v>
      </c>
      <c r="X16" s="133">
        <f>'CF2'!X11</f>
        <v>0</v>
      </c>
      <c r="Y16" s="133">
        <f>'CF2'!Y11</f>
        <v>0</v>
      </c>
      <c r="Z16" s="133">
        <f>'CF2'!Z11</f>
        <v>0</v>
      </c>
      <c r="AA16" s="133">
        <f>'CF2'!AA11</f>
        <v>0</v>
      </c>
      <c r="AB16" s="133">
        <f>'CF2'!AB11</f>
        <v>0</v>
      </c>
      <c r="AC16" s="133">
        <f>'CF2'!AC11</f>
        <v>0</v>
      </c>
      <c r="AD16" s="133">
        <f>'CF2'!AD11</f>
        <v>0</v>
      </c>
      <c r="AE16" s="133">
        <f>'CF2'!AE11</f>
        <v>0</v>
      </c>
      <c r="AF16" s="133">
        <f>'CF2'!AF11</f>
        <v>0</v>
      </c>
      <c r="AG16" s="133">
        <f>'CF2'!AG11</f>
        <v>0</v>
      </c>
      <c r="AH16" s="133">
        <f>'CF2'!AH11</f>
        <v>0</v>
      </c>
      <c r="AI16" s="133">
        <f>'CF2'!AI11</f>
        <v>0</v>
      </c>
      <c r="AJ16" s="133">
        <f>'CF2'!AJ11</f>
        <v>0</v>
      </c>
      <c r="AK16" s="133">
        <f>'CF2'!AK11</f>
        <v>1278.0292499999998</v>
      </c>
      <c r="AL16" s="133">
        <f>'CF2'!AL11</f>
        <v>1278.0292499999998</v>
      </c>
      <c r="AM16" s="133">
        <f>'CF2'!AM11</f>
        <v>0</v>
      </c>
      <c r="AN16" s="133">
        <f>'CF2'!AN11</f>
        <v>0</v>
      </c>
      <c r="AO16" s="133">
        <f>'CF2'!AO11</f>
        <v>0</v>
      </c>
      <c r="AP16" s="133">
        <f>'CF2'!AP11</f>
        <v>0</v>
      </c>
      <c r="AQ16" s="133">
        <f>'CF2'!AQ11</f>
        <v>0</v>
      </c>
      <c r="AR16" s="133">
        <f>'CF2'!AR11</f>
        <v>0</v>
      </c>
      <c r="AS16" s="133">
        <f>'CF2'!AS11</f>
        <v>0</v>
      </c>
      <c r="AT16" s="133">
        <f>'CF2'!AT11</f>
        <v>0</v>
      </c>
      <c r="AU16" s="133">
        <f>'CF2'!AU11</f>
        <v>0</v>
      </c>
      <c r="AV16" s="133">
        <f>'CF2'!AV11</f>
        <v>0</v>
      </c>
      <c r="AW16" s="133">
        <f>'CF2'!AW11</f>
        <v>0</v>
      </c>
      <c r="AX16" s="133">
        <f>'CF2'!AX11</f>
        <v>0</v>
      </c>
      <c r="AY16" s="133">
        <f>'CF2'!AY11</f>
        <v>0</v>
      </c>
      <c r="AZ16" s="133">
        <f>'CF2'!AZ11</f>
        <v>0</v>
      </c>
      <c r="BA16" s="133">
        <f>'CF2'!BA11</f>
        <v>0</v>
      </c>
      <c r="BB16" s="133">
        <f>'CF2'!BB11</f>
        <v>0</v>
      </c>
      <c r="BC16" s="133">
        <f>'CF2'!BC11</f>
        <v>0</v>
      </c>
      <c r="BD16" s="133">
        <f>'CF2'!BD11</f>
        <v>0</v>
      </c>
      <c r="BE16" s="133">
        <f>'CF2'!BE11</f>
        <v>0</v>
      </c>
      <c r="BF16" s="133">
        <f>'CF2'!BF11</f>
        <v>0</v>
      </c>
      <c r="BG16" s="133">
        <f>'CF2'!BG11</f>
        <v>0</v>
      </c>
      <c r="BH16" s="133">
        <f>'CF2'!BH11</f>
        <v>0</v>
      </c>
      <c r="BI16" s="133">
        <f>'CF2'!BI11</f>
        <v>0</v>
      </c>
      <c r="BJ16" s="133">
        <f>'CF2'!BJ11</f>
        <v>0</v>
      </c>
      <c r="BK16" s="133">
        <f>'CF2'!BK11</f>
        <v>0</v>
      </c>
      <c r="BL16" s="133">
        <f>'CF2'!BL11</f>
        <v>0</v>
      </c>
      <c r="BM16" s="133">
        <f>'CF2'!BM11</f>
        <v>0</v>
      </c>
    </row>
    <row r="17" spans="2:65" hidden="1" outlineLevel="1">
      <c r="B17" s="130" t="str">
        <f>'DB1'!B12</f>
        <v>ТЦ</v>
      </c>
      <c r="C17" s="28"/>
      <c r="D17" s="131" t="s">
        <v>22</v>
      </c>
      <c r="E17" s="132">
        <f t="shared" si="2"/>
        <v>0</v>
      </c>
      <c r="F17" s="551"/>
      <c r="G17" s="551"/>
      <c r="H17" s="551"/>
      <c r="I17" s="551"/>
      <c r="J17" s="551"/>
      <c r="K17" s="551"/>
      <c r="L17" s="551"/>
      <c r="M17" s="551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</row>
    <row r="18" spans="2:65" s="3" customFormat="1" outlineLevel="1">
      <c r="B18" s="528" t="str">
        <f>'DB1'!B16</f>
        <v>ПАРКИНГ ЖИЛЬЕ</v>
      </c>
      <c r="C18" s="529"/>
      <c r="D18" s="530" t="s">
        <v>23</v>
      </c>
      <c r="E18" s="531">
        <f t="shared" si="2"/>
        <v>1112</v>
      </c>
      <c r="F18" s="563">
        <f>F19+F20</f>
        <v>0</v>
      </c>
      <c r="G18" s="563">
        <f t="shared" ref="G18:BM18" si="5">G19+G20</f>
        <v>0</v>
      </c>
      <c r="H18" s="563">
        <f t="shared" si="5"/>
        <v>0</v>
      </c>
      <c r="I18" s="563">
        <f t="shared" si="5"/>
        <v>0</v>
      </c>
      <c r="J18" s="563">
        <f t="shared" si="5"/>
        <v>0</v>
      </c>
      <c r="K18" s="563">
        <f t="shared" si="5"/>
        <v>0</v>
      </c>
      <c r="L18" s="563">
        <f t="shared" si="5"/>
        <v>0</v>
      </c>
      <c r="M18" s="563">
        <f t="shared" si="5"/>
        <v>0</v>
      </c>
      <c r="N18" s="532">
        <f t="shared" si="5"/>
        <v>0</v>
      </c>
      <c r="O18" s="532">
        <f t="shared" si="5"/>
        <v>0</v>
      </c>
      <c r="P18" s="532">
        <f t="shared" si="5"/>
        <v>0</v>
      </c>
      <c r="Q18" s="532">
        <f t="shared" si="5"/>
        <v>0</v>
      </c>
      <c r="R18" s="532">
        <f t="shared" si="5"/>
        <v>0</v>
      </c>
      <c r="S18" s="532">
        <f t="shared" si="5"/>
        <v>0</v>
      </c>
      <c r="T18" s="532">
        <f t="shared" si="5"/>
        <v>30</v>
      </c>
      <c r="U18" s="532">
        <f t="shared" si="5"/>
        <v>30</v>
      </c>
      <c r="V18" s="532">
        <f t="shared" si="5"/>
        <v>30</v>
      </c>
      <c r="W18" s="532">
        <f t="shared" si="5"/>
        <v>30</v>
      </c>
      <c r="X18" s="532">
        <f t="shared" si="5"/>
        <v>60</v>
      </c>
      <c r="Y18" s="532">
        <f t="shared" si="5"/>
        <v>60</v>
      </c>
      <c r="Z18" s="532">
        <f t="shared" si="5"/>
        <v>60</v>
      </c>
      <c r="AA18" s="532">
        <f t="shared" si="5"/>
        <v>60</v>
      </c>
      <c r="AB18" s="532">
        <f t="shared" si="5"/>
        <v>60</v>
      </c>
      <c r="AC18" s="532">
        <f t="shared" si="5"/>
        <v>60</v>
      </c>
      <c r="AD18" s="532">
        <f t="shared" si="5"/>
        <v>60</v>
      </c>
      <c r="AE18" s="532">
        <f t="shared" si="5"/>
        <v>60</v>
      </c>
      <c r="AF18" s="532">
        <f t="shared" si="5"/>
        <v>60</v>
      </c>
      <c r="AG18" s="532">
        <f t="shared" si="5"/>
        <v>60</v>
      </c>
      <c r="AH18" s="532">
        <f t="shared" si="5"/>
        <v>60</v>
      </c>
      <c r="AI18" s="532">
        <f t="shared" si="5"/>
        <v>60</v>
      </c>
      <c r="AJ18" s="532">
        <f t="shared" si="5"/>
        <v>60</v>
      </c>
      <c r="AK18" s="532">
        <f t="shared" si="5"/>
        <v>60</v>
      </c>
      <c r="AL18" s="532">
        <f t="shared" si="5"/>
        <v>60</v>
      </c>
      <c r="AM18" s="532">
        <f t="shared" si="5"/>
        <v>59</v>
      </c>
      <c r="AN18" s="532">
        <f t="shared" si="5"/>
        <v>33</v>
      </c>
      <c r="AO18" s="532">
        <f t="shared" si="5"/>
        <v>0</v>
      </c>
      <c r="AP18" s="532">
        <f t="shared" si="5"/>
        <v>0</v>
      </c>
      <c r="AQ18" s="532">
        <f t="shared" si="5"/>
        <v>0</v>
      </c>
      <c r="AR18" s="532">
        <f t="shared" si="5"/>
        <v>0</v>
      </c>
      <c r="AS18" s="532">
        <f t="shared" si="5"/>
        <v>0</v>
      </c>
      <c r="AT18" s="532">
        <f t="shared" si="5"/>
        <v>0</v>
      </c>
      <c r="AU18" s="532">
        <f t="shared" si="5"/>
        <v>0</v>
      </c>
      <c r="AV18" s="532">
        <f t="shared" si="5"/>
        <v>0</v>
      </c>
      <c r="AW18" s="532">
        <f t="shared" si="5"/>
        <v>0</v>
      </c>
      <c r="AX18" s="532">
        <f t="shared" si="5"/>
        <v>0</v>
      </c>
      <c r="AY18" s="532">
        <f t="shared" si="5"/>
        <v>0</v>
      </c>
      <c r="AZ18" s="532">
        <f t="shared" si="5"/>
        <v>0</v>
      </c>
      <c r="BA18" s="532">
        <f t="shared" si="5"/>
        <v>0</v>
      </c>
      <c r="BB18" s="532">
        <f t="shared" si="5"/>
        <v>0</v>
      </c>
      <c r="BC18" s="532">
        <f t="shared" si="5"/>
        <v>0</v>
      </c>
      <c r="BD18" s="532">
        <f t="shared" si="5"/>
        <v>0</v>
      </c>
      <c r="BE18" s="532">
        <f t="shared" si="5"/>
        <v>0</v>
      </c>
      <c r="BF18" s="532">
        <f t="shared" si="5"/>
        <v>0</v>
      </c>
      <c r="BG18" s="532">
        <f t="shared" si="5"/>
        <v>0</v>
      </c>
      <c r="BH18" s="532">
        <f t="shared" si="5"/>
        <v>0</v>
      </c>
      <c r="BI18" s="532">
        <f t="shared" si="5"/>
        <v>0</v>
      </c>
      <c r="BJ18" s="532">
        <f t="shared" si="5"/>
        <v>0</v>
      </c>
      <c r="BK18" s="532">
        <f t="shared" si="5"/>
        <v>0</v>
      </c>
      <c r="BL18" s="532">
        <f t="shared" si="5"/>
        <v>0</v>
      </c>
      <c r="BM18" s="532">
        <f t="shared" si="5"/>
        <v>0</v>
      </c>
    </row>
    <row r="19" spans="2:65" outlineLevel="1">
      <c r="B19" s="130"/>
      <c r="C19" s="28" t="s">
        <v>488</v>
      </c>
      <c r="D19" s="131" t="s">
        <v>23</v>
      </c>
      <c r="E19" s="309">
        <f t="shared" si="2"/>
        <v>599</v>
      </c>
      <c r="F19" s="551">
        <f>'CF1'!F13</f>
        <v>0</v>
      </c>
      <c r="G19" s="551">
        <f>'CF1'!G13</f>
        <v>0</v>
      </c>
      <c r="H19" s="551">
        <f>'CF1'!H13</f>
        <v>0</v>
      </c>
      <c r="I19" s="551">
        <f>'CF1'!I13</f>
        <v>0</v>
      </c>
      <c r="J19" s="551">
        <f>'CF1'!J13</f>
        <v>0</v>
      </c>
      <c r="K19" s="551">
        <f>'CF1'!K13</f>
        <v>0</v>
      </c>
      <c r="L19" s="551">
        <f>'CF1'!L13</f>
        <v>0</v>
      </c>
      <c r="M19" s="551">
        <f>'CF1'!M13</f>
        <v>0</v>
      </c>
      <c r="N19" s="133">
        <f>'CF1'!N13</f>
        <v>0</v>
      </c>
      <c r="O19" s="133">
        <f>'CF1'!O13</f>
        <v>0</v>
      </c>
      <c r="P19" s="133">
        <f>'CF1'!P13</f>
        <v>0</v>
      </c>
      <c r="Q19" s="133">
        <f>'CF1'!Q13</f>
        <v>0</v>
      </c>
      <c r="R19" s="133">
        <f>'CF1'!R13</f>
        <v>0</v>
      </c>
      <c r="S19" s="133">
        <f>'CF1'!S13</f>
        <v>0</v>
      </c>
      <c r="T19" s="133">
        <f>'CF1'!T13</f>
        <v>30</v>
      </c>
      <c r="U19" s="133">
        <f>'CF1'!U13</f>
        <v>30</v>
      </c>
      <c r="V19" s="133">
        <f>'CF1'!V13</f>
        <v>30</v>
      </c>
      <c r="W19" s="133">
        <f>'CF1'!W13</f>
        <v>30</v>
      </c>
      <c r="X19" s="133">
        <f>'CF1'!X13</f>
        <v>30</v>
      </c>
      <c r="Y19" s="133">
        <f>'CF1'!Y13</f>
        <v>30</v>
      </c>
      <c r="Z19" s="133">
        <f>'CF1'!Z13</f>
        <v>30</v>
      </c>
      <c r="AA19" s="133">
        <f>'CF1'!AA13</f>
        <v>30</v>
      </c>
      <c r="AB19" s="133">
        <f>'CF1'!AB13</f>
        <v>30</v>
      </c>
      <c r="AC19" s="133">
        <f>'CF1'!AC13</f>
        <v>30</v>
      </c>
      <c r="AD19" s="133">
        <f>'CF1'!AD13</f>
        <v>30</v>
      </c>
      <c r="AE19" s="133">
        <f>'CF1'!AE13</f>
        <v>30</v>
      </c>
      <c r="AF19" s="133">
        <f>'CF1'!AF13</f>
        <v>30</v>
      </c>
      <c r="AG19" s="133">
        <f>'CF1'!AG13</f>
        <v>30</v>
      </c>
      <c r="AH19" s="133">
        <f>'CF1'!AH13</f>
        <v>30</v>
      </c>
      <c r="AI19" s="133">
        <f>'CF1'!AI13</f>
        <v>30</v>
      </c>
      <c r="AJ19" s="133">
        <f>'CF1'!AJ13</f>
        <v>30</v>
      </c>
      <c r="AK19" s="133">
        <f>'CF1'!AK13</f>
        <v>30</v>
      </c>
      <c r="AL19" s="133">
        <f>'CF1'!AL13</f>
        <v>30</v>
      </c>
      <c r="AM19" s="133">
        <f>'CF1'!AM13</f>
        <v>29</v>
      </c>
      <c r="AN19" s="133">
        <f>'CF1'!AN13</f>
        <v>0</v>
      </c>
      <c r="AO19" s="133">
        <f>'CF1'!AO13</f>
        <v>0</v>
      </c>
      <c r="AP19" s="133">
        <f>'CF1'!AP13</f>
        <v>0</v>
      </c>
      <c r="AQ19" s="133">
        <f>'CF1'!AQ13</f>
        <v>0</v>
      </c>
      <c r="AR19" s="133">
        <f>'CF1'!AR13</f>
        <v>0</v>
      </c>
      <c r="AS19" s="133">
        <f>'CF1'!AS13</f>
        <v>0</v>
      </c>
      <c r="AT19" s="133">
        <f>'CF1'!AT13</f>
        <v>0</v>
      </c>
      <c r="AU19" s="133">
        <f>'CF1'!AU13</f>
        <v>0</v>
      </c>
      <c r="AV19" s="133">
        <f>'CF1'!AV13</f>
        <v>0</v>
      </c>
      <c r="AW19" s="133">
        <f>'CF1'!AW13</f>
        <v>0</v>
      </c>
      <c r="AX19" s="133">
        <f>'CF1'!AX13</f>
        <v>0</v>
      </c>
      <c r="AY19" s="133">
        <f>'CF1'!AY13</f>
        <v>0</v>
      </c>
      <c r="AZ19" s="133">
        <f>'CF1'!AZ13</f>
        <v>0</v>
      </c>
      <c r="BA19" s="133">
        <f>'CF1'!BA13</f>
        <v>0</v>
      </c>
      <c r="BB19" s="133">
        <f>'CF1'!BB13</f>
        <v>0</v>
      </c>
      <c r="BC19" s="133">
        <f>'CF1'!BC13</f>
        <v>0</v>
      </c>
      <c r="BD19" s="133">
        <f>'CF1'!BD13</f>
        <v>0</v>
      </c>
      <c r="BE19" s="133">
        <f>'CF1'!BE13</f>
        <v>0</v>
      </c>
      <c r="BF19" s="133">
        <f>'CF1'!BF13</f>
        <v>0</v>
      </c>
      <c r="BG19" s="133">
        <f>'CF1'!BG13</f>
        <v>0</v>
      </c>
      <c r="BH19" s="133">
        <f>'CF1'!BH13</f>
        <v>0</v>
      </c>
      <c r="BI19" s="133">
        <f>'CF1'!BI13</f>
        <v>0</v>
      </c>
      <c r="BJ19" s="133">
        <f>'CF1'!BJ13</f>
        <v>0</v>
      </c>
      <c r="BK19" s="133">
        <f>'CF1'!BK13</f>
        <v>0</v>
      </c>
      <c r="BL19" s="133">
        <f>'CF1'!BL13</f>
        <v>0</v>
      </c>
      <c r="BM19" s="133">
        <f>'CF1'!BM13</f>
        <v>0</v>
      </c>
    </row>
    <row r="20" spans="2:65" outlineLevel="1">
      <c r="B20" s="130"/>
      <c r="C20" s="28" t="s">
        <v>489</v>
      </c>
      <c r="D20" s="131" t="s">
        <v>23</v>
      </c>
      <c r="E20" s="309">
        <f t="shared" si="2"/>
        <v>513</v>
      </c>
      <c r="F20" s="551">
        <f>'CF2'!F13</f>
        <v>0</v>
      </c>
      <c r="G20" s="551">
        <f>'CF2'!G13</f>
        <v>0</v>
      </c>
      <c r="H20" s="551">
        <f>'CF2'!H13</f>
        <v>0</v>
      </c>
      <c r="I20" s="551">
        <f>'CF2'!I13</f>
        <v>0</v>
      </c>
      <c r="J20" s="551">
        <f>'CF2'!J13</f>
        <v>0</v>
      </c>
      <c r="K20" s="551">
        <f>'CF2'!K13</f>
        <v>0</v>
      </c>
      <c r="L20" s="551">
        <f>'CF2'!L13</f>
        <v>0</v>
      </c>
      <c r="M20" s="551">
        <f>'CF2'!M13</f>
        <v>0</v>
      </c>
      <c r="N20" s="133">
        <f>'CF2'!N13</f>
        <v>0</v>
      </c>
      <c r="O20" s="133">
        <f>'CF2'!O13</f>
        <v>0</v>
      </c>
      <c r="P20" s="133">
        <f>'CF2'!P13</f>
        <v>0</v>
      </c>
      <c r="Q20" s="133">
        <f>'CF2'!Q13</f>
        <v>0</v>
      </c>
      <c r="R20" s="133">
        <f>'CF2'!R13</f>
        <v>0</v>
      </c>
      <c r="S20" s="133">
        <f>'CF2'!S13</f>
        <v>0</v>
      </c>
      <c r="T20" s="133">
        <f>'CF2'!T13</f>
        <v>0</v>
      </c>
      <c r="U20" s="133">
        <f>'CF2'!U13</f>
        <v>0</v>
      </c>
      <c r="V20" s="133">
        <f>'CF2'!V13</f>
        <v>0</v>
      </c>
      <c r="W20" s="133">
        <f>'CF2'!W13</f>
        <v>0</v>
      </c>
      <c r="X20" s="133">
        <f>'CF2'!X13</f>
        <v>30</v>
      </c>
      <c r="Y20" s="133">
        <f>'CF2'!Y13</f>
        <v>30</v>
      </c>
      <c r="Z20" s="133">
        <f>'CF2'!Z13</f>
        <v>30</v>
      </c>
      <c r="AA20" s="133">
        <f>'CF2'!AA13</f>
        <v>30</v>
      </c>
      <c r="AB20" s="133">
        <f>'CF2'!AB13</f>
        <v>30</v>
      </c>
      <c r="AC20" s="133">
        <f>'CF2'!AC13</f>
        <v>30</v>
      </c>
      <c r="AD20" s="133">
        <f>'CF2'!AD13</f>
        <v>30</v>
      </c>
      <c r="AE20" s="133">
        <f>'CF2'!AE13</f>
        <v>30</v>
      </c>
      <c r="AF20" s="133">
        <f>'CF2'!AF13</f>
        <v>30</v>
      </c>
      <c r="AG20" s="133">
        <f>'CF2'!AG13</f>
        <v>30</v>
      </c>
      <c r="AH20" s="133">
        <f>'CF2'!AH13</f>
        <v>30</v>
      </c>
      <c r="AI20" s="133">
        <f>'CF2'!AI13</f>
        <v>30</v>
      </c>
      <c r="AJ20" s="133">
        <f>'CF2'!AJ13</f>
        <v>30</v>
      </c>
      <c r="AK20" s="133">
        <f>'CF2'!AK13</f>
        <v>30</v>
      </c>
      <c r="AL20" s="133">
        <f>'CF2'!AL13</f>
        <v>30</v>
      </c>
      <c r="AM20" s="133">
        <f>'CF2'!AM13</f>
        <v>30</v>
      </c>
      <c r="AN20" s="133">
        <f>'CF2'!AN13</f>
        <v>33</v>
      </c>
      <c r="AO20" s="133">
        <f>'CF2'!AO13</f>
        <v>0</v>
      </c>
      <c r="AP20" s="133">
        <f>'CF2'!AP13</f>
        <v>0</v>
      </c>
      <c r="AQ20" s="133">
        <f>'CF2'!AQ13</f>
        <v>0</v>
      </c>
      <c r="AR20" s="133">
        <f>'CF2'!AR13</f>
        <v>0</v>
      </c>
      <c r="AS20" s="133">
        <f>'CF2'!AS13</f>
        <v>0</v>
      </c>
      <c r="AT20" s="133">
        <f>'CF2'!AT13</f>
        <v>0</v>
      </c>
      <c r="AU20" s="133">
        <f>'CF2'!AU13</f>
        <v>0</v>
      </c>
      <c r="AV20" s="133">
        <f>'CF2'!AV13</f>
        <v>0</v>
      </c>
      <c r="AW20" s="133">
        <f>'CF2'!AW13</f>
        <v>0</v>
      </c>
      <c r="AX20" s="133">
        <f>'CF2'!AX13</f>
        <v>0</v>
      </c>
      <c r="AY20" s="133">
        <f>'CF2'!AY13</f>
        <v>0</v>
      </c>
      <c r="AZ20" s="133">
        <f>'CF2'!AZ13</f>
        <v>0</v>
      </c>
      <c r="BA20" s="133">
        <f>'CF2'!BA13</f>
        <v>0</v>
      </c>
      <c r="BB20" s="133">
        <f>'CF2'!BB13</f>
        <v>0</v>
      </c>
      <c r="BC20" s="133">
        <f>'CF2'!BC13</f>
        <v>0</v>
      </c>
      <c r="BD20" s="133">
        <f>'CF2'!BD13</f>
        <v>0</v>
      </c>
      <c r="BE20" s="133">
        <f>'CF2'!BE13</f>
        <v>0</v>
      </c>
      <c r="BF20" s="133">
        <f>'CF2'!BF13</f>
        <v>0</v>
      </c>
      <c r="BG20" s="133">
        <f>'CF2'!BG13</f>
        <v>0</v>
      </c>
      <c r="BH20" s="133">
        <f>'CF2'!BH13</f>
        <v>0</v>
      </c>
      <c r="BI20" s="133">
        <f>'CF2'!BI13</f>
        <v>0</v>
      </c>
      <c r="BJ20" s="133">
        <f>'CF2'!BJ13</f>
        <v>0</v>
      </c>
      <c r="BK20" s="133">
        <f>'CF2'!BK13</f>
        <v>0</v>
      </c>
      <c r="BL20" s="133">
        <f>'CF2'!BL13</f>
        <v>0</v>
      </c>
      <c r="BM20" s="133">
        <f>'CF2'!BM13</f>
        <v>0</v>
      </c>
    </row>
    <row r="21" spans="2:65" hidden="1" outlineLevel="1">
      <c r="B21" s="130" t="str">
        <f>'DB1'!B17</f>
        <v>ПАРКИНГ ОФИС</v>
      </c>
      <c r="C21" s="28"/>
      <c r="D21" s="131" t="s">
        <v>23</v>
      </c>
      <c r="E21" s="132">
        <f t="shared" si="2"/>
        <v>0</v>
      </c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  <c r="BM21" s="133"/>
    </row>
    <row r="22" spans="2:65" outlineLevel="1">
      <c r="B22" s="134"/>
      <c r="C22" s="134"/>
      <c r="D22" s="135"/>
      <c r="E22" s="136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  <c r="BG22" s="137"/>
      <c r="BH22" s="137"/>
      <c r="BI22" s="137"/>
      <c r="BJ22" s="137"/>
      <c r="BK22" s="137"/>
      <c r="BL22" s="137"/>
      <c r="BM22" s="137"/>
    </row>
    <row r="23" spans="2:65" s="163" customFormat="1" outlineLevel="1">
      <c r="B23" s="293" t="s">
        <v>28</v>
      </c>
      <c r="C23" s="293"/>
      <c r="D23" s="294" t="s">
        <v>481</v>
      </c>
      <c r="E23" s="295">
        <f t="shared" ref="E23" si="6">IFERROR(E38/E8*1000,0)</f>
        <v>0</v>
      </c>
      <c r="F23" s="296"/>
      <c r="G23" s="296"/>
      <c r="H23" s="296"/>
      <c r="I23" s="296"/>
      <c r="J23" s="296"/>
      <c r="K23" s="296"/>
      <c r="L23" s="296"/>
      <c r="M23" s="296"/>
      <c r="N23" s="296"/>
      <c r="O23" s="296"/>
      <c r="P23" s="296"/>
      <c r="Q23" s="296"/>
      <c r="R23" s="296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6"/>
      <c r="AH23" s="296"/>
      <c r="AI23" s="296"/>
      <c r="AJ23" s="296"/>
      <c r="AK23" s="296"/>
      <c r="AL23" s="296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6"/>
      <c r="AX23" s="296"/>
      <c r="AY23" s="296"/>
      <c r="AZ23" s="296"/>
      <c r="BA23" s="296"/>
      <c r="BB23" s="296"/>
      <c r="BC23" s="296"/>
      <c r="BD23" s="296"/>
      <c r="BE23" s="296"/>
      <c r="BF23" s="296"/>
      <c r="BG23" s="296"/>
      <c r="BH23" s="296"/>
      <c r="BI23" s="296"/>
      <c r="BJ23" s="296"/>
      <c r="BK23" s="296"/>
      <c r="BL23" s="296"/>
      <c r="BM23" s="296"/>
    </row>
    <row r="24" spans="2:65" s="3" customFormat="1" outlineLevel="1">
      <c r="B24" s="528" t="str">
        <f>B9</f>
        <v>КВАРТИРЫ</v>
      </c>
      <c r="C24" s="529"/>
      <c r="D24" s="530" t="s">
        <v>481</v>
      </c>
      <c r="E24" s="531">
        <f>IFERROR(E39/E9*1000,0)</f>
        <v>630.00000000000034</v>
      </c>
      <c r="F24" s="563">
        <f>IFERROR(F39/F9,0)*1000</f>
        <v>0</v>
      </c>
      <c r="G24" s="563">
        <f t="shared" ref="G24:BM24" si="7">IFERROR(G39/G9,0)*1000</f>
        <v>0</v>
      </c>
      <c r="H24" s="563">
        <f t="shared" si="7"/>
        <v>0</v>
      </c>
      <c r="I24" s="563">
        <f t="shared" si="7"/>
        <v>0</v>
      </c>
      <c r="J24" s="563">
        <f t="shared" si="7"/>
        <v>0</v>
      </c>
      <c r="K24" s="563">
        <f t="shared" si="7"/>
        <v>0</v>
      </c>
      <c r="L24" s="563">
        <f t="shared" si="7"/>
        <v>0</v>
      </c>
      <c r="M24" s="563">
        <f t="shared" si="7"/>
        <v>0</v>
      </c>
      <c r="N24" s="532">
        <f t="shared" si="7"/>
        <v>0</v>
      </c>
      <c r="O24" s="532">
        <f t="shared" si="7"/>
        <v>0</v>
      </c>
      <c r="P24" s="532">
        <f t="shared" si="7"/>
        <v>0</v>
      </c>
      <c r="Q24" s="532">
        <f t="shared" si="7"/>
        <v>0</v>
      </c>
      <c r="R24" s="532">
        <f t="shared" si="7"/>
        <v>0</v>
      </c>
      <c r="S24" s="532">
        <f>IFERROR(S39/S9,0)*1000</f>
        <v>0</v>
      </c>
      <c r="T24" s="1405">
        <f t="shared" si="7"/>
        <v>522.9</v>
      </c>
      <c r="U24" s="1405">
        <f t="shared" si="7"/>
        <v>534.28376397020361</v>
      </c>
      <c r="V24" s="1405">
        <f t="shared" si="7"/>
        <v>545.66752794040724</v>
      </c>
      <c r="W24" s="1405">
        <f t="shared" si="7"/>
        <v>557.05129191061087</v>
      </c>
      <c r="X24" s="1405">
        <f t="shared" si="7"/>
        <v>545.66752794040724</v>
      </c>
      <c r="Y24" s="1405">
        <f t="shared" si="7"/>
        <v>558.06933652020211</v>
      </c>
      <c r="Z24" s="1405">
        <f t="shared" si="7"/>
        <v>570.47114509999699</v>
      </c>
      <c r="AA24" s="1405">
        <f t="shared" si="7"/>
        <v>582.87295367979175</v>
      </c>
      <c r="AB24" s="1405">
        <f t="shared" si="7"/>
        <v>595.27476225958651</v>
      </c>
      <c r="AC24" s="1405">
        <f t="shared" si="7"/>
        <v>607.67657083938127</v>
      </c>
      <c r="AD24" s="1405">
        <f t="shared" si="7"/>
        <v>620.07837941917614</v>
      </c>
      <c r="AE24" s="1405">
        <f t="shared" si="7"/>
        <v>632.48018799897091</v>
      </c>
      <c r="AF24" s="1405">
        <f t="shared" si="7"/>
        <v>664.31489624878145</v>
      </c>
      <c r="AG24" s="1405">
        <f t="shared" si="7"/>
        <v>671.02482284347457</v>
      </c>
      <c r="AH24" s="1405">
        <f t="shared" si="7"/>
        <v>677.73474943816746</v>
      </c>
      <c r="AI24" s="1405">
        <f t="shared" si="7"/>
        <v>684.44467603286046</v>
      </c>
      <c r="AJ24" s="1405">
        <f t="shared" si="7"/>
        <v>704.46381480094306</v>
      </c>
      <c r="AK24" s="1405">
        <f t="shared" si="7"/>
        <v>704.46381480094306</v>
      </c>
      <c r="AL24" s="1405">
        <f t="shared" si="7"/>
        <v>704.46381480094306</v>
      </c>
      <c r="AM24" s="1405">
        <f t="shared" si="7"/>
        <v>705.10914939776637</v>
      </c>
      <c r="AN24" s="1405">
        <f t="shared" si="7"/>
        <v>710.5566626194111</v>
      </c>
      <c r="AO24" s="532">
        <f t="shared" si="7"/>
        <v>0</v>
      </c>
      <c r="AP24" s="532">
        <f t="shared" si="7"/>
        <v>0</v>
      </c>
      <c r="AQ24" s="532">
        <f t="shared" si="7"/>
        <v>0</v>
      </c>
      <c r="AR24" s="532">
        <f t="shared" si="7"/>
        <v>0</v>
      </c>
      <c r="AS24" s="532">
        <f t="shared" si="7"/>
        <v>0</v>
      </c>
      <c r="AT24" s="532">
        <f t="shared" si="7"/>
        <v>0</v>
      </c>
      <c r="AU24" s="532">
        <f t="shared" si="7"/>
        <v>0</v>
      </c>
      <c r="AV24" s="532">
        <f t="shared" si="7"/>
        <v>0</v>
      </c>
      <c r="AW24" s="532">
        <f t="shared" si="7"/>
        <v>0</v>
      </c>
      <c r="AX24" s="532">
        <f t="shared" si="7"/>
        <v>0</v>
      </c>
      <c r="AY24" s="532">
        <f t="shared" si="7"/>
        <v>0</v>
      </c>
      <c r="AZ24" s="532">
        <f t="shared" si="7"/>
        <v>0</v>
      </c>
      <c r="BA24" s="532">
        <f t="shared" si="7"/>
        <v>0</v>
      </c>
      <c r="BB24" s="532">
        <f t="shared" si="7"/>
        <v>0</v>
      </c>
      <c r="BC24" s="532">
        <f t="shared" si="7"/>
        <v>0</v>
      </c>
      <c r="BD24" s="532">
        <f t="shared" si="7"/>
        <v>0</v>
      </c>
      <c r="BE24" s="532">
        <f t="shared" si="7"/>
        <v>0</v>
      </c>
      <c r="BF24" s="532">
        <f t="shared" si="7"/>
        <v>0</v>
      </c>
      <c r="BG24" s="532">
        <f t="shared" si="7"/>
        <v>0</v>
      </c>
      <c r="BH24" s="532">
        <f t="shared" si="7"/>
        <v>0</v>
      </c>
      <c r="BI24" s="532">
        <f t="shared" si="7"/>
        <v>0</v>
      </c>
      <c r="BJ24" s="532">
        <f t="shared" si="7"/>
        <v>0</v>
      </c>
      <c r="BK24" s="532">
        <f t="shared" si="7"/>
        <v>0</v>
      </c>
      <c r="BL24" s="532">
        <f t="shared" si="7"/>
        <v>0</v>
      </c>
      <c r="BM24" s="532">
        <f t="shared" si="7"/>
        <v>0</v>
      </c>
    </row>
    <row r="25" spans="2:65" outlineLevel="1">
      <c r="B25" s="130"/>
      <c r="C25" s="28" t="s">
        <v>488</v>
      </c>
      <c r="D25" s="131" t="s">
        <v>481</v>
      </c>
      <c r="E25" s="309">
        <f t="shared" ref="E25:E36" si="8">IFERROR(E40/E10*1000,0)</f>
        <v>630</v>
      </c>
      <c r="F25" s="551">
        <f>'CF1'!F17</f>
        <v>0</v>
      </c>
      <c r="G25" s="551">
        <f>'CF1'!G17</f>
        <v>0</v>
      </c>
      <c r="H25" s="551">
        <f>'CF1'!H17</f>
        <v>0</v>
      </c>
      <c r="I25" s="551">
        <f>'CF1'!I17</f>
        <v>0</v>
      </c>
      <c r="J25" s="551">
        <f>'CF1'!J17</f>
        <v>0</v>
      </c>
      <c r="K25" s="551">
        <f>'CF1'!K17</f>
        <v>0</v>
      </c>
      <c r="L25" s="551">
        <f>'CF1'!L17</f>
        <v>0</v>
      </c>
      <c r="M25" s="551">
        <f>'CF1'!M17</f>
        <v>0</v>
      </c>
      <c r="N25" s="133">
        <f>'CF1'!N17</f>
        <v>0</v>
      </c>
      <c r="O25" s="133">
        <f>'CF1'!O17</f>
        <v>0</v>
      </c>
      <c r="P25" s="133">
        <f>'CF1'!P17</f>
        <v>0</v>
      </c>
      <c r="Q25" s="133">
        <f>'CF1'!Q17</f>
        <v>0</v>
      </c>
      <c r="R25" s="133">
        <f>'CF1'!R17</f>
        <v>0</v>
      </c>
      <c r="S25" s="133">
        <f>'CF1'!S17</f>
        <v>0</v>
      </c>
      <c r="T25" s="1102">
        <f>'CF1'!T17</f>
        <v>522.9</v>
      </c>
      <c r="U25" s="1102">
        <f>'CF1'!U17</f>
        <v>534.28376397020361</v>
      </c>
      <c r="V25" s="1102">
        <f>'CF1'!V17</f>
        <v>545.66752794040724</v>
      </c>
      <c r="W25" s="1102">
        <f>'CF1'!W17</f>
        <v>557.05129191061087</v>
      </c>
      <c r="X25" s="1102">
        <f>'CF1'!X17</f>
        <v>568.4350558808145</v>
      </c>
      <c r="Y25" s="1102">
        <f>'CF1'!Y17</f>
        <v>579.81881985101813</v>
      </c>
      <c r="Z25" s="1102">
        <f>'CF1'!Z17</f>
        <v>591.20258382122176</v>
      </c>
      <c r="AA25" s="1102">
        <f>'CF1'!AA17</f>
        <v>602.5863477914254</v>
      </c>
      <c r="AB25" s="1102">
        <f>'CF1'!AB17</f>
        <v>613.97011176162903</v>
      </c>
      <c r="AC25" s="1102">
        <f>'CF1'!AC17</f>
        <v>625.35387573183266</v>
      </c>
      <c r="AD25" s="1102">
        <f>'CF1'!AD17</f>
        <v>636.73763970203629</v>
      </c>
      <c r="AE25" s="1102">
        <f>'CF1'!AE17</f>
        <v>648.12140367223992</v>
      </c>
      <c r="AF25" s="1102">
        <f>'CF1'!AF17</f>
        <v>698.3709669824749</v>
      </c>
      <c r="AG25" s="1102">
        <f>'CF1'!AG17</f>
        <v>698.3709669824749</v>
      </c>
      <c r="AH25" s="1102">
        <f>'CF1'!AH17</f>
        <v>698.3709669824749</v>
      </c>
      <c r="AI25" s="1102">
        <f>'CF1'!AI17</f>
        <v>698.3709669824749</v>
      </c>
      <c r="AJ25" s="1102">
        <f>'CF1'!AJ17</f>
        <v>698.3709669824749</v>
      </c>
      <c r="AK25" s="1102">
        <f>'CF1'!AK17</f>
        <v>698.3709669824749</v>
      </c>
      <c r="AL25" s="1102">
        <f>'CF1'!AL17</f>
        <v>698.3709669824749</v>
      </c>
      <c r="AM25" s="1102">
        <f>'CF1'!AM17</f>
        <v>698.3709669824749</v>
      </c>
      <c r="AN25" s="133">
        <f>'CF1'!AN17</f>
        <v>0</v>
      </c>
      <c r="AO25" s="133">
        <f>'CF1'!AO17</f>
        <v>0</v>
      </c>
      <c r="AP25" s="133">
        <f>'CF1'!AP17</f>
        <v>0</v>
      </c>
      <c r="AQ25" s="133">
        <f>'CF1'!AQ17</f>
        <v>0</v>
      </c>
      <c r="AR25" s="133">
        <f>'CF1'!AR17</f>
        <v>0</v>
      </c>
      <c r="AS25" s="133">
        <f>'CF1'!AS17</f>
        <v>0</v>
      </c>
      <c r="AT25" s="133">
        <f>'CF1'!AT17</f>
        <v>0</v>
      </c>
      <c r="AU25" s="133">
        <f>'CF1'!AU17</f>
        <v>0</v>
      </c>
      <c r="AV25" s="133">
        <f>'CF1'!AV17</f>
        <v>0</v>
      </c>
      <c r="AW25" s="133">
        <f>'CF1'!AW17</f>
        <v>0</v>
      </c>
      <c r="AX25" s="133">
        <f>'CF1'!AX17</f>
        <v>0</v>
      </c>
      <c r="AY25" s="133">
        <f>'CF1'!AY17</f>
        <v>0</v>
      </c>
      <c r="AZ25" s="133">
        <f>'CF1'!AZ17</f>
        <v>0</v>
      </c>
      <c r="BA25" s="133">
        <f>'CF1'!BA17</f>
        <v>0</v>
      </c>
      <c r="BB25" s="133">
        <f>'CF1'!BB17</f>
        <v>0</v>
      </c>
      <c r="BC25" s="133">
        <f>'CF1'!BC17</f>
        <v>0</v>
      </c>
      <c r="BD25" s="133">
        <f>'CF1'!BD17</f>
        <v>0</v>
      </c>
      <c r="BE25" s="133">
        <f>'CF1'!BE17</f>
        <v>0</v>
      </c>
      <c r="BF25" s="133">
        <f>'CF1'!BF17</f>
        <v>0</v>
      </c>
      <c r="BG25" s="133">
        <f>'CF1'!BG17</f>
        <v>0</v>
      </c>
      <c r="BH25" s="133">
        <f>'CF1'!BH17</f>
        <v>0</v>
      </c>
      <c r="BI25" s="133">
        <f>'CF1'!BI17</f>
        <v>0</v>
      </c>
      <c r="BJ25" s="133">
        <f>'CF1'!BJ17</f>
        <v>0</v>
      </c>
      <c r="BK25" s="133">
        <f>'CF1'!BK17</f>
        <v>0</v>
      </c>
      <c r="BL25" s="133">
        <f>'CF1'!BL17</f>
        <v>0</v>
      </c>
      <c r="BM25" s="133">
        <f>'CF1'!BM17</f>
        <v>0</v>
      </c>
    </row>
    <row r="26" spans="2:65" outlineLevel="1">
      <c r="B26" s="130"/>
      <c r="C26" s="28" t="s">
        <v>489</v>
      </c>
      <c r="D26" s="131" t="s">
        <v>481</v>
      </c>
      <c r="E26" s="309">
        <f t="shared" si="8"/>
        <v>630.00000000000034</v>
      </c>
      <c r="F26" s="551">
        <f>'CF2'!F17</f>
        <v>0</v>
      </c>
      <c r="G26" s="551">
        <f>'CF2'!G17</f>
        <v>0</v>
      </c>
      <c r="H26" s="551">
        <f>'CF2'!H17</f>
        <v>0</v>
      </c>
      <c r="I26" s="551">
        <f>'CF2'!I17</f>
        <v>0</v>
      </c>
      <c r="J26" s="551">
        <f>'CF2'!J17</f>
        <v>0</v>
      </c>
      <c r="K26" s="551">
        <f>'CF2'!K17</f>
        <v>0</v>
      </c>
      <c r="L26" s="551">
        <f>'CF2'!L17</f>
        <v>0</v>
      </c>
      <c r="M26" s="551">
        <f>'CF2'!M17</f>
        <v>0</v>
      </c>
      <c r="N26" s="133">
        <f>'CF2'!N17</f>
        <v>0</v>
      </c>
      <c r="O26" s="133">
        <f>'CF2'!O17</f>
        <v>0</v>
      </c>
      <c r="P26" s="133">
        <f>'CF2'!P17</f>
        <v>0</v>
      </c>
      <c r="Q26" s="133">
        <f>'CF2'!Q17</f>
        <v>0</v>
      </c>
      <c r="R26" s="133">
        <f>'CF2'!R17</f>
        <v>0</v>
      </c>
      <c r="S26" s="133">
        <f>'CF2'!S17</f>
        <v>0</v>
      </c>
      <c r="T26" s="133">
        <f>'CF2'!T17</f>
        <v>0</v>
      </c>
      <c r="U26" s="133">
        <f>'CF2'!U17</f>
        <v>0</v>
      </c>
      <c r="V26" s="133">
        <f>'CF2'!V17</f>
        <v>0</v>
      </c>
      <c r="W26" s="133">
        <f>'CF2'!W17</f>
        <v>0</v>
      </c>
      <c r="X26" s="1102">
        <f>'CF2'!X17</f>
        <v>522.9</v>
      </c>
      <c r="Y26" s="1102">
        <f>'CF2'!Y17</f>
        <v>536.31985318938598</v>
      </c>
      <c r="Z26" s="1102">
        <f>'CF2'!Z17</f>
        <v>549.73970637877198</v>
      </c>
      <c r="AA26" s="1102">
        <f>'CF2'!AA17</f>
        <v>563.15955956815799</v>
      </c>
      <c r="AB26" s="1102">
        <f>'CF2'!AB17</f>
        <v>576.57941275754399</v>
      </c>
      <c r="AC26" s="1102">
        <f>'CF2'!AC17</f>
        <v>589.99926594693</v>
      </c>
      <c r="AD26" s="1102">
        <f>'CF2'!AD17</f>
        <v>603.419119136316</v>
      </c>
      <c r="AE26" s="1102">
        <f>'CF2'!AE17</f>
        <v>616.838972325702</v>
      </c>
      <c r="AF26" s="1102">
        <f>'CF2'!AF17</f>
        <v>630.25882551508801</v>
      </c>
      <c r="AG26" s="1102">
        <f>'CF2'!AG17</f>
        <v>643.67867870447401</v>
      </c>
      <c r="AH26" s="1102">
        <f>'CF2'!AH17</f>
        <v>657.09853189386001</v>
      </c>
      <c r="AI26" s="1102">
        <f>'CF2'!AI17</f>
        <v>670.51838508324602</v>
      </c>
      <c r="AJ26" s="1102">
        <f>'CF2'!AJ17</f>
        <v>710.5566626194111</v>
      </c>
      <c r="AK26" s="1102">
        <f>'CF2'!AK17</f>
        <v>710.5566626194111</v>
      </c>
      <c r="AL26" s="1102">
        <f>'CF2'!AL17</f>
        <v>710.5566626194111</v>
      </c>
      <c r="AM26" s="1102">
        <f>'CF2'!AM17</f>
        <v>710.5566626194111</v>
      </c>
      <c r="AN26" s="1102">
        <f>'CF2'!AN17</f>
        <v>710.5566626194111</v>
      </c>
      <c r="AO26" s="133">
        <f>'CF2'!AO17</f>
        <v>0</v>
      </c>
      <c r="AP26" s="133">
        <f>'CF2'!AP17</f>
        <v>0</v>
      </c>
      <c r="AQ26" s="133">
        <f>'CF2'!AQ17</f>
        <v>0</v>
      </c>
      <c r="AR26" s="133">
        <f>'CF2'!AR17</f>
        <v>0</v>
      </c>
      <c r="AS26" s="133">
        <f>'CF2'!AS17</f>
        <v>0</v>
      </c>
      <c r="AT26" s="133">
        <f>'CF2'!AT17</f>
        <v>0</v>
      </c>
      <c r="AU26" s="133">
        <f>'CF2'!AU17</f>
        <v>0</v>
      </c>
      <c r="AV26" s="133">
        <f>'CF2'!AV17</f>
        <v>0</v>
      </c>
      <c r="AW26" s="133">
        <f>'CF2'!AW17</f>
        <v>0</v>
      </c>
      <c r="AX26" s="133">
        <f>'CF2'!AX17</f>
        <v>0</v>
      </c>
      <c r="AY26" s="133">
        <f>'CF2'!AY17</f>
        <v>0</v>
      </c>
      <c r="AZ26" s="133">
        <f>'CF2'!AZ17</f>
        <v>0</v>
      </c>
      <c r="BA26" s="133">
        <f>'CF2'!BA17</f>
        <v>0</v>
      </c>
      <c r="BB26" s="133">
        <f>'CF2'!BB17</f>
        <v>0</v>
      </c>
      <c r="BC26" s="133">
        <f>'CF2'!BC17</f>
        <v>0</v>
      </c>
      <c r="BD26" s="133">
        <f>'CF2'!BD17</f>
        <v>0</v>
      </c>
      <c r="BE26" s="133">
        <f>'CF2'!BE17</f>
        <v>0</v>
      </c>
      <c r="BF26" s="133">
        <f>'CF2'!BF17</f>
        <v>0</v>
      </c>
      <c r="BG26" s="133">
        <f>'CF2'!BG17</f>
        <v>0</v>
      </c>
      <c r="BH26" s="133">
        <f>'CF2'!BH17</f>
        <v>0</v>
      </c>
      <c r="BI26" s="133">
        <f>'CF2'!BI17</f>
        <v>0</v>
      </c>
      <c r="BJ26" s="133">
        <f>'CF2'!BJ17</f>
        <v>0</v>
      </c>
      <c r="BK26" s="133">
        <f>'CF2'!BK17</f>
        <v>0</v>
      </c>
      <c r="BL26" s="133">
        <f>'CF2'!BL17</f>
        <v>0</v>
      </c>
      <c r="BM26" s="133">
        <f>'CF2'!BM17</f>
        <v>0</v>
      </c>
    </row>
    <row r="27" spans="2:65" hidden="1" outlineLevel="1">
      <c r="B27" s="130" t="str">
        <f>B12</f>
        <v>АПАРТАМЕНТЫ</v>
      </c>
      <c r="C27" s="28"/>
      <c r="D27" s="131" t="s">
        <v>481</v>
      </c>
      <c r="E27" s="132">
        <f t="shared" si="8"/>
        <v>0</v>
      </c>
      <c r="F27" s="551"/>
      <c r="G27" s="551"/>
      <c r="H27" s="551"/>
      <c r="I27" s="551"/>
      <c r="J27" s="551"/>
      <c r="K27" s="551"/>
      <c r="L27" s="551"/>
      <c r="M27" s="551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/>
    </row>
    <row r="28" spans="2:65" ht="15" hidden="1" outlineLevel="1">
      <c r="B28" s="130" t="str">
        <f>B13</f>
        <v>ОФИСЫ</v>
      </c>
      <c r="C28" s="28"/>
      <c r="D28" s="131" t="s">
        <v>481</v>
      </c>
      <c r="E28" s="132">
        <f t="shared" si="8"/>
        <v>0</v>
      </c>
      <c r="F28" s="551"/>
      <c r="G28" s="551"/>
      <c r="H28" s="551"/>
      <c r="I28" s="551"/>
      <c r="J28" s="551"/>
      <c r="K28" s="551"/>
      <c r="L28" s="551"/>
      <c r="M28" s="551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402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</row>
    <row r="29" spans="2:65" s="3" customFormat="1" outlineLevel="1">
      <c r="B29" s="528" t="str">
        <f>B14</f>
        <v>РИТЕЙЛ</v>
      </c>
      <c r="C29" s="529"/>
      <c r="D29" s="530" t="s">
        <v>481</v>
      </c>
      <c r="E29" s="531">
        <f t="shared" si="8"/>
        <v>700.00000000000011</v>
      </c>
      <c r="F29" s="563">
        <f>IFERROR(F44/F14,0)*1000</f>
        <v>0</v>
      </c>
      <c r="G29" s="563">
        <f t="shared" ref="G29:BM29" si="9">IFERROR(G44/G14,0)*1000</f>
        <v>0</v>
      </c>
      <c r="H29" s="563">
        <f t="shared" si="9"/>
        <v>0</v>
      </c>
      <c r="I29" s="563">
        <f t="shared" si="9"/>
        <v>0</v>
      </c>
      <c r="J29" s="563">
        <f t="shared" si="9"/>
        <v>0</v>
      </c>
      <c r="K29" s="563">
        <f t="shared" si="9"/>
        <v>0</v>
      </c>
      <c r="L29" s="563">
        <f t="shared" si="9"/>
        <v>0</v>
      </c>
      <c r="M29" s="563">
        <f t="shared" si="9"/>
        <v>0</v>
      </c>
      <c r="N29" s="532">
        <f t="shared" si="9"/>
        <v>0</v>
      </c>
      <c r="O29" s="532">
        <f t="shared" si="9"/>
        <v>0</v>
      </c>
      <c r="P29" s="532">
        <f t="shared" si="9"/>
        <v>0</v>
      </c>
      <c r="Q29" s="532">
        <f t="shared" si="9"/>
        <v>0</v>
      </c>
      <c r="R29" s="532">
        <f t="shared" si="9"/>
        <v>0</v>
      </c>
      <c r="S29" s="532">
        <f t="shared" si="9"/>
        <v>0</v>
      </c>
      <c r="T29" s="532">
        <f t="shared" si="9"/>
        <v>0</v>
      </c>
      <c r="U29" s="532">
        <f t="shared" si="9"/>
        <v>0</v>
      </c>
      <c r="V29" s="532">
        <f t="shared" si="9"/>
        <v>0</v>
      </c>
      <c r="W29" s="532">
        <f t="shared" si="9"/>
        <v>0</v>
      </c>
      <c r="X29" s="532">
        <f t="shared" si="9"/>
        <v>0</v>
      </c>
      <c r="Y29" s="532">
        <f t="shared" si="9"/>
        <v>0</v>
      </c>
      <c r="Z29" s="532">
        <f t="shared" si="9"/>
        <v>0</v>
      </c>
      <c r="AA29" s="532">
        <f t="shared" si="9"/>
        <v>0</v>
      </c>
      <c r="AB29" s="532">
        <f t="shared" si="9"/>
        <v>0</v>
      </c>
      <c r="AC29" s="532">
        <f t="shared" si="9"/>
        <v>0</v>
      </c>
      <c r="AD29" s="532">
        <f t="shared" si="9"/>
        <v>0</v>
      </c>
      <c r="AE29" s="532">
        <f t="shared" si="9"/>
        <v>0</v>
      </c>
      <c r="AF29" s="532">
        <f t="shared" si="9"/>
        <v>0</v>
      </c>
      <c r="AG29" s="532">
        <f t="shared" si="9"/>
        <v>700.00000000000011</v>
      </c>
      <c r="AH29" s="532">
        <f t="shared" si="9"/>
        <v>700.00000000000011</v>
      </c>
      <c r="AI29" s="532">
        <f t="shared" si="9"/>
        <v>0</v>
      </c>
      <c r="AJ29" s="532">
        <f t="shared" si="9"/>
        <v>0</v>
      </c>
      <c r="AK29" s="532">
        <f t="shared" si="9"/>
        <v>700</v>
      </c>
      <c r="AL29" s="532">
        <f t="shared" si="9"/>
        <v>700</v>
      </c>
      <c r="AM29" s="532">
        <f t="shared" si="9"/>
        <v>0</v>
      </c>
      <c r="AN29" s="532">
        <f t="shared" si="9"/>
        <v>0</v>
      </c>
      <c r="AO29" s="532">
        <f t="shared" si="9"/>
        <v>0</v>
      </c>
      <c r="AP29" s="532">
        <f t="shared" si="9"/>
        <v>0</v>
      </c>
      <c r="AQ29" s="532">
        <f t="shared" si="9"/>
        <v>0</v>
      </c>
      <c r="AR29" s="532">
        <f t="shared" si="9"/>
        <v>0</v>
      </c>
      <c r="AS29" s="532">
        <f t="shared" si="9"/>
        <v>0</v>
      </c>
      <c r="AT29" s="532">
        <f t="shared" si="9"/>
        <v>0</v>
      </c>
      <c r="AU29" s="532">
        <f t="shared" si="9"/>
        <v>0</v>
      </c>
      <c r="AV29" s="532">
        <f t="shared" si="9"/>
        <v>0</v>
      </c>
      <c r="AW29" s="532">
        <f t="shared" si="9"/>
        <v>0</v>
      </c>
      <c r="AX29" s="532">
        <f t="shared" si="9"/>
        <v>0</v>
      </c>
      <c r="AY29" s="532">
        <f t="shared" si="9"/>
        <v>0</v>
      </c>
      <c r="AZ29" s="532">
        <f t="shared" si="9"/>
        <v>0</v>
      </c>
      <c r="BA29" s="532">
        <f t="shared" si="9"/>
        <v>0</v>
      </c>
      <c r="BB29" s="532">
        <f t="shared" si="9"/>
        <v>0</v>
      </c>
      <c r="BC29" s="532">
        <f t="shared" si="9"/>
        <v>0</v>
      </c>
      <c r="BD29" s="532">
        <f t="shared" si="9"/>
        <v>0</v>
      </c>
      <c r="BE29" s="532">
        <f t="shared" si="9"/>
        <v>0</v>
      </c>
      <c r="BF29" s="532">
        <f t="shared" si="9"/>
        <v>0</v>
      </c>
      <c r="BG29" s="532">
        <f t="shared" si="9"/>
        <v>0</v>
      </c>
      <c r="BH29" s="532">
        <f t="shared" si="9"/>
        <v>0</v>
      </c>
      <c r="BI29" s="532">
        <f t="shared" si="9"/>
        <v>0</v>
      </c>
      <c r="BJ29" s="532">
        <f t="shared" si="9"/>
        <v>0</v>
      </c>
      <c r="BK29" s="532">
        <f t="shared" si="9"/>
        <v>0</v>
      </c>
      <c r="BL29" s="532">
        <f t="shared" si="9"/>
        <v>0</v>
      </c>
      <c r="BM29" s="532">
        <f t="shared" si="9"/>
        <v>0</v>
      </c>
    </row>
    <row r="30" spans="2:65" outlineLevel="1">
      <c r="B30" s="130"/>
      <c r="C30" s="28" t="s">
        <v>488</v>
      </c>
      <c r="D30" s="131" t="s">
        <v>481</v>
      </c>
      <c r="E30" s="309">
        <f t="shared" si="8"/>
        <v>700.00000000000011</v>
      </c>
      <c r="F30" s="551">
        <f>'CF1'!F20</f>
        <v>0</v>
      </c>
      <c r="G30" s="551">
        <f>'CF1'!G20</f>
        <v>0</v>
      </c>
      <c r="H30" s="551">
        <f>'CF1'!H20</f>
        <v>0</v>
      </c>
      <c r="I30" s="551">
        <f>'CF1'!I20</f>
        <v>0</v>
      </c>
      <c r="J30" s="551">
        <f>'CF1'!J20</f>
        <v>0</v>
      </c>
      <c r="K30" s="551">
        <f>'CF1'!K20</f>
        <v>0</v>
      </c>
      <c r="L30" s="551">
        <f>'CF1'!L20</f>
        <v>0</v>
      </c>
      <c r="M30" s="551">
        <f>'CF1'!M20</f>
        <v>0</v>
      </c>
      <c r="N30" s="133">
        <f>'CF1'!N20</f>
        <v>0</v>
      </c>
      <c r="O30" s="133">
        <f>'CF1'!O20</f>
        <v>0</v>
      </c>
      <c r="P30" s="133">
        <f>'CF1'!P20</f>
        <v>0</v>
      </c>
      <c r="Q30" s="133">
        <f>'CF1'!Q20</f>
        <v>0</v>
      </c>
      <c r="R30" s="133">
        <f>'CF1'!R20</f>
        <v>0</v>
      </c>
      <c r="S30" s="133">
        <f>'CF1'!S20</f>
        <v>0</v>
      </c>
      <c r="T30" s="133">
        <f>'CF1'!T20</f>
        <v>0</v>
      </c>
      <c r="U30" s="133">
        <f>'CF1'!U20</f>
        <v>0</v>
      </c>
      <c r="V30" s="133">
        <f>'CF1'!V20</f>
        <v>0</v>
      </c>
      <c r="W30" s="133">
        <f>'CF1'!W20</f>
        <v>0</v>
      </c>
      <c r="X30" s="133">
        <f>'CF1'!X20</f>
        <v>0</v>
      </c>
      <c r="Y30" s="133">
        <f>'CF1'!Y20</f>
        <v>0</v>
      </c>
      <c r="Z30" s="133">
        <f>'CF1'!Z20</f>
        <v>0</v>
      </c>
      <c r="AA30" s="133">
        <f>'CF1'!AA20</f>
        <v>0</v>
      </c>
      <c r="AB30" s="133">
        <f>'CF1'!AB20</f>
        <v>0</v>
      </c>
      <c r="AC30" s="133">
        <f>'CF1'!AC20</f>
        <v>0</v>
      </c>
      <c r="AD30" s="133">
        <f>'CF1'!AD20</f>
        <v>0</v>
      </c>
      <c r="AE30" s="133">
        <f>'CF1'!AE20</f>
        <v>0</v>
      </c>
      <c r="AF30" s="133">
        <f>'CF1'!AF20</f>
        <v>0</v>
      </c>
      <c r="AG30" s="133">
        <f>'CF1'!AG20</f>
        <v>700</v>
      </c>
      <c r="AH30" s="133">
        <f>'CF1'!AH20</f>
        <v>700</v>
      </c>
      <c r="AI30" s="133">
        <f>'CF1'!AI20</f>
        <v>0</v>
      </c>
      <c r="AJ30" s="133">
        <f>'CF1'!AJ20</f>
        <v>0</v>
      </c>
      <c r="AK30" s="133">
        <f>'CF1'!AK20</f>
        <v>0</v>
      </c>
      <c r="AL30" s="133">
        <f>'CF1'!AL20</f>
        <v>0</v>
      </c>
      <c r="AM30" s="133">
        <f>'CF1'!AM20</f>
        <v>0</v>
      </c>
      <c r="AN30" s="133">
        <f>'CF1'!AN20</f>
        <v>0</v>
      </c>
      <c r="AO30" s="133">
        <f>'CF1'!AO20</f>
        <v>0</v>
      </c>
      <c r="AP30" s="133">
        <f>'CF1'!AP20</f>
        <v>0</v>
      </c>
      <c r="AQ30" s="133">
        <f>'CF1'!AQ20</f>
        <v>0</v>
      </c>
      <c r="AR30" s="133">
        <f>'CF1'!AR20</f>
        <v>0</v>
      </c>
      <c r="AS30" s="133">
        <f>'CF1'!AS20</f>
        <v>0</v>
      </c>
      <c r="AT30" s="133">
        <f>'CF1'!AT20</f>
        <v>0</v>
      </c>
      <c r="AU30" s="133">
        <f>'CF1'!AU20</f>
        <v>0</v>
      </c>
      <c r="AV30" s="133">
        <f>'CF1'!AV20</f>
        <v>0</v>
      </c>
      <c r="AW30" s="133">
        <f>'CF1'!AW20</f>
        <v>0</v>
      </c>
      <c r="AX30" s="133">
        <f>'CF1'!AX20</f>
        <v>0</v>
      </c>
      <c r="AY30" s="133">
        <f>'CF1'!AY20</f>
        <v>0</v>
      </c>
      <c r="AZ30" s="133">
        <f>'CF1'!AZ20</f>
        <v>0</v>
      </c>
      <c r="BA30" s="133">
        <f>'CF1'!BA20</f>
        <v>0</v>
      </c>
      <c r="BB30" s="133">
        <f>'CF1'!BB20</f>
        <v>0</v>
      </c>
      <c r="BC30" s="133">
        <f>'CF1'!BC20</f>
        <v>0</v>
      </c>
      <c r="BD30" s="133">
        <f>'CF1'!BD20</f>
        <v>0</v>
      </c>
      <c r="BE30" s="133">
        <f>'CF1'!BE20</f>
        <v>0</v>
      </c>
      <c r="BF30" s="133">
        <f>'CF1'!BF20</f>
        <v>0</v>
      </c>
      <c r="BG30" s="133">
        <f>'CF1'!BG20</f>
        <v>0</v>
      </c>
      <c r="BH30" s="133">
        <f>'CF1'!BH20</f>
        <v>0</v>
      </c>
      <c r="BI30" s="133">
        <f>'CF1'!BI20</f>
        <v>0</v>
      </c>
      <c r="BJ30" s="133">
        <f>'CF1'!BJ20</f>
        <v>0</v>
      </c>
      <c r="BK30" s="133">
        <f>'CF1'!BK20</f>
        <v>0</v>
      </c>
      <c r="BL30" s="133">
        <f>'CF1'!BL20</f>
        <v>0</v>
      </c>
      <c r="BM30" s="133">
        <f>'CF1'!BM20</f>
        <v>0</v>
      </c>
    </row>
    <row r="31" spans="2:65" outlineLevel="1">
      <c r="B31" s="130"/>
      <c r="C31" s="28" t="s">
        <v>489</v>
      </c>
      <c r="D31" s="131" t="s">
        <v>481</v>
      </c>
      <c r="E31" s="309">
        <f t="shared" si="8"/>
        <v>700</v>
      </c>
      <c r="F31" s="551">
        <f>'CF2'!F20</f>
        <v>0</v>
      </c>
      <c r="G31" s="551">
        <f>'CF2'!G20</f>
        <v>0</v>
      </c>
      <c r="H31" s="551">
        <f>'CF2'!H20</f>
        <v>0</v>
      </c>
      <c r="I31" s="551">
        <f>'CF2'!I20</f>
        <v>0</v>
      </c>
      <c r="J31" s="551">
        <f>'CF2'!J20</f>
        <v>0</v>
      </c>
      <c r="K31" s="551">
        <f>'CF2'!K20</f>
        <v>0</v>
      </c>
      <c r="L31" s="551">
        <f>'CF2'!L20</f>
        <v>0</v>
      </c>
      <c r="M31" s="551">
        <f>'CF2'!M20</f>
        <v>0</v>
      </c>
      <c r="N31" s="133">
        <f>'CF2'!N20</f>
        <v>0</v>
      </c>
      <c r="O31" s="133">
        <f>'CF2'!O20</f>
        <v>0</v>
      </c>
      <c r="P31" s="133">
        <f>'CF2'!P20</f>
        <v>0</v>
      </c>
      <c r="Q31" s="133">
        <f>'CF2'!Q20</f>
        <v>0</v>
      </c>
      <c r="R31" s="133">
        <f>'CF2'!R20</f>
        <v>0</v>
      </c>
      <c r="S31" s="133">
        <f>'CF2'!S20</f>
        <v>0</v>
      </c>
      <c r="T31" s="133">
        <f>'CF2'!T20</f>
        <v>0</v>
      </c>
      <c r="U31" s="133">
        <f>'CF2'!U20</f>
        <v>0</v>
      </c>
      <c r="V31" s="133">
        <f>'CF2'!V20</f>
        <v>0</v>
      </c>
      <c r="W31" s="133">
        <f>'CF2'!W20</f>
        <v>0</v>
      </c>
      <c r="X31" s="133">
        <f>'CF2'!X20</f>
        <v>0</v>
      </c>
      <c r="Y31" s="133">
        <f>'CF2'!Y20</f>
        <v>0</v>
      </c>
      <c r="Z31" s="133">
        <f>'CF2'!Z20</f>
        <v>0</v>
      </c>
      <c r="AA31" s="133">
        <f>'CF2'!AA20</f>
        <v>0</v>
      </c>
      <c r="AB31" s="133">
        <f>'CF2'!AB20</f>
        <v>0</v>
      </c>
      <c r="AC31" s="133">
        <f>'CF2'!AC20</f>
        <v>0</v>
      </c>
      <c r="AD31" s="133">
        <f>'CF2'!AD20</f>
        <v>0</v>
      </c>
      <c r="AE31" s="133">
        <f>'CF2'!AE20</f>
        <v>0</v>
      </c>
      <c r="AF31" s="133">
        <f>'CF2'!AF20</f>
        <v>0</v>
      </c>
      <c r="AG31" s="133">
        <f>'CF2'!AG20</f>
        <v>0</v>
      </c>
      <c r="AH31" s="133">
        <f>'CF2'!AH20</f>
        <v>0</v>
      </c>
      <c r="AI31" s="133">
        <f>'CF2'!AI20</f>
        <v>0</v>
      </c>
      <c r="AJ31" s="133">
        <f>'CF2'!AJ20</f>
        <v>0</v>
      </c>
      <c r="AK31" s="133">
        <f>'CF2'!AK20</f>
        <v>700</v>
      </c>
      <c r="AL31" s="133">
        <f>'CF2'!AL20</f>
        <v>700</v>
      </c>
      <c r="AM31" s="133">
        <f>'CF2'!AM20</f>
        <v>0</v>
      </c>
      <c r="AN31" s="133">
        <f>'CF2'!AN20</f>
        <v>0</v>
      </c>
      <c r="AO31" s="133">
        <f>'CF2'!AO20</f>
        <v>0</v>
      </c>
      <c r="AP31" s="133">
        <f>'CF2'!AP20</f>
        <v>0</v>
      </c>
      <c r="AQ31" s="133">
        <f>'CF2'!AQ20</f>
        <v>0</v>
      </c>
      <c r="AR31" s="133">
        <f>'CF2'!AR20</f>
        <v>0</v>
      </c>
      <c r="AS31" s="133">
        <f>'CF2'!AS20</f>
        <v>0</v>
      </c>
      <c r="AT31" s="133">
        <f>'CF2'!AT20</f>
        <v>0</v>
      </c>
      <c r="AU31" s="133">
        <f>'CF2'!AU20</f>
        <v>0</v>
      </c>
      <c r="AV31" s="133">
        <f>'CF2'!AV20</f>
        <v>0</v>
      </c>
      <c r="AW31" s="133">
        <f>'CF2'!AW20</f>
        <v>0</v>
      </c>
      <c r="AX31" s="133">
        <f>'CF2'!AX20</f>
        <v>0</v>
      </c>
      <c r="AY31" s="133">
        <f>'CF2'!AY20</f>
        <v>0</v>
      </c>
      <c r="AZ31" s="133">
        <f>'CF2'!AZ20</f>
        <v>0</v>
      </c>
      <c r="BA31" s="133">
        <f>'CF2'!BA20</f>
        <v>0</v>
      </c>
      <c r="BB31" s="133">
        <f>'CF2'!BB20</f>
        <v>0</v>
      </c>
      <c r="BC31" s="133">
        <f>'CF2'!BC20</f>
        <v>0</v>
      </c>
      <c r="BD31" s="133">
        <f>'CF2'!BD20</f>
        <v>0</v>
      </c>
      <c r="BE31" s="133">
        <f>'CF2'!BE20</f>
        <v>0</v>
      </c>
      <c r="BF31" s="133">
        <f>'CF2'!BF20</f>
        <v>0</v>
      </c>
      <c r="BG31" s="133">
        <f>'CF2'!BG20</f>
        <v>0</v>
      </c>
      <c r="BH31" s="133">
        <f>'CF2'!BH20</f>
        <v>0</v>
      </c>
      <c r="BI31" s="133">
        <f>'CF2'!BI20</f>
        <v>0</v>
      </c>
      <c r="BJ31" s="133">
        <f>'CF2'!BJ20</f>
        <v>0</v>
      </c>
      <c r="BK31" s="133">
        <f>'CF2'!BK20</f>
        <v>0</v>
      </c>
      <c r="BL31" s="133">
        <f>'CF2'!BL20</f>
        <v>0</v>
      </c>
      <c r="BM31" s="133">
        <f>'CF2'!BM20</f>
        <v>0</v>
      </c>
    </row>
    <row r="32" spans="2:65" hidden="1" outlineLevel="1">
      <c r="B32" s="130" t="str">
        <f>B17</f>
        <v>ТЦ</v>
      </c>
      <c r="C32" s="28"/>
      <c r="D32" s="131" t="s">
        <v>481</v>
      </c>
      <c r="E32" s="132">
        <f t="shared" si="8"/>
        <v>0</v>
      </c>
      <c r="F32" s="551"/>
      <c r="G32" s="551"/>
      <c r="H32" s="551"/>
      <c r="I32" s="551"/>
      <c r="J32" s="551"/>
      <c r="K32" s="551"/>
      <c r="L32" s="551"/>
      <c r="M32" s="551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3"/>
      <c r="BJ32" s="133"/>
      <c r="BK32" s="133"/>
      <c r="BL32" s="133"/>
      <c r="BM32" s="133"/>
    </row>
    <row r="33" spans="2:65" s="3" customFormat="1" outlineLevel="1">
      <c r="B33" s="528" t="str">
        <f>B18</f>
        <v>ПАРКИНГ ЖИЛЬЕ</v>
      </c>
      <c r="C33" s="529"/>
      <c r="D33" s="530" t="s">
        <v>481</v>
      </c>
      <c r="E33" s="531">
        <f t="shared" si="8"/>
        <v>4500</v>
      </c>
      <c r="F33" s="563">
        <f>IFERROR(F48/F18,0)*1000</f>
        <v>0</v>
      </c>
      <c r="G33" s="563">
        <f t="shared" ref="G33:BM33" si="10">IFERROR(G48/G18,0)*1000</f>
        <v>0</v>
      </c>
      <c r="H33" s="563">
        <f t="shared" si="10"/>
        <v>0</v>
      </c>
      <c r="I33" s="563">
        <f t="shared" si="10"/>
        <v>0</v>
      </c>
      <c r="J33" s="563">
        <f t="shared" si="10"/>
        <v>0</v>
      </c>
      <c r="K33" s="563">
        <f t="shared" si="10"/>
        <v>0</v>
      </c>
      <c r="L33" s="563">
        <f t="shared" si="10"/>
        <v>0</v>
      </c>
      <c r="M33" s="563">
        <f t="shared" si="10"/>
        <v>0</v>
      </c>
      <c r="N33" s="532">
        <f t="shared" si="10"/>
        <v>0</v>
      </c>
      <c r="O33" s="532">
        <f t="shared" si="10"/>
        <v>0</v>
      </c>
      <c r="P33" s="532">
        <f t="shared" si="10"/>
        <v>0</v>
      </c>
      <c r="Q33" s="532">
        <f t="shared" si="10"/>
        <v>0</v>
      </c>
      <c r="R33" s="532">
        <f t="shared" si="10"/>
        <v>0</v>
      </c>
      <c r="S33" s="532">
        <f>IFERROR(S48/S18,0)*1000</f>
        <v>0</v>
      </c>
      <c r="T33" s="532">
        <f t="shared" si="10"/>
        <v>4500</v>
      </c>
      <c r="U33" s="532">
        <f t="shared" si="10"/>
        <v>4500</v>
      </c>
      <c r="V33" s="532">
        <f t="shared" si="10"/>
        <v>4500</v>
      </c>
      <c r="W33" s="532">
        <f t="shared" si="10"/>
        <v>4500</v>
      </c>
      <c r="X33" s="532">
        <f t="shared" si="10"/>
        <v>4500</v>
      </c>
      <c r="Y33" s="532">
        <f t="shared" si="10"/>
        <v>4500</v>
      </c>
      <c r="Z33" s="532">
        <f t="shared" si="10"/>
        <v>4500</v>
      </c>
      <c r="AA33" s="532">
        <f t="shared" si="10"/>
        <v>4500</v>
      </c>
      <c r="AB33" s="532">
        <f t="shared" si="10"/>
        <v>4500</v>
      </c>
      <c r="AC33" s="532">
        <f t="shared" si="10"/>
        <v>4500</v>
      </c>
      <c r="AD33" s="532">
        <f t="shared" si="10"/>
        <v>4500</v>
      </c>
      <c r="AE33" s="532">
        <f t="shared" si="10"/>
        <v>4500</v>
      </c>
      <c r="AF33" s="532">
        <f t="shared" si="10"/>
        <v>4500</v>
      </c>
      <c r="AG33" s="532">
        <f t="shared" si="10"/>
        <v>4500</v>
      </c>
      <c r="AH33" s="532">
        <f t="shared" si="10"/>
        <v>4500</v>
      </c>
      <c r="AI33" s="532">
        <f t="shared" si="10"/>
        <v>4500</v>
      </c>
      <c r="AJ33" s="532">
        <f t="shared" si="10"/>
        <v>4500</v>
      </c>
      <c r="AK33" s="532">
        <f t="shared" si="10"/>
        <v>4500</v>
      </c>
      <c r="AL33" s="532">
        <f t="shared" si="10"/>
        <v>4500</v>
      </c>
      <c r="AM33" s="532">
        <f t="shared" si="10"/>
        <v>4500</v>
      </c>
      <c r="AN33" s="532">
        <f t="shared" si="10"/>
        <v>4500</v>
      </c>
      <c r="AO33" s="532">
        <f t="shared" si="10"/>
        <v>0</v>
      </c>
      <c r="AP33" s="532">
        <f t="shared" si="10"/>
        <v>0</v>
      </c>
      <c r="AQ33" s="532">
        <f t="shared" si="10"/>
        <v>0</v>
      </c>
      <c r="AR33" s="532">
        <f t="shared" si="10"/>
        <v>0</v>
      </c>
      <c r="AS33" s="532">
        <f t="shared" si="10"/>
        <v>0</v>
      </c>
      <c r="AT33" s="532">
        <f t="shared" si="10"/>
        <v>0</v>
      </c>
      <c r="AU33" s="532">
        <f t="shared" si="10"/>
        <v>0</v>
      </c>
      <c r="AV33" s="532">
        <f t="shared" si="10"/>
        <v>0</v>
      </c>
      <c r="AW33" s="532">
        <f t="shared" si="10"/>
        <v>0</v>
      </c>
      <c r="AX33" s="532">
        <f t="shared" si="10"/>
        <v>0</v>
      </c>
      <c r="AY33" s="532">
        <f t="shared" si="10"/>
        <v>0</v>
      </c>
      <c r="AZ33" s="532">
        <f t="shared" si="10"/>
        <v>0</v>
      </c>
      <c r="BA33" s="532">
        <f t="shared" si="10"/>
        <v>0</v>
      </c>
      <c r="BB33" s="532">
        <f t="shared" si="10"/>
        <v>0</v>
      </c>
      <c r="BC33" s="532">
        <f t="shared" si="10"/>
        <v>0</v>
      </c>
      <c r="BD33" s="532">
        <f t="shared" si="10"/>
        <v>0</v>
      </c>
      <c r="BE33" s="532">
        <f t="shared" si="10"/>
        <v>0</v>
      </c>
      <c r="BF33" s="532">
        <f t="shared" si="10"/>
        <v>0</v>
      </c>
      <c r="BG33" s="532">
        <f t="shared" si="10"/>
        <v>0</v>
      </c>
      <c r="BH33" s="532">
        <f t="shared" si="10"/>
        <v>0</v>
      </c>
      <c r="BI33" s="532">
        <f t="shared" si="10"/>
        <v>0</v>
      </c>
      <c r="BJ33" s="532">
        <f t="shared" si="10"/>
        <v>0</v>
      </c>
      <c r="BK33" s="532">
        <f t="shared" si="10"/>
        <v>0</v>
      </c>
      <c r="BL33" s="532">
        <f t="shared" si="10"/>
        <v>0</v>
      </c>
      <c r="BM33" s="532">
        <f t="shared" si="10"/>
        <v>0</v>
      </c>
    </row>
    <row r="34" spans="2:65" outlineLevel="1">
      <c r="B34" s="130"/>
      <c r="C34" s="28" t="s">
        <v>488</v>
      </c>
      <c r="D34" s="131" t="s">
        <v>481</v>
      </c>
      <c r="E34" s="309">
        <f t="shared" si="8"/>
        <v>4500</v>
      </c>
      <c r="F34" s="551">
        <f>'CF1'!F22</f>
        <v>0</v>
      </c>
      <c r="G34" s="551">
        <f>'CF1'!G22</f>
        <v>0</v>
      </c>
      <c r="H34" s="551">
        <f>'CF1'!H22</f>
        <v>0</v>
      </c>
      <c r="I34" s="551">
        <f>'CF1'!I22</f>
        <v>0</v>
      </c>
      <c r="J34" s="551">
        <f>'CF1'!J22</f>
        <v>0</v>
      </c>
      <c r="K34" s="551">
        <f>'CF1'!K22</f>
        <v>0</v>
      </c>
      <c r="L34" s="551">
        <f>'CF1'!L22</f>
        <v>0</v>
      </c>
      <c r="M34" s="551">
        <f>'CF1'!M22</f>
        <v>0</v>
      </c>
      <c r="N34" s="133">
        <f>'CF1'!N22</f>
        <v>0</v>
      </c>
      <c r="O34" s="133">
        <f>'CF1'!O22</f>
        <v>0</v>
      </c>
      <c r="P34" s="133">
        <f>'CF1'!P22</f>
        <v>0</v>
      </c>
      <c r="Q34" s="133">
        <f>'CF1'!Q22</f>
        <v>0</v>
      </c>
      <c r="R34" s="133">
        <f>'CF1'!R22</f>
        <v>0</v>
      </c>
      <c r="S34" s="133">
        <f>'CF1'!S22</f>
        <v>0</v>
      </c>
      <c r="T34" s="133">
        <f>'CF1'!T22</f>
        <v>4500</v>
      </c>
      <c r="U34" s="133">
        <f>'CF1'!U22</f>
        <v>4500</v>
      </c>
      <c r="V34" s="133">
        <f>'CF1'!V22</f>
        <v>4500</v>
      </c>
      <c r="W34" s="133">
        <f>'CF1'!W22</f>
        <v>4500</v>
      </c>
      <c r="X34" s="133">
        <f>'CF1'!X22</f>
        <v>4500</v>
      </c>
      <c r="Y34" s="133">
        <f>'CF1'!Y22</f>
        <v>4500</v>
      </c>
      <c r="Z34" s="133">
        <f>'CF1'!Z22</f>
        <v>4500</v>
      </c>
      <c r="AA34" s="133">
        <f>'CF1'!AA22</f>
        <v>4500</v>
      </c>
      <c r="AB34" s="133">
        <f>'CF1'!AB22</f>
        <v>4500</v>
      </c>
      <c r="AC34" s="133">
        <f>'CF1'!AC22</f>
        <v>4500</v>
      </c>
      <c r="AD34" s="133">
        <f>'CF1'!AD22</f>
        <v>4500</v>
      </c>
      <c r="AE34" s="133">
        <f>'CF1'!AE22</f>
        <v>4500</v>
      </c>
      <c r="AF34" s="133">
        <f>'CF1'!AF22</f>
        <v>4500</v>
      </c>
      <c r="AG34" s="133">
        <f>'CF1'!AG22</f>
        <v>4500</v>
      </c>
      <c r="AH34" s="133">
        <f>'CF1'!AH22</f>
        <v>4500</v>
      </c>
      <c r="AI34" s="133">
        <f>'CF1'!AI22</f>
        <v>4500</v>
      </c>
      <c r="AJ34" s="133">
        <f>'CF1'!AJ22</f>
        <v>4500</v>
      </c>
      <c r="AK34" s="133">
        <f>'CF1'!AK22</f>
        <v>4500</v>
      </c>
      <c r="AL34" s="133">
        <f>'CF1'!AL22</f>
        <v>4500</v>
      </c>
      <c r="AM34" s="133">
        <f>'CF1'!AM22</f>
        <v>4500</v>
      </c>
      <c r="AN34" s="133">
        <f>'CF1'!AN22</f>
        <v>0</v>
      </c>
      <c r="AO34" s="133">
        <f>'CF1'!AO22</f>
        <v>0</v>
      </c>
      <c r="AP34" s="133">
        <f>'CF1'!AP22</f>
        <v>0</v>
      </c>
      <c r="AQ34" s="133">
        <f>'CF1'!AQ22</f>
        <v>0</v>
      </c>
      <c r="AR34" s="133">
        <f>'CF1'!AR22</f>
        <v>0</v>
      </c>
      <c r="AS34" s="133">
        <f>'CF1'!AS22</f>
        <v>0</v>
      </c>
      <c r="AT34" s="133">
        <f>'CF1'!AT22</f>
        <v>0</v>
      </c>
      <c r="AU34" s="133">
        <f>'CF1'!AU22</f>
        <v>0</v>
      </c>
      <c r="AV34" s="133">
        <f>'CF1'!AV22</f>
        <v>0</v>
      </c>
      <c r="AW34" s="133">
        <f>'CF1'!AW22</f>
        <v>0</v>
      </c>
      <c r="AX34" s="133">
        <f>'CF1'!AX22</f>
        <v>0</v>
      </c>
      <c r="AY34" s="133">
        <f>'CF1'!AY22</f>
        <v>0</v>
      </c>
      <c r="AZ34" s="133">
        <f>'CF1'!AZ22</f>
        <v>0</v>
      </c>
      <c r="BA34" s="133">
        <f>'CF1'!BA22</f>
        <v>0</v>
      </c>
      <c r="BB34" s="133">
        <f>'CF1'!BB22</f>
        <v>0</v>
      </c>
      <c r="BC34" s="133">
        <f>'CF1'!BC22</f>
        <v>0</v>
      </c>
      <c r="BD34" s="133">
        <f>'CF1'!BD22</f>
        <v>0</v>
      </c>
      <c r="BE34" s="133">
        <f>'CF1'!BE22</f>
        <v>0</v>
      </c>
      <c r="BF34" s="133">
        <f>'CF1'!BF22</f>
        <v>0</v>
      </c>
      <c r="BG34" s="133">
        <f>'CF1'!BG22</f>
        <v>0</v>
      </c>
      <c r="BH34" s="133">
        <f>'CF1'!BH22</f>
        <v>0</v>
      </c>
      <c r="BI34" s="133">
        <f>'CF1'!BI22</f>
        <v>0</v>
      </c>
      <c r="BJ34" s="133">
        <f>'CF1'!BJ22</f>
        <v>0</v>
      </c>
      <c r="BK34" s="133">
        <f>'CF1'!BK22</f>
        <v>0</v>
      </c>
      <c r="BL34" s="133">
        <f>'CF1'!BL22</f>
        <v>0</v>
      </c>
      <c r="BM34" s="133">
        <f>'CF1'!BM22</f>
        <v>0</v>
      </c>
    </row>
    <row r="35" spans="2:65" outlineLevel="1">
      <c r="B35" s="130"/>
      <c r="C35" s="28" t="s">
        <v>489</v>
      </c>
      <c r="D35" s="131" t="s">
        <v>481</v>
      </c>
      <c r="E35" s="309">
        <f t="shared" si="8"/>
        <v>4500</v>
      </c>
      <c r="F35" s="551">
        <f>'CF2'!F22</f>
        <v>0</v>
      </c>
      <c r="G35" s="551">
        <f>'CF2'!G22</f>
        <v>0</v>
      </c>
      <c r="H35" s="551">
        <f>'CF2'!H22</f>
        <v>0</v>
      </c>
      <c r="I35" s="551">
        <f>'CF2'!I22</f>
        <v>0</v>
      </c>
      <c r="J35" s="551">
        <f>'CF2'!J22</f>
        <v>0</v>
      </c>
      <c r="K35" s="551">
        <f>'CF2'!K22</f>
        <v>0</v>
      </c>
      <c r="L35" s="551">
        <f>'CF2'!L22</f>
        <v>0</v>
      </c>
      <c r="M35" s="551">
        <f>'CF2'!M22</f>
        <v>0</v>
      </c>
      <c r="N35" s="133">
        <f>'CF2'!N22</f>
        <v>0</v>
      </c>
      <c r="O35" s="133">
        <f>'CF2'!O22</f>
        <v>0</v>
      </c>
      <c r="P35" s="133">
        <f>'CF2'!P22</f>
        <v>0</v>
      </c>
      <c r="Q35" s="133">
        <f>'CF2'!Q22</f>
        <v>0</v>
      </c>
      <c r="R35" s="133">
        <f>'CF2'!R22</f>
        <v>0</v>
      </c>
      <c r="S35" s="133">
        <f>'CF2'!S22</f>
        <v>0</v>
      </c>
      <c r="T35" s="133">
        <f>'CF2'!T22</f>
        <v>0</v>
      </c>
      <c r="U35" s="133">
        <f>'CF2'!U22</f>
        <v>0</v>
      </c>
      <c r="V35" s="133">
        <f>'CF2'!V22</f>
        <v>0</v>
      </c>
      <c r="W35" s="133">
        <f>'CF2'!W22</f>
        <v>0</v>
      </c>
      <c r="X35" s="133">
        <f>'CF2'!X22</f>
        <v>4500</v>
      </c>
      <c r="Y35" s="133">
        <f>'CF2'!Y22</f>
        <v>4500</v>
      </c>
      <c r="Z35" s="133">
        <f>'CF2'!Z22</f>
        <v>4500</v>
      </c>
      <c r="AA35" s="133">
        <f>'CF2'!AA22</f>
        <v>4500</v>
      </c>
      <c r="AB35" s="133">
        <f>'CF2'!AB22</f>
        <v>4500</v>
      </c>
      <c r="AC35" s="133">
        <f>'CF2'!AC22</f>
        <v>4500</v>
      </c>
      <c r="AD35" s="133">
        <f>'CF2'!AD22</f>
        <v>4500</v>
      </c>
      <c r="AE35" s="133">
        <f>'CF2'!AE22</f>
        <v>4500</v>
      </c>
      <c r="AF35" s="133">
        <f>'CF2'!AF22</f>
        <v>4500</v>
      </c>
      <c r="AG35" s="133">
        <f>'CF2'!AG22</f>
        <v>4500</v>
      </c>
      <c r="AH35" s="133">
        <f>'CF2'!AH22</f>
        <v>4500</v>
      </c>
      <c r="AI35" s="133">
        <f>'CF2'!AI22</f>
        <v>4500</v>
      </c>
      <c r="AJ35" s="133">
        <f>'CF2'!AJ22</f>
        <v>4500</v>
      </c>
      <c r="AK35" s="133">
        <f>'CF2'!AK22</f>
        <v>4500</v>
      </c>
      <c r="AL35" s="133">
        <f>'CF2'!AL22</f>
        <v>4500</v>
      </c>
      <c r="AM35" s="133">
        <f>'CF2'!AM22</f>
        <v>4500</v>
      </c>
      <c r="AN35" s="133">
        <f>'CF2'!AN22</f>
        <v>4500</v>
      </c>
      <c r="AO35" s="133">
        <f>'CF2'!AO22</f>
        <v>0</v>
      </c>
      <c r="AP35" s="133">
        <f>'CF2'!AP22</f>
        <v>0</v>
      </c>
      <c r="AQ35" s="133">
        <f>'CF2'!AQ22</f>
        <v>0</v>
      </c>
      <c r="AR35" s="133">
        <f>'CF2'!AR22</f>
        <v>0</v>
      </c>
      <c r="AS35" s="133">
        <f>'CF2'!AS22</f>
        <v>0</v>
      </c>
      <c r="AT35" s="133">
        <f>'CF2'!AT22</f>
        <v>0</v>
      </c>
      <c r="AU35" s="133">
        <f>'CF2'!AU22</f>
        <v>0</v>
      </c>
      <c r="AV35" s="133">
        <f>'CF2'!AV22</f>
        <v>0</v>
      </c>
      <c r="AW35" s="133">
        <f>'CF2'!AW22</f>
        <v>0</v>
      </c>
      <c r="AX35" s="133">
        <f>'CF2'!AX22</f>
        <v>0</v>
      </c>
      <c r="AY35" s="133">
        <f>'CF2'!AY22</f>
        <v>0</v>
      </c>
      <c r="AZ35" s="133">
        <f>'CF2'!AZ22</f>
        <v>0</v>
      </c>
      <c r="BA35" s="133">
        <f>'CF2'!BA22</f>
        <v>0</v>
      </c>
      <c r="BB35" s="133">
        <f>'CF2'!BB22</f>
        <v>0</v>
      </c>
      <c r="BC35" s="133">
        <f>'CF2'!BC22</f>
        <v>0</v>
      </c>
      <c r="BD35" s="133">
        <f>'CF2'!BD22</f>
        <v>0</v>
      </c>
      <c r="BE35" s="133">
        <f>'CF2'!BE22</f>
        <v>0</v>
      </c>
      <c r="BF35" s="133">
        <f>'CF2'!BF22</f>
        <v>0</v>
      </c>
      <c r="BG35" s="133">
        <f>'CF2'!BG22</f>
        <v>0</v>
      </c>
      <c r="BH35" s="133">
        <f>'CF2'!BH22</f>
        <v>0</v>
      </c>
      <c r="BI35" s="133">
        <f>'CF2'!BI22</f>
        <v>0</v>
      </c>
      <c r="BJ35" s="133">
        <f>'CF2'!BJ22</f>
        <v>0</v>
      </c>
      <c r="BK35" s="133">
        <f>'CF2'!BK22</f>
        <v>0</v>
      </c>
      <c r="BL35" s="133">
        <f>'CF2'!BL22</f>
        <v>0</v>
      </c>
      <c r="BM35" s="133">
        <f>'CF2'!BM22</f>
        <v>0</v>
      </c>
    </row>
    <row r="36" spans="2:65" hidden="1" outlineLevel="1">
      <c r="B36" s="130" t="str">
        <f t="shared" ref="B36" si="11">B21</f>
        <v>ПАРКИНГ ОФИС</v>
      </c>
      <c r="C36" s="28"/>
      <c r="D36" s="131" t="s">
        <v>481</v>
      </c>
      <c r="E36" s="132">
        <f t="shared" si="8"/>
        <v>0</v>
      </c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3"/>
      <c r="BJ36" s="133"/>
      <c r="BK36" s="133"/>
      <c r="BL36" s="133"/>
      <c r="BM36" s="133"/>
    </row>
    <row r="37" spans="2:65" outlineLevel="1">
      <c r="B37" s="134"/>
      <c r="C37" s="134"/>
      <c r="D37" s="135"/>
      <c r="E37" s="136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</row>
    <row r="38" spans="2:65" s="163" customFormat="1" outlineLevel="1">
      <c r="B38" s="293" t="s">
        <v>27</v>
      </c>
      <c r="C38" s="293"/>
      <c r="D38" s="294" t="s">
        <v>19</v>
      </c>
      <c r="E38" s="295">
        <f t="shared" ref="E38" si="12">SUM(F38:BM38)</f>
        <v>78746.092704000024</v>
      </c>
      <c r="F38" s="296">
        <f>SUM(F39,F44,F48)</f>
        <v>0</v>
      </c>
      <c r="G38" s="296">
        <f t="shared" ref="G38:BM38" si="13">SUM(G39,G44,G48)</f>
        <v>0</v>
      </c>
      <c r="H38" s="296">
        <f t="shared" si="13"/>
        <v>0</v>
      </c>
      <c r="I38" s="296">
        <f t="shared" si="13"/>
        <v>0</v>
      </c>
      <c r="J38" s="296">
        <f t="shared" si="13"/>
        <v>0</v>
      </c>
      <c r="K38" s="296">
        <f t="shared" si="13"/>
        <v>0</v>
      </c>
      <c r="L38" s="296">
        <f t="shared" si="13"/>
        <v>0</v>
      </c>
      <c r="M38" s="296">
        <f t="shared" si="13"/>
        <v>0</v>
      </c>
      <c r="N38" s="296">
        <f t="shared" si="13"/>
        <v>0</v>
      </c>
      <c r="O38" s="296">
        <f t="shared" si="13"/>
        <v>0</v>
      </c>
      <c r="P38" s="296">
        <f t="shared" si="13"/>
        <v>0</v>
      </c>
      <c r="Q38" s="296">
        <f t="shared" si="13"/>
        <v>0</v>
      </c>
      <c r="R38" s="296">
        <f t="shared" si="13"/>
        <v>0</v>
      </c>
      <c r="S38" s="296">
        <f t="shared" si="13"/>
        <v>0</v>
      </c>
      <c r="T38" s="296">
        <f t="shared" si="13"/>
        <v>1703.7</v>
      </c>
      <c r="U38" s="296">
        <f t="shared" si="13"/>
        <v>1737.8512919106108</v>
      </c>
      <c r="V38" s="296">
        <f t="shared" si="13"/>
        <v>1772.0025838212218</v>
      </c>
      <c r="W38" s="296">
        <f t="shared" si="13"/>
        <v>1806.1538757318326</v>
      </c>
      <c r="X38" s="296">
        <f t="shared" si="13"/>
        <v>3544.0051676424437</v>
      </c>
      <c r="Y38" s="296">
        <f t="shared" si="13"/>
        <v>3618.4160191212122</v>
      </c>
      <c r="Z38" s="296">
        <f t="shared" si="13"/>
        <v>3692.8268705999817</v>
      </c>
      <c r="AA38" s="296">
        <f t="shared" si="13"/>
        <v>3767.2377220787503</v>
      </c>
      <c r="AB38" s="296">
        <f t="shared" si="13"/>
        <v>3841.6485735575193</v>
      </c>
      <c r="AC38" s="296">
        <f t="shared" si="13"/>
        <v>3916.0594250362878</v>
      </c>
      <c r="AD38" s="296">
        <f t="shared" si="13"/>
        <v>3990.4702765150569</v>
      </c>
      <c r="AE38" s="296">
        <f t="shared" si="13"/>
        <v>4064.8811279938254</v>
      </c>
      <c r="AF38" s="296">
        <f t="shared" si="13"/>
        <v>4255.8893774926892</v>
      </c>
      <c r="AG38" s="296">
        <f t="shared" si="13"/>
        <v>5527.222487060847</v>
      </c>
      <c r="AH38" s="296">
        <f t="shared" si="13"/>
        <v>5567.4820466290048</v>
      </c>
      <c r="AI38" s="296">
        <f t="shared" si="13"/>
        <v>4376.6680561971625</v>
      </c>
      <c r="AJ38" s="296">
        <f t="shared" si="13"/>
        <v>4496.7828888056583</v>
      </c>
      <c r="AK38" s="296">
        <f t="shared" si="13"/>
        <v>5391.403363805658</v>
      </c>
      <c r="AL38" s="296">
        <f t="shared" si="13"/>
        <v>5391.403363805658</v>
      </c>
      <c r="AM38" s="296">
        <f t="shared" si="13"/>
        <v>4090.9732311259331</v>
      </c>
      <c r="AN38" s="296">
        <f t="shared" si="13"/>
        <v>2193.0149550686615</v>
      </c>
      <c r="AO38" s="296">
        <f t="shared" si="13"/>
        <v>0</v>
      </c>
      <c r="AP38" s="296">
        <f t="shared" si="13"/>
        <v>0</v>
      </c>
      <c r="AQ38" s="296">
        <f t="shared" si="13"/>
        <v>0</v>
      </c>
      <c r="AR38" s="296">
        <f t="shared" si="13"/>
        <v>0</v>
      </c>
      <c r="AS38" s="296">
        <f t="shared" si="13"/>
        <v>0</v>
      </c>
      <c r="AT38" s="296">
        <f t="shared" si="13"/>
        <v>0</v>
      </c>
      <c r="AU38" s="296">
        <f t="shared" si="13"/>
        <v>0</v>
      </c>
      <c r="AV38" s="296">
        <f t="shared" si="13"/>
        <v>0</v>
      </c>
      <c r="AW38" s="296">
        <f t="shared" si="13"/>
        <v>0</v>
      </c>
      <c r="AX38" s="296">
        <f t="shared" si="13"/>
        <v>0</v>
      </c>
      <c r="AY38" s="296">
        <f t="shared" si="13"/>
        <v>0</v>
      </c>
      <c r="AZ38" s="296">
        <f t="shared" si="13"/>
        <v>0</v>
      </c>
      <c r="BA38" s="296">
        <f t="shared" si="13"/>
        <v>0</v>
      </c>
      <c r="BB38" s="296">
        <f t="shared" si="13"/>
        <v>0</v>
      </c>
      <c r="BC38" s="296">
        <f t="shared" si="13"/>
        <v>0</v>
      </c>
      <c r="BD38" s="296">
        <f t="shared" si="13"/>
        <v>0</v>
      </c>
      <c r="BE38" s="296">
        <f t="shared" si="13"/>
        <v>0</v>
      </c>
      <c r="BF38" s="296">
        <f t="shared" si="13"/>
        <v>0</v>
      </c>
      <c r="BG38" s="296">
        <f t="shared" si="13"/>
        <v>0</v>
      </c>
      <c r="BH38" s="296">
        <f t="shared" si="13"/>
        <v>0</v>
      </c>
      <c r="BI38" s="296">
        <f t="shared" si="13"/>
        <v>0</v>
      </c>
      <c r="BJ38" s="296">
        <f t="shared" si="13"/>
        <v>0</v>
      </c>
      <c r="BK38" s="296">
        <f t="shared" si="13"/>
        <v>0</v>
      </c>
      <c r="BL38" s="296">
        <f t="shared" si="13"/>
        <v>0</v>
      </c>
      <c r="BM38" s="296">
        <f t="shared" si="13"/>
        <v>0</v>
      </c>
    </row>
    <row r="39" spans="2:65" s="3" customFormat="1" outlineLevel="1">
      <c r="B39" s="528" t="str">
        <f>B24</f>
        <v>КВАРТИРЫ</v>
      </c>
      <c r="C39" s="529"/>
      <c r="D39" s="530" t="s">
        <v>19</v>
      </c>
      <c r="E39" s="531">
        <f t="shared" ref="E39:E51" si="14">SUM(F39:BM39)</f>
        <v>69490.70465400003</v>
      </c>
      <c r="F39" s="563">
        <f>F40+F41</f>
        <v>0</v>
      </c>
      <c r="G39" s="563">
        <f t="shared" ref="G39:BM39" si="15">G40+G41</f>
        <v>0</v>
      </c>
      <c r="H39" s="563">
        <f t="shared" si="15"/>
        <v>0</v>
      </c>
      <c r="I39" s="563">
        <f t="shared" si="15"/>
        <v>0</v>
      </c>
      <c r="J39" s="563">
        <f t="shared" si="15"/>
        <v>0</v>
      </c>
      <c r="K39" s="563">
        <f t="shared" si="15"/>
        <v>0</v>
      </c>
      <c r="L39" s="563">
        <f t="shared" si="15"/>
        <v>0</v>
      </c>
      <c r="M39" s="563">
        <f t="shared" si="15"/>
        <v>0</v>
      </c>
      <c r="N39" s="532">
        <f t="shared" si="15"/>
        <v>0</v>
      </c>
      <c r="O39" s="532">
        <f t="shared" si="15"/>
        <v>0</v>
      </c>
      <c r="P39" s="532">
        <f t="shared" si="15"/>
        <v>0</v>
      </c>
      <c r="Q39" s="532">
        <f t="shared" si="15"/>
        <v>0</v>
      </c>
      <c r="R39" s="532">
        <f t="shared" si="15"/>
        <v>0</v>
      </c>
      <c r="S39" s="532">
        <f t="shared" si="15"/>
        <v>0</v>
      </c>
      <c r="T39" s="532">
        <f t="shared" si="15"/>
        <v>1568.7</v>
      </c>
      <c r="U39" s="532">
        <f t="shared" si="15"/>
        <v>1602.8512919106108</v>
      </c>
      <c r="V39" s="532">
        <f t="shared" si="15"/>
        <v>1637.0025838212218</v>
      </c>
      <c r="W39" s="532">
        <f t="shared" si="15"/>
        <v>1671.1538757318326</v>
      </c>
      <c r="X39" s="532">
        <f t="shared" si="15"/>
        <v>3274.0051676424437</v>
      </c>
      <c r="Y39" s="532">
        <f t="shared" si="15"/>
        <v>3348.4160191212122</v>
      </c>
      <c r="Z39" s="532">
        <f t="shared" si="15"/>
        <v>3422.8268705999817</v>
      </c>
      <c r="AA39" s="532">
        <f t="shared" si="15"/>
        <v>3497.2377220787503</v>
      </c>
      <c r="AB39" s="532">
        <f t="shared" si="15"/>
        <v>3571.6485735575193</v>
      </c>
      <c r="AC39" s="532">
        <f t="shared" si="15"/>
        <v>3646.0594250362878</v>
      </c>
      <c r="AD39" s="532">
        <f t="shared" si="15"/>
        <v>3720.4702765150569</v>
      </c>
      <c r="AE39" s="532">
        <f t="shared" si="15"/>
        <v>3794.8811279938254</v>
      </c>
      <c r="AF39" s="532">
        <f t="shared" si="15"/>
        <v>3985.8893774926887</v>
      </c>
      <c r="AG39" s="532">
        <f t="shared" si="15"/>
        <v>4026.1489370608469</v>
      </c>
      <c r="AH39" s="532">
        <f t="shared" si="15"/>
        <v>4066.4084966290047</v>
      </c>
      <c r="AI39" s="532">
        <f t="shared" si="15"/>
        <v>4106.6680561971625</v>
      </c>
      <c r="AJ39" s="532">
        <f t="shared" si="15"/>
        <v>4226.7828888056583</v>
      </c>
      <c r="AK39" s="532">
        <f t="shared" si="15"/>
        <v>4226.7828888056583</v>
      </c>
      <c r="AL39" s="532">
        <f t="shared" si="15"/>
        <v>4226.7828888056583</v>
      </c>
      <c r="AM39" s="532">
        <f t="shared" si="15"/>
        <v>3825.4732311259331</v>
      </c>
      <c r="AN39" s="532">
        <f t="shared" si="15"/>
        <v>2044.5149550686615</v>
      </c>
      <c r="AO39" s="532">
        <f t="shared" si="15"/>
        <v>0</v>
      </c>
      <c r="AP39" s="532">
        <f t="shared" si="15"/>
        <v>0</v>
      </c>
      <c r="AQ39" s="532">
        <f t="shared" si="15"/>
        <v>0</v>
      </c>
      <c r="AR39" s="532">
        <f t="shared" si="15"/>
        <v>0</v>
      </c>
      <c r="AS39" s="532">
        <f t="shared" si="15"/>
        <v>0</v>
      </c>
      <c r="AT39" s="532">
        <f t="shared" si="15"/>
        <v>0</v>
      </c>
      <c r="AU39" s="532">
        <f t="shared" si="15"/>
        <v>0</v>
      </c>
      <c r="AV39" s="532">
        <f t="shared" si="15"/>
        <v>0</v>
      </c>
      <c r="AW39" s="532">
        <f t="shared" si="15"/>
        <v>0</v>
      </c>
      <c r="AX39" s="532">
        <f t="shared" si="15"/>
        <v>0</v>
      </c>
      <c r="AY39" s="532">
        <f t="shared" si="15"/>
        <v>0</v>
      </c>
      <c r="AZ39" s="532">
        <f t="shared" si="15"/>
        <v>0</v>
      </c>
      <c r="BA39" s="532">
        <f t="shared" si="15"/>
        <v>0</v>
      </c>
      <c r="BB39" s="532">
        <f t="shared" si="15"/>
        <v>0</v>
      </c>
      <c r="BC39" s="532">
        <f t="shared" si="15"/>
        <v>0</v>
      </c>
      <c r="BD39" s="532">
        <f t="shared" si="15"/>
        <v>0</v>
      </c>
      <c r="BE39" s="532">
        <f t="shared" si="15"/>
        <v>0</v>
      </c>
      <c r="BF39" s="532">
        <f t="shared" si="15"/>
        <v>0</v>
      </c>
      <c r="BG39" s="532">
        <f t="shared" si="15"/>
        <v>0</v>
      </c>
      <c r="BH39" s="532">
        <f t="shared" si="15"/>
        <v>0</v>
      </c>
      <c r="BI39" s="532">
        <f t="shared" si="15"/>
        <v>0</v>
      </c>
      <c r="BJ39" s="532">
        <f t="shared" si="15"/>
        <v>0</v>
      </c>
      <c r="BK39" s="532">
        <f t="shared" si="15"/>
        <v>0</v>
      </c>
      <c r="BL39" s="532">
        <f t="shared" si="15"/>
        <v>0</v>
      </c>
      <c r="BM39" s="532">
        <f t="shared" si="15"/>
        <v>0</v>
      </c>
    </row>
    <row r="40" spans="2:65" outlineLevel="1">
      <c r="B40" s="130"/>
      <c r="C40" s="28" t="s">
        <v>488</v>
      </c>
      <c r="D40" s="131" t="s">
        <v>19</v>
      </c>
      <c r="E40" s="309">
        <f t="shared" si="14"/>
        <v>37437.978815999988</v>
      </c>
      <c r="F40" s="551">
        <f>'CF1'!F26</f>
        <v>0</v>
      </c>
      <c r="G40" s="551">
        <f>'CF1'!G26</f>
        <v>0</v>
      </c>
      <c r="H40" s="551">
        <f>'CF1'!H26</f>
        <v>0</v>
      </c>
      <c r="I40" s="551">
        <f>'CF1'!I26</f>
        <v>0</v>
      </c>
      <c r="J40" s="551">
        <f>'CF1'!J26</f>
        <v>0</v>
      </c>
      <c r="K40" s="551">
        <f>'CF1'!K26</f>
        <v>0</v>
      </c>
      <c r="L40" s="551">
        <f>'CF1'!L26</f>
        <v>0</v>
      </c>
      <c r="M40" s="551">
        <f>'CF1'!M26</f>
        <v>0</v>
      </c>
      <c r="N40" s="133">
        <f>'CF1'!N26</f>
        <v>0</v>
      </c>
      <c r="O40" s="133">
        <f>'CF1'!O26</f>
        <v>0</v>
      </c>
      <c r="P40" s="133">
        <f>'CF1'!P26</f>
        <v>0</v>
      </c>
      <c r="Q40" s="133">
        <f>'CF1'!Q26</f>
        <v>0</v>
      </c>
      <c r="R40" s="133">
        <f>'CF1'!R26</f>
        <v>0</v>
      </c>
      <c r="S40" s="133">
        <f>'CF1'!S26</f>
        <v>0</v>
      </c>
      <c r="T40" s="133">
        <f>'CF1'!T26</f>
        <v>1568.7</v>
      </c>
      <c r="U40" s="133">
        <f>'CF1'!U26</f>
        <v>1602.8512919106108</v>
      </c>
      <c r="V40" s="133">
        <f>'CF1'!V26</f>
        <v>1637.0025838212218</v>
      </c>
      <c r="W40" s="133">
        <f>'CF1'!W26</f>
        <v>1671.1538757318326</v>
      </c>
      <c r="X40" s="133">
        <f>'CF1'!X26</f>
        <v>1705.3051676424434</v>
      </c>
      <c r="Y40" s="133">
        <f>'CF1'!Y26</f>
        <v>1739.4564595530544</v>
      </c>
      <c r="Z40" s="133">
        <f>'CF1'!Z26</f>
        <v>1773.6077514636654</v>
      </c>
      <c r="AA40" s="133">
        <f>'CF1'!AA26</f>
        <v>1807.7590433742762</v>
      </c>
      <c r="AB40" s="133">
        <f>'CF1'!AB26</f>
        <v>1841.9103352848872</v>
      </c>
      <c r="AC40" s="133">
        <f>'CF1'!AC26</f>
        <v>1876.061627195498</v>
      </c>
      <c r="AD40" s="133">
        <f>'CF1'!AD26</f>
        <v>1910.2129191061088</v>
      </c>
      <c r="AE40" s="133">
        <f>'CF1'!AE26</f>
        <v>1944.3642110167198</v>
      </c>
      <c r="AF40" s="133">
        <f>'CF1'!AF26</f>
        <v>2095.1129009474248</v>
      </c>
      <c r="AG40" s="133">
        <f>'CF1'!AG26</f>
        <v>2095.1129009474248</v>
      </c>
      <c r="AH40" s="133">
        <f>'CF1'!AH26</f>
        <v>2095.1129009474248</v>
      </c>
      <c r="AI40" s="133">
        <f>'CF1'!AI26</f>
        <v>2095.1129009474248</v>
      </c>
      <c r="AJ40" s="133">
        <f>'CF1'!AJ26</f>
        <v>2095.1129009474248</v>
      </c>
      <c r="AK40" s="133">
        <f>'CF1'!AK26</f>
        <v>2095.1129009474248</v>
      </c>
      <c r="AL40" s="133">
        <f>'CF1'!AL26</f>
        <v>2095.1129009474248</v>
      </c>
      <c r="AM40" s="133">
        <f>'CF1'!AM26</f>
        <v>1693.8032432676994</v>
      </c>
      <c r="AN40" s="133">
        <f>'CF1'!AN26</f>
        <v>0</v>
      </c>
      <c r="AO40" s="133">
        <f>'CF1'!AO26</f>
        <v>0</v>
      </c>
      <c r="AP40" s="133">
        <f>'CF1'!AP26</f>
        <v>0</v>
      </c>
      <c r="AQ40" s="133">
        <f>'CF1'!AQ26</f>
        <v>0</v>
      </c>
      <c r="AR40" s="133">
        <f>'CF1'!AR26</f>
        <v>0</v>
      </c>
      <c r="AS40" s="133">
        <f>'CF1'!AS26</f>
        <v>0</v>
      </c>
      <c r="AT40" s="133">
        <f>'CF1'!AT26</f>
        <v>0</v>
      </c>
      <c r="AU40" s="133">
        <f>'CF1'!AU26</f>
        <v>0</v>
      </c>
      <c r="AV40" s="133">
        <f>'CF1'!AV26</f>
        <v>0</v>
      </c>
      <c r="AW40" s="133">
        <f>'CF1'!AW26</f>
        <v>0</v>
      </c>
      <c r="AX40" s="133">
        <f>'CF1'!AX26</f>
        <v>0</v>
      </c>
      <c r="AY40" s="133">
        <f>'CF1'!AY26</f>
        <v>0</v>
      </c>
      <c r="AZ40" s="133">
        <f>'CF1'!AZ26</f>
        <v>0</v>
      </c>
      <c r="BA40" s="133">
        <f>'CF1'!BA26</f>
        <v>0</v>
      </c>
      <c r="BB40" s="133">
        <f>'CF1'!BB26</f>
        <v>0</v>
      </c>
      <c r="BC40" s="133">
        <f>'CF1'!BC26</f>
        <v>0</v>
      </c>
      <c r="BD40" s="133">
        <f>'CF1'!BD26</f>
        <v>0</v>
      </c>
      <c r="BE40" s="133">
        <f>'CF1'!BE26</f>
        <v>0</v>
      </c>
      <c r="BF40" s="133">
        <f>'CF1'!BF26</f>
        <v>0</v>
      </c>
      <c r="BG40" s="133">
        <f>'CF1'!BG26</f>
        <v>0</v>
      </c>
      <c r="BH40" s="133">
        <f>'CF1'!BH26</f>
        <v>0</v>
      </c>
      <c r="BI40" s="133">
        <f>'CF1'!BI26</f>
        <v>0</v>
      </c>
      <c r="BJ40" s="133">
        <f>'CF1'!BJ26</f>
        <v>0</v>
      </c>
      <c r="BK40" s="133">
        <f>'CF1'!BK26</f>
        <v>0</v>
      </c>
      <c r="BL40" s="133">
        <f>'CF1'!BL26</f>
        <v>0</v>
      </c>
      <c r="BM40" s="133">
        <f>'CF1'!BM26</f>
        <v>0</v>
      </c>
    </row>
    <row r="41" spans="2:65" outlineLevel="1">
      <c r="B41" s="130"/>
      <c r="C41" s="28" t="s">
        <v>489</v>
      </c>
      <c r="D41" s="131" t="s">
        <v>19</v>
      </c>
      <c r="E41" s="309">
        <f t="shared" si="14"/>
        <v>32052.72583800002</v>
      </c>
      <c r="F41" s="551">
        <f>'CF2'!F26</f>
        <v>0</v>
      </c>
      <c r="G41" s="551">
        <f>'CF2'!G26</f>
        <v>0</v>
      </c>
      <c r="H41" s="551">
        <f>'CF2'!H26</f>
        <v>0</v>
      </c>
      <c r="I41" s="551">
        <f>'CF2'!I26</f>
        <v>0</v>
      </c>
      <c r="J41" s="551">
        <f>'CF2'!J26</f>
        <v>0</v>
      </c>
      <c r="K41" s="551">
        <f>'CF2'!K26</f>
        <v>0</v>
      </c>
      <c r="L41" s="551">
        <f>'CF2'!L26</f>
        <v>0</v>
      </c>
      <c r="M41" s="551">
        <f>'CF2'!M26</f>
        <v>0</v>
      </c>
      <c r="N41" s="133">
        <f>'CF2'!N26</f>
        <v>0</v>
      </c>
      <c r="O41" s="133">
        <f>'CF2'!O26</f>
        <v>0</v>
      </c>
      <c r="P41" s="133">
        <f>'CF2'!P26</f>
        <v>0</v>
      </c>
      <c r="Q41" s="133">
        <f>'CF2'!Q26</f>
        <v>0</v>
      </c>
      <c r="R41" s="133">
        <f>'CF2'!R26</f>
        <v>0</v>
      </c>
      <c r="S41" s="133">
        <f>'CF2'!S26</f>
        <v>0</v>
      </c>
      <c r="T41" s="133">
        <f>'CF2'!T26</f>
        <v>0</v>
      </c>
      <c r="U41" s="133">
        <f>'CF2'!U26</f>
        <v>0</v>
      </c>
      <c r="V41" s="133">
        <f>'CF2'!V26</f>
        <v>0</v>
      </c>
      <c r="W41" s="133">
        <f>'CF2'!W26</f>
        <v>0</v>
      </c>
      <c r="X41" s="133">
        <f>'CF2'!X26</f>
        <v>1568.7</v>
      </c>
      <c r="Y41" s="133">
        <f>'CF2'!Y26</f>
        <v>1608.9595595681578</v>
      </c>
      <c r="Z41" s="133">
        <f>'CF2'!Z26</f>
        <v>1649.2191191363161</v>
      </c>
      <c r="AA41" s="133">
        <f>'CF2'!AA26</f>
        <v>1689.4786787044739</v>
      </c>
      <c r="AB41" s="133">
        <f>'CF2'!AB26</f>
        <v>1729.7382382726321</v>
      </c>
      <c r="AC41" s="133">
        <f>'CF2'!AC26</f>
        <v>1769.9977978407899</v>
      </c>
      <c r="AD41" s="133">
        <f>'CF2'!AD26</f>
        <v>1810.2573574089481</v>
      </c>
      <c r="AE41" s="133">
        <f>'CF2'!AE26</f>
        <v>1850.5169169771059</v>
      </c>
      <c r="AF41" s="133">
        <f>'CF2'!AF26</f>
        <v>1890.7764765452639</v>
      </c>
      <c r="AG41" s="133">
        <f>'CF2'!AG26</f>
        <v>1931.0360361134221</v>
      </c>
      <c r="AH41" s="133">
        <f>'CF2'!AH26</f>
        <v>1971.2955956815799</v>
      </c>
      <c r="AI41" s="133">
        <f>'CF2'!AI26</f>
        <v>2011.5551552497382</v>
      </c>
      <c r="AJ41" s="133">
        <f>'CF2'!AJ26</f>
        <v>2131.6699878582335</v>
      </c>
      <c r="AK41" s="133">
        <f>'CF2'!AK26</f>
        <v>2131.6699878582335</v>
      </c>
      <c r="AL41" s="133">
        <f>'CF2'!AL26</f>
        <v>2131.6699878582335</v>
      </c>
      <c r="AM41" s="133">
        <f>'CF2'!AM26</f>
        <v>2131.6699878582335</v>
      </c>
      <c r="AN41" s="133">
        <f>'CF2'!AN26</f>
        <v>2044.5149550686615</v>
      </c>
      <c r="AO41" s="133">
        <f>'CF2'!AO26</f>
        <v>0</v>
      </c>
      <c r="AP41" s="133">
        <f>'CF2'!AP26</f>
        <v>0</v>
      </c>
      <c r="AQ41" s="133">
        <f>'CF2'!AQ26</f>
        <v>0</v>
      </c>
      <c r="AR41" s="133">
        <f>'CF2'!AR26</f>
        <v>0</v>
      </c>
      <c r="AS41" s="133">
        <f>'CF2'!AS26</f>
        <v>0</v>
      </c>
      <c r="AT41" s="133">
        <f>'CF2'!AT26</f>
        <v>0</v>
      </c>
      <c r="AU41" s="133">
        <f>'CF2'!AU26</f>
        <v>0</v>
      </c>
      <c r="AV41" s="133">
        <f>'CF2'!AV26</f>
        <v>0</v>
      </c>
      <c r="AW41" s="133">
        <f>'CF2'!AW26</f>
        <v>0</v>
      </c>
      <c r="AX41" s="133">
        <f>'CF2'!AX26</f>
        <v>0</v>
      </c>
      <c r="AY41" s="133">
        <f>'CF2'!AY26</f>
        <v>0</v>
      </c>
      <c r="AZ41" s="133">
        <f>'CF2'!AZ26</f>
        <v>0</v>
      </c>
      <c r="BA41" s="133">
        <f>'CF2'!BA26</f>
        <v>0</v>
      </c>
      <c r="BB41" s="133">
        <f>'CF2'!BB26</f>
        <v>0</v>
      </c>
      <c r="BC41" s="133">
        <f>'CF2'!BC26</f>
        <v>0</v>
      </c>
      <c r="BD41" s="133">
        <f>'CF2'!BD26</f>
        <v>0</v>
      </c>
      <c r="BE41" s="133">
        <f>'CF2'!BE26</f>
        <v>0</v>
      </c>
      <c r="BF41" s="133">
        <f>'CF2'!BF26</f>
        <v>0</v>
      </c>
      <c r="BG41" s="133">
        <f>'CF2'!BG26</f>
        <v>0</v>
      </c>
      <c r="BH41" s="133">
        <f>'CF2'!BH26</f>
        <v>0</v>
      </c>
      <c r="BI41" s="133">
        <f>'CF2'!BI26</f>
        <v>0</v>
      </c>
      <c r="BJ41" s="133">
        <f>'CF2'!BJ26</f>
        <v>0</v>
      </c>
      <c r="BK41" s="133">
        <f>'CF2'!BK26</f>
        <v>0</v>
      </c>
      <c r="BL41" s="133">
        <f>'CF2'!BL26</f>
        <v>0</v>
      </c>
      <c r="BM41" s="133">
        <f>'CF2'!BM26</f>
        <v>0</v>
      </c>
    </row>
    <row r="42" spans="2:65" hidden="1" outlineLevel="1">
      <c r="B42" s="130" t="str">
        <f>B27</f>
        <v>АПАРТАМЕНТЫ</v>
      </c>
      <c r="C42" s="28"/>
      <c r="D42" s="131" t="s">
        <v>19</v>
      </c>
      <c r="E42" s="132">
        <f t="shared" si="14"/>
        <v>0</v>
      </c>
      <c r="F42" s="551">
        <f t="shared" ref="F42:AK42" si="16">F12*F27/10^3</f>
        <v>0</v>
      </c>
      <c r="G42" s="551">
        <f t="shared" si="16"/>
        <v>0</v>
      </c>
      <c r="H42" s="551">
        <f t="shared" si="16"/>
        <v>0</v>
      </c>
      <c r="I42" s="551">
        <f t="shared" si="16"/>
        <v>0</v>
      </c>
      <c r="J42" s="551">
        <f t="shared" si="16"/>
        <v>0</v>
      </c>
      <c r="K42" s="551">
        <f t="shared" si="16"/>
        <v>0</v>
      </c>
      <c r="L42" s="551">
        <f t="shared" si="16"/>
        <v>0</v>
      </c>
      <c r="M42" s="551">
        <f t="shared" si="16"/>
        <v>0</v>
      </c>
      <c r="N42" s="133">
        <f t="shared" si="16"/>
        <v>0</v>
      </c>
      <c r="O42" s="133">
        <f t="shared" si="16"/>
        <v>0</v>
      </c>
      <c r="P42" s="133">
        <f t="shared" si="16"/>
        <v>0</v>
      </c>
      <c r="Q42" s="133">
        <f t="shared" si="16"/>
        <v>0</v>
      </c>
      <c r="R42" s="133">
        <f t="shared" si="16"/>
        <v>0</v>
      </c>
      <c r="S42" s="133">
        <f t="shared" si="16"/>
        <v>0</v>
      </c>
      <c r="T42" s="133">
        <f t="shared" si="16"/>
        <v>0</v>
      </c>
      <c r="U42" s="133">
        <f t="shared" si="16"/>
        <v>0</v>
      </c>
      <c r="V42" s="133">
        <f t="shared" si="16"/>
        <v>0</v>
      </c>
      <c r="W42" s="133">
        <f t="shared" si="16"/>
        <v>0</v>
      </c>
      <c r="X42" s="133">
        <f t="shared" si="16"/>
        <v>0</v>
      </c>
      <c r="Y42" s="133">
        <f t="shared" si="16"/>
        <v>0</v>
      </c>
      <c r="Z42" s="133">
        <f t="shared" si="16"/>
        <v>0</v>
      </c>
      <c r="AA42" s="133">
        <f t="shared" si="16"/>
        <v>0</v>
      </c>
      <c r="AB42" s="133">
        <f t="shared" si="16"/>
        <v>0</v>
      </c>
      <c r="AC42" s="133">
        <f t="shared" si="16"/>
        <v>0</v>
      </c>
      <c r="AD42" s="133">
        <f t="shared" si="16"/>
        <v>0</v>
      </c>
      <c r="AE42" s="133">
        <f t="shared" si="16"/>
        <v>0</v>
      </c>
      <c r="AF42" s="133">
        <f t="shared" si="16"/>
        <v>0</v>
      </c>
      <c r="AG42" s="133">
        <f t="shared" si="16"/>
        <v>0</v>
      </c>
      <c r="AH42" s="133">
        <f t="shared" si="16"/>
        <v>0</v>
      </c>
      <c r="AI42" s="133">
        <f t="shared" si="16"/>
        <v>0</v>
      </c>
      <c r="AJ42" s="133">
        <f t="shared" si="16"/>
        <v>0</v>
      </c>
      <c r="AK42" s="133">
        <f t="shared" si="16"/>
        <v>0</v>
      </c>
      <c r="AL42" s="133">
        <f t="shared" ref="AL42:BM42" si="17">AL12*AL27/10^3</f>
        <v>0</v>
      </c>
      <c r="AM42" s="133">
        <f t="shared" si="17"/>
        <v>0</v>
      </c>
      <c r="AN42" s="133">
        <f t="shared" si="17"/>
        <v>0</v>
      </c>
      <c r="AO42" s="133">
        <f t="shared" si="17"/>
        <v>0</v>
      </c>
      <c r="AP42" s="133">
        <f t="shared" si="17"/>
        <v>0</v>
      </c>
      <c r="AQ42" s="133">
        <f t="shared" si="17"/>
        <v>0</v>
      </c>
      <c r="AR42" s="133">
        <f t="shared" si="17"/>
        <v>0</v>
      </c>
      <c r="AS42" s="133">
        <f t="shared" si="17"/>
        <v>0</v>
      </c>
      <c r="AT42" s="133">
        <f t="shared" si="17"/>
        <v>0</v>
      </c>
      <c r="AU42" s="133">
        <f t="shared" si="17"/>
        <v>0</v>
      </c>
      <c r="AV42" s="133">
        <f t="shared" si="17"/>
        <v>0</v>
      </c>
      <c r="AW42" s="133">
        <f t="shared" si="17"/>
        <v>0</v>
      </c>
      <c r="AX42" s="133">
        <f t="shared" si="17"/>
        <v>0</v>
      </c>
      <c r="AY42" s="133">
        <f t="shared" si="17"/>
        <v>0</v>
      </c>
      <c r="AZ42" s="133">
        <f t="shared" si="17"/>
        <v>0</v>
      </c>
      <c r="BA42" s="133">
        <f t="shared" si="17"/>
        <v>0</v>
      </c>
      <c r="BB42" s="133">
        <f t="shared" si="17"/>
        <v>0</v>
      </c>
      <c r="BC42" s="133">
        <f t="shared" si="17"/>
        <v>0</v>
      </c>
      <c r="BD42" s="133">
        <f t="shared" si="17"/>
        <v>0</v>
      </c>
      <c r="BE42" s="133">
        <f t="shared" si="17"/>
        <v>0</v>
      </c>
      <c r="BF42" s="133">
        <f t="shared" si="17"/>
        <v>0</v>
      </c>
      <c r="BG42" s="133">
        <f t="shared" si="17"/>
        <v>0</v>
      </c>
      <c r="BH42" s="133">
        <f t="shared" si="17"/>
        <v>0</v>
      </c>
      <c r="BI42" s="133">
        <f t="shared" si="17"/>
        <v>0</v>
      </c>
      <c r="BJ42" s="133">
        <f t="shared" si="17"/>
        <v>0</v>
      </c>
      <c r="BK42" s="133">
        <f t="shared" si="17"/>
        <v>0</v>
      </c>
      <c r="BL42" s="133">
        <f t="shared" si="17"/>
        <v>0</v>
      </c>
      <c r="BM42" s="133">
        <f t="shared" si="17"/>
        <v>0</v>
      </c>
    </row>
    <row r="43" spans="2:65" hidden="1" outlineLevel="1">
      <c r="B43" s="130" t="str">
        <f>B28</f>
        <v>ОФИСЫ</v>
      </c>
      <c r="C43" s="28"/>
      <c r="D43" s="131" t="s">
        <v>19</v>
      </c>
      <c r="E43" s="132">
        <f t="shared" si="14"/>
        <v>0</v>
      </c>
      <c r="F43" s="551">
        <f t="shared" ref="F43:AK43" si="18">F13*F28/10^3</f>
        <v>0</v>
      </c>
      <c r="G43" s="551">
        <f t="shared" si="18"/>
        <v>0</v>
      </c>
      <c r="H43" s="551">
        <f t="shared" si="18"/>
        <v>0</v>
      </c>
      <c r="I43" s="551">
        <f t="shared" si="18"/>
        <v>0</v>
      </c>
      <c r="J43" s="551">
        <f t="shared" si="18"/>
        <v>0</v>
      </c>
      <c r="K43" s="551">
        <f t="shared" si="18"/>
        <v>0</v>
      </c>
      <c r="L43" s="551">
        <f t="shared" si="18"/>
        <v>0</v>
      </c>
      <c r="M43" s="551">
        <f t="shared" si="18"/>
        <v>0</v>
      </c>
      <c r="N43" s="133">
        <f t="shared" si="18"/>
        <v>0</v>
      </c>
      <c r="O43" s="133">
        <f t="shared" si="18"/>
        <v>0</v>
      </c>
      <c r="P43" s="133">
        <f t="shared" si="18"/>
        <v>0</v>
      </c>
      <c r="Q43" s="133">
        <f t="shared" si="18"/>
        <v>0</v>
      </c>
      <c r="R43" s="133">
        <f t="shared" si="18"/>
        <v>0</v>
      </c>
      <c r="S43" s="133">
        <f t="shared" si="18"/>
        <v>0</v>
      </c>
      <c r="T43" s="133">
        <f t="shared" si="18"/>
        <v>0</v>
      </c>
      <c r="U43" s="133">
        <f t="shared" si="18"/>
        <v>0</v>
      </c>
      <c r="V43" s="133">
        <f t="shared" si="18"/>
        <v>0</v>
      </c>
      <c r="W43" s="133">
        <f t="shared" si="18"/>
        <v>0</v>
      </c>
      <c r="X43" s="133">
        <f t="shared" si="18"/>
        <v>0</v>
      </c>
      <c r="Y43" s="133">
        <f t="shared" si="18"/>
        <v>0</v>
      </c>
      <c r="Z43" s="133">
        <f t="shared" si="18"/>
        <v>0</v>
      </c>
      <c r="AA43" s="133">
        <f t="shared" si="18"/>
        <v>0</v>
      </c>
      <c r="AB43" s="133">
        <f t="shared" si="18"/>
        <v>0</v>
      </c>
      <c r="AC43" s="133">
        <f t="shared" si="18"/>
        <v>0</v>
      </c>
      <c r="AD43" s="133">
        <f t="shared" si="18"/>
        <v>0</v>
      </c>
      <c r="AE43" s="133">
        <f t="shared" si="18"/>
        <v>0</v>
      </c>
      <c r="AF43" s="133">
        <f t="shared" si="18"/>
        <v>0</v>
      </c>
      <c r="AG43" s="133">
        <f t="shared" si="18"/>
        <v>0</v>
      </c>
      <c r="AH43" s="133">
        <f t="shared" si="18"/>
        <v>0</v>
      </c>
      <c r="AI43" s="133">
        <f t="shared" si="18"/>
        <v>0</v>
      </c>
      <c r="AJ43" s="133">
        <f t="shared" si="18"/>
        <v>0</v>
      </c>
      <c r="AK43" s="133">
        <f t="shared" si="18"/>
        <v>0</v>
      </c>
      <c r="AL43" s="133">
        <f t="shared" ref="AL43:BM43" si="19">AL13*AL28/10^3</f>
        <v>0</v>
      </c>
      <c r="AM43" s="133">
        <f t="shared" si="19"/>
        <v>0</v>
      </c>
      <c r="AN43" s="133">
        <f t="shared" si="19"/>
        <v>0</v>
      </c>
      <c r="AO43" s="133">
        <f t="shared" si="19"/>
        <v>0</v>
      </c>
      <c r="AP43" s="133">
        <f t="shared" si="19"/>
        <v>0</v>
      </c>
      <c r="AQ43" s="133">
        <f t="shared" si="19"/>
        <v>0</v>
      </c>
      <c r="AR43" s="133">
        <f t="shared" si="19"/>
        <v>0</v>
      </c>
      <c r="AS43" s="133">
        <f t="shared" si="19"/>
        <v>0</v>
      </c>
      <c r="AT43" s="133">
        <f t="shared" si="19"/>
        <v>0</v>
      </c>
      <c r="AU43" s="133">
        <f t="shared" si="19"/>
        <v>0</v>
      </c>
      <c r="AV43" s="133">
        <f t="shared" si="19"/>
        <v>0</v>
      </c>
      <c r="AW43" s="133">
        <f t="shared" si="19"/>
        <v>0</v>
      </c>
      <c r="AX43" s="133">
        <f t="shared" si="19"/>
        <v>0</v>
      </c>
      <c r="AY43" s="133">
        <f t="shared" si="19"/>
        <v>0</v>
      </c>
      <c r="AZ43" s="133">
        <f t="shared" si="19"/>
        <v>0</v>
      </c>
      <c r="BA43" s="133">
        <f t="shared" si="19"/>
        <v>0</v>
      </c>
      <c r="BB43" s="133">
        <f t="shared" si="19"/>
        <v>0</v>
      </c>
      <c r="BC43" s="133">
        <f t="shared" si="19"/>
        <v>0</v>
      </c>
      <c r="BD43" s="133">
        <f t="shared" si="19"/>
        <v>0</v>
      </c>
      <c r="BE43" s="133">
        <f t="shared" si="19"/>
        <v>0</v>
      </c>
      <c r="BF43" s="133">
        <f t="shared" si="19"/>
        <v>0</v>
      </c>
      <c r="BG43" s="133">
        <f t="shared" si="19"/>
        <v>0</v>
      </c>
      <c r="BH43" s="133">
        <f t="shared" si="19"/>
        <v>0</v>
      </c>
      <c r="BI43" s="133">
        <f t="shared" si="19"/>
        <v>0</v>
      </c>
      <c r="BJ43" s="133">
        <f t="shared" si="19"/>
        <v>0</v>
      </c>
      <c r="BK43" s="133">
        <f t="shared" si="19"/>
        <v>0</v>
      </c>
      <c r="BL43" s="133">
        <f t="shared" si="19"/>
        <v>0</v>
      </c>
      <c r="BM43" s="133">
        <f t="shared" si="19"/>
        <v>0</v>
      </c>
    </row>
    <row r="44" spans="2:65" s="3" customFormat="1" outlineLevel="1">
      <c r="B44" s="528" t="str">
        <f>B29</f>
        <v>РИТЕЙЛ</v>
      </c>
      <c r="C44" s="529"/>
      <c r="D44" s="530" t="s">
        <v>19</v>
      </c>
      <c r="E44" s="531">
        <f t="shared" si="14"/>
        <v>4251.3880499999996</v>
      </c>
      <c r="F44" s="563">
        <f>F45+F46</f>
        <v>0</v>
      </c>
      <c r="G44" s="563">
        <f t="shared" ref="G44" si="20">G45+G46</f>
        <v>0</v>
      </c>
      <c r="H44" s="563">
        <f t="shared" ref="H44" si="21">H45+H46</f>
        <v>0</v>
      </c>
      <c r="I44" s="563">
        <f t="shared" ref="I44" si="22">I45+I46</f>
        <v>0</v>
      </c>
      <c r="J44" s="563">
        <f t="shared" ref="J44" si="23">J45+J46</f>
        <v>0</v>
      </c>
      <c r="K44" s="563">
        <f t="shared" ref="K44" si="24">K45+K46</f>
        <v>0</v>
      </c>
      <c r="L44" s="563">
        <f t="shared" ref="L44" si="25">L45+L46</f>
        <v>0</v>
      </c>
      <c r="M44" s="563">
        <f t="shared" ref="M44" si="26">M45+M46</f>
        <v>0</v>
      </c>
      <c r="N44" s="532">
        <f t="shared" ref="N44" si="27">N45+N46</f>
        <v>0</v>
      </c>
      <c r="O44" s="532">
        <f t="shared" ref="O44" si="28">O45+O46</f>
        <v>0</v>
      </c>
      <c r="P44" s="532">
        <f t="shared" ref="P44" si="29">P45+P46</f>
        <v>0</v>
      </c>
      <c r="Q44" s="532">
        <f t="shared" ref="Q44" si="30">Q45+Q46</f>
        <v>0</v>
      </c>
      <c r="R44" s="532">
        <f t="shared" ref="R44" si="31">R45+R46</f>
        <v>0</v>
      </c>
      <c r="S44" s="532">
        <f t="shared" ref="S44" si="32">S45+S46</f>
        <v>0</v>
      </c>
      <c r="T44" s="532">
        <f t="shared" ref="T44" si="33">T45+T46</f>
        <v>0</v>
      </c>
      <c r="U44" s="532">
        <f t="shared" ref="U44" si="34">U45+U46</f>
        <v>0</v>
      </c>
      <c r="V44" s="532">
        <f t="shared" ref="V44" si="35">V45+V46</f>
        <v>0</v>
      </c>
      <c r="W44" s="532">
        <f t="shared" ref="W44" si="36">W45+W46</f>
        <v>0</v>
      </c>
      <c r="X44" s="532">
        <f t="shared" ref="X44" si="37">X45+X46</f>
        <v>0</v>
      </c>
      <c r="Y44" s="532">
        <f t="shared" ref="Y44" si="38">Y45+Y46</f>
        <v>0</v>
      </c>
      <c r="Z44" s="532">
        <f t="shared" ref="Z44" si="39">Z45+Z46</f>
        <v>0</v>
      </c>
      <c r="AA44" s="532">
        <f t="shared" ref="AA44" si="40">AA45+AA46</f>
        <v>0</v>
      </c>
      <c r="AB44" s="532">
        <f t="shared" ref="AB44" si="41">AB45+AB46</f>
        <v>0</v>
      </c>
      <c r="AC44" s="532">
        <f t="shared" ref="AC44" si="42">AC45+AC46</f>
        <v>0</v>
      </c>
      <c r="AD44" s="532">
        <f t="shared" ref="AD44" si="43">AD45+AD46</f>
        <v>0</v>
      </c>
      <c r="AE44" s="532">
        <f t="shared" ref="AE44" si="44">AE45+AE46</f>
        <v>0</v>
      </c>
      <c r="AF44" s="532">
        <f t="shared" ref="AF44" si="45">AF45+AF46</f>
        <v>0</v>
      </c>
      <c r="AG44" s="532">
        <f t="shared" ref="AG44" si="46">AG45+AG46</f>
        <v>1231.0735500000001</v>
      </c>
      <c r="AH44" s="532">
        <f t="shared" ref="AH44" si="47">AH45+AH46</f>
        <v>1231.0735500000001</v>
      </c>
      <c r="AI44" s="532">
        <f t="shared" ref="AI44" si="48">AI45+AI46</f>
        <v>0</v>
      </c>
      <c r="AJ44" s="532">
        <f t="shared" ref="AJ44" si="49">AJ45+AJ46</f>
        <v>0</v>
      </c>
      <c r="AK44" s="532">
        <f t="shared" ref="AK44" si="50">AK45+AK46</f>
        <v>894.62047499999983</v>
      </c>
      <c r="AL44" s="532">
        <f t="shared" ref="AL44" si="51">AL45+AL46</f>
        <v>894.62047499999983</v>
      </c>
      <c r="AM44" s="532">
        <f t="shared" ref="AM44" si="52">AM45+AM46</f>
        <v>0</v>
      </c>
      <c r="AN44" s="532">
        <f t="shared" ref="AN44" si="53">AN45+AN46</f>
        <v>0</v>
      </c>
      <c r="AO44" s="532">
        <f t="shared" ref="AO44" si="54">AO45+AO46</f>
        <v>0</v>
      </c>
      <c r="AP44" s="532">
        <f t="shared" ref="AP44" si="55">AP45+AP46</f>
        <v>0</v>
      </c>
      <c r="AQ44" s="532">
        <f t="shared" ref="AQ44" si="56">AQ45+AQ46</f>
        <v>0</v>
      </c>
      <c r="AR44" s="532">
        <f t="shared" ref="AR44" si="57">AR45+AR46</f>
        <v>0</v>
      </c>
      <c r="AS44" s="532">
        <f t="shared" ref="AS44" si="58">AS45+AS46</f>
        <v>0</v>
      </c>
      <c r="AT44" s="532">
        <f t="shared" ref="AT44" si="59">AT45+AT46</f>
        <v>0</v>
      </c>
      <c r="AU44" s="532">
        <f t="shared" ref="AU44" si="60">AU45+AU46</f>
        <v>0</v>
      </c>
      <c r="AV44" s="532">
        <f t="shared" ref="AV44" si="61">AV45+AV46</f>
        <v>0</v>
      </c>
      <c r="AW44" s="532">
        <f t="shared" ref="AW44" si="62">AW45+AW46</f>
        <v>0</v>
      </c>
      <c r="AX44" s="532">
        <f t="shared" ref="AX44" si="63">AX45+AX46</f>
        <v>0</v>
      </c>
      <c r="AY44" s="532">
        <f t="shared" ref="AY44" si="64">AY45+AY46</f>
        <v>0</v>
      </c>
      <c r="AZ44" s="532">
        <f t="shared" ref="AZ44" si="65">AZ45+AZ46</f>
        <v>0</v>
      </c>
      <c r="BA44" s="532">
        <f t="shared" ref="BA44" si="66">BA45+BA46</f>
        <v>0</v>
      </c>
      <c r="BB44" s="532">
        <f t="shared" ref="BB44" si="67">BB45+BB46</f>
        <v>0</v>
      </c>
      <c r="BC44" s="532">
        <f t="shared" ref="BC44" si="68">BC45+BC46</f>
        <v>0</v>
      </c>
      <c r="BD44" s="532">
        <f t="shared" ref="BD44" si="69">BD45+BD46</f>
        <v>0</v>
      </c>
      <c r="BE44" s="532">
        <f t="shared" ref="BE44" si="70">BE45+BE46</f>
        <v>0</v>
      </c>
      <c r="BF44" s="532">
        <f t="shared" ref="BF44" si="71">BF45+BF46</f>
        <v>0</v>
      </c>
      <c r="BG44" s="532">
        <f t="shared" ref="BG44" si="72">BG45+BG46</f>
        <v>0</v>
      </c>
      <c r="BH44" s="532">
        <f t="shared" ref="BH44" si="73">BH45+BH46</f>
        <v>0</v>
      </c>
      <c r="BI44" s="532">
        <f t="shared" ref="BI44" si="74">BI45+BI46</f>
        <v>0</v>
      </c>
      <c r="BJ44" s="532">
        <f t="shared" ref="BJ44" si="75">BJ45+BJ46</f>
        <v>0</v>
      </c>
      <c r="BK44" s="532">
        <f t="shared" ref="BK44" si="76">BK45+BK46</f>
        <v>0</v>
      </c>
      <c r="BL44" s="532">
        <f t="shared" ref="BL44" si="77">BL45+BL46</f>
        <v>0</v>
      </c>
      <c r="BM44" s="532">
        <f t="shared" ref="BM44" si="78">BM45+BM46</f>
        <v>0</v>
      </c>
    </row>
    <row r="45" spans="2:65" outlineLevel="1">
      <c r="B45" s="130"/>
      <c r="C45" s="28" t="s">
        <v>488</v>
      </c>
      <c r="D45" s="131" t="s">
        <v>19</v>
      </c>
      <c r="E45" s="309">
        <f t="shared" si="14"/>
        <v>2462.1471000000001</v>
      </c>
      <c r="F45" s="551">
        <f>'CF1'!F29</f>
        <v>0</v>
      </c>
      <c r="G45" s="551">
        <f>'CF1'!G29</f>
        <v>0</v>
      </c>
      <c r="H45" s="551">
        <f>'CF1'!H29</f>
        <v>0</v>
      </c>
      <c r="I45" s="551">
        <f>'CF1'!I29</f>
        <v>0</v>
      </c>
      <c r="J45" s="551">
        <f>'CF1'!J29</f>
        <v>0</v>
      </c>
      <c r="K45" s="551">
        <f>'CF1'!K29</f>
        <v>0</v>
      </c>
      <c r="L45" s="551">
        <f>'CF1'!L29</f>
        <v>0</v>
      </c>
      <c r="M45" s="551">
        <f>'CF1'!M29</f>
        <v>0</v>
      </c>
      <c r="N45" s="133">
        <f>'CF1'!N29</f>
        <v>0</v>
      </c>
      <c r="O45" s="133">
        <f>'CF1'!O29</f>
        <v>0</v>
      </c>
      <c r="P45" s="133">
        <f>'CF1'!P29</f>
        <v>0</v>
      </c>
      <c r="Q45" s="133">
        <f>'CF1'!Q29</f>
        <v>0</v>
      </c>
      <c r="R45" s="133">
        <f>'CF1'!R29</f>
        <v>0</v>
      </c>
      <c r="S45" s="133">
        <f>'CF1'!S29</f>
        <v>0</v>
      </c>
      <c r="T45" s="133">
        <f>'CF1'!T29</f>
        <v>0</v>
      </c>
      <c r="U45" s="133">
        <f>'CF1'!U29</f>
        <v>0</v>
      </c>
      <c r="V45" s="133">
        <f>'CF1'!V29</f>
        <v>0</v>
      </c>
      <c r="W45" s="133">
        <f>'CF1'!W29</f>
        <v>0</v>
      </c>
      <c r="X45" s="133">
        <f>'CF1'!X29</f>
        <v>0</v>
      </c>
      <c r="Y45" s="133">
        <f>'CF1'!Y29</f>
        <v>0</v>
      </c>
      <c r="Z45" s="133">
        <f>'CF1'!Z29</f>
        <v>0</v>
      </c>
      <c r="AA45" s="133">
        <f>'CF1'!AA29</f>
        <v>0</v>
      </c>
      <c r="AB45" s="133">
        <f>'CF1'!AB29</f>
        <v>0</v>
      </c>
      <c r="AC45" s="133">
        <f>'CF1'!AC29</f>
        <v>0</v>
      </c>
      <c r="AD45" s="133">
        <f>'CF1'!AD29</f>
        <v>0</v>
      </c>
      <c r="AE45" s="133">
        <f>'CF1'!AE29</f>
        <v>0</v>
      </c>
      <c r="AF45" s="133">
        <f>'CF1'!AF29</f>
        <v>0</v>
      </c>
      <c r="AG45" s="133">
        <f>'CF1'!AG29</f>
        <v>1231.0735500000001</v>
      </c>
      <c r="AH45" s="133">
        <f>'CF1'!AH29</f>
        <v>1231.0735500000001</v>
      </c>
      <c r="AI45" s="133">
        <f>'CF1'!AI29</f>
        <v>0</v>
      </c>
      <c r="AJ45" s="133">
        <f>'CF1'!AJ29</f>
        <v>0</v>
      </c>
      <c r="AK45" s="133">
        <f>'CF1'!AK29</f>
        <v>0</v>
      </c>
      <c r="AL45" s="133">
        <f>'CF1'!AL29</f>
        <v>0</v>
      </c>
      <c r="AM45" s="133">
        <f>'CF1'!AM29</f>
        <v>0</v>
      </c>
      <c r="AN45" s="133">
        <f>'CF1'!AN29</f>
        <v>0</v>
      </c>
      <c r="AO45" s="133">
        <f>'CF1'!AO29</f>
        <v>0</v>
      </c>
      <c r="AP45" s="133">
        <f>'CF1'!AP29</f>
        <v>0</v>
      </c>
      <c r="AQ45" s="133">
        <f>'CF1'!AQ29</f>
        <v>0</v>
      </c>
      <c r="AR45" s="133">
        <f>'CF1'!AR29</f>
        <v>0</v>
      </c>
      <c r="AS45" s="133">
        <f>'CF1'!AS29</f>
        <v>0</v>
      </c>
      <c r="AT45" s="133">
        <f>'CF1'!AT29</f>
        <v>0</v>
      </c>
      <c r="AU45" s="133">
        <f>'CF1'!AU29</f>
        <v>0</v>
      </c>
      <c r="AV45" s="133">
        <f>'CF1'!AV29</f>
        <v>0</v>
      </c>
      <c r="AW45" s="133">
        <f>'CF1'!AW29</f>
        <v>0</v>
      </c>
      <c r="AX45" s="133">
        <f>'CF1'!AX29</f>
        <v>0</v>
      </c>
      <c r="AY45" s="133">
        <f>'CF1'!AY29</f>
        <v>0</v>
      </c>
      <c r="AZ45" s="133">
        <f>'CF1'!AZ29</f>
        <v>0</v>
      </c>
      <c r="BA45" s="133">
        <f>'CF1'!BA29</f>
        <v>0</v>
      </c>
      <c r="BB45" s="133">
        <f>'CF1'!BB29</f>
        <v>0</v>
      </c>
      <c r="BC45" s="133">
        <f>'CF1'!BC29</f>
        <v>0</v>
      </c>
      <c r="BD45" s="133">
        <f>'CF1'!BD29</f>
        <v>0</v>
      </c>
      <c r="BE45" s="133">
        <f>'CF1'!BE29</f>
        <v>0</v>
      </c>
      <c r="BF45" s="133">
        <f>'CF1'!BF29</f>
        <v>0</v>
      </c>
      <c r="BG45" s="133">
        <f>'CF1'!BG29</f>
        <v>0</v>
      </c>
      <c r="BH45" s="133">
        <f>'CF1'!BH29</f>
        <v>0</v>
      </c>
      <c r="BI45" s="133">
        <f>'CF1'!BI29</f>
        <v>0</v>
      </c>
      <c r="BJ45" s="133">
        <f>'CF1'!BJ29</f>
        <v>0</v>
      </c>
      <c r="BK45" s="133">
        <f>'CF1'!BK29</f>
        <v>0</v>
      </c>
      <c r="BL45" s="133">
        <f>'CF1'!BL29</f>
        <v>0</v>
      </c>
      <c r="BM45" s="133">
        <f>'CF1'!BM29</f>
        <v>0</v>
      </c>
    </row>
    <row r="46" spans="2:65" outlineLevel="1">
      <c r="B46" s="130"/>
      <c r="C46" s="28" t="s">
        <v>489</v>
      </c>
      <c r="D46" s="131" t="s">
        <v>19</v>
      </c>
      <c r="E46" s="309">
        <f t="shared" si="14"/>
        <v>1789.2409499999997</v>
      </c>
      <c r="F46" s="551">
        <f>'CF2'!F29</f>
        <v>0</v>
      </c>
      <c r="G46" s="551">
        <f>'CF2'!G29</f>
        <v>0</v>
      </c>
      <c r="H46" s="551">
        <f>'CF2'!H29</f>
        <v>0</v>
      </c>
      <c r="I46" s="551">
        <f>'CF2'!I29</f>
        <v>0</v>
      </c>
      <c r="J46" s="551">
        <f>'CF2'!J29</f>
        <v>0</v>
      </c>
      <c r="K46" s="551">
        <f>'CF2'!K29</f>
        <v>0</v>
      </c>
      <c r="L46" s="551">
        <f>'CF2'!L29</f>
        <v>0</v>
      </c>
      <c r="M46" s="551">
        <f>'CF2'!M29</f>
        <v>0</v>
      </c>
      <c r="N46" s="133">
        <f>'CF2'!N29</f>
        <v>0</v>
      </c>
      <c r="O46" s="133">
        <f>'CF2'!O29</f>
        <v>0</v>
      </c>
      <c r="P46" s="133">
        <f>'CF2'!P29</f>
        <v>0</v>
      </c>
      <c r="Q46" s="133">
        <f>'CF2'!Q29</f>
        <v>0</v>
      </c>
      <c r="R46" s="133">
        <f>'CF2'!R29</f>
        <v>0</v>
      </c>
      <c r="S46" s="133">
        <f>'CF2'!S29</f>
        <v>0</v>
      </c>
      <c r="T46" s="133">
        <f>'CF2'!T29</f>
        <v>0</v>
      </c>
      <c r="U46" s="133">
        <f>'CF2'!U29</f>
        <v>0</v>
      </c>
      <c r="V46" s="133">
        <f>'CF2'!V29</f>
        <v>0</v>
      </c>
      <c r="W46" s="133">
        <f>'CF2'!W29</f>
        <v>0</v>
      </c>
      <c r="X46" s="133">
        <f>'CF2'!X29</f>
        <v>0</v>
      </c>
      <c r="Y46" s="133">
        <f>'CF2'!Y29</f>
        <v>0</v>
      </c>
      <c r="Z46" s="133">
        <f>'CF2'!Z29</f>
        <v>0</v>
      </c>
      <c r="AA46" s="133">
        <f>'CF2'!AA29</f>
        <v>0</v>
      </c>
      <c r="AB46" s="133">
        <f>'CF2'!AB29</f>
        <v>0</v>
      </c>
      <c r="AC46" s="133">
        <f>'CF2'!AC29</f>
        <v>0</v>
      </c>
      <c r="AD46" s="133">
        <f>'CF2'!AD29</f>
        <v>0</v>
      </c>
      <c r="AE46" s="133">
        <f>'CF2'!AE29</f>
        <v>0</v>
      </c>
      <c r="AF46" s="133">
        <f>'CF2'!AF29</f>
        <v>0</v>
      </c>
      <c r="AG46" s="133">
        <f>'CF2'!AG29</f>
        <v>0</v>
      </c>
      <c r="AH46" s="133">
        <f>'CF2'!AH29</f>
        <v>0</v>
      </c>
      <c r="AI46" s="133">
        <f>'CF2'!AI29</f>
        <v>0</v>
      </c>
      <c r="AJ46" s="133">
        <f>'CF2'!AJ29</f>
        <v>0</v>
      </c>
      <c r="AK46" s="133">
        <f>'CF2'!AK29</f>
        <v>894.62047499999983</v>
      </c>
      <c r="AL46" s="133">
        <f>'CF2'!AL29</f>
        <v>894.62047499999983</v>
      </c>
      <c r="AM46" s="133">
        <f>'CF2'!AM29</f>
        <v>0</v>
      </c>
      <c r="AN46" s="133">
        <f>'CF2'!AN29</f>
        <v>0</v>
      </c>
      <c r="AO46" s="133">
        <f>'CF2'!AO29</f>
        <v>0</v>
      </c>
      <c r="AP46" s="133">
        <f>'CF2'!AP29</f>
        <v>0</v>
      </c>
      <c r="AQ46" s="133">
        <f>'CF2'!AQ29</f>
        <v>0</v>
      </c>
      <c r="AR46" s="133">
        <f>'CF2'!AR29</f>
        <v>0</v>
      </c>
      <c r="AS46" s="133">
        <f>'CF2'!AS29</f>
        <v>0</v>
      </c>
      <c r="AT46" s="133">
        <f>'CF2'!AT29</f>
        <v>0</v>
      </c>
      <c r="AU46" s="133">
        <f>'CF2'!AU29</f>
        <v>0</v>
      </c>
      <c r="AV46" s="133">
        <f>'CF2'!AV29</f>
        <v>0</v>
      </c>
      <c r="AW46" s="133">
        <f>'CF2'!AW29</f>
        <v>0</v>
      </c>
      <c r="AX46" s="133">
        <f>'CF2'!AX29</f>
        <v>0</v>
      </c>
      <c r="AY46" s="133">
        <f>'CF2'!AY29</f>
        <v>0</v>
      </c>
      <c r="AZ46" s="133">
        <f>'CF2'!AZ29</f>
        <v>0</v>
      </c>
      <c r="BA46" s="133">
        <f>'CF2'!BA29</f>
        <v>0</v>
      </c>
      <c r="BB46" s="133">
        <f>'CF2'!BB29</f>
        <v>0</v>
      </c>
      <c r="BC46" s="133">
        <f>'CF2'!BC29</f>
        <v>0</v>
      </c>
      <c r="BD46" s="133">
        <f>'CF2'!BD29</f>
        <v>0</v>
      </c>
      <c r="BE46" s="133">
        <f>'CF2'!BE29</f>
        <v>0</v>
      </c>
      <c r="BF46" s="133">
        <f>'CF2'!BF29</f>
        <v>0</v>
      </c>
      <c r="BG46" s="133">
        <f>'CF2'!BG29</f>
        <v>0</v>
      </c>
      <c r="BH46" s="133">
        <f>'CF2'!BH29</f>
        <v>0</v>
      </c>
      <c r="BI46" s="133">
        <f>'CF2'!BI29</f>
        <v>0</v>
      </c>
      <c r="BJ46" s="133">
        <f>'CF2'!BJ29</f>
        <v>0</v>
      </c>
      <c r="BK46" s="133">
        <f>'CF2'!BK29</f>
        <v>0</v>
      </c>
      <c r="BL46" s="133">
        <f>'CF2'!BL29</f>
        <v>0</v>
      </c>
      <c r="BM46" s="133">
        <f>'CF2'!BM29</f>
        <v>0</v>
      </c>
    </row>
    <row r="47" spans="2:65" hidden="1" outlineLevel="1">
      <c r="B47" s="130" t="str">
        <f>B32</f>
        <v>ТЦ</v>
      </c>
      <c r="C47" s="28"/>
      <c r="D47" s="131" t="s">
        <v>19</v>
      </c>
      <c r="E47" s="132">
        <f t="shared" si="14"/>
        <v>0</v>
      </c>
      <c r="F47" s="551">
        <f t="shared" ref="F47:U47" si="79">F17*F32/10^3</f>
        <v>0</v>
      </c>
      <c r="G47" s="551">
        <f t="shared" si="79"/>
        <v>0</v>
      </c>
      <c r="H47" s="551">
        <f t="shared" si="79"/>
        <v>0</v>
      </c>
      <c r="I47" s="551">
        <f t="shared" si="79"/>
        <v>0</v>
      </c>
      <c r="J47" s="551">
        <f t="shared" si="79"/>
        <v>0</v>
      </c>
      <c r="K47" s="551">
        <f t="shared" si="79"/>
        <v>0</v>
      </c>
      <c r="L47" s="551">
        <f t="shared" si="79"/>
        <v>0</v>
      </c>
      <c r="M47" s="551">
        <f t="shared" si="79"/>
        <v>0</v>
      </c>
      <c r="N47" s="133">
        <f t="shared" si="79"/>
        <v>0</v>
      </c>
      <c r="O47" s="133">
        <f t="shared" si="79"/>
        <v>0</v>
      </c>
      <c r="P47" s="133">
        <f t="shared" si="79"/>
        <v>0</v>
      </c>
      <c r="Q47" s="133">
        <f t="shared" si="79"/>
        <v>0</v>
      </c>
      <c r="R47" s="133">
        <f t="shared" si="79"/>
        <v>0</v>
      </c>
      <c r="S47" s="133">
        <f t="shared" si="79"/>
        <v>0</v>
      </c>
      <c r="T47" s="133">
        <f t="shared" si="79"/>
        <v>0</v>
      </c>
      <c r="U47" s="133">
        <f t="shared" si="79"/>
        <v>0</v>
      </c>
      <c r="V47" s="133">
        <f t="shared" ref="V47:BM47" si="80">V17*V32/10^3</f>
        <v>0</v>
      </c>
      <c r="W47" s="133">
        <f t="shared" si="80"/>
        <v>0</v>
      </c>
      <c r="X47" s="133">
        <f t="shared" si="80"/>
        <v>0</v>
      </c>
      <c r="Y47" s="133">
        <f t="shared" si="80"/>
        <v>0</v>
      </c>
      <c r="Z47" s="133">
        <f t="shared" si="80"/>
        <v>0</v>
      </c>
      <c r="AA47" s="133">
        <f t="shared" si="80"/>
        <v>0</v>
      </c>
      <c r="AB47" s="133">
        <f t="shared" si="80"/>
        <v>0</v>
      </c>
      <c r="AC47" s="133">
        <f t="shared" si="80"/>
        <v>0</v>
      </c>
      <c r="AD47" s="133">
        <f t="shared" si="80"/>
        <v>0</v>
      </c>
      <c r="AE47" s="133">
        <f t="shared" si="80"/>
        <v>0</v>
      </c>
      <c r="AF47" s="133">
        <f t="shared" si="80"/>
        <v>0</v>
      </c>
      <c r="AG47" s="133">
        <f t="shared" si="80"/>
        <v>0</v>
      </c>
      <c r="AH47" s="133">
        <f t="shared" si="80"/>
        <v>0</v>
      </c>
      <c r="AI47" s="133">
        <f t="shared" si="80"/>
        <v>0</v>
      </c>
      <c r="AJ47" s="133">
        <f t="shared" si="80"/>
        <v>0</v>
      </c>
      <c r="AK47" s="133">
        <f t="shared" si="80"/>
        <v>0</v>
      </c>
      <c r="AL47" s="133">
        <f t="shared" si="80"/>
        <v>0</v>
      </c>
      <c r="AM47" s="133">
        <f t="shared" si="80"/>
        <v>0</v>
      </c>
      <c r="AN47" s="133">
        <f t="shared" si="80"/>
        <v>0</v>
      </c>
      <c r="AO47" s="133">
        <f t="shared" si="80"/>
        <v>0</v>
      </c>
      <c r="AP47" s="133">
        <f t="shared" si="80"/>
        <v>0</v>
      </c>
      <c r="AQ47" s="133">
        <f t="shared" si="80"/>
        <v>0</v>
      </c>
      <c r="AR47" s="133">
        <f t="shared" si="80"/>
        <v>0</v>
      </c>
      <c r="AS47" s="133">
        <f t="shared" si="80"/>
        <v>0</v>
      </c>
      <c r="AT47" s="133">
        <f t="shared" si="80"/>
        <v>0</v>
      </c>
      <c r="AU47" s="133">
        <f t="shared" si="80"/>
        <v>0</v>
      </c>
      <c r="AV47" s="133">
        <f t="shared" si="80"/>
        <v>0</v>
      </c>
      <c r="AW47" s="133">
        <f t="shared" si="80"/>
        <v>0</v>
      </c>
      <c r="AX47" s="133">
        <f t="shared" si="80"/>
        <v>0</v>
      </c>
      <c r="AY47" s="133">
        <f t="shared" si="80"/>
        <v>0</v>
      </c>
      <c r="AZ47" s="133">
        <f t="shared" si="80"/>
        <v>0</v>
      </c>
      <c r="BA47" s="133">
        <f t="shared" si="80"/>
        <v>0</v>
      </c>
      <c r="BB47" s="133">
        <f t="shared" si="80"/>
        <v>0</v>
      </c>
      <c r="BC47" s="133">
        <f t="shared" si="80"/>
        <v>0</v>
      </c>
      <c r="BD47" s="133">
        <f t="shared" si="80"/>
        <v>0</v>
      </c>
      <c r="BE47" s="133">
        <f t="shared" si="80"/>
        <v>0</v>
      </c>
      <c r="BF47" s="133">
        <f t="shared" si="80"/>
        <v>0</v>
      </c>
      <c r="BG47" s="133">
        <f t="shared" si="80"/>
        <v>0</v>
      </c>
      <c r="BH47" s="133">
        <f t="shared" si="80"/>
        <v>0</v>
      </c>
      <c r="BI47" s="133">
        <f t="shared" si="80"/>
        <v>0</v>
      </c>
      <c r="BJ47" s="133">
        <f t="shared" si="80"/>
        <v>0</v>
      </c>
      <c r="BK47" s="133">
        <f t="shared" si="80"/>
        <v>0</v>
      </c>
      <c r="BL47" s="133">
        <f t="shared" si="80"/>
        <v>0</v>
      </c>
      <c r="BM47" s="133">
        <f t="shared" si="80"/>
        <v>0</v>
      </c>
    </row>
    <row r="48" spans="2:65" s="3" customFormat="1" outlineLevel="1">
      <c r="B48" s="528" t="str">
        <f>B33</f>
        <v>ПАРКИНГ ЖИЛЬЕ</v>
      </c>
      <c r="C48" s="529"/>
      <c r="D48" s="530" t="s">
        <v>19</v>
      </c>
      <c r="E48" s="531">
        <f t="shared" si="14"/>
        <v>5004</v>
      </c>
      <c r="F48" s="563">
        <f>F49+F50</f>
        <v>0</v>
      </c>
      <c r="G48" s="563">
        <f t="shared" ref="G48" si="81">G49+G50</f>
        <v>0</v>
      </c>
      <c r="H48" s="563">
        <f t="shared" ref="H48" si="82">H49+H50</f>
        <v>0</v>
      </c>
      <c r="I48" s="563">
        <f t="shared" ref="I48" si="83">I49+I50</f>
        <v>0</v>
      </c>
      <c r="J48" s="563">
        <f t="shared" ref="J48" si="84">J49+J50</f>
        <v>0</v>
      </c>
      <c r="K48" s="563">
        <f t="shared" ref="K48" si="85">K49+K50</f>
        <v>0</v>
      </c>
      <c r="L48" s="563">
        <f t="shared" ref="L48" si="86">L49+L50</f>
        <v>0</v>
      </c>
      <c r="M48" s="563">
        <f t="shared" ref="M48" si="87">M49+M50</f>
        <v>0</v>
      </c>
      <c r="N48" s="532">
        <f t="shared" ref="N48" si="88">N49+N50</f>
        <v>0</v>
      </c>
      <c r="O48" s="532">
        <f t="shared" ref="O48" si="89">O49+O50</f>
        <v>0</v>
      </c>
      <c r="P48" s="532">
        <f t="shared" ref="P48" si="90">P49+P50</f>
        <v>0</v>
      </c>
      <c r="Q48" s="532">
        <f t="shared" ref="Q48" si="91">Q49+Q50</f>
        <v>0</v>
      </c>
      <c r="R48" s="532">
        <f t="shared" ref="R48" si="92">R49+R50</f>
        <v>0</v>
      </c>
      <c r="S48" s="532">
        <f t="shared" ref="S48" si="93">S49+S50</f>
        <v>0</v>
      </c>
      <c r="T48" s="532">
        <f t="shared" ref="T48" si="94">T49+T50</f>
        <v>135</v>
      </c>
      <c r="U48" s="532">
        <f t="shared" ref="U48" si="95">U49+U50</f>
        <v>135</v>
      </c>
      <c r="V48" s="532">
        <f t="shared" ref="V48" si="96">V49+V50</f>
        <v>135</v>
      </c>
      <c r="W48" s="532">
        <f t="shared" ref="W48" si="97">W49+W50</f>
        <v>135</v>
      </c>
      <c r="X48" s="532">
        <f t="shared" ref="X48" si="98">X49+X50</f>
        <v>270</v>
      </c>
      <c r="Y48" s="532">
        <f t="shared" ref="Y48" si="99">Y49+Y50</f>
        <v>270</v>
      </c>
      <c r="Z48" s="532">
        <f t="shared" ref="Z48" si="100">Z49+Z50</f>
        <v>270</v>
      </c>
      <c r="AA48" s="532">
        <f t="shared" ref="AA48" si="101">AA49+AA50</f>
        <v>270</v>
      </c>
      <c r="AB48" s="532">
        <f t="shared" ref="AB48" si="102">AB49+AB50</f>
        <v>270</v>
      </c>
      <c r="AC48" s="532">
        <f t="shared" ref="AC48" si="103">AC49+AC50</f>
        <v>270</v>
      </c>
      <c r="AD48" s="532">
        <f t="shared" ref="AD48" si="104">AD49+AD50</f>
        <v>270</v>
      </c>
      <c r="AE48" s="532">
        <f t="shared" ref="AE48" si="105">AE49+AE50</f>
        <v>270</v>
      </c>
      <c r="AF48" s="532">
        <f t="shared" ref="AF48" si="106">AF49+AF50</f>
        <v>270</v>
      </c>
      <c r="AG48" s="532">
        <f t="shared" ref="AG48" si="107">AG49+AG50</f>
        <v>270</v>
      </c>
      <c r="AH48" s="532">
        <f t="shared" ref="AH48" si="108">AH49+AH50</f>
        <v>270</v>
      </c>
      <c r="AI48" s="532">
        <f t="shared" ref="AI48" si="109">AI49+AI50</f>
        <v>270</v>
      </c>
      <c r="AJ48" s="532">
        <f t="shared" ref="AJ48" si="110">AJ49+AJ50</f>
        <v>270</v>
      </c>
      <c r="AK48" s="532">
        <f t="shared" ref="AK48" si="111">AK49+AK50</f>
        <v>270</v>
      </c>
      <c r="AL48" s="532">
        <f t="shared" ref="AL48" si="112">AL49+AL50</f>
        <v>270</v>
      </c>
      <c r="AM48" s="532">
        <f t="shared" ref="AM48" si="113">AM49+AM50</f>
        <v>265.5</v>
      </c>
      <c r="AN48" s="532">
        <f t="shared" ref="AN48" si="114">AN49+AN50</f>
        <v>148.5</v>
      </c>
      <c r="AO48" s="532">
        <f t="shared" ref="AO48" si="115">AO49+AO50</f>
        <v>0</v>
      </c>
      <c r="AP48" s="532">
        <f t="shared" ref="AP48" si="116">AP49+AP50</f>
        <v>0</v>
      </c>
      <c r="AQ48" s="532">
        <f t="shared" ref="AQ48" si="117">AQ49+AQ50</f>
        <v>0</v>
      </c>
      <c r="AR48" s="532">
        <f t="shared" ref="AR48" si="118">AR49+AR50</f>
        <v>0</v>
      </c>
      <c r="AS48" s="532">
        <f t="shared" ref="AS48" si="119">AS49+AS50</f>
        <v>0</v>
      </c>
      <c r="AT48" s="532">
        <f t="shared" ref="AT48" si="120">AT49+AT50</f>
        <v>0</v>
      </c>
      <c r="AU48" s="532">
        <f t="shared" ref="AU48" si="121">AU49+AU50</f>
        <v>0</v>
      </c>
      <c r="AV48" s="532">
        <f t="shared" ref="AV48" si="122">AV49+AV50</f>
        <v>0</v>
      </c>
      <c r="AW48" s="532">
        <f t="shared" ref="AW48" si="123">AW49+AW50</f>
        <v>0</v>
      </c>
      <c r="AX48" s="532">
        <f t="shared" ref="AX48" si="124">AX49+AX50</f>
        <v>0</v>
      </c>
      <c r="AY48" s="532">
        <f t="shared" ref="AY48" si="125">AY49+AY50</f>
        <v>0</v>
      </c>
      <c r="AZ48" s="532">
        <f t="shared" ref="AZ48" si="126">AZ49+AZ50</f>
        <v>0</v>
      </c>
      <c r="BA48" s="532">
        <f t="shared" ref="BA48" si="127">BA49+BA50</f>
        <v>0</v>
      </c>
      <c r="BB48" s="532">
        <f t="shared" ref="BB48" si="128">BB49+BB50</f>
        <v>0</v>
      </c>
      <c r="BC48" s="532">
        <f t="shared" ref="BC48" si="129">BC49+BC50</f>
        <v>0</v>
      </c>
      <c r="BD48" s="532">
        <f t="shared" ref="BD48" si="130">BD49+BD50</f>
        <v>0</v>
      </c>
      <c r="BE48" s="532">
        <f t="shared" ref="BE48" si="131">BE49+BE50</f>
        <v>0</v>
      </c>
      <c r="BF48" s="532">
        <f t="shared" ref="BF48" si="132">BF49+BF50</f>
        <v>0</v>
      </c>
      <c r="BG48" s="532">
        <f t="shared" ref="BG48" si="133">BG49+BG50</f>
        <v>0</v>
      </c>
      <c r="BH48" s="532">
        <f t="shared" ref="BH48" si="134">BH49+BH50</f>
        <v>0</v>
      </c>
      <c r="BI48" s="532">
        <f t="shared" ref="BI48" si="135">BI49+BI50</f>
        <v>0</v>
      </c>
      <c r="BJ48" s="532">
        <f t="shared" ref="BJ48" si="136">BJ49+BJ50</f>
        <v>0</v>
      </c>
      <c r="BK48" s="532">
        <f t="shared" ref="BK48" si="137">BK49+BK50</f>
        <v>0</v>
      </c>
      <c r="BL48" s="532">
        <f t="shared" ref="BL48" si="138">BL49+BL50</f>
        <v>0</v>
      </c>
      <c r="BM48" s="532">
        <f t="shared" ref="BM48" si="139">BM49+BM50</f>
        <v>0</v>
      </c>
    </row>
    <row r="49" spans="1:65" outlineLevel="1">
      <c r="B49" s="130"/>
      <c r="C49" s="28" t="s">
        <v>488</v>
      </c>
      <c r="D49" s="131" t="s">
        <v>19</v>
      </c>
      <c r="E49" s="309">
        <f t="shared" si="14"/>
        <v>2695.5</v>
      </c>
      <c r="F49" s="551">
        <f>'CF1'!F31</f>
        <v>0</v>
      </c>
      <c r="G49" s="551">
        <f>'CF1'!G31</f>
        <v>0</v>
      </c>
      <c r="H49" s="551">
        <f>'CF1'!H31</f>
        <v>0</v>
      </c>
      <c r="I49" s="551">
        <f>'CF1'!I31</f>
        <v>0</v>
      </c>
      <c r="J49" s="551">
        <f>'CF1'!J31</f>
        <v>0</v>
      </c>
      <c r="K49" s="551">
        <f>'CF1'!K31</f>
        <v>0</v>
      </c>
      <c r="L49" s="551">
        <f>'CF1'!L31</f>
        <v>0</v>
      </c>
      <c r="M49" s="551">
        <f>'CF1'!M31</f>
        <v>0</v>
      </c>
      <c r="N49" s="133">
        <f>'CF1'!N31</f>
        <v>0</v>
      </c>
      <c r="O49" s="133">
        <f>'CF1'!O31</f>
        <v>0</v>
      </c>
      <c r="P49" s="133">
        <f>'CF1'!P31</f>
        <v>0</v>
      </c>
      <c r="Q49" s="133">
        <f>'CF1'!Q31</f>
        <v>0</v>
      </c>
      <c r="R49" s="133">
        <f>'CF1'!R31</f>
        <v>0</v>
      </c>
      <c r="S49" s="133">
        <f>'CF1'!S31</f>
        <v>0</v>
      </c>
      <c r="T49" s="133">
        <f>'CF1'!T31</f>
        <v>135</v>
      </c>
      <c r="U49" s="133">
        <f>'CF1'!U31</f>
        <v>135</v>
      </c>
      <c r="V49" s="133">
        <f>'CF1'!V31</f>
        <v>135</v>
      </c>
      <c r="W49" s="133">
        <f>'CF1'!W31</f>
        <v>135</v>
      </c>
      <c r="X49" s="133">
        <f>'CF1'!X31</f>
        <v>135</v>
      </c>
      <c r="Y49" s="133">
        <f>'CF1'!Y31</f>
        <v>135</v>
      </c>
      <c r="Z49" s="133">
        <f>'CF1'!Z31</f>
        <v>135</v>
      </c>
      <c r="AA49" s="133">
        <f>'CF1'!AA31</f>
        <v>135</v>
      </c>
      <c r="AB49" s="133">
        <f>'CF1'!AB31</f>
        <v>135</v>
      </c>
      <c r="AC49" s="133">
        <f>'CF1'!AC31</f>
        <v>135</v>
      </c>
      <c r="AD49" s="133">
        <f>'CF1'!AD31</f>
        <v>135</v>
      </c>
      <c r="AE49" s="133">
        <f>'CF1'!AE31</f>
        <v>135</v>
      </c>
      <c r="AF49" s="133">
        <f>'CF1'!AF31</f>
        <v>135</v>
      </c>
      <c r="AG49" s="133">
        <f>'CF1'!AG31</f>
        <v>135</v>
      </c>
      <c r="AH49" s="133">
        <f>'CF1'!AH31</f>
        <v>135</v>
      </c>
      <c r="AI49" s="133">
        <f>'CF1'!AI31</f>
        <v>135</v>
      </c>
      <c r="AJ49" s="133">
        <f>'CF1'!AJ31</f>
        <v>135</v>
      </c>
      <c r="AK49" s="133">
        <f>'CF1'!AK31</f>
        <v>135</v>
      </c>
      <c r="AL49" s="133">
        <f>'CF1'!AL31</f>
        <v>135</v>
      </c>
      <c r="AM49" s="133">
        <f>'CF1'!AM31</f>
        <v>130.5</v>
      </c>
      <c r="AN49" s="133">
        <f>'CF1'!AN31</f>
        <v>0</v>
      </c>
      <c r="AO49" s="133">
        <f>'CF1'!AO31</f>
        <v>0</v>
      </c>
      <c r="AP49" s="133">
        <f>'CF1'!AP31</f>
        <v>0</v>
      </c>
      <c r="AQ49" s="133">
        <f>'CF1'!AQ31</f>
        <v>0</v>
      </c>
      <c r="AR49" s="133">
        <f>'CF1'!AR31</f>
        <v>0</v>
      </c>
      <c r="AS49" s="133">
        <f>'CF1'!AS31</f>
        <v>0</v>
      </c>
      <c r="AT49" s="133">
        <f>'CF1'!AT31</f>
        <v>0</v>
      </c>
      <c r="AU49" s="133">
        <f>'CF1'!AU31</f>
        <v>0</v>
      </c>
      <c r="AV49" s="133">
        <f>'CF1'!AV31</f>
        <v>0</v>
      </c>
      <c r="AW49" s="133">
        <f>'CF1'!AW31</f>
        <v>0</v>
      </c>
      <c r="AX49" s="133">
        <f>'CF1'!AX31</f>
        <v>0</v>
      </c>
      <c r="AY49" s="133">
        <f>'CF1'!AY31</f>
        <v>0</v>
      </c>
      <c r="AZ49" s="133">
        <f>'CF1'!AZ31</f>
        <v>0</v>
      </c>
      <c r="BA49" s="133">
        <f>'CF1'!BA31</f>
        <v>0</v>
      </c>
      <c r="BB49" s="133">
        <f>'CF1'!BB31</f>
        <v>0</v>
      </c>
      <c r="BC49" s="133">
        <f>'CF1'!BC31</f>
        <v>0</v>
      </c>
      <c r="BD49" s="133">
        <f>'CF1'!BD31</f>
        <v>0</v>
      </c>
      <c r="BE49" s="133">
        <f>'CF1'!BE31</f>
        <v>0</v>
      </c>
      <c r="BF49" s="133">
        <f>'CF1'!BF31</f>
        <v>0</v>
      </c>
      <c r="BG49" s="133">
        <f>'CF1'!BG31</f>
        <v>0</v>
      </c>
      <c r="BH49" s="133">
        <f>'CF1'!BH31</f>
        <v>0</v>
      </c>
      <c r="BI49" s="133">
        <f>'CF1'!BI31</f>
        <v>0</v>
      </c>
      <c r="BJ49" s="133">
        <f>'CF1'!BJ31</f>
        <v>0</v>
      </c>
      <c r="BK49" s="133">
        <f>'CF1'!BK31</f>
        <v>0</v>
      </c>
      <c r="BL49" s="133">
        <f>'CF1'!BL31</f>
        <v>0</v>
      </c>
      <c r="BM49" s="133">
        <f>'CF1'!BM31</f>
        <v>0</v>
      </c>
    </row>
    <row r="50" spans="1:65" outlineLevel="1">
      <c r="B50" s="130"/>
      <c r="C50" s="28" t="s">
        <v>489</v>
      </c>
      <c r="D50" s="131" t="s">
        <v>19</v>
      </c>
      <c r="E50" s="309">
        <f t="shared" si="14"/>
        <v>2308.5</v>
      </c>
      <c r="F50" s="551">
        <f>'CF2'!F31</f>
        <v>0</v>
      </c>
      <c r="G50" s="551">
        <f>'CF2'!G31</f>
        <v>0</v>
      </c>
      <c r="H50" s="551">
        <f>'CF2'!H31</f>
        <v>0</v>
      </c>
      <c r="I50" s="551">
        <f>'CF2'!I31</f>
        <v>0</v>
      </c>
      <c r="J50" s="551">
        <f>'CF2'!J31</f>
        <v>0</v>
      </c>
      <c r="K50" s="551">
        <f>'CF2'!K31</f>
        <v>0</v>
      </c>
      <c r="L50" s="551">
        <f>'CF2'!L31</f>
        <v>0</v>
      </c>
      <c r="M50" s="551">
        <f>'CF2'!M31</f>
        <v>0</v>
      </c>
      <c r="N50" s="133">
        <f>'CF2'!N31</f>
        <v>0</v>
      </c>
      <c r="O50" s="133">
        <f>'CF2'!O31</f>
        <v>0</v>
      </c>
      <c r="P50" s="133">
        <f>'CF2'!P31</f>
        <v>0</v>
      </c>
      <c r="Q50" s="133">
        <f>'CF2'!Q31</f>
        <v>0</v>
      </c>
      <c r="R50" s="133">
        <f>'CF2'!R31</f>
        <v>0</v>
      </c>
      <c r="S50" s="133">
        <f>'CF2'!S31</f>
        <v>0</v>
      </c>
      <c r="T50" s="133">
        <f>'CF2'!T31</f>
        <v>0</v>
      </c>
      <c r="U50" s="133">
        <f>'CF2'!U31</f>
        <v>0</v>
      </c>
      <c r="V50" s="133">
        <f>'CF2'!V31</f>
        <v>0</v>
      </c>
      <c r="W50" s="133">
        <f>'CF2'!W31</f>
        <v>0</v>
      </c>
      <c r="X50" s="133">
        <f>'CF2'!X31</f>
        <v>135</v>
      </c>
      <c r="Y50" s="133">
        <f>'CF2'!Y31</f>
        <v>135</v>
      </c>
      <c r="Z50" s="133">
        <f>'CF2'!Z31</f>
        <v>135</v>
      </c>
      <c r="AA50" s="133">
        <f>'CF2'!AA31</f>
        <v>135</v>
      </c>
      <c r="AB50" s="133">
        <f>'CF2'!AB31</f>
        <v>135</v>
      </c>
      <c r="AC50" s="133">
        <f>'CF2'!AC31</f>
        <v>135</v>
      </c>
      <c r="AD50" s="133">
        <f>'CF2'!AD31</f>
        <v>135</v>
      </c>
      <c r="AE50" s="133">
        <f>'CF2'!AE31</f>
        <v>135</v>
      </c>
      <c r="AF50" s="133">
        <f>'CF2'!AF31</f>
        <v>135</v>
      </c>
      <c r="AG50" s="133">
        <f>'CF2'!AG31</f>
        <v>135</v>
      </c>
      <c r="AH50" s="133">
        <f>'CF2'!AH31</f>
        <v>135</v>
      </c>
      <c r="AI50" s="133">
        <f>'CF2'!AI31</f>
        <v>135</v>
      </c>
      <c r="AJ50" s="133">
        <f>'CF2'!AJ31</f>
        <v>135</v>
      </c>
      <c r="AK50" s="133">
        <f>'CF2'!AK31</f>
        <v>135</v>
      </c>
      <c r="AL50" s="133">
        <f>'CF2'!AL31</f>
        <v>135</v>
      </c>
      <c r="AM50" s="133">
        <f>'CF2'!AM31</f>
        <v>135</v>
      </c>
      <c r="AN50" s="133">
        <f>'CF2'!AN31</f>
        <v>148.5</v>
      </c>
      <c r="AO50" s="133">
        <f>'CF2'!AO31</f>
        <v>0</v>
      </c>
      <c r="AP50" s="133">
        <f>'CF2'!AP31</f>
        <v>0</v>
      </c>
      <c r="AQ50" s="133">
        <f>'CF2'!AQ31</f>
        <v>0</v>
      </c>
      <c r="AR50" s="133">
        <f>'CF2'!AR31</f>
        <v>0</v>
      </c>
      <c r="AS50" s="133">
        <f>'CF2'!AS31</f>
        <v>0</v>
      </c>
      <c r="AT50" s="133">
        <f>'CF2'!AT31</f>
        <v>0</v>
      </c>
      <c r="AU50" s="133">
        <f>'CF2'!AU31</f>
        <v>0</v>
      </c>
      <c r="AV50" s="133">
        <f>'CF2'!AV31</f>
        <v>0</v>
      </c>
      <c r="AW50" s="133">
        <f>'CF2'!AW31</f>
        <v>0</v>
      </c>
      <c r="AX50" s="133">
        <f>'CF2'!AX31</f>
        <v>0</v>
      </c>
      <c r="AY50" s="133">
        <f>'CF2'!AY31</f>
        <v>0</v>
      </c>
      <c r="AZ50" s="133">
        <f>'CF2'!AZ31</f>
        <v>0</v>
      </c>
      <c r="BA50" s="133">
        <f>'CF2'!BA31</f>
        <v>0</v>
      </c>
      <c r="BB50" s="133">
        <f>'CF2'!BB31</f>
        <v>0</v>
      </c>
      <c r="BC50" s="133">
        <f>'CF2'!BC31</f>
        <v>0</v>
      </c>
      <c r="BD50" s="133">
        <f>'CF2'!BD31</f>
        <v>0</v>
      </c>
      <c r="BE50" s="133">
        <f>'CF2'!BE31</f>
        <v>0</v>
      </c>
      <c r="BF50" s="133">
        <f>'CF2'!BF31</f>
        <v>0</v>
      </c>
      <c r="BG50" s="133">
        <f>'CF2'!BG31</f>
        <v>0</v>
      </c>
      <c r="BH50" s="133">
        <f>'CF2'!BH31</f>
        <v>0</v>
      </c>
      <c r="BI50" s="133">
        <f>'CF2'!BI31</f>
        <v>0</v>
      </c>
      <c r="BJ50" s="133">
        <f>'CF2'!BJ31</f>
        <v>0</v>
      </c>
      <c r="BK50" s="133">
        <f>'CF2'!BK31</f>
        <v>0</v>
      </c>
      <c r="BL50" s="133">
        <f>'CF2'!BL31</f>
        <v>0</v>
      </c>
      <c r="BM50" s="133">
        <f>'CF2'!BM31</f>
        <v>0</v>
      </c>
    </row>
    <row r="51" spans="1:65" hidden="1" outlineLevel="1">
      <c r="B51" s="130" t="str">
        <f t="shared" ref="B51" si="140">B36</f>
        <v>ПАРКИНГ ОФИС</v>
      </c>
      <c r="C51" s="28"/>
      <c r="D51" s="131" t="s">
        <v>19</v>
      </c>
      <c r="E51" s="132">
        <f t="shared" si="14"/>
        <v>0</v>
      </c>
      <c r="F51" s="133">
        <f t="shared" ref="F51:AK51" si="141">F21*F36/10^3</f>
        <v>0</v>
      </c>
      <c r="G51" s="133">
        <f t="shared" si="141"/>
        <v>0</v>
      </c>
      <c r="H51" s="133">
        <f t="shared" si="141"/>
        <v>0</v>
      </c>
      <c r="I51" s="133">
        <f t="shared" si="141"/>
        <v>0</v>
      </c>
      <c r="J51" s="133">
        <f t="shared" si="141"/>
        <v>0</v>
      </c>
      <c r="K51" s="133">
        <f t="shared" si="141"/>
        <v>0</v>
      </c>
      <c r="L51" s="133">
        <f t="shared" si="141"/>
        <v>0</v>
      </c>
      <c r="M51" s="133">
        <f t="shared" si="141"/>
        <v>0</v>
      </c>
      <c r="N51" s="133">
        <f t="shared" si="141"/>
        <v>0</v>
      </c>
      <c r="O51" s="133">
        <f t="shared" si="141"/>
        <v>0</v>
      </c>
      <c r="P51" s="133">
        <f t="shared" si="141"/>
        <v>0</v>
      </c>
      <c r="Q51" s="133">
        <f t="shared" si="141"/>
        <v>0</v>
      </c>
      <c r="R51" s="133">
        <f t="shared" si="141"/>
        <v>0</v>
      </c>
      <c r="S51" s="133">
        <f t="shared" si="141"/>
        <v>0</v>
      </c>
      <c r="T51" s="133">
        <f t="shared" si="141"/>
        <v>0</v>
      </c>
      <c r="U51" s="133">
        <f t="shared" si="141"/>
        <v>0</v>
      </c>
      <c r="V51" s="133">
        <f t="shared" si="141"/>
        <v>0</v>
      </c>
      <c r="W51" s="133">
        <f t="shared" si="141"/>
        <v>0</v>
      </c>
      <c r="X51" s="133">
        <f t="shared" si="141"/>
        <v>0</v>
      </c>
      <c r="Y51" s="133">
        <f t="shared" si="141"/>
        <v>0</v>
      </c>
      <c r="Z51" s="133">
        <f t="shared" si="141"/>
        <v>0</v>
      </c>
      <c r="AA51" s="133">
        <f t="shared" si="141"/>
        <v>0</v>
      </c>
      <c r="AB51" s="133">
        <f t="shared" si="141"/>
        <v>0</v>
      </c>
      <c r="AC51" s="133">
        <f t="shared" si="141"/>
        <v>0</v>
      </c>
      <c r="AD51" s="133">
        <f t="shared" si="141"/>
        <v>0</v>
      </c>
      <c r="AE51" s="133">
        <f t="shared" si="141"/>
        <v>0</v>
      </c>
      <c r="AF51" s="133">
        <f t="shared" si="141"/>
        <v>0</v>
      </c>
      <c r="AG51" s="133">
        <f t="shared" si="141"/>
        <v>0</v>
      </c>
      <c r="AH51" s="133">
        <f t="shared" si="141"/>
        <v>0</v>
      </c>
      <c r="AI51" s="133">
        <f t="shared" si="141"/>
        <v>0</v>
      </c>
      <c r="AJ51" s="133">
        <f t="shared" si="141"/>
        <v>0</v>
      </c>
      <c r="AK51" s="133">
        <f t="shared" si="141"/>
        <v>0</v>
      </c>
      <c r="AL51" s="133">
        <f t="shared" ref="AL51:BM51" si="142">AL21*AL36/10^3</f>
        <v>0</v>
      </c>
      <c r="AM51" s="133">
        <f t="shared" si="142"/>
        <v>0</v>
      </c>
      <c r="AN51" s="133">
        <f t="shared" si="142"/>
        <v>0</v>
      </c>
      <c r="AO51" s="133">
        <f t="shared" si="142"/>
        <v>0</v>
      </c>
      <c r="AP51" s="133">
        <f t="shared" si="142"/>
        <v>0</v>
      </c>
      <c r="AQ51" s="133">
        <f t="shared" si="142"/>
        <v>0</v>
      </c>
      <c r="AR51" s="133">
        <f t="shared" si="142"/>
        <v>0</v>
      </c>
      <c r="AS51" s="133">
        <f t="shared" si="142"/>
        <v>0</v>
      </c>
      <c r="AT51" s="133">
        <f t="shared" si="142"/>
        <v>0</v>
      </c>
      <c r="AU51" s="133">
        <f t="shared" si="142"/>
        <v>0</v>
      </c>
      <c r="AV51" s="133">
        <f t="shared" si="142"/>
        <v>0</v>
      </c>
      <c r="AW51" s="133">
        <f t="shared" si="142"/>
        <v>0</v>
      </c>
      <c r="AX51" s="133">
        <f t="shared" si="142"/>
        <v>0</v>
      </c>
      <c r="AY51" s="133">
        <f t="shared" si="142"/>
        <v>0</v>
      </c>
      <c r="AZ51" s="133">
        <f t="shared" si="142"/>
        <v>0</v>
      </c>
      <c r="BA51" s="133">
        <f t="shared" si="142"/>
        <v>0</v>
      </c>
      <c r="BB51" s="133">
        <f t="shared" si="142"/>
        <v>0</v>
      </c>
      <c r="BC51" s="133">
        <f t="shared" si="142"/>
        <v>0</v>
      </c>
      <c r="BD51" s="133">
        <f t="shared" si="142"/>
        <v>0</v>
      </c>
      <c r="BE51" s="133">
        <f t="shared" si="142"/>
        <v>0</v>
      </c>
      <c r="BF51" s="133">
        <f t="shared" si="142"/>
        <v>0</v>
      </c>
      <c r="BG51" s="133">
        <f t="shared" si="142"/>
        <v>0</v>
      </c>
      <c r="BH51" s="133">
        <f t="shared" si="142"/>
        <v>0</v>
      </c>
      <c r="BI51" s="133">
        <f t="shared" si="142"/>
        <v>0</v>
      </c>
      <c r="BJ51" s="133">
        <f t="shared" si="142"/>
        <v>0</v>
      </c>
      <c r="BK51" s="133">
        <f t="shared" si="142"/>
        <v>0</v>
      </c>
      <c r="BL51" s="133">
        <f t="shared" si="142"/>
        <v>0</v>
      </c>
      <c r="BM51" s="133">
        <f t="shared" si="142"/>
        <v>0</v>
      </c>
    </row>
    <row r="52" spans="1:65">
      <c r="E52" s="138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39"/>
      <c r="BJ52" s="139"/>
      <c r="BK52" s="139"/>
      <c r="BL52" s="139"/>
      <c r="BM52" s="139"/>
    </row>
    <row r="53" spans="1:65">
      <c r="A53" s="124"/>
      <c r="B53" s="177" t="s">
        <v>321</v>
      </c>
      <c r="C53" s="177"/>
      <c r="D53" s="178" t="s">
        <v>19</v>
      </c>
      <c r="E53" s="179">
        <f t="shared" ref="E53:E66" si="143">SUM(F53:BM53)</f>
        <v>78746.092704000024</v>
      </c>
      <c r="F53" s="180">
        <f>'CF1'!F34+'CF2'!F34</f>
        <v>0</v>
      </c>
      <c r="G53" s="180">
        <f>'CF1'!G34+'CF2'!G34</f>
        <v>0</v>
      </c>
      <c r="H53" s="180">
        <f>'CF1'!H34+'CF2'!H34</f>
        <v>0</v>
      </c>
      <c r="I53" s="180">
        <f>'CF1'!I34+'CF2'!I34</f>
        <v>0</v>
      </c>
      <c r="J53" s="180">
        <f>'CF1'!J34+'CF2'!J34</f>
        <v>0</v>
      </c>
      <c r="K53" s="180">
        <f>'CF1'!K34+'CF2'!K34</f>
        <v>0</v>
      </c>
      <c r="L53" s="180">
        <f>'CF1'!L34+'CF2'!L34</f>
        <v>0</v>
      </c>
      <c r="M53" s="180">
        <f>'CF1'!M34+'CF2'!M34</f>
        <v>0</v>
      </c>
      <c r="N53" s="180">
        <f>'CF1'!N34+'CF2'!N34</f>
        <v>0</v>
      </c>
      <c r="O53" s="180">
        <f>'CF1'!O34+'CF2'!O34</f>
        <v>0</v>
      </c>
      <c r="P53" s="180">
        <f>'CF1'!P34+'CF2'!P34</f>
        <v>0</v>
      </c>
      <c r="Q53" s="180">
        <f>'CF1'!Q34+'CF2'!Q34</f>
        <v>0</v>
      </c>
      <c r="R53" s="180">
        <f>'CF1'!R34+'CF2'!R34</f>
        <v>0</v>
      </c>
      <c r="S53" s="180">
        <f>'CF1'!S34+'CF2'!S34</f>
        <v>0</v>
      </c>
      <c r="T53" s="180">
        <f>'CF1'!T34+'CF2'!T34</f>
        <v>0</v>
      </c>
      <c r="U53" s="180">
        <f>'CF1'!U34+'CF2'!U34</f>
        <v>0</v>
      </c>
      <c r="V53" s="180">
        <f>'CF1'!V34+'CF2'!V34</f>
        <v>0</v>
      </c>
      <c r="W53" s="180">
        <f>'CF1'!W34+'CF2'!W34</f>
        <v>0</v>
      </c>
      <c r="X53" s="180">
        <f>'CF1'!X34+'CF2'!X34</f>
        <v>0</v>
      </c>
      <c r="Y53" s="180">
        <f>'CF1'!Y34+'CF2'!Y34</f>
        <v>0</v>
      </c>
      <c r="Z53" s="180">
        <f>'CF1'!Z34+'CF2'!Z34</f>
        <v>0</v>
      </c>
      <c r="AA53" s="180">
        <f>'CF1'!AA34+'CF2'!AA34</f>
        <v>0</v>
      </c>
      <c r="AB53" s="180">
        <f>'CF1'!AB34+'CF2'!AB34</f>
        <v>0</v>
      </c>
      <c r="AC53" s="180">
        <f>'CF1'!AC34+'CF2'!AC34</f>
        <v>0</v>
      </c>
      <c r="AD53" s="180">
        <f>'CF1'!AD34+'CF2'!AD34</f>
        <v>0</v>
      </c>
      <c r="AE53" s="180">
        <f>'CF1'!AE34+'CF2'!AE34</f>
        <v>0</v>
      </c>
      <c r="AF53" s="180">
        <f>'CF1'!AF34+'CF2'!AF34</f>
        <v>24259.464296763515</v>
      </c>
      <c r="AG53" s="180">
        <f>'CF1'!AG34+'CF2'!AG34</f>
        <v>3461.1864509474253</v>
      </c>
      <c r="AH53" s="180">
        <f>'CF1'!AH34+'CF2'!AH34</f>
        <v>3461.1864509474253</v>
      </c>
      <c r="AI53" s="180">
        <f>'CF1'!AI34+'CF2'!AI34</f>
        <v>2230.1129009474244</v>
      </c>
      <c r="AJ53" s="180">
        <f>'CF1'!AJ34+'CF2'!AJ34</f>
        <v>27557.813820304083</v>
      </c>
      <c r="AK53" s="180">
        <f>'CF1'!AK34+'CF2'!AK34</f>
        <v>5391.4033638056571</v>
      </c>
      <c r="AL53" s="180">
        <f>'CF1'!AL34+'CF2'!AL34</f>
        <v>5391.4033638056571</v>
      </c>
      <c r="AM53" s="180">
        <f>'CF1'!AM34+'CF2'!AM34</f>
        <v>4212.7161284298454</v>
      </c>
      <c r="AN53" s="180">
        <f>'CF1'!AN34+'CF2'!AN34</f>
        <v>2736.2559280489804</v>
      </c>
      <c r="AO53" s="180">
        <f>'CF1'!AO34+'CF2'!AO34</f>
        <v>44.55000000000291</v>
      </c>
      <c r="AP53" s="180">
        <f>'CF1'!AP34+'CF2'!AP34</f>
        <v>0</v>
      </c>
      <c r="AQ53" s="180">
        <f>'CF1'!AQ34+'CF2'!AQ34</f>
        <v>0</v>
      </c>
      <c r="AR53" s="180">
        <f>'CF1'!AR34+'CF2'!AR34</f>
        <v>0</v>
      </c>
      <c r="AS53" s="180">
        <f>'CF1'!AS34+'CF2'!AS34</f>
        <v>0</v>
      </c>
      <c r="AT53" s="180">
        <f>'CF1'!AT34+'CF2'!AT34</f>
        <v>0</v>
      </c>
      <c r="AU53" s="180">
        <f>'CF1'!AU34+'CF2'!AU34</f>
        <v>0</v>
      </c>
      <c r="AV53" s="180">
        <f>'CF1'!AV34+'CF2'!AV34</f>
        <v>0</v>
      </c>
      <c r="AW53" s="180">
        <f>'CF1'!AW34+'CF2'!AW34</f>
        <v>0</v>
      </c>
      <c r="AX53" s="180">
        <f>'CF1'!AX34+'CF2'!AX34</f>
        <v>0</v>
      </c>
      <c r="AY53" s="180">
        <f>'CF1'!AY34+'CF2'!AY34</f>
        <v>0</v>
      </c>
      <c r="AZ53" s="180">
        <f>'CF1'!AZ34+'CF2'!AZ34</f>
        <v>0</v>
      </c>
      <c r="BA53" s="180">
        <f>'CF1'!BA34+'CF2'!BA34</f>
        <v>0</v>
      </c>
      <c r="BB53" s="180">
        <f>'CF1'!BB34+'CF2'!BB34</f>
        <v>0</v>
      </c>
      <c r="BC53" s="180">
        <f>'CF1'!BC34+'CF2'!BC34</f>
        <v>0</v>
      </c>
      <c r="BD53" s="180">
        <f>'CF1'!BD34+'CF2'!BD34</f>
        <v>0</v>
      </c>
      <c r="BE53" s="180">
        <f>'CF1'!BE34+'CF2'!BE34</f>
        <v>0</v>
      </c>
      <c r="BF53" s="180">
        <f>'CF1'!BF34+'CF2'!BF34</f>
        <v>0</v>
      </c>
      <c r="BG53" s="180">
        <f>'CF1'!BG34+'CF2'!BG34</f>
        <v>0</v>
      </c>
      <c r="BH53" s="180">
        <f>'CF1'!BH34+'CF2'!BH34</f>
        <v>0</v>
      </c>
      <c r="BI53" s="180">
        <f>'CF1'!BI34+'CF2'!BI34</f>
        <v>0</v>
      </c>
      <c r="BJ53" s="180">
        <f>'CF1'!BJ34+'CF2'!BJ34</f>
        <v>0</v>
      </c>
      <c r="BK53" s="180">
        <f>'CF1'!BK34+'CF2'!BK34</f>
        <v>0</v>
      </c>
      <c r="BL53" s="180">
        <f>'CF1'!BL34+'CF2'!BL34</f>
        <v>0</v>
      </c>
      <c r="BM53" s="180">
        <f>'CF1'!BM34+'CF2'!BM34</f>
        <v>0</v>
      </c>
    </row>
    <row r="54" spans="1:65">
      <c r="B54" s="145" t="str">
        <f>B39</f>
        <v>КВАРТИРЫ</v>
      </c>
      <c r="C54" s="200"/>
      <c r="D54" s="131" t="s">
        <v>19</v>
      </c>
      <c r="E54" s="141">
        <f t="shared" si="143"/>
        <v>69490.704654000001</v>
      </c>
      <c r="F54" s="563">
        <f>F55+F56</f>
        <v>0</v>
      </c>
      <c r="G54" s="563">
        <f t="shared" ref="G54" si="144">G55+G56</f>
        <v>0</v>
      </c>
      <c r="H54" s="563">
        <f t="shared" ref="H54" si="145">H55+H56</f>
        <v>0</v>
      </c>
      <c r="I54" s="563">
        <f t="shared" ref="I54" si="146">I55+I56</f>
        <v>0</v>
      </c>
      <c r="J54" s="563">
        <f t="shared" ref="J54" si="147">J55+J56</f>
        <v>0</v>
      </c>
      <c r="K54" s="563">
        <f t="shared" ref="K54" si="148">K55+K56</f>
        <v>0</v>
      </c>
      <c r="L54" s="563">
        <f t="shared" ref="L54" si="149">L55+L56</f>
        <v>0</v>
      </c>
      <c r="M54" s="563">
        <f t="shared" ref="M54" si="150">M55+M56</f>
        <v>0</v>
      </c>
      <c r="N54" s="532">
        <f t="shared" ref="N54" si="151">N55+N56</f>
        <v>0</v>
      </c>
      <c r="O54" s="532">
        <f t="shared" ref="O54" si="152">O55+O56</f>
        <v>0</v>
      </c>
      <c r="P54" s="532">
        <f t="shared" ref="P54" si="153">P55+P56</f>
        <v>0</v>
      </c>
      <c r="Q54" s="532">
        <f t="shared" ref="Q54" si="154">Q55+Q56</f>
        <v>0</v>
      </c>
      <c r="R54" s="532">
        <f t="shared" ref="R54" si="155">R55+R56</f>
        <v>0</v>
      </c>
      <c r="S54" s="532">
        <f t="shared" ref="S54" si="156">S55+S56</f>
        <v>0</v>
      </c>
      <c r="T54" s="532">
        <f t="shared" ref="T54" si="157">T55+T56</f>
        <v>1069.568181818182</v>
      </c>
      <c r="U54" s="532">
        <f t="shared" ref="U54" si="158">U55+U56</f>
        <v>1248.8459481673187</v>
      </c>
      <c r="V54" s="532">
        <f t="shared" ref="V54" si="159">V55+V56</f>
        <v>1324.3638476173967</v>
      </c>
      <c r="W54" s="532">
        <f t="shared" ref="W54" si="160">W55+W56</f>
        <v>1407.4431634436505</v>
      </c>
      <c r="X54" s="532">
        <f t="shared" ref="X54" si="161">X55+X56</f>
        <v>2669.6388457795338</v>
      </c>
      <c r="Y54" s="532">
        <f t="shared" ref="Y54" si="162">Y55+Y56</f>
        <v>3052.2729070180203</v>
      </c>
      <c r="Z54" s="532">
        <f t="shared" ref="Z54" si="163">Z55+Z56</f>
        <v>3224.0307846942355</v>
      </c>
      <c r="AA54" s="532">
        <f t="shared" ref="AA54" si="164">AA55+AA56</f>
        <v>3422.0715224556052</v>
      </c>
      <c r="AB54" s="532">
        <f t="shared" ref="AB54" si="165">AB55+AB56</f>
        <v>3661.6819657419537</v>
      </c>
      <c r="AC54" s="532">
        <f t="shared" ref="AC54" si="166">AC55+AC56</f>
        <v>4148.3149606826919</v>
      </c>
      <c r="AD54" s="532">
        <f t="shared" ref="AD54" si="167">AD55+AD56</f>
        <v>4530.4253076367386</v>
      </c>
      <c r="AE54" s="532">
        <f t="shared" ref="AE54" si="168">AE55+AE56</f>
        <v>3317.696181146106</v>
      </c>
      <c r="AF54" s="532">
        <f t="shared" ref="AF54" si="169">AF55+AF56</f>
        <v>4129.3889842033514</v>
      </c>
      <c r="AG54" s="532">
        <f t="shared" ref="AG54" si="170">AG55+AG56</f>
        <v>4479.5818574670557</v>
      </c>
      <c r="AH54" s="532">
        <f t="shared" ref="AH54" si="171">AH55+AH56</f>
        <v>4519.8414170352135</v>
      </c>
      <c r="AI54" s="532">
        <f t="shared" ref="AI54" si="172">AI55+AI56</f>
        <v>4106.6680561971625</v>
      </c>
      <c r="AJ54" s="532">
        <f t="shared" ref="AJ54" si="173">AJ55+AJ56</f>
        <v>4226.7828888056574</v>
      </c>
      <c r="AK54" s="532">
        <f t="shared" ref="AK54" si="174">AK55+AK56</f>
        <v>4226.7828888056574</v>
      </c>
      <c r="AL54" s="532">
        <f t="shared" ref="AL54" si="175">AL55+AL56</f>
        <v>4226.7828888056574</v>
      </c>
      <c r="AM54" s="532">
        <f t="shared" ref="AM54" si="176">AM55+AM56</f>
        <v>3945.8661284298473</v>
      </c>
      <c r="AN54" s="532">
        <f t="shared" ref="AN54" si="177">AN55+AN56</f>
        <v>2552.6559280489741</v>
      </c>
      <c r="AO54" s="532">
        <f t="shared" ref="AO54" si="178">AO55+AO56</f>
        <v>0</v>
      </c>
      <c r="AP54" s="532">
        <f t="shared" ref="AP54" si="179">AP55+AP56</f>
        <v>0</v>
      </c>
      <c r="AQ54" s="532">
        <f t="shared" ref="AQ54" si="180">AQ55+AQ56</f>
        <v>0</v>
      </c>
      <c r="AR54" s="532">
        <f t="shared" ref="AR54" si="181">AR55+AR56</f>
        <v>0</v>
      </c>
      <c r="AS54" s="532">
        <f t="shared" ref="AS54" si="182">AS55+AS56</f>
        <v>0</v>
      </c>
      <c r="AT54" s="532">
        <f t="shared" ref="AT54" si="183">AT55+AT56</f>
        <v>0</v>
      </c>
      <c r="AU54" s="532">
        <f t="shared" ref="AU54" si="184">AU55+AU56</f>
        <v>0</v>
      </c>
      <c r="AV54" s="532">
        <f t="shared" ref="AV54" si="185">AV55+AV56</f>
        <v>0</v>
      </c>
      <c r="AW54" s="532">
        <f t="shared" ref="AW54" si="186">AW55+AW56</f>
        <v>0</v>
      </c>
      <c r="AX54" s="532">
        <f t="shared" ref="AX54" si="187">AX55+AX56</f>
        <v>0</v>
      </c>
      <c r="AY54" s="532">
        <f t="shared" ref="AY54" si="188">AY55+AY56</f>
        <v>0</v>
      </c>
      <c r="AZ54" s="532">
        <f t="shared" ref="AZ54" si="189">AZ55+AZ56</f>
        <v>0</v>
      </c>
      <c r="BA54" s="532">
        <f t="shared" ref="BA54" si="190">BA55+BA56</f>
        <v>0</v>
      </c>
      <c r="BB54" s="532">
        <f t="shared" ref="BB54" si="191">BB55+BB56</f>
        <v>0</v>
      </c>
      <c r="BC54" s="532">
        <f t="shared" ref="BC54" si="192">BC55+BC56</f>
        <v>0</v>
      </c>
      <c r="BD54" s="532">
        <f t="shared" ref="BD54" si="193">BD55+BD56</f>
        <v>0</v>
      </c>
      <c r="BE54" s="532">
        <f t="shared" ref="BE54" si="194">BE55+BE56</f>
        <v>0</v>
      </c>
      <c r="BF54" s="532">
        <f t="shared" ref="BF54" si="195">BF55+BF56</f>
        <v>0</v>
      </c>
      <c r="BG54" s="532">
        <f t="shared" ref="BG54" si="196">BG55+BG56</f>
        <v>0</v>
      </c>
      <c r="BH54" s="532">
        <f t="shared" ref="BH54" si="197">BH55+BH56</f>
        <v>0</v>
      </c>
      <c r="BI54" s="532">
        <f t="shared" ref="BI54" si="198">BI55+BI56</f>
        <v>0</v>
      </c>
      <c r="BJ54" s="532">
        <f t="shared" ref="BJ54" si="199">BJ55+BJ56</f>
        <v>0</v>
      </c>
      <c r="BK54" s="532">
        <f t="shared" ref="BK54" si="200">BK55+BK56</f>
        <v>0</v>
      </c>
      <c r="BL54" s="532">
        <f t="shared" ref="BL54" si="201">BL55+BL56</f>
        <v>0</v>
      </c>
      <c r="BM54" s="532">
        <f t="shared" ref="BM54" si="202">BM55+BM56</f>
        <v>0</v>
      </c>
    </row>
    <row r="55" spans="1:65">
      <c r="B55" s="140"/>
      <c r="C55" s="28" t="s">
        <v>488</v>
      </c>
      <c r="D55" s="131" t="s">
        <v>19</v>
      </c>
      <c r="E55" s="666">
        <f t="shared" si="143"/>
        <v>37437.978815999988</v>
      </c>
      <c r="F55" s="202">
        <f>'CF1'!F35</f>
        <v>0</v>
      </c>
      <c r="G55" s="202">
        <f>'CF1'!G35</f>
        <v>0</v>
      </c>
      <c r="H55" s="202">
        <f>'CF1'!H35</f>
        <v>0</v>
      </c>
      <c r="I55" s="202">
        <f>'CF1'!I35</f>
        <v>0</v>
      </c>
      <c r="J55" s="202">
        <f>'CF1'!J35</f>
        <v>0</v>
      </c>
      <c r="K55" s="202">
        <f>'CF1'!K35</f>
        <v>0</v>
      </c>
      <c r="L55" s="202">
        <f>'CF1'!L35</f>
        <v>0</v>
      </c>
      <c r="M55" s="202">
        <f>'CF1'!M35</f>
        <v>0</v>
      </c>
      <c r="N55" s="142">
        <f>'CF1'!N35</f>
        <v>0</v>
      </c>
      <c r="O55" s="142">
        <f>'CF1'!O35</f>
        <v>0</v>
      </c>
      <c r="P55" s="142">
        <f>'CF1'!P35</f>
        <v>0</v>
      </c>
      <c r="Q55" s="142">
        <f>'CF1'!Q35</f>
        <v>0</v>
      </c>
      <c r="R55" s="142">
        <f>'CF1'!R35</f>
        <v>0</v>
      </c>
      <c r="S55" s="142">
        <f>'CF1'!S35</f>
        <v>0</v>
      </c>
      <c r="T55" s="142">
        <f>'CF1'!T35</f>
        <v>1069.568181818182</v>
      </c>
      <c r="U55" s="142">
        <f>'CF1'!U35</f>
        <v>1248.8459481673187</v>
      </c>
      <c r="V55" s="142">
        <f>'CF1'!V35</f>
        <v>1324.3638476173967</v>
      </c>
      <c r="W55" s="142">
        <f>'CF1'!W35</f>
        <v>1407.4431634436505</v>
      </c>
      <c r="X55" s="142">
        <f>'CF1'!X35</f>
        <v>1500.2443003249882</v>
      </c>
      <c r="Y55" s="142">
        <f>'CF1'!Y35</f>
        <v>1707.4761587536987</v>
      </c>
      <c r="Z55" s="142">
        <f>'CF1'!Z35</f>
        <v>1808.9472049245551</v>
      </c>
      <c r="AA55" s="142">
        <f>'CF1'!AA35</f>
        <v>1930.8340753110874</v>
      </c>
      <c r="AB55" s="142">
        <f>'CF1'!AB35</f>
        <v>2086.7473193904125</v>
      </c>
      <c r="AC55" s="142">
        <f>'CF1'!AC35</f>
        <v>2376.3754678071646</v>
      </c>
      <c r="AD55" s="142">
        <f>'CF1'!AD35</f>
        <v>2673.1753875251452</v>
      </c>
      <c r="AE55" s="142">
        <f>'CF1'!AE35</f>
        <v>1361.0549477116983</v>
      </c>
      <c r="AF55" s="142">
        <f>'CF1'!AF35</f>
        <v>2049.8882939682153</v>
      </c>
      <c r="AG55" s="142">
        <f>'CF1'!AG35</f>
        <v>2095.1129009474244</v>
      </c>
      <c r="AH55" s="142">
        <f>'CF1'!AH35</f>
        <v>2095.1129009474244</v>
      </c>
      <c r="AI55" s="142">
        <f>'CF1'!AI35</f>
        <v>2095.1129009474244</v>
      </c>
      <c r="AJ55" s="142">
        <f>'CF1'!AJ35</f>
        <v>2095.1129009474244</v>
      </c>
      <c r="AK55" s="142">
        <f>'CF1'!AK35</f>
        <v>2095.1129009474244</v>
      </c>
      <c r="AL55" s="142">
        <f>'CF1'!AL35</f>
        <v>2095.1129009474244</v>
      </c>
      <c r="AM55" s="142">
        <f>'CF1'!AM35</f>
        <v>1814.1961405716138</v>
      </c>
      <c r="AN55" s="142">
        <f>'CF1'!AN35</f>
        <v>508.14097298031265</v>
      </c>
      <c r="AO55" s="142">
        <f>'CF1'!AO35</f>
        <v>0</v>
      </c>
      <c r="AP55" s="142">
        <f>'CF1'!AP35</f>
        <v>0</v>
      </c>
      <c r="AQ55" s="142">
        <f>'CF1'!AQ35</f>
        <v>0</v>
      </c>
      <c r="AR55" s="142">
        <f>'CF1'!AR35</f>
        <v>0</v>
      </c>
      <c r="AS55" s="142">
        <f>'CF1'!AS35</f>
        <v>0</v>
      </c>
      <c r="AT55" s="142">
        <f>'CF1'!AT35</f>
        <v>0</v>
      </c>
      <c r="AU55" s="142">
        <f>'CF1'!AU35</f>
        <v>0</v>
      </c>
      <c r="AV55" s="142">
        <f>'CF1'!AV35</f>
        <v>0</v>
      </c>
      <c r="AW55" s="142">
        <f>'CF1'!AW35</f>
        <v>0</v>
      </c>
      <c r="AX55" s="142">
        <f>'CF1'!AX35</f>
        <v>0</v>
      </c>
      <c r="AY55" s="142">
        <f>'CF1'!AY35</f>
        <v>0</v>
      </c>
      <c r="AZ55" s="142">
        <f>'CF1'!AZ35</f>
        <v>0</v>
      </c>
      <c r="BA55" s="142">
        <f>'CF1'!BA35</f>
        <v>0</v>
      </c>
      <c r="BB55" s="142">
        <f>'CF1'!BB35</f>
        <v>0</v>
      </c>
      <c r="BC55" s="142">
        <f>'CF1'!BC35</f>
        <v>0</v>
      </c>
      <c r="BD55" s="142">
        <f>'CF1'!BD35</f>
        <v>0</v>
      </c>
      <c r="BE55" s="142">
        <f>'CF1'!BE35</f>
        <v>0</v>
      </c>
      <c r="BF55" s="142">
        <f>'CF1'!BF35</f>
        <v>0</v>
      </c>
      <c r="BG55" s="142">
        <f>'CF1'!BG35</f>
        <v>0</v>
      </c>
      <c r="BH55" s="142">
        <f>'CF1'!BH35</f>
        <v>0</v>
      </c>
      <c r="BI55" s="142">
        <f>'CF1'!BI35</f>
        <v>0</v>
      </c>
      <c r="BJ55" s="142">
        <f>'CF1'!BJ35</f>
        <v>0</v>
      </c>
      <c r="BK55" s="142">
        <f>'CF1'!BK35</f>
        <v>0</v>
      </c>
      <c r="BL55" s="142">
        <f>'CF1'!BL35</f>
        <v>0</v>
      </c>
      <c r="BM55" s="142">
        <f>'CF1'!BM35</f>
        <v>0</v>
      </c>
    </row>
    <row r="56" spans="1:65">
      <c r="B56" s="140"/>
      <c r="C56" s="28" t="s">
        <v>489</v>
      </c>
      <c r="D56" s="131" t="s">
        <v>19</v>
      </c>
      <c r="E56" s="666">
        <f t="shared" si="143"/>
        <v>32052.72583800002</v>
      </c>
      <c r="F56" s="202">
        <f>'CF2'!F35</f>
        <v>0</v>
      </c>
      <c r="G56" s="202">
        <f>'CF2'!G35</f>
        <v>0</v>
      </c>
      <c r="H56" s="202">
        <f>'CF2'!H35</f>
        <v>0</v>
      </c>
      <c r="I56" s="202">
        <f>'CF2'!I35</f>
        <v>0</v>
      </c>
      <c r="J56" s="202">
        <f>'CF2'!J35</f>
        <v>0</v>
      </c>
      <c r="K56" s="202">
        <f>'CF2'!K35</f>
        <v>0</v>
      </c>
      <c r="L56" s="202">
        <f>'CF2'!L35</f>
        <v>0</v>
      </c>
      <c r="M56" s="202">
        <f>'CF2'!M35</f>
        <v>0</v>
      </c>
      <c r="N56" s="142">
        <f>'CF2'!N35</f>
        <v>0</v>
      </c>
      <c r="O56" s="142">
        <f>'CF2'!O35</f>
        <v>0</v>
      </c>
      <c r="P56" s="142">
        <f>'CF2'!P35</f>
        <v>0</v>
      </c>
      <c r="Q56" s="142">
        <f>'CF2'!Q35</f>
        <v>0</v>
      </c>
      <c r="R56" s="142">
        <f>'CF2'!R35</f>
        <v>0</v>
      </c>
      <c r="S56" s="142">
        <f>'CF2'!S35</f>
        <v>0</v>
      </c>
      <c r="T56" s="142">
        <f>'CF2'!T35</f>
        <v>0</v>
      </c>
      <c r="U56" s="142">
        <f>'CF2'!U35</f>
        <v>0</v>
      </c>
      <c r="V56" s="142">
        <f>'CF2'!V35</f>
        <v>0</v>
      </c>
      <c r="W56" s="142">
        <f>'CF2'!W35</f>
        <v>0</v>
      </c>
      <c r="X56" s="142">
        <f>'CF2'!X35</f>
        <v>1169.3945454545456</v>
      </c>
      <c r="Y56" s="142">
        <f>'CF2'!Y35</f>
        <v>1344.7967482643214</v>
      </c>
      <c r="Z56" s="142">
        <f>'CF2'!Z35</f>
        <v>1415.0835797696805</v>
      </c>
      <c r="AA56" s="142">
        <f>'CF2'!AA35</f>
        <v>1491.2374471445175</v>
      </c>
      <c r="AB56" s="142">
        <f>'CF2'!AB35</f>
        <v>1574.9346463515415</v>
      </c>
      <c r="AC56" s="142">
        <f>'CF2'!AC35</f>
        <v>1771.9394928755269</v>
      </c>
      <c r="AD56" s="142">
        <f>'CF2'!AD35</f>
        <v>1857.2499201115934</v>
      </c>
      <c r="AE56" s="142">
        <f>'CF2'!AE35</f>
        <v>1956.6412334344077</v>
      </c>
      <c r="AF56" s="142">
        <f>'CF2'!AF35</f>
        <v>2079.5006902351361</v>
      </c>
      <c r="AG56" s="142">
        <f>'CF2'!AG35</f>
        <v>2384.4689565196309</v>
      </c>
      <c r="AH56" s="142">
        <f>'CF2'!AH35</f>
        <v>2424.7285160877886</v>
      </c>
      <c r="AI56" s="142">
        <f>'CF2'!AI35</f>
        <v>2011.5551552497382</v>
      </c>
      <c r="AJ56" s="142">
        <f>'CF2'!AJ35</f>
        <v>2131.6699878582335</v>
      </c>
      <c r="AK56" s="142">
        <f>'CF2'!AK35</f>
        <v>2131.6699878582335</v>
      </c>
      <c r="AL56" s="142">
        <f>'CF2'!AL35</f>
        <v>2131.6699878582335</v>
      </c>
      <c r="AM56" s="142">
        <f>'CF2'!AM35</f>
        <v>2131.6699878582335</v>
      </c>
      <c r="AN56" s="142">
        <f>'CF2'!AN35</f>
        <v>2044.5149550686615</v>
      </c>
      <c r="AO56" s="142">
        <f>'CF2'!AO35</f>
        <v>0</v>
      </c>
      <c r="AP56" s="142">
        <f>'CF2'!AP35</f>
        <v>0</v>
      </c>
      <c r="AQ56" s="142">
        <f>'CF2'!AQ35</f>
        <v>0</v>
      </c>
      <c r="AR56" s="142">
        <f>'CF2'!AR35</f>
        <v>0</v>
      </c>
      <c r="AS56" s="142">
        <f>'CF2'!AS35</f>
        <v>0</v>
      </c>
      <c r="AT56" s="142">
        <f>'CF2'!AT35</f>
        <v>0</v>
      </c>
      <c r="AU56" s="142">
        <f>'CF2'!AU35</f>
        <v>0</v>
      </c>
      <c r="AV56" s="142">
        <f>'CF2'!AV35</f>
        <v>0</v>
      </c>
      <c r="AW56" s="142">
        <f>'CF2'!AW35</f>
        <v>0</v>
      </c>
      <c r="AX56" s="142">
        <f>'CF2'!AX35</f>
        <v>0</v>
      </c>
      <c r="AY56" s="142">
        <f>'CF2'!AY35</f>
        <v>0</v>
      </c>
      <c r="AZ56" s="142">
        <f>'CF2'!AZ35</f>
        <v>0</v>
      </c>
      <c r="BA56" s="142">
        <f>'CF2'!BA35</f>
        <v>0</v>
      </c>
      <c r="BB56" s="142">
        <f>'CF2'!BB35</f>
        <v>0</v>
      </c>
      <c r="BC56" s="142">
        <f>'CF2'!BC35</f>
        <v>0</v>
      </c>
      <c r="BD56" s="142">
        <f>'CF2'!BD35</f>
        <v>0</v>
      </c>
      <c r="BE56" s="142">
        <f>'CF2'!BE35</f>
        <v>0</v>
      </c>
      <c r="BF56" s="142">
        <f>'CF2'!BF35</f>
        <v>0</v>
      </c>
      <c r="BG56" s="142">
        <f>'CF2'!BG35</f>
        <v>0</v>
      </c>
      <c r="BH56" s="142">
        <f>'CF2'!BH35</f>
        <v>0</v>
      </c>
      <c r="BI56" s="142">
        <f>'CF2'!BI35</f>
        <v>0</v>
      </c>
      <c r="BJ56" s="142">
        <f>'CF2'!BJ35</f>
        <v>0</v>
      </c>
      <c r="BK56" s="142">
        <f>'CF2'!BK35</f>
        <v>0</v>
      </c>
      <c r="BL56" s="142">
        <f>'CF2'!BL35</f>
        <v>0</v>
      </c>
      <c r="BM56" s="142">
        <f>'CF2'!BM35</f>
        <v>0</v>
      </c>
    </row>
    <row r="57" spans="1:65" hidden="1">
      <c r="B57" s="140" t="str">
        <f>B42</f>
        <v>АПАРТАМЕНТЫ</v>
      </c>
      <c r="C57" s="200"/>
      <c r="D57" s="131" t="s">
        <v>19</v>
      </c>
      <c r="E57" s="141">
        <f t="shared" si="143"/>
        <v>0</v>
      </c>
      <c r="F57" s="202"/>
      <c r="G57" s="202">
        <f>(G42*'DB1'!$N9+SUM($F42:F42)-SUM(CF!$F57:F57))</f>
        <v>0</v>
      </c>
      <c r="H57" s="202">
        <f>(H42*'DB1'!$N9+SUM($F42:G42)-SUM(CF!$F57:G57))</f>
        <v>0</v>
      </c>
      <c r="I57" s="202">
        <f>(I42*'DB1'!$N9+SUM($F42:H42)-SUM(CF!$F57:H57))</f>
        <v>0</v>
      </c>
      <c r="J57" s="202">
        <f>(J42*'DB1'!$N9+SUM($F42:I42)-SUM(CF!$F57:I57))</f>
        <v>0</v>
      </c>
      <c r="K57" s="202">
        <f>(K42*'DB1'!$N9+SUM($F42:J42)-SUM(CF!$F57:J57))</f>
        <v>0</v>
      </c>
      <c r="L57" s="202">
        <f>(L42*'DB1'!$N9+SUM($F42:K42)-SUM(CF!$F57:K57))</f>
        <v>0</v>
      </c>
      <c r="M57" s="202">
        <f>(M42*'DB1'!$N9+SUM($F42:L42)-SUM(CF!$F57:L57))</f>
        <v>0</v>
      </c>
      <c r="N57" s="142">
        <f>(N42*'DB1'!$N9+SUM($F42:M42)-SUM(CF!$F57:M57))</f>
        <v>0</v>
      </c>
      <c r="O57" s="142">
        <f>(O42*'DB1'!$N9+SUM($F42:N42)-SUM(CF!$F57:N57))</f>
        <v>0</v>
      </c>
      <c r="P57" s="142">
        <f>(P42*'DB1'!$N9+SUM($F42:O42)-SUM(CF!$F57:O57))</f>
        <v>0</v>
      </c>
      <c r="Q57" s="142">
        <f>(Q42*'DB1'!$N9+SUM($F42:P42)-SUM(CF!$F57:P57))</f>
        <v>0</v>
      </c>
      <c r="R57" s="142">
        <f>(R42*'DB1'!$N9+SUM($F42:Q42)-SUM(CF!$F57:Q57))</f>
        <v>0</v>
      </c>
      <c r="S57" s="142">
        <f>(S42*'DB1'!$N9+SUM($F42:R42)-SUM(CF!$F57:R57))</f>
        <v>0</v>
      </c>
      <c r="T57" s="142">
        <f>(T42*'DB1'!$N9+SUM($F42:S42)-SUM(CF!$F57:S57))</f>
        <v>0</v>
      </c>
      <c r="U57" s="142">
        <f>(U42*'DB1'!$N9+SUM($F42:T42)-SUM(CF!$F57:T57))</f>
        <v>0</v>
      </c>
      <c r="V57" s="142">
        <f>(V42*'DB1'!$N9+SUM($F42:U42)-SUM(CF!$F57:U57))</f>
        <v>0</v>
      </c>
      <c r="W57" s="142">
        <f>(W42*'DB1'!$N9+SUM($F42:V42)-SUM(CF!$F57:V57))</f>
        <v>0</v>
      </c>
      <c r="X57" s="142">
        <f>(X42*'DB1'!$N9+SUM($F42:W42)-SUM(CF!$F57:W57))</f>
        <v>0</v>
      </c>
      <c r="Y57" s="142">
        <f>(Y42*'DB1'!$N9+SUM($F42:X42)-SUM(CF!$F57:X57))</f>
        <v>0</v>
      </c>
      <c r="Z57" s="142">
        <f>(Z42*'DB1'!$N9+SUM($F42:Y42)-SUM(CF!$F57:Y57))</f>
        <v>0</v>
      </c>
      <c r="AA57" s="142">
        <f>(AA42*'DB1'!$N9+SUM($F42:Z42)-SUM(CF!$F57:Z57))</f>
        <v>0</v>
      </c>
      <c r="AB57" s="142">
        <f>(AB42*'DB1'!$N9+SUM($F42:AA42)-SUM(CF!$F57:AA57))</f>
        <v>0</v>
      </c>
      <c r="AC57" s="142">
        <f>(AC42*'DB1'!$N9+SUM($F42:AB42)-SUM(CF!$F57:AB57))</f>
        <v>0</v>
      </c>
      <c r="AD57" s="142">
        <f>(AD42*'DB1'!$N9+SUM($F42:AC42)-SUM(CF!$F57:AC57))</f>
        <v>0</v>
      </c>
      <c r="AE57" s="142">
        <f>(AE42*'DB1'!$N9+SUM($F42:AD42)-SUM(CF!$F57:AD57))</f>
        <v>0</v>
      </c>
      <c r="AF57" s="142">
        <f>(AF42*'DB1'!$N9+SUM($F42:AE42)-SUM(CF!$F57:AE57))</f>
        <v>0</v>
      </c>
      <c r="AG57" s="142">
        <f>(AG42*'DB1'!$N9+SUM($F42:AF42)-SUM(CF!$F57:AF57))</f>
        <v>0</v>
      </c>
      <c r="AH57" s="142">
        <f>(AH42*'DB1'!$N9+SUM($F42:AG42)-SUM(CF!$F57:AG57))</f>
        <v>0</v>
      </c>
      <c r="AI57" s="142">
        <f>(AI42*'DB1'!$N9+SUM($F42:AH42)-SUM(CF!$F57:AH57))</f>
        <v>0</v>
      </c>
      <c r="AJ57" s="142">
        <f>(AJ42*'DB1'!$N9+SUM($F42:AI42)-SUM(CF!$F57:AI57))</f>
        <v>0</v>
      </c>
      <c r="AK57" s="142">
        <f>(AK42*'DB1'!$N9+SUM($F42:AJ42)-SUM(CF!$F57:AJ57))</f>
        <v>0</v>
      </c>
      <c r="AL57" s="142">
        <f>(AL42*'DB1'!$N9+SUM($F42:AK42)-SUM(CF!$F57:AK57))</f>
        <v>0</v>
      </c>
      <c r="AM57" s="142">
        <f>(AM42*'DB1'!$N9+SUM($F42:AL42)-SUM(CF!$F57:AL57))</f>
        <v>0</v>
      </c>
      <c r="AN57" s="142">
        <f>(AN42*'DB1'!$N9+SUM($F42:AM42)-SUM(CF!$F57:AM57))</f>
        <v>0</v>
      </c>
      <c r="AO57" s="142">
        <f>(AO42*'DB1'!$N9+SUM($F42:AN42)-SUM(CF!$F57:AN57))</f>
        <v>0</v>
      </c>
      <c r="AP57" s="142">
        <f>(AP42*'DB1'!$N9+SUM($F42:AO42)-SUM(CF!$F57:AO57))</f>
        <v>0</v>
      </c>
      <c r="AQ57" s="142">
        <f>(AQ42*'DB1'!$N9+SUM($F42:AP42)-SUM(CF!$F57:AP57))</f>
        <v>0</v>
      </c>
      <c r="AR57" s="142">
        <f>(AR42*'DB1'!$N9+SUM($F42:AQ42)-SUM(CF!$F57:AQ57))</f>
        <v>0</v>
      </c>
      <c r="AS57" s="142">
        <f>(AS42*'DB1'!$N9+SUM($F42:AR42)-SUM(CF!$F57:AR57))</f>
        <v>0</v>
      </c>
      <c r="AT57" s="142">
        <f>(AT42*'DB1'!$N9+SUM($F42:AS42)-SUM(CF!$F57:AS57))</f>
        <v>0</v>
      </c>
      <c r="AU57" s="142">
        <f>(AU42*'DB1'!$N9+SUM($F42:AT42)-SUM(CF!$F57:AT57))</f>
        <v>0</v>
      </c>
      <c r="AV57" s="142">
        <f>(AV42*'DB1'!$N9+SUM($F42:AU42)-SUM(CF!$F57:AU57))</f>
        <v>0</v>
      </c>
      <c r="AW57" s="142">
        <f>(AW42*'DB1'!$N9+SUM($F42:AV42)-SUM(CF!$F57:AV57))</f>
        <v>0</v>
      </c>
      <c r="AX57" s="142">
        <f>(AX42*'DB1'!$N9+SUM($F42:AW42)-SUM(CF!$F57:AW57))</f>
        <v>0</v>
      </c>
      <c r="AY57" s="142">
        <f>(AY42*'DB1'!$N9+SUM($F42:AX42)-SUM(CF!$F57:AX57))</f>
        <v>0</v>
      </c>
      <c r="AZ57" s="142">
        <f>(AZ42*'DB1'!$N9+SUM($F42:AY42)-SUM(CF!$F57:AY57))</f>
        <v>0</v>
      </c>
      <c r="BA57" s="142">
        <f>(BA42*'DB1'!$N9+SUM($F42:AZ42)-SUM(CF!$F57:AZ57))</f>
        <v>0</v>
      </c>
      <c r="BB57" s="142">
        <f>(BB42*'DB1'!$N9+SUM($F42:BA42)-SUM(CF!$F57:BA57))</f>
        <v>0</v>
      </c>
      <c r="BC57" s="142">
        <f>(BC42*'DB1'!$N9+SUM($F42:BB42)-SUM(CF!$F57:BB57))</f>
        <v>0</v>
      </c>
      <c r="BD57" s="142">
        <f>(BD42*'DB1'!$N9+SUM($F42:BC42)-SUM(CF!$F57:BC57))</f>
        <v>0</v>
      </c>
      <c r="BE57" s="142">
        <f>(BE42*'DB1'!$N9+SUM($F42:BD42)-SUM(CF!$F57:BD57))</f>
        <v>0</v>
      </c>
      <c r="BF57" s="142">
        <f>(BF42*'DB1'!$N9+SUM($F42:BE42)-SUM(CF!$F57:BE57))</f>
        <v>0</v>
      </c>
      <c r="BG57" s="142">
        <f>(BG42*'DB1'!$N9+SUM($F42:BF42)-SUM(CF!$F57:BF57))</f>
        <v>0</v>
      </c>
      <c r="BH57" s="142">
        <f>(BH42*'DB1'!$N9+SUM($F42:BG42)-SUM(CF!$F57:BG57))</f>
        <v>0</v>
      </c>
      <c r="BI57" s="142">
        <f>(BI42*'DB1'!$N9+SUM($F42:BH42)-SUM(CF!$F57:BH57))</f>
        <v>0</v>
      </c>
      <c r="BJ57" s="142">
        <f>(BJ42*'DB1'!$N9+SUM($F42:BI42)-SUM(CF!$F57:BI57))</f>
        <v>0</v>
      </c>
      <c r="BK57" s="142">
        <f>(BK42*'DB1'!$N9+SUM($F42:BJ42)-SUM(CF!$F57:BJ57))</f>
        <v>0</v>
      </c>
      <c r="BL57" s="142">
        <f>(BL42*'DB1'!$N9+SUM($F42:BK42)-SUM(CF!$F57:BK57))</f>
        <v>0</v>
      </c>
      <c r="BM57" s="142">
        <f>(BM42*'DB1'!$N9+SUM($F42:BL42)-SUM(CF!$F57:BL57))</f>
        <v>0</v>
      </c>
    </row>
    <row r="58" spans="1:65" hidden="1">
      <c r="B58" s="140" t="str">
        <f>B43</f>
        <v>ОФИСЫ</v>
      </c>
      <c r="C58" s="200"/>
      <c r="D58" s="131" t="s">
        <v>19</v>
      </c>
      <c r="E58" s="141">
        <f t="shared" si="143"/>
        <v>0</v>
      </c>
      <c r="F58" s="202"/>
      <c r="G58" s="202">
        <f>(G43*'DB1'!$N10+SUM($F43:F43)-SUM(CF!$F58:F58))</f>
        <v>0</v>
      </c>
      <c r="H58" s="202">
        <f>(H43*'DB1'!$N10+SUM($F43:G43)-SUM(CF!$F58:G58))</f>
        <v>0</v>
      </c>
      <c r="I58" s="202">
        <f>(I43*'DB1'!$N10+SUM($F43:H43)-SUM(CF!$F58:H58))</f>
        <v>0</v>
      </c>
      <c r="J58" s="202">
        <f>(J43*'DB1'!$N10+SUM($F43:I43)-SUM(CF!$F58:I58))</f>
        <v>0</v>
      </c>
      <c r="K58" s="202">
        <f>(K43*'DB1'!$N10+SUM($F43:J43)-SUM(CF!$F58:J58))</f>
        <v>0</v>
      </c>
      <c r="L58" s="202">
        <f>(L43*'DB1'!$N10+SUM($F43:K43)-SUM(CF!$F58:K58))</f>
        <v>0</v>
      </c>
      <c r="M58" s="202">
        <f>(M43*'DB1'!$N10+SUM($F43:L43)-SUM(CF!$F58:L58))</f>
        <v>0</v>
      </c>
      <c r="N58" s="142">
        <f>(N43*'DB1'!$N10+SUM($F43:M43)-SUM(CF!$F58:M58))</f>
        <v>0</v>
      </c>
      <c r="O58" s="142">
        <f>(O43*'DB1'!$N10+SUM($F43:N43)-SUM(CF!$F58:N58))</f>
        <v>0</v>
      </c>
      <c r="P58" s="142">
        <f>(P43*'DB1'!$N10+SUM($F43:O43)-SUM(CF!$F58:O58))</f>
        <v>0</v>
      </c>
      <c r="Q58" s="142">
        <f>(Q43*'DB1'!$N10+SUM($F43:P43)-SUM(CF!$F58:P58))</f>
        <v>0</v>
      </c>
      <c r="R58" s="142">
        <f>(R43*'DB1'!$N10+SUM($F43:Q43)-SUM(CF!$F58:Q58))</f>
        <v>0</v>
      </c>
      <c r="S58" s="142">
        <f>(S43*'DB1'!$N10+SUM($F43:R43)-SUM(CF!$F58:R58))</f>
        <v>0</v>
      </c>
      <c r="T58" s="142">
        <f>(T43*'DB1'!$N10+SUM($F43:S43)-SUM(CF!$F58:S58))</f>
        <v>0</v>
      </c>
      <c r="U58" s="142">
        <f>(U43*'DB1'!$N10+SUM($F43:T43)-SUM(CF!$F58:T58))</f>
        <v>0</v>
      </c>
      <c r="V58" s="142">
        <f>(V43*'DB1'!$N10+SUM($F43:U43)-SUM(CF!$F58:U58))</f>
        <v>0</v>
      </c>
      <c r="W58" s="142">
        <f>(W43*'DB1'!$N10+SUM($F43:V43)-SUM(CF!$F58:V58))</f>
        <v>0</v>
      </c>
      <c r="X58" s="142">
        <f>(X43*'DB1'!$N10+SUM($F43:W43)-SUM(CF!$F58:W58))</f>
        <v>0</v>
      </c>
      <c r="Y58" s="142">
        <f>(Y43*'DB1'!$N10+SUM($F43:X43)-SUM(CF!$F58:X58))</f>
        <v>0</v>
      </c>
      <c r="Z58" s="142">
        <f>(Z43*'DB1'!$N10+SUM($F43:Y43)-SUM(CF!$F58:Y58))</f>
        <v>0</v>
      </c>
      <c r="AA58" s="142">
        <f>(AA43*'DB1'!$N10+SUM($F43:Z43)-SUM(CF!$F58:Z58))</f>
        <v>0</v>
      </c>
      <c r="AB58" s="142">
        <f>(AB43*'DB1'!$N10+SUM($F43:AA43)-SUM(CF!$F58:AA58))</f>
        <v>0</v>
      </c>
      <c r="AC58" s="142">
        <f>(AC43*'DB1'!$N10+SUM($F43:AB43)-SUM(CF!$F58:AB58))</f>
        <v>0</v>
      </c>
      <c r="AD58" s="142">
        <f>(AD43*'DB1'!$N10+SUM($F43:AC43)-SUM(CF!$F58:AC58))</f>
        <v>0</v>
      </c>
      <c r="AE58" s="142">
        <f>(AE43*'DB1'!$N10+SUM($F43:AD43)-SUM(CF!$F58:AD58))</f>
        <v>0</v>
      </c>
      <c r="AF58" s="142">
        <f>(AF43*'DB1'!$N10+SUM($F43:AE43)-SUM(CF!$F58:AE58))</f>
        <v>0</v>
      </c>
      <c r="AG58" s="142">
        <f>(AG43*'DB1'!$N10+SUM($F43:AF43)-SUM(CF!$F58:AF58))</f>
        <v>0</v>
      </c>
      <c r="AH58" s="142">
        <f>(AH43*'DB1'!$N10+SUM($F43:AG43)-SUM(CF!$F58:AG58))</f>
        <v>0</v>
      </c>
      <c r="AI58" s="142">
        <f>(AI43*'DB1'!$N10+SUM($F43:AH43)-SUM(CF!$F58:AH58))</f>
        <v>0</v>
      </c>
      <c r="AJ58" s="142">
        <f>(AJ43*'DB1'!$N10+SUM($F43:AI43)-SUM(CF!$F58:AI58))</f>
        <v>0</v>
      </c>
      <c r="AK58" s="142">
        <f>(AK43*'DB1'!$N10+SUM($F43:AJ43)-SUM(CF!$F58:AJ58))</f>
        <v>0</v>
      </c>
      <c r="AL58" s="142">
        <f>(AL43*'DB1'!$N10+SUM($F43:AK43)-SUM(CF!$F58:AK58))</f>
        <v>0</v>
      </c>
      <c r="AM58" s="142">
        <f>(AM43*'DB1'!$N10+SUM($F43:AL43)-SUM(CF!$F58:AL58))</f>
        <v>0</v>
      </c>
      <c r="AN58" s="142">
        <f>(AN43*'DB1'!$N10+SUM($F43:AM43)-SUM(CF!$F58:AM58))</f>
        <v>0</v>
      </c>
      <c r="AO58" s="142">
        <f>(AO43*'DB1'!$N10+SUM($F43:AN43)-SUM(CF!$F58:AN58))</f>
        <v>0</v>
      </c>
      <c r="AP58" s="142">
        <f>(AP43*'DB1'!$N10+SUM($F43:AO43)-SUM(CF!$F58:AO58))</f>
        <v>0</v>
      </c>
      <c r="AQ58" s="142">
        <f>(AQ43*'DB1'!$N10+SUM($F43:AP43)-SUM(CF!$F58:AP58))</f>
        <v>0</v>
      </c>
      <c r="AR58" s="142">
        <f>(AR43*'DB1'!$N10+SUM($F43:AQ43)-SUM(CF!$F58:AQ58))</f>
        <v>0</v>
      </c>
      <c r="AS58" s="142">
        <f>(AS43*'DB1'!$N10+SUM($F43:AR43)-SUM(CF!$F58:AR58))</f>
        <v>0</v>
      </c>
      <c r="AT58" s="142">
        <f>(AT43*'DB1'!$N10+SUM($F43:AS43)-SUM(CF!$F58:AS58))</f>
        <v>0</v>
      </c>
      <c r="AU58" s="142">
        <f>(AU43*'DB1'!$N10+SUM($F43:AT43)-SUM(CF!$F58:AT58))</f>
        <v>0</v>
      </c>
      <c r="AV58" s="142">
        <f>(AV43*'DB1'!$N10+SUM($F43:AU43)-SUM(CF!$F58:AU58))</f>
        <v>0</v>
      </c>
      <c r="AW58" s="142">
        <f>(AW43*'DB1'!$N10+SUM($F43:AV43)-SUM(CF!$F58:AV58))</f>
        <v>0</v>
      </c>
      <c r="AX58" s="142">
        <f>(AX43*'DB1'!$N10+SUM($F43:AW43)-SUM(CF!$F58:AW58))</f>
        <v>0</v>
      </c>
      <c r="AY58" s="142">
        <f>(AY43*'DB1'!$N10+SUM($F43:AX43)-SUM(CF!$F58:AX58))</f>
        <v>0</v>
      </c>
      <c r="AZ58" s="142">
        <f>(AZ43*'DB1'!$N10+SUM($F43:AY43)-SUM(CF!$F58:AY58))</f>
        <v>0</v>
      </c>
      <c r="BA58" s="142">
        <f>(BA43*'DB1'!$N10+SUM($F43:AZ43)-SUM(CF!$F58:AZ58))</f>
        <v>0</v>
      </c>
      <c r="BB58" s="142">
        <f>(BB43*'DB1'!$N10+SUM($F43:BA43)-SUM(CF!$F58:BA58))</f>
        <v>0</v>
      </c>
      <c r="BC58" s="142">
        <f>(BC43*'DB1'!$N10+SUM($F43:BB43)-SUM(CF!$F58:BB58))</f>
        <v>0</v>
      </c>
      <c r="BD58" s="142">
        <f>(BD43*'DB1'!$N10+SUM($F43:BC43)-SUM(CF!$F58:BC58))</f>
        <v>0</v>
      </c>
      <c r="BE58" s="142">
        <f>(BE43*'DB1'!$N10+SUM($F43:BD43)-SUM(CF!$F58:BD58))</f>
        <v>0</v>
      </c>
      <c r="BF58" s="142">
        <f>(BF43*'DB1'!$N10+SUM($F43:BE43)-SUM(CF!$F58:BE58))</f>
        <v>0</v>
      </c>
      <c r="BG58" s="142">
        <f>(BG43*'DB1'!$N10+SUM($F43:BF43)-SUM(CF!$F58:BF58))</f>
        <v>0</v>
      </c>
      <c r="BH58" s="142">
        <f>(BH43*'DB1'!$N10+SUM($F43:BG43)-SUM(CF!$F58:BG58))</f>
        <v>0</v>
      </c>
      <c r="BI58" s="142">
        <f>(BI43*'DB1'!$N10+SUM($F43:BH43)-SUM(CF!$F58:BH58))</f>
        <v>0</v>
      </c>
      <c r="BJ58" s="142">
        <f>(BJ43*'DB1'!$N10+SUM($F43:BI43)-SUM(CF!$F58:BI58))</f>
        <v>0</v>
      </c>
      <c r="BK58" s="142">
        <f>(BK43*'DB1'!$N10+SUM($F43:BJ43)-SUM(CF!$F58:BJ58))</f>
        <v>0</v>
      </c>
      <c r="BL58" s="142">
        <f>(BL43*'DB1'!$N10+SUM($F43:BK43)-SUM(CF!$F58:BK58))</f>
        <v>0</v>
      </c>
      <c r="BM58" s="142">
        <f>(BM43*'DB1'!$N10+SUM($F43:BL43)-SUM(CF!$F58:BL58))</f>
        <v>0</v>
      </c>
    </row>
    <row r="59" spans="1:65">
      <c r="B59" s="145" t="str">
        <f>B44</f>
        <v>РИТЕЙЛ</v>
      </c>
      <c r="C59" s="200"/>
      <c r="D59" s="131" t="s">
        <v>19</v>
      </c>
      <c r="E59" s="141">
        <f t="shared" si="143"/>
        <v>4251.3880499999996</v>
      </c>
      <c r="F59" s="202">
        <f>F60+F61</f>
        <v>0</v>
      </c>
      <c r="G59" s="202">
        <f t="shared" ref="G59:BM59" si="203">G60+G61</f>
        <v>0</v>
      </c>
      <c r="H59" s="202">
        <f t="shared" si="203"/>
        <v>0</v>
      </c>
      <c r="I59" s="202">
        <f t="shared" si="203"/>
        <v>0</v>
      </c>
      <c r="J59" s="202">
        <f t="shared" si="203"/>
        <v>0</v>
      </c>
      <c r="K59" s="202">
        <f t="shared" si="203"/>
        <v>0</v>
      </c>
      <c r="L59" s="202">
        <f t="shared" si="203"/>
        <v>0</v>
      </c>
      <c r="M59" s="202">
        <f t="shared" si="203"/>
        <v>0</v>
      </c>
      <c r="N59" s="142">
        <f t="shared" si="203"/>
        <v>0</v>
      </c>
      <c r="O59" s="142">
        <f t="shared" si="203"/>
        <v>0</v>
      </c>
      <c r="P59" s="142">
        <f t="shared" si="203"/>
        <v>0</v>
      </c>
      <c r="Q59" s="142">
        <f t="shared" si="203"/>
        <v>0</v>
      </c>
      <c r="R59" s="142">
        <f t="shared" si="203"/>
        <v>0</v>
      </c>
      <c r="S59" s="142">
        <f t="shared" si="203"/>
        <v>0</v>
      </c>
      <c r="T59" s="142">
        <f t="shared" si="203"/>
        <v>0</v>
      </c>
      <c r="U59" s="142">
        <f t="shared" si="203"/>
        <v>0</v>
      </c>
      <c r="V59" s="142">
        <f t="shared" si="203"/>
        <v>0</v>
      </c>
      <c r="W59" s="142">
        <f t="shared" si="203"/>
        <v>0</v>
      </c>
      <c r="X59" s="142">
        <f t="shared" si="203"/>
        <v>0</v>
      </c>
      <c r="Y59" s="142">
        <f t="shared" si="203"/>
        <v>0</v>
      </c>
      <c r="Z59" s="142">
        <f t="shared" si="203"/>
        <v>0</v>
      </c>
      <c r="AA59" s="142">
        <f t="shared" si="203"/>
        <v>0</v>
      </c>
      <c r="AB59" s="142">
        <f t="shared" si="203"/>
        <v>0</v>
      </c>
      <c r="AC59" s="142">
        <f t="shared" si="203"/>
        <v>0</v>
      </c>
      <c r="AD59" s="142">
        <f t="shared" si="203"/>
        <v>0</v>
      </c>
      <c r="AE59" s="142">
        <f t="shared" si="203"/>
        <v>0</v>
      </c>
      <c r="AF59" s="142">
        <f t="shared" si="203"/>
        <v>0</v>
      </c>
      <c r="AG59" s="142">
        <f t="shared" si="203"/>
        <v>1231.0735500000001</v>
      </c>
      <c r="AH59" s="142">
        <f t="shared" si="203"/>
        <v>1231.0735500000001</v>
      </c>
      <c r="AI59" s="142">
        <f t="shared" si="203"/>
        <v>0</v>
      </c>
      <c r="AJ59" s="142">
        <f t="shared" si="203"/>
        <v>0</v>
      </c>
      <c r="AK59" s="142">
        <f t="shared" si="203"/>
        <v>894.62047499999983</v>
      </c>
      <c r="AL59" s="142">
        <f t="shared" si="203"/>
        <v>894.62047499999983</v>
      </c>
      <c r="AM59" s="142">
        <f t="shared" si="203"/>
        <v>0</v>
      </c>
      <c r="AN59" s="142">
        <f t="shared" si="203"/>
        <v>0</v>
      </c>
      <c r="AO59" s="142">
        <f t="shared" si="203"/>
        <v>0</v>
      </c>
      <c r="AP59" s="142">
        <f t="shared" si="203"/>
        <v>0</v>
      </c>
      <c r="AQ59" s="142">
        <f t="shared" si="203"/>
        <v>0</v>
      </c>
      <c r="AR59" s="142">
        <f t="shared" si="203"/>
        <v>0</v>
      </c>
      <c r="AS59" s="142">
        <f t="shared" si="203"/>
        <v>0</v>
      </c>
      <c r="AT59" s="142">
        <f t="shared" si="203"/>
        <v>0</v>
      </c>
      <c r="AU59" s="142">
        <f t="shared" si="203"/>
        <v>0</v>
      </c>
      <c r="AV59" s="142">
        <f t="shared" si="203"/>
        <v>0</v>
      </c>
      <c r="AW59" s="142">
        <f t="shared" si="203"/>
        <v>0</v>
      </c>
      <c r="AX59" s="142">
        <f t="shared" si="203"/>
        <v>0</v>
      </c>
      <c r="AY59" s="142">
        <f t="shared" si="203"/>
        <v>0</v>
      </c>
      <c r="AZ59" s="142">
        <f t="shared" si="203"/>
        <v>0</v>
      </c>
      <c r="BA59" s="142">
        <f t="shared" si="203"/>
        <v>0</v>
      </c>
      <c r="BB59" s="142">
        <f t="shared" si="203"/>
        <v>0</v>
      </c>
      <c r="BC59" s="142">
        <f t="shared" si="203"/>
        <v>0</v>
      </c>
      <c r="BD59" s="142">
        <f t="shared" si="203"/>
        <v>0</v>
      </c>
      <c r="BE59" s="142">
        <f t="shared" si="203"/>
        <v>0</v>
      </c>
      <c r="BF59" s="142">
        <f t="shared" si="203"/>
        <v>0</v>
      </c>
      <c r="BG59" s="142">
        <f t="shared" si="203"/>
        <v>0</v>
      </c>
      <c r="BH59" s="142">
        <f t="shared" si="203"/>
        <v>0</v>
      </c>
      <c r="BI59" s="142">
        <f t="shared" si="203"/>
        <v>0</v>
      </c>
      <c r="BJ59" s="142">
        <f t="shared" si="203"/>
        <v>0</v>
      </c>
      <c r="BK59" s="142">
        <f t="shared" si="203"/>
        <v>0</v>
      </c>
      <c r="BL59" s="142">
        <f t="shared" si="203"/>
        <v>0</v>
      </c>
      <c r="BM59" s="142">
        <f t="shared" si="203"/>
        <v>0</v>
      </c>
    </row>
    <row r="60" spans="1:65">
      <c r="B60" s="140"/>
      <c r="C60" s="28" t="s">
        <v>488</v>
      </c>
      <c r="D60" s="131" t="s">
        <v>19</v>
      </c>
      <c r="E60" s="666">
        <f t="shared" si="143"/>
        <v>2462.1471000000001</v>
      </c>
      <c r="F60" s="202">
        <f>'CF1'!F44</f>
        <v>0</v>
      </c>
      <c r="G60" s="202">
        <f>'CF1'!G44</f>
        <v>0</v>
      </c>
      <c r="H60" s="202">
        <f>'CF1'!H44</f>
        <v>0</v>
      </c>
      <c r="I60" s="202">
        <f>'CF1'!I44</f>
        <v>0</v>
      </c>
      <c r="J60" s="202">
        <f>'CF1'!J44</f>
        <v>0</v>
      </c>
      <c r="K60" s="202">
        <f>'CF1'!K44</f>
        <v>0</v>
      </c>
      <c r="L60" s="202">
        <f>'CF1'!L44</f>
        <v>0</v>
      </c>
      <c r="M60" s="202">
        <f>'CF1'!M44</f>
        <v>0</v>
      </c>
      <c r="N60" s="142">
        <f>'CF1'!N44</f>
        <v>0</v>
      </c>
      <c r="O60" s="142">
        <f>'CF1'!O44</f>
        <v>0</v>
      </c>
      <c r="P60" s="142">
        <f>'CF1'!P44</f>
        <v>0</v>
      </c>
      <c r="Q60" s="142">
        <f>'CF1'!Q44</f>
        <v>0</v>
      </c>
      <c r="R60" s="142">
        <f>'CF1'!R44</f>
        <v>0</v>
      </c>
      <c r="S60" s="142">
        <f>'CF1'!S44</f>
        <v>0</v>
      </c>
      <c r="T60" s="142">
        <f>'CF1'!T44</f>
        <v>0</v>
      </c>
      <c r="U60" s="142">
        <f>'CF1'!U44</f>
        <v>0</v>
      </c>
      <c r="V60" s="142">
        <f>'CF1'!V44</f>
        <v>0</v>
      </c>
      <c r="W60" s="142">
        <f>'CF1'!W44</f>
        <v>0</v>
      </c>
      <c r="X60" s="142">
        <f>'CF1'!X44</f>
        <v>0</v>
      </c>
      <c r="Y60" s="142">
        <f>'CF1'!Y44</f>
        <v>0</v>
      </c>
      <c r="Z60" s="142">
        <f>'CF1'!Z44</f>
        <v>0</v>
      </c>
      <c r="AA60" s="142">
        <f>'CF1'!AA44</f>
        <v>0</v>
      </c>
      <c r="AB60" s="142">
        <f>'CF1'!AB44</f>
        <v>0</v>
      </c>
      <c r="AC60" s="142">
        <f>'CF1'!AC44</f>
        <v>0</v>
      </c>
      <c r="AD60" s="142">
        <f>'CF1'!AD44</f>
        <v>0</v>
      </c>
      <c r="AE60" s="142">
        <f>'CF1'!AE44</f>
        <v>0</v>
      </c>
      <c r="AF60" s="142">
        <f>'CF1'!AF44</f>
        <v>0</v>
      </c>
      <c r="AG60" s="142">
        <f>'CF1'!AG44</f>
        <v>1231.0735500000001</v>
      </c>
      <c r="AH60" s="142">
        <f>'CF1'!AH44</f>
        <v>1231.0735500000001</v>
      </c>
      <c r="AI60" s="142">
        <f>'CF1'!AI44</f>
        <v>0</v>
      </c>
      <c r="AJ60" s="142">
        <f>'CF1'!AJ44</f>
        <v>0</v>
      </c>
      <c r="AK60" s="142">
        <f>'CF1'!AK44</f>
        <v>0</v>
      </c>
      <c r="AL60" s="142">
        <f>'CF1'!AL44</f>
        <v>0</v>
      </c>
      <c r="AM60" s="142">
        <f>'CF1'!AM44</f>
        <v>0</v>
      </c>
      <c r="AN60" s="142">
        <f>'CF1'!AN44</f>
        <v>0</v>
      </c>
      <c r="AO60" s="142">
        <f>'CF1'!AO44</f>
        <v>0</v>
      </c>
      <c r="AP60" s="142">
        <f>'CF1'!AP44</f>
        <v>0</v>
      </c>
      <c r="AQ60" s="142">
        <f>'CF1'!AQ44</f>
        <v>0</v>
      </c>
      <c r="AR60" s="142">
        <f>'CF1'!AR44</f>
        <v>0</v>
      </c>
      <c r="AS60" s="142">
        <f>'CF1'!AS44</f>
        <v>0</v>
      </c>
      <c r="AT60" s="142">
        <f>'CF1'!AT44</f>
        <v>0</v>
      </c>
      <c r="AU60" s="142">
        <f>'CF1'!AU44</f>
        <v>0</v>
      </c>
      <c r="AV60" s="142">
        <f>'CF1'!AV44</f>
        <v>0</v>
      </c>
      <c r="AW60" s="142">
        <f>'CF1'!AW44</f>
        <v>0</v>
      </c>
      <c r="AX60" s="142">
        <f>'CF1'!AX44</f>
        <v>0</v>
      </c>
      <c r="AY60" s="142">
        <f>'CF1'!AY44</f>
        <v>0</v>
      </c>
      <c r="AZ60" s="142">
        <f>'CF1'!AZ44</f>
        <v>0</v>
      </c>
      <c r="BA60" s="142">
        <f>'CF1'!BA44</f>
        <v>0</v>
      </c>
      <c r="BB60" s="142">
        <f>'CF1'!BB44</f>
        <v>0</v>
      </c>
      <c r="BC60" s="142">
        <f>'CF1'!BC44</f>
        <v>0</v>
      </c>
      <c r="BD60" s="142">
        <f>'CF1'!BD44</f>
        <v>0</v>
      </c>
      <c r="BE60" s="142">
        <f>'CF1'!BE44</f>
        <v>0</v>
      </c>
      <c r="BF60" s="142">
        <f>'CF1'!BF44</f>
        <v>0</v>
      </c>
      <c r="BG60" s="142">
        <f>'CF1'!BG44</f>
        <v>0</v>
      </c>
      <c r="BH60" s="142">
        <f>'CF1'!BH44</f>
        <v>0</v>
      </c>
      <c r="BI60" s="142">
        <f>'CF1'!BI44</f>
        <v>0</v>
      </c>
      <c r="BJ60" s="142">
        <f>'CF1'!BJ44</f>
        <v>0</v>
      </c>
      <c r="BK60" s="142">
        <f>'CF1'!BK44</f>
        <v>0</v>
      </c>
      <c r="BL60" s="142">
        <f>'CF1'!BL44</f>
        <v>0</v>
      </c>
      <c r="BM60" s="142">
        <f>'CF1'!BM44</f>
        <v>0</v>
      </c>
    </row>
    <row r="61" spans="1:65">
      <c r="B61" s="140"/>
      <c r="C61" s="28" t="s">
        <v>489</v>
      </c>
      <c r="D61" s="131" t="s">
        <v>19</v>
      </c>
      <c r="E61" s="666">
        <f t="shared" si="143"/>
        <v>1789.2409499999997</v>
      </c>
      <c r="F61" s="202">
        <f>'CF2'!F44</f>
        <v>0</v>
      </c>
      <c r="G61" s="202">
        <f>'CF2'!G44</f>
        <v>0</v>
      </c>
      <c r="H61" s="202">
        <f>'CF2'!H44</f>
        <v>0</v>
      </c>
      <c r="I61" s="202">
        <f>'CF2'!I44</f>
        <v>0</v>
      </c>
      <c r="J61" s="202">
        <f>'CF2'!J44</f>
        <v>0</v>
      </c>
      <c r="K61" s="202">
        <f>'CF2'!K44</f>
        <v>0</v>
      </c>
      <c r="L61" s="202">
        <f>'CF2'!L44</f>
        <v>0</v>
      </c>
      <c r="M61" s="202">
        <f>'CF2'!M44</f>
        <v>0</v>
      </c>
      <c r="N61" s="142">
        <f>'CF2'!N44</f>
        <v>0</v>
      </c>
      <c r="O61" s="142">
        <f>'CF2'!O44</f>
        <v>0</v>
      </c>
      <c r="P61" s="142">
        <f>'CF2'!P44</f>
        <v>0</v>
      </c>
      <c r="Q61" s="142">
        <f>'CF2'!Q44</f>
        <v>0</v>
      </c>
      <c r="R61" s="142">
        <f>'CF2'!R44</f>
        <v>0</v>
      </c>
      <c r="S61" s="142">
        <f>'CF2'!S44</f>
        <v>0</v>
      </c>
      <c r="T61" s="142">
        <f>'CF2'!T44</f>
        <v>0</v>
      </c>
      <c r="U61" s="142">
        <f>'CF2'!U44</f>
        <v>0</v>
      </c>
      <c r="V61" s="142">
        <f>'CF2'!V44</f>
        <v>0</v>
      </c>
      <c r="W61" s="142">
        <f>'CF2'!W44</f>
        <v>0</v>
      </c>
      <c r="X61" s="142">
        <f>'CF2'!X44</f>
        <v>0</v>
      </c>
      <c r="Y61" s="142">
        <f>'CF2'!Y44</f>
        <v>0</v>
      </c>
      <c r="Z61" s="142">
        <f>'CF2'!Z44</f>
        <v>0</v>
      </c>
      <c r="AA61" s="142">
        <f>'CF2'!AA44</f>
        <v>0</v>
      </c>
      <c r="AB61" s="142">
        <f>'CF2'!AB44</f>
        <v>0</v>
      </c>
      <c r="AC61" s="142">
        <f>'CF2'!AC44</f>
        <v>0</v>
      </c>
      <c r="AD61" s="142">
        <f>'CF2'!AD44</f>
        <v>0</v>
      </c>
      <c r="AE61" s="142">
        <f>'CF2'!AE44</f>
        <v>0</v>
      </c>
      <c r="AF61" s="142">
        <f>'CF2'!AF44</f>
        <v>0</v>
      </c>
      <c r="AG61" s="142">
        <f>'CF2'!AG44</f>
        <v>0</v>
      </c>
      <c r="AH61" s="142">
        <f>'CF2'!AH44</f>
        <v>0</v>
      </c>
      <c r="AI61" s="142">
        <f>'CF2'!AI44</f>
        <v>0</v>
      </c>
      <c r="AJ61" s="142">
        <f>'CF2'!AJ44</f>
        <v>0</v>
      </c>
      <c r="AK61" s="142">
        <f>'CF2'!AK44</f>
        <v>894.62047499999983</v>
      </c>
      <c r="AL61" s="142">
        <f>'CF2'!AL44</f>
        <v>894.62047499999983</v>
      </c>
      <c r="AM61" s="142">
        <f>'CF2'!AM44</f>
        <v>0</v>
      </c>
      <c r="AN61" s="142">
        <f>'CF2'!AN44</f>
        <v>0</v>
      </c>
      <c r="AO61" s="142">
        <f>'CF2'!AO44</f>
        <v>0</v>
      </c>
      <c r="AP61" s="142">
        <f>'CF2'!AP44</f>
        <v>0</v>
      </c>
      <c r="AQ61" s="142">
        <f>'CF2'!AQ44</f>
        <v>0</v>
      </c>
      <c r="AR61" s="142">
        <f>'CF2'!AR44</f>
        <v>0</v>
      </c>
      <c r="AS61" s="142">
        <f>'CF2'!AS44</f>
        <v>0</v>
      </c>
      <c r="AT61" s="142">
        <f>'CF2'!AT44</f>
        <v>0</v>
      </c>
      <c r="AU61" s="142">
        <f>'CF2'!AU44</f>
        <v>0</v>
      </c>
      <c r="AV61" s="142">
        <f>'CF2'!AV44</f>
        <v>0</v>
      </c>
      <c r="AW61" s="142">
        <f>'CF2'!AW44</f>
        <v>0</v>
      </c>
      <c r="AX61" s="142">
        <f>'CF2'!AX44</f>
        <v>0</v>
      </c>
      <c r="AY61" s="142">
        <f>'CF2'!AY44</f>
        <v>0</v>
      </c>
      <c r="AZ61" s="142">
        <f>'CF2'!AZ44</f>
        <v>0</v>
      </c>
      <c r="BA61" s="142">
        <f>'CF2'!BA44</f>
        <v>0</v>
      </c>
      <c r="BB61" s="142">
        <f>'CF2'!BB44</f>
        <v>0</v>
      </c>
      <c r="BC61" s="142">
        <f>'CF2'!BC44</f>
        <v>0</v>
      </c>
      <c r="BD61" s="142">
        <f>'CF2'!BD44</f>
        <v>0</v>
      </c>
      <c r="BE61" s="142">
        <f>'CF2'!BE44</f>
        <v>0</v>
      </c>
      <c r="BF61" s="142">
        <f>'CF2'!BF44</f>
        <v>0</v>
      </c>
      <c r="BG61" s="142">
        <f>'CF2'!BG44</f>
        <v>0</v>
      </c>
      <c r="BH61" s="142">
        <f>'CF2'!BH44</f>
        <v>0</v>
      </c>
      <c r="BI61" s="142">
        <f>'CF2'!BI44</f>
        <v>0</v>
      </c>
      <c r="BJ61" s="142">
        <f>'CF2'!BJ44</f>
        <v>0</v>
      </c>
      <c r="BK61" s="142">
        <f>'CF2'!BK44</f>
        <v>0</v>
      </c>
      <c r="BL61" s="142">
        <f>'CF2'!BL44</f>
        <v>0</v>
      </c>
      <c r="BM61" s="142">
        <f>'CF2'!BM44</f>
        <v>0</v>
      </c>
    </row>
    <row r="62" spans="1:65" hidden="1">
      <c r="B62" s="140" t="str">
        <f>B47</f>
        <v>ТЦ</v>
      </c>
      <c r="C62" s="200"/>
      <c r="D62" s="131" t="s">
        <v>19</v>
      </c>
      <c r="E62" s="141">
        <f t="shared" si="143"/>
        <v>0</v>
      </c>
      <c r="F62" s="202"/>
      <c r="G62" s="202"/>
      <c r="H62" s="202"/>
      <c r="I62" s="202"/>
      <c r="J62" s="202"/>
      <c r="K62" s="202"/>
      <c r="L62" s="202"/>
      <c r="M62" s="20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</row>
    <row r="63" spans="1:65">
      <c r="B63" s="145" t="str">
        <f>B48</f>
        <v>ПАРКИНГ ЖИЛЬЕ</v>
      </c>
      <c r="C63" s="200"/>
      <c r="D63" s="131" t="s">
        <v>19</v>
      </c>
      <c r="E63" s="141">
        <f t="shared" si="143"/>
        <v>5004</v>
      </c>
      <c r="F63" s="202">
        <f>F64+F65</f>
        <v>0</v>
      </c>
      <c r="G63" s="202">
        <f t="shared" ref="G63:BM63" si="204">G64+G65</f>
        <v>0</v>
      </c>
      <c r="H63" s="202">
        <f t="shared" si="204"/>
        <v>0</v>
      </c>
      <c r="I63" s="202">
        <f t="shared" si="204"/>
        <v>0</v>
      </c>
      <c r="J63" s="202">
        <f t="shared" si="204"/>
        <v>0</v>
      </c>
      <c r="K63" s="202">
        <f t="shared" si="204"/>
        <v>0</v>
      </c>
      <c r="L63" s="202">
        <f t="shared" si="204"/>
        <v>0</v>
      </c>
      <c r="M63" s="202">
        <f t="shared" si="204"/>
        <v>0</v>
      </c>
      <c r="N63" s="142">
        <f t="shared" si="204"/>
        <v>0</v>
      </c>
      <c r="O63" s="142">
        <f t="shared" si="204"/>
        <v>0</v>
      </c>
      <c r="P63" s="142">
        <f t="shared" si="204"/>
        <v>0</v>
      </c>
      <c r="Q63" s="142">
        <f t="shared" si="204"/>
        <v>0</v>
      </c>
      <c r="R63" s="142">
        <f t="shared" si="204"/>
        <v>0</v>
      </c>
      <c r="S63" s="142">
        <f t="shared" si="204"/>
        <v>0</v>
      </c>
      <c r="T63" s="142">
        <f t="shared" si="204"/>
        <v>94.5</v>
      </c>
      <c r="U63" s="142">
        <f t="shared" si="204"/>
        <v>135</v>
      </c>
      <c r="V63" s="142">
        <f t="shared" si="204"/>
        <v>135</v>
      </c>
      <c r="W63" s="142">
        <f t="shared" si="204"/>
        <v>135</v>
      </c>
      <c r="X63" s="142">
        <f t="shared" si="204"/>
        <v>270</v>
      </c>
      <c r="Y63" s="142">
        <f t="shared" si="204"/>
        <v>270</v>
      </c>
      <c r="Z63" s="142">
        <f t="shared" si="204"/>
        <v>270</v>
      </c>
      <c r="AA63" s="142">
        <f t="shared" si="204"/>
        <v>270</v>
      </c>
      <c r="AB63" s="142">
        <f t="shared" si="204"/>
        <v>270</v>
      </c>
      <c r="AC63" s="142">
        <f t="shared" si="204"/>
        <v>270</v>
      </c>
      <c r="AD63" s="142">
        <f t="shared" si="204"/>
        <v>270</v>
      </c>
      <c r="AE63" s="142">
        <f t="shared" si="204"/>
        <v>270</v>
      </c>
      <c r="AF63" s="142">
        <f t="shared" si="204"/>
        <v>270</v>
      </c>
      <c r="AG63" s="142">
        <f t="shared" si="204"/>
        <v>270</v>
      </c>
      <c r="AH63" s="142">
        <f t="shared" si="204"/>
        <v>270</v>
      </c>
      <c r="AI63" s="142">
        <f t="shared" si="204"/>
        <v>270</v>
      </c>
      <c r="AJ63" s="142">
        <f t="shared" si="204"/>
        <v>270</v>
      </c>
      <c r="AK63" s="142">
        <f t="shared" si="204"/>
        <v>270</v>
      </c>
      <c r="AL63" s="142">
        <f t="shared" si="204"/>
        <v>270</v>
      </c>
      <c r="AM63" s="142">
        <f t="shared" si="204"/>
        <v>266.84999999999991</v>
      </c>
      <c r="AN63" s="142">
        <f t="shared" si="204"/>
        <v>187.65000000000009</v>
      </c>
      <c r="AO63" s="142">
        <f t="shared" si="204"/>
        <v>0</v>
      </c>
      <c r="AP63" s="142">
        <f t="shared" si="204"/>
        <v>0</v>
      </c>
      <c r="AQ63" s="142">
        <f t="shared" si="204"/>
        <v>0</v>
      </c>
      <c r="AR63" s="142">
        <f t="shared" si="204"/>
        <v>0</v>
      </c>
      <c r="AS63" s="142">
        <f t="shared" si="204"/>
        <v>0</v>
      </c>
      <c r="AT63" s="142">
        <f t="shared" si="204"/>
        <v>0</v>
      </c>
      <c r="AU63" s="142">
        <f t="shared" si="204"/>
        <v>0</v>
      </c>
      <c r="AV63" s="142">
        <f t="shared" si="204"/>
        <v>0</v>
      </c>
      <c r="AW63" s="142">
        <f t="shared" si="204"/>
        <v>0</v>
      </c>
      <c r="AX63" s="142">
        <f t="shared" si="204"/>
        <v>0</v>
      </c>
      <c r="AY63" s="142">
        <f t="shared" si="204"/>
        <v>0</v>
      </c>
      <c r="AZ63" s="142">
        <f t="shared" si="204"/>
        <v>0</v>
      </c>
      <c r="BA63" s="142">
        <f t="shared" si="204"/>
        <v>0</v>
      </c>
      <c r="BB63" s="142">
        <f t="shared" si="204"/>
        <v>0</v>
      </c>
      <c r="BC63" s="142">
        <f t="shared" si="204"/>
        <v>0</v>
      </c>
      <c r="BD63" s="142">
        <f t="shared" si="204"/>
        <v>0</v>
      </c>
      <c r="BE63" s="142">
        <f t="shared" si="204"/>
        <v>0</v>
      </c>
      <c r="BF63" s="142">
        <f t="shared" si="204"/>
        <v>0</v>
      </c>
      <c r="BG63" s="142">
        <f t="shared" si="204"/>
        <v>0</v>
      </c>
      <c r="BH63" s="142">
        <f t="shared" si="204"/>
        <v>0</v>
      </c>
      <c r="BI63" s="142">
        <f t="shared" si="204"/>
        <v>0</v>
      </c>
      <c r="BJ63" s="142">
        <f t="shared" si="204"/>
        <v>0</v>
      </c>
      <c r="BK63" s="142">
        <f t="shared" si="204"/>
        <v>0</v>
      </c>
      <c r="BL63" s="142">
        <f t="shared" si="204"/>
        <v>0</v>
      </c>
      <c r="BM63" s="142">
        <f t="shared" si="204"/>
        <v>0</v>
      </c>
    </row>
    <row r="64" spans="1:65">
      <c r="B64" s="140"/>
      <c r="C64" s="28" t="s">
        <v>488</v>
      </c>
      <c r="D64" s="131" t="s">
        <v>19</v>
      </c>
      <c r="E64" s="666">
        <f t="shared" si="143"/>
        <v>2695.5</v>
      </c>
      <c r="F64" s="202">
        <f>'CF1'!F46</f>
        <v>0</v>
      </c>
      <c r="G64" s="202">
        <f>'CF1'!G46</f>
        <v>0</v>
      </c>
      <c r="H64" s="202">
        <f>'CF1'!H46</f>
        <v>0</v>
      </c>
      <c r="I64" s="202">
        <f>'CF1'!I46</f>
        <v>0</v>
      </c>
      <c r="J64" s="202">
        <f>'CF1'!J46</f>
        <v>0</v>
      </c>
      <c r="K64" s="202">
        <f>'CF1'!K46</f>
        <v>0</v>
      </c>
      <c r="L64" s="202">
        <f>'CF1'!L46</f>
        <v>0</v>
      </c>
      <c r="M64" s="202">
        <f>'CF1'!M46</f>
        <v>0</v>
      </c>
      <c r="N64" s="142">
        <f>'CF1'!N46</f>
        <v>0</v>
      </c>
      <c r="O64" s="142">
        <f>'CF1'!O46</f>
        <v>0</v>
      </c>
      <c r="P64" s="142">
        <f>'CF1'!P46</f>
        <v>0</v>
      </c>
      <c r="Q64" s="142">
        <f>'CF1'!Q46</f>
        <v>0</v>
      </c>
      <c r="R64" s="142">
        <f>'CF1'!R46</f>
        <v>0</v>
      </c>
      <c r="S64" s="142">
        <f>'CF1'!S46</f>
        <v>0</v>
      </c>
      <c r="T64" s="142">
        <f>'CF1'!T46</f>
        <v>94.5</v>
      </c>
      <c r="U64" s="142">
        <f>'CF1'!U46</f>
        <v>135</v>
      </c>
      <c r="V64" s="142">
        <f>'CF1'!V46</f>
        <v>135</v>
      </c>
      <c r="W64" s="142">
        <f>'CF1'!W46</f>
        <v>135</v>
      </c>
      <c r="X64" s="142">
        <f>'CF1'!X46</f>
        <v>135</v>
      </c>
      <c r="Y64" s="142">
        <f>'CF1'!Y46</f>
        <v>135</v>
      </c>
      <c r="Z64" s="142">
        <f>'CF1'!Z46</f>
        <v>135</v>
      </c>
      <c r="AA64" s="142">
        <f>'CF1'!AA46</f>
        <v>135</v>
      </c>
      <c r="AB64" s="142">
        <f>'CF1'!AB46</f>
        <v>135</v>
      </c>
      <c r="AC64" s="142">
        <f>'CF1'!AC46</f>
        <v>135</v>
      </c>
      <c r="AD64" s="142">
        <f>'CF1'!AD46</f>
        <v>135</v>
      </c>
      <c r="AE64" s="142">
        <f>'CF1'!AE46</f>
        <v>135</v>
      </c>
      <c r="AF64" s="142">
        <f>'CF1'!AF46</f>
        <v>135</v>
      </c>
      <c r="AG64" s="142">
        <f>'CF1'!AG46</f>
        <v>135</v>
      </c>
      <c r="AH64" s="142">
        <f>'CF1'!AH46</f>
        <v>135</v>
      </c>
      <c r="AI64" s="142">
        <f>'CF1'!AI46</f>
        <v>135</v>
      </c>
      <c r="AJ64" s="142">
        <f>'CF1'!AJ46</f>
        <v>135</v>
      </c>
      <c r="AK64" s="142">
        <f>'CF1'!AK46</f>
        <v>135</v>
      </c>
      <c r="AL64" s="142">
        <f>'CF1'!AL46</f>
        <v>135</v>
      </c>
      <c r="AM64" s="142">
        <f>'CF1'!AM46</f>
        <v>131.84999999999991</v>
      </c>
      <c r="AN64" s="142">
        <f>'CF1'!AN46</f>
        <v>39.150000000000091</v>
      </c>
      <c r="AO64" s="142">
        <f>'CF1'!AO46</f>
        <v>0</v>
      </c>
      <c r="AP64" s="142">
        <f>'CF1'!AP46</f>
        <v>0</v>
      </c>
      <c r="AQ64" s="142">
        <f>'CF1'!AQ46</f>
        <v>0</v>
      </c>
      <c r="AR64" s="142">
        <f>'CF1'!AR46</f>
        <v>0</v>
      </c>
      <c r="AS64" s="142">
        <f>'CF1'!AS46</f>
        <v>0</v>
      </c>
      <c r="AT64" s="142">
        <f>'CF1'!AT46</f>
        <v>0</v>
      </c>
      <c r="AU64" s="142">
        <f>'CF1'!AU46</f>
        <v>0</v>
      </c>
      <c r="AV64" s="142">
        <f>'CF1'!AV46</f>
        <v>0</v>
      </c>
      <c r="AW64" s="142">
        <f>'CF1'!AW46</f>
        <v>0</v>
      </c>
      <c r="AX64" s="142">
        <f>'CF1'!AX46</f>
        <v>0</v>
      </c>
      <c r="AY64" s="142">
        <f>'CF1'!AY46</f>
        <v>0</v>
      </c>
      <c r="AZ64" s="142">
        <f>'CF1'!AZ46</f>
        <v>0</v>
      </c>
      <c r="BA64" s="142">
        <f>'CF1'!BA46</f>
        <v>0</v>
      </c>
      <c r="BB64" s="142">
        <f>'CF1'!BB46</f>
        <v>0</v>
      </c>
      <c r="BC64" s="142">
        <f>'CF1'!BC46</f>
        <v>0</v>
      </c>
      <c r="BD64" s="142">
        <f>'CF1'!BD46</f>
        <v>0</v>
      </c>
      <c r="BE64" s="142">
        <f>'CF1'!BE46</f>
        <v>0</v>
      </c>
      <c r="BF64" s="142">
        <f>'CF1'!BF46</f>
        <v>0</v>
      </c>
      <c r="BG64" s="142">
        <f>'CF1'!BG46</f>
        <v>0</v>
      </c>
      <c r="BH64" s="142">
        <f>'CF1'!BH46</f>
        <v>0</v>
      </c>
      <c r="BI64" s="142">
        <f>'CF1'!BI46</f>
        <v>0</v>
      </c>
      <c r="BJ64" s="142">
        <f>'CF1'!BJ46</f>
        <v>0</v>
      </c>
      <c r="BK64" s="142">
        <f>'CF1'!BK46</f>
        <v>0</v>
      </c>
      <c r="BL64" s="142">
        <f>'CF1'!BL46</f>
        <v>0</v>
      </c>
      <c r="BM64" s="142">
        <f>'CF1'!BM46</f>
        <v>0</v>
      </c>
    </row>
    <row r="65" spans="1:65">
      <c r="B65" s="140"/>
      <c r="C65" s="28" t="s">
        <v>489</v>
      </c>
      <c r="D65" s="131" t="s">
        <v>19</v>
      </c>
      <c r="E65" s="666">
        <f t="shared" si="143"/>
        <v>2308.5</v>
      </c>
      <c r="F65" s="202">
        <f>'CF2'!F31</f>
        <v>0</v>
      </c>
      <c r="G65" s="202">
        <f>'CF2'!G31</f>
        <v>0</v>
      </c>
      <c r="H65" s="202">
        <f>'CF2'!H31</f>
        <v>0</v>
      </c>
      <c r="I65" s="202">
        <f>'CF2'!I31</f>
        <v>0</v>
      </c>
      <c r="J65" s="202">
        <f>'CF2'!J31</f>
        <v>0</v>
      </c>
      <c r="K65" s="202">
        <f>'CF2'!K31</f>
        <v>0</v>
      </c>
      <c r="L65" s="202">
        <f>'CF2'!L31</f>
        <v>0</v>
      </c>
      <c r="M65" s="202">
        <f>'CF2'!M31</f>
        <v>0</v>
      </c>
      <c r="N65" s="142">
        <f>'CF2'!N31</f>
        <v>0</v>
      </c>
      <c r="O65" s="142">
        <f>'CF2'!O31</f>
        <v>0</v>
      </c>
      <c r="P65" s="142">
        <f>'CF2'!P31</f>
        <v>0</v>
      </c>
      <c r="Q65" s="142">
        <f>'CF2'!Q31</f>
        <v>0</v>
      </c>
      <c r="R65" s="142">
        <f>'CF2'!R31</f>
        <v>0</v>
      </c>
      <c r="S65" s="142">
        <f>'CF2'!S31</f>
        <v>0</v>
      </c>
      <c r="T65" s="142">
        <f>'CF2'!T31</f>
        <v>0</v>
      </c>
      <c r="U65" s="142">
        <f>'CF2'!U31</f>
        <v>0</v>
      </c>
      <c r="V65" s="142">
        <f>'CF2'!V31</f>
        <v>0</v>
      </c>
      <c r="W65" s="142">
        <f>'CF2'!W31</f>
        <v>0</v>
      </c>
      <c r="X65" s="142">
        <f>'CF2'!X31</f>
        <v>135</v>
      </c>
      <c r="Y65" s="142">
        <f>'CF2'!Y31</f>
        <v>135</v>
      </c>
      <c r="Z65" s="142">
        <f>'CF2'!Z31</f>
        <v>135</v>
      </c>
      <c r="AA65" s="142">
        <f>'CF2'!AA31</f>
        <v>135</v>
      </c>
      <c r="AB65" s="142">
        <f>'CF2'!AB31</f>
        <v>135</v>
      </c>
      <c r="AC65" s="142">
        <f>'CF2'!AC31</f>
        <v>135</v>
      </c>
      <c r="AD65" s="142">
        <f>'CF2'!AD31</f>
        <v>135</v>
      </c>
      <c r="AE65" s="142">
        <f>'CF2'!AE31</f>
        <v>135</v>
      </c>
      <c r="AF65" s="142">
        <f>'CF2'!AF31</f>
        <v>135</v>
      </c>
      <c r="AG65" s="142">
        <f>'CF2'!AG31</f>
        <v>135</v>
      </c>
      <c r="AH65" s="142">
        <f>'CF2'!AH31</f>
        <v>135</v>
      </c>
      <c r="AI65" s="142">
        <f>'CF2'!AI31</f>
        <v>135</v>
      </c>
      <c r="AJ65" s="142">
        <f>'CF2'!AJ31</f>
        <v>135</v>
      </c>
      <c r="AK65" s="142">
        <f>'CF2'!AK31</f>
        <v>135</v>
      </c>
      <c r="AL65" s="142">
        <f>'CF2'!AL31</f>
        <v>135</v>
      </c>
      <c r="AM65" s="142">
        <f>'CF2'!AM31</f>
        <v>135</v>
      </c>
      <c r="AN65" s="142">
        <f>'CF2'!AN31</f>
        <v>148.5</v>
      </c>
      <c r="AO65" s="142">
        <f>'CF2'!AO31</f>
        <v>0</v>
      </c>
      <c r="AP65" s="142">
        <f>'CF2'!AP31</f>
        <v>0</v>
      </c>
      <c r="AQ65" s="142">
        <f>'CF2'!AQ31</f>
        <v>0</v>
      </c>
      <c r="AR65" s="142">
        <f>'CF2'!AR31</f>
        <v>0</v>
      </c>
      <c r="AS65" s="142">
        <f>'CF2'!AS31</f>
        <v>0</v>
      </c>
      <c r="AT65" s="142">
        <f>'CF2'!AT31</f>
        <v>0</v>
      </c>
      <c r="AU65" s="142">
        <f>'CF2'!AU31</f>
        <v>0</v>
      </c>
      <c r="AV65" s="142">
        <f>'CF2'!AV31</f>
        <v>0</v>
      </c>
      <c r="AW65" s="142">
        <f>'CF2'!AW31</f>
        <v>0</v>
      </c>
      <c r="AX65" s="142">
        <f>'CF2'!AX31</f>
        <v>0</v>
      </c>
      <c r="AY65" s="142">
        <f>'CF2'!AY31</f>
        <v>0</v>
      </c>
      <c r="AZ65" s="142">
        <f>'CF2'!AZ31</f>
        <v>0</v>
      </c>
      <c r="BA65" s="142">
        <f>'CF2'!BA31</f>
        <v>0</v>
      </c>
      <c r="BB65" s="142">
        <f>'CF2'!BB31</f>
        <v>0</v>
      </c>
      <c r="BC65" s="142">
        <f>'CF2'!BC31</f>
        <v>0</v>
      </c>
      <c r="BD65" s="142">
        <f>'CF2'!BD31</f>
        <v>0</v>
      </c>
      <c r="BE65" s="142">
        <f>'CF2'!BE31</f>
        <v>0</v>
      </c>
      <c r="BF65" s="142">
        <f>'CF2'!BF31</f>
        <v>0</v>
      </c>
      <c r="BG65" s="142">
        <f>'CF2'!BG31</f>
        <v>0</v>
      </c>
      <c r="BH65" s="142">
        <f>'CF2'!BH31</f>
        <v>0</v>
      </c>
      <c r="BI65" s="142">
        <f>'CF2'!BI31</f>
        <v>0</v>
      </c>
      <c r="BJ65" s="142">
        <f>'CF2'!BJ31</f>
        <v>0</v>
      </c>
      <c r="BK65" s="142">
        <f>'CF2'!BK31</f>
        <v>0</v>
      </c>
      <c r="BL65" s="142">
        <f>'CF2'!BL31</f>
        <v>0</v>
      </c>
      <c r="BM65" s="142">
        <f>'CF2'!BM31</f>
        <v>0</v>
      </c>
    </row>
    <row r="66" spans="1:65" hidden="1">
      <c r="B66" s="140" t="str">
        <f t="shared" ref="B66" si="205">B51</f>
        <v>ПАРКИНГ ОФИС</v>
      </c>
      <c r="C66" s="197"/>
      <c r="D66" s="131" t="s">
        <v>19</v>
      </c>
      <c r="E66" s="141">
        <f t="shared" si="143"/>
        <v>0</v>
      </c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</row>
    <row r="67" spans="1:65">
      <c r="E67" s="138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  <c r="AK67" s="139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39"/>
      <c r="BC67" s="139"/>
      <c r="BD67" s="139"/>
      <c r="BE67" s="139"/>
      <c r="BF67" s="139"/>
      <c r="BG67" s="139"/>
      <c r="BH67" s="139"/>
      <c r="BI67" s="139"/>
      <c r="BJ67" s="139"/>
      <c r="BK67" s="139"/>
      <c r="BL67" s="139"/>
      <c r="BM67" s="139"/>
    </row>
    <row r="68" spans="1:65">
      <c r="E68" s="138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39"/>
      <c r="BJ68" s="139"/>
      <c r="BK68" s="139"/>
      <c r="BL68" s="139"/>
      <c r="BM68" s="139"/>
    </row>
    <row r="69" spans="1:65">
      <c r="A69" s="149"/>
      <c r="B69" s="177" t="s">
        <v>30</v>
      </c>
      <c r="C69" s="177"/>
      <c r="D69" s="178" t="s">
        <v>19</v>
      </c>
      <c r="E69" s="179">
        <f>SUM(F69:BM69)</f>
        <v>-5999.3951349910758</v>
      </c>
      <c r="F69" s="180">
        <f>SUM(F72:F75)</f>
        <v>-0.18152285999999998</v>
      </c>
      <c r="G69" s="180">
        <f t="shared" ref="G69:BM69" si="206">SUM(G70:G75)</f>
        <v>-0.55836329000000007</v>
      </c>
      <c r="H69" s="180">
        <f t="shared" si="206"/>
        <v>-0.28356999999999999</v>
      </c>
      <c r="I69" s="180">
        <f t="shared" si="206"/>
        <v>-0.29047000000000001</v>
      </c>
      <c r="J69" s="180">
        <f t="shared" si="206"/>
        <v>-0.33546999999999999</v>
      </c>
      <c r="K69" s="180">
        <f t="shared" si="206"/>
        <v>-0.3448</v>
      </c>
      <c r="L69" s="180">
        <f t="shared" si="206"/>
        <v>-0.63933561999999999</v>
      </c>
      <c r="M69" s="180">
        <f t="shared" si="206"/>
        <v>-0.68847999999999998</v>
      </c>
      <c r="N69" s="180">
        <f t="shared" si="206"/>
        <v>-5.5783841626923074</v>
      </c>
      <c r="O69" s="180">
        <f t="shared" si="206"/>
        <v>-11.078384162692309</v>
      </c>
      <c r="P69" s="180">
        <f t="shared" si="206"/>
        <v>-10.078384162692309</v>
      </c>
      <c r="Q69" s="180">
        <f t="shared" si="206"/>
        <v>-7.0783841626923074</v>
      </c>
      <c r="R69" s="180">
        <f t="shared" si="206"/>
        <v>-20.578384162692309</v>
      </c>
      <c r="S69" s="180">
        <f t="shared" si="206"/>
        <v>-14.828384162692307</v>
      </c>
      <c r="T69" s="180">
        <f t="shared" si="206"/>
        <v>-82.129936244239474</v>
      </c>
      <c r="U69" s="180">
        <f t="shared" si="206"/>
        <v>-118.97079988060312</v>
      </c>
      <c r="V69" s="180">
        <f t="shared" si="206"/>
        <v>-128.20146606726686</v>
      </c>
      <c r="W69" s="180">
        <f t="shared" si="206"/>
        <v>-131.37321784417011</v>
      </c>
      <c r="X69" s="180">
        <f t="shared" si="206"/>
        <v>-201.25560370700825</v>
      </c>
      <c r="Y69" s="180">
        <f t="shared" si="206"/>
        <v>-258.2368223651153</v>
      </c>
      <c r="Z69" s="180">
        <f t="shared" si="206"/>
        <v>-276.00845293713172</v>
      </c>
      <c r="AA69" s="180">
        <f t="shared" si="206"/>
        <v>-283.22228379953282</v>
      </c>
      <c r="AB69" s="180">
        <f t="shared" si="206"/>
        <v>-291.53999478551032</v>
      </c>
      <c r="AC69" s="180">
        <f t="shared" si="206"/>
        <v>-301.603633403537</v>
      </c>
      <c r="AD69" s="180">
        <f t="shared" si="206"/>
        <v>-322.04221919104799</v>
      </c>
      <c r="AE69" s="180">
        <f t="shared" si="206"/>
        <v>-362.17381241783488</v>
      </c>
      <c r="AF69" s="180">
        <f t="shared" si="206"/>
        <v>-295.86414592651136</v>
      </c>
      <c r="AG69" s="180">
        <f t="shared" si="206"/>
        <v>-330.48284660491566</v>
      </c>
      <c r="AH69" s="180">
        <f t="shared" si="206"/>
        <v>-388.18812090599124</v>
      </c>
      <c r="AI69" s="180">
        <f t="shared" si="206"/>
        <v>-405.72748753615576</v>
      </c>
      <c r="AJ69" s="180">
        <f t="shared" si="206"/>
        <v>-327.88509186215572</v>
      </c>
      <c r="AK69" s="180">
        <f t="shared" si="206"/>
        <v>-333.31332360671263</v>
      </c>
      <c r="AL69" s="180">
        <f t="shared" si="206"/>
        <v>-363.11534089721255</v>
      </c>
      <c r="AM69" s="180">
        <f t="shared" si="206"/>
        <v>-362.37666600900502</v>
      </c>
      <c r="AN69" s="180">
        <f t="shared" si="206"/>
        <v>-246.34770327520792</v>
      </c>
      <c r="AO69" s="180">
        <f t="shared" si="206"/>
        <v>-114.92274897805689</v>
      </c>
      <c r="AP69" s="180">
        <f t="shared" si="206"/>
        <v>-1.8711000000000075</v>
      </c>
      <c r="AQ69" s="180">
        <f t="shared" si="206"/>
        <v>0</v>
      </c>
      <c r="AR69" s="180">
        <f t="shared" si="206"/>
        <v>0</v>
      </c>
      <c r="AS69" s="180">
        <f t="shared" si="206"/>
        <v>0</v>
      </c>
      <c r="AT69" s="180">
        <f t="shared" si="206"/>
        <v>0</v>
      </c>
      <c r="AU69" s="180">
        <f t="shared" si="206"/>
        <v>0</v>
      </c>
      <c r="AV69" s="180">
        <f t="shared" si="206"/>
        <v>0</v>
      </c>
      <c r="AW69" s="180">
        <f t="shared" si="206"/>
        <v>0</v>
      </c>
      <c r="AX69" s="180">
        <f t="shared" si="206"/>
        <v>0</v>
      </c>
      <c r="AY69" s="180">
        <f t="shared" si="206"/>
        <v>0</v>
      </c>
      <c r="AZ69" s="180">
        <f t="shared" si="206"/>
        <v>0</v>
      </c>
      <c r="BA69" s="180">
        <f t="shared" si="206"/>
        <v>0</v>
      </c>
      <c r="BB69" s="180">
        <f t="shared" si="206"/>
        <v>0</v>
      </c>
      <c r="BC69" s="180">
        <f t="shared" si="206"/>
        <v>0</v>
      </c>
      <c r="BD69" s="180">
        <f t="shared" si="206"/>
        <v>0</v>
      </c>
      <c r="BE69" s="180">
        <f t="shared" si="206"/>
        <v>0</v>
      </c>
      <c r="BF69" s="180">
        <f t="shared" si="206"/>
        <v>0</v>
      </c>
      <c r="BG69" s="180">
        <f t="shared" si="206"/>
        <v>0</v>
      </c>
      <c r="BH69" s="180">
        <f t="shared" si="206"/>
        <v>0</v>
      </c>
      <c r="BI69" s="180">
        <f t="shared" si="206"/>
        <v>0</v>
      </c>
      <c r="BJ69" s="180">
        <f t="shared" si="206"/>
        <v>0</v>
      </c>
      <c r="BK69" s="180">
        <f t="shared" si="206"/>
        <v>0</v>
      </c>
      <c r="BL69" s="180">
        <f t="shared" si="206"/>
        <v>0</v>
      </c>
      <c r="BM69" s="180">
        <f t="shared" si="206"/>
        <v>0</v>
      </c>
    </row>
    <row r="70" spans="1:65">
      <c r="A70" s="149"/>
      <c r="B70" s="140" t="s">
        <v>25</v>
      </c>
      <c r="C70" s="27"/>
      <c r="D70" s="131" t="s">
        <v>19</v>
      </c>
      <c r="E70" s="141">
        <f>SUM(G70:BM70)</f>
        <v>-2362.3827811199999</v>
      </c>
      <c r="F70" s="202">
        <f>'CF1'!F51+'CF2'!F51</f>
        <v>0</v>
      </c>
      <c r="G70" s="202">
        <f>'CF1'!G51+'CF2'!G51</f>
        <v>0</v>
      </c>
      <c r="H70" s="202">
        <f>'CF1'!H51+'CF2'!H51</f>
        <v>0</v>
      </c>
      <c r="I70" s="202">
        <f>'CF1'!I51+'CF2'!I51</f>
        <v>0</v>
      </c>
      <c r="J70" s="202">
        <f>'CF1'!J51+'CF2'!J51</f>
        <v>0</v>
      </c>
      <c r="K70" s="202">
        <f>'CF1'!K51+'CF2'!K51</f>
        <v>0</v>
      </c>
      <c r="L70" s="202">
        <f>'CF1'!L51+'CF2'!L51</f>
        <v>0</v>
      </c>
      <c r="M70" s="202">
        <f>'CF1'!M51+'CF2'!M51</f>
        <v>0</v>
      </c>
      <c r="N70" s="142">
        <f>'CF1'!N51+'CF2'!N51</f>
        <v>0</v>
      </c>
      <c r="O70" s="142">
        <f>'CF1'!O51+'CF2'!O51</f>
        <v>0</v>
      </c>
      <c r="P70" s="142">
        <f>'CF1'!P51+'CF2'!P51</f>
        <v>0</v>
      </c>
      <c r="Q70" s="142">
        <f>'CF1'!Q51+'CF2'!Q51</f>
        <v>0</v>
      </c>
      <c r="R70" s="142">
        <f>'CF1'!R51+'CF2'!R51</f>
        <v>0</v>
      </c>
      <c r="S70" s="142">
        <f>'CF1'!S51+'CF2'!S51</f>
        <v>0</v>
      </c>
      <c r="T70" s="142">
        <f>'CF1'!T51+'CF2'!T51</f>
        <v>0</v>
      </c>
      <c r="U70" s="142">
        <f>'CF1'!U51+'CF2'!U51</f>
        <v>-34.922045454545461</v>
      </c>
      <c r="V70" s="142">
        <f>'CF1'!V51+'CF2'!V51</f>
        <v>-41.515378445019564</v>
      </c>
      <c r="W70" s="142">
        <f>'CF1'!W51+'CF2'!W51</f>
        <v>-43.780915428521894</v>
      </c>
      <c r="X70" s="142">
        <f>'CF1'!X51+'CF2'!X51</f>
        <v>-46.273294903309512</v>
      </c>
      <c r="Y70" s="142">
        <f>'CF1'!Y51+'CF2'!Y51</f>
        <v>-86.974165373386001</v>
      </c>
      <c r="Z70" s="142">
        <f>'CF1'!Z51+'CF2'!Z51</f>
        <v>-99.668187210540594</v>
      </c>
      <c r="AA70" s="142">
        <f>'CF1'!AA51+'CF2'!AA51</f>
        <v>-104.82092354082707</v>
      </c>
      <c r="AB70" s="142">
        <f>'CF1'!AB51+'CF2'!AB51</f>
        <v>-110.76214567366814</v>
      </c>
      <c r="AC70" s="142">
        <f>'CF1'!AC51+'CF2'!AC51</f>
        <v>-117.95045897225862</v>
      </c>
      <c r="AD70" s="142">
        <f>'CF1'!AD51+'CF2'!AD51</f>
        <v>-132.54944882048073</v>
      </c>
      <c r="AE70" s="142">
        <f>'CF1'!AE51+'CF2'!AE51</f>
        <v>-144.01275922910213</v>
      </c>
      <c r="AF70" s="142">
        <f>'CF1'!AF51+'CF2'!AF51</f>
        <v>-107.63088543438317</v>
      </c>
      <c r="AG70" s="142">
        <f>'CF1'!AG51+'CF2'!AG51</f>
        <v>-131.98166952610052</v>
      </c>
      <c r="AH70" s="142">
        <f>'CF1'!AH51+'CF2'!AH51</f>
        <v>-179.41966222401166</v>
      </c>
      <c r="AI70" s="142">
        <f>'CF1'!AI51+'CF2'!AI51</f>
        <v>-180.6274490110564</v>
      </c>
      <c r="AJ70" s="142">
        <f>'CF1'!AJ51+'CF2'!AJ51</f>
        <v>-131.30004168591489</v>
      </c>
      <c r="AK70" s="142">
        <f>'CF1'!AK51+'CF2'!AK51</f>
        <v>-134.90348666416975</v>
      </c>
      <c r="AL70" s="142">
        <f>'CF1'!AL51+'CF2'!AL51</f>
        <v>-161.74210091416973</v>
      </c>
      <c r="AM70" s="142">
        <f>'CF1'!AM51+'CF2'!AM51</f>
        <v>-161.74210091416973</v>
      </c>
      <c r="AN70" s="142">
        <f>'CF1'!AN51+'CF2'!AN51</f>
        <v>-126.38148385289541</v>
      </c>
      <c r="AO70" s="142">
        <f>'CF1'!AO51+'CF2'!AO51</f>
        <v>-82.087677841469201</v>
      </c>
      <c r="AP70" s="142">
        <f>'CF1'!AP51+'CF2'!AP51</f>
        <v>-1.3365000000000054</v>
      </c>
      <c r="AQ70" s="142">
        <f>'CF1'!AQ51+'CF2'!AQ51</f>
        <v>0</v>
      </c>
      <c r="AR70" s="142">
        <f>'CF1'!AR51+'CF2'!AR51</f>
        <v>0</v>
      </c>
      <c r="AS70" s="142">
        <f>'CF1'!AS51+'CF2'!AS51</f>
        <v>0</v>
      </c>
      <c r="AT70" s="142">
        <f>'CF1'!AT51+'CF2'!AT51</f>
        <v>0</v>
      </c>
      <c r="AU70" s="142">
        <f>'CF1'!AU51+'CF2'!AU51</f>
        <v>0</v>
      </c>
      <c r="AV70" s="142">
        <f>'CF1'!AV51+'CF2'!AV51</f>
        <v>0</v>
      </c>
      <c r="AW70" s="142">
        <f>'CF1'!AW51+'CF2'!AW51</f>
        <v>0</v>
      </c>
      <c r="AX70" s="142">
        <f>'CF1'!AX51+'CF2'!AX51</f>
        <v>0</v>
      </c>
      <c r="AY70" s="142">
        <f>'CF1'!AY51+'CF2'!AY51</f>
        <v>0</v>
      </c>
      <c r="AZ70" s="142">
        <f>'CF1'!AZ51+'CF2'!AZ51</f>
        <v>0</v>
      </c>
      <c r="BA70" s="142">
        <f>'CF1'!BA51+'CF2'!BA51</f>
        <v>0</v>
      </c>
      <c r="BB70" s="142">
        <f>'CF1'!BB51+'CF2'!BB51</f>
        <v>0</v>
      </c>
      <c r="BC70" s="142">
        <f>'CF1'!BC51+'CF2'!BC51</f>
        <v>0</v>
      </c>
      <c r="BD70" s="142">
        <f>'CF1'!BD51+'CF2'!BD51</f>
        <v>0</v>
      </c>
      <c r="BE70" s="142">
        <f>'CF1'!BE51+'CF2'!BE51</f>
        <v>0</v>
      </c>
      <c r="BF70" s="142">
        <f>'CF1'!BF51+'CF2'!BF51</f>
        <v>0</v>
      </c>
      <c r="BG70" s="142">
        <f>'CF1'!BG51+'CF2'!BG51</f>
        <v>0</v>
      </c>
      <c r="BH70" s="142">
        <f>'CF1'!BH51+'CF2'!BH51</f>
        <v>0</v>
      </c>
      <c r="BI70" s="142">
        <f>'CF1'!BI51+'CF2'!BI51</f>
        <v>0</v>
      </c>
      <c r="BJ70" s="142">
        <f>'CF1'!BJ51+'CF2'!BJ51</f>
        <v>0</v>
      </c>
      <c r="BK70" s="142">
        <f>'CF1'!BK51+'CF2'!BK51</f>
        <v>0</v>
      </c>
      <c r="BL70" s="142">
        <f>'CF1'!BL51+'CF2'!BL51</f>
        <v>0</v>
      </c>
      <c r="BM70" s="142">
        <f>'CF1'!BM51+'CF2'!BM51</f>
        <v>0</v>
      </c>
    </row>
    <row r="71" spans="1:65">
      <c r="A71" s="149"/>
      <c r="B71" s="140" t="s">
        <v>40</v>
      </c>
      <c r="C71" s="27"/>
      <c r="D71" s="131" t="s">
        <v>19</v>
      </c>
      <c r="E71" s="141">
        <f>SUM(G71:BM71)</f>
        <v>-944.95311244800007</v>
      </c>
      <c r="F71" s="202">
        <f>'CF1'!F52+'CF2'!F52</f>
        <v>0</v>
      </c>
      <c r="G71" s="202">
        <f>'CF1'!G52+'CF2'!G52</f>
        <v>0</v>
      </c>
      <c r="H71" s="202">
        <f>'CF1'!H52+'CF2'!H52</f>
        <v>0</v>
      </c>
      <c r="I71" s="202">
        <f>'CF1'!I52+'CF2'!I52</f>
        <v>0</v>
      </c>
      <c r="J71" s="202">
        <f>'CF1'!J52+'CF2'!J52</f>
        <v>0</v>
      </c>
      <c r="K71" s="202">
        <f>'CF1'!K52+'CF2'!K52</f>
        <v>0</v>
      </c>
      <c r="L71" s="202">
        <f>'CF1'!L52+'CF2'!L52</f>
        <v>0</v>
      </c>
      <c r="M71" s="202">
        <f>'CF1'!M52+'CF2'!M52</f>
        <v>0</v>
      </c>
      <c r="N71" s="142">
        <f>'CF1'!N52+'CF2'!N52</f>
        <v>0</v>
      </c>
      <c r="O71" s="142">
        <f>'CF1'!O52+'CF2'!O52</f>
        <v>0</v>
      </c>
      <c r="P71" s="142">
        <f>'CF1'!P52+'CF2'!P52</f>
        <v>0</v>
      </c>
      <c r="Q71" s="142">
        <f>'CF1'!Q52+'CF2'!Q52</f>
        <v>0</v>
      </c>
      <c r="R71" s="142">
        <f>'CF1'!R52+'CF2'!R52</f>
        <v>0</v>
      </c>
      <c r="S71" s="142">
        <f>'CF1'!S52+'CF2'!S52</f>
        <v>0</v>
      </c>
      <c r="T71" s="142">
        <f>'CF1'!T52+'CF2'!T52</f>
        <v>0</v>
      </c>
      <c r="U71" s="142">
        <f>'CF1'!U52+'CF2'!U52</f>
        <v>-13.968818181818184</v>
      </c>
      <c r="V71" s="142">
        <f>'CF1'!V52+'CF2'!V52</f>
        <v>-16.606151378007826</v>
      </c>
      <c r="W71" s="142">
        <f>'CF1'!W52+'CF2'!W52</f>
        <v>-17.512366171408761</v>
      </c>
      <c r="X71" s="142">
        <f>'CF1'!X52+'CF2'!X52</f>
        <v>-18.509317961323806</v>
      </c>
      <c r="Y71" s="142">
        <f>'CF1'!Y52+'CF2'!Y52</f>
        <v>-34.789666149354403</v>
      </c>
      <c r="Z71" s="142">
        <f>'CF1'!Z52+'CF2'!Z52</f>
        <v>-39.867274884216243</v>
      </c>
      <c r="AA71" s="142">
        <f>'CF1'!AA52+'CF2'!AA52</f>
        <v>-41.928369416330831</v>
      </c>
      <c r="AB71" s="142">
        <f>'CF1'!AB52+'CF2'!AB52</f>
        <v>-44.30485826946726</v>
      </c>
      <c r="AC71" s="142">
        <f>'CF1'!AC52+'CF2'!AC52</f>
        <v>-47.180183588903446</v>
      </c>
      <c r="AD71" s="142">
        <f>'CF1'!AD52+'CF2'!AD52</f>
        <v>-53.019779528192302</v>
      </c>
      <c r="AE71" s="142">
        <f>'CF1'!AE52+'CF2'!AE52</f>
        <v>-57.605103691640863</v>
      </c>
      <c r="AF71" s="142">
        <f>'CF1'!AF52+'CF2'!AF52</f>
        <v>-43.052354173753272</v>
      </c>
      <c r="AG71" s="142">
        <f>'CF1'!AG52+'CF2'!AG52</f>
        <v>-52.792667810440214</v>
      </c>
      <c r="AH71" s="142">
        <f>'CF1'!AH52+'CF2'!AH52</f>
        <v>-71.767864889604667</v>
      </c>
      <c r="AI71" s="142">
        <f>'CF1'!AI52+'CF2'!AI52</f>
        <v>-72.250979604422554</v>
      </c>
      <c r="AJ71" s="142">
        <f>'CF1'!AJ52+'CF2'!AJ52</f>
        <v>-52.520016674365948</v>
      </c>
      <c r="AK71" s="142">
        <f>'CF1'!AK52+'CF2'!AK52</f>
        <v>-53.961394665667896</v>
      </c>
      <c r="AL71" s="142">
        <f>'CF1'!AL52+'CF2'!AL52</f>
        <v>-64.696840365667896</v>
      </c>
      <c r="AM71" s="142">
        <f>'CF1'!AM52+'CF2'!AM52</f>
        <v>-64.696840365667896</v>
      </c>
      <c r="AN71" s="142">
        <f>'CF1'!AN52+'CF2'!AN52</f>
        <v>-50.552593541158167</v>
      </c>
      <c r="AO71" s="142">
        <f>'CF1'!AO52+'CF2'!AO52</f>
        <v>-32.835071136587686</v>
      </c>
      <c r="AP71" s="142">
        <f>'CF1'!AP52+'CF2'!AP52</f>
        <v>-0.53460000000000218</v>
      </c>
      <c r="AQ71" s="142">
        <f>'CF1'!AQ52+'CF2'!AQ52</f>
        <v>0</v>
      </c>
      <c r="AR71" s="142">
        <f>'CF1'!AR52+'CF2'!AR52</f>
        <v>0</v>
      </c>
      <c r="AS71" s="142">
        <f>'CF1'!AS52+'CF2'!AS52</f>
        <v>0</v>
      </c>
      <c r="AT71" s="142">
        <f>'CF1'!AT52+'CF2'!AT52</f>
        <v>0</v>
      </c>
      <c r="AU71" s="142">
        <f>'CF1'!AU52+'CF2'!AU52</f>
        <v>0</v>
      </c>
      <c r="AV71" s="142">
        <f>'CF1'!AV52+'CF2'!AV52</f>
        <v>0</v>
      </c>
      <c r="AW71" s="142">
        <f>'CF1'!AW52+'CF2'!AW52</f>
        <v>0</v>
      </c>
      <c r="AX71" s="142">
        <f>'CF1'!AX52+'CF2'!AX52</f>
        <v>0</v>
      </c>
      <c r="AY71" s="142">
        <f>'CF1'!AY52+'CF2'!AY52</f>
        <v>0</v>
      </c>
      <c r="AZ71" s="142">
        <f>'CF1'!AZ52+'CF2'!AZ52</f>
        <v>0</v>
      </c>
      <c r="BA71" s="142">
        <f>'CF1'!BA52+'CF2'!BA52</f>
        <v>0</v>
      </c>
      <c r="BB71" s="142">
        <f>'CF1'!BB52+'CF2'!BB52</f>
        <v>0</v>
      </c>
      <c r="BC71" s="142">
        <f>'CF1'!BC52+'CF2'!BC52</f>
        <v>0</v>
      </c>
      <c r="BD71" s="142">
        <f>'CF1'!BD52+'CF2'!BD52</f>
        <v>0</v>
      </c>
      <c r="BE71" s="142">
        <f>'CF1'!BE52+'CF2'!BE52</f>
        <v>0</v>
      </c>
      <c r="BF71" s="142">
        <f>'CF1'!BF52+'CF2'!BF52</f>
        <v>0</v>
      </c>
      <c r="BG71" s="142">
        <f>'CF1'!BG52+'CF2'!BG52</f>
        <v>0</v>
      </c>
      <c r="BH71" s="142">
        <f>'CF1'!BH52+'CF2'!BH52</f>
        <v>0</v>
      </c>
      <c r="BI71" s="142">
        <f>'CF1'!BI52+'CF2'!BI52</f>
        <v>0</v>
      </c>
      <c r="BJ71" s="142">
        <f>'CF1'!BJ52+'CF2'!BJ52</f>
        <v>0</v>
      </c>
      <c r="BK71" s="142">
        <f>'CF1'!BK52+'CF2'!BK52</f>
        <v>0</v>
      </c>
      <c r="BL71" s="142">
        <f>'CF1'!BL52+'CF2'!BL52</f>
        <v>0</v>
      </c>
      <c r="BM71" s="142">
        <f>'CF1'!BM52+'CF2'!BM52</f>
        <v>0</v>
      </c>
    </row>
    <row r="72" spans="1:65">
      <c r="A72" s="149"/>
      <c r="B72" s="140" t="s">
        <v>26</v>
      </c>
      <c r="C72" s="27"/>
      <c r="D72" s="131" t="s">
        <v>19</v>
      </c>
      <c r="E72" s="141">
        <f>SUM(F72:BM72)</f>
        <v>-2362.3827811199999</v>
      </c>
      <c r="F72" s="202">
        <f>'CF1'!F53+'CF2'!F53</f>
        <v>0</v>
      </c>
      <c r="G72" s="202">
        <f>'CF1'!G53+'CF2'!G53</f>
        <v>0</v>
      </c>
      <c r="H72" s="202">
        <f>'CF1'!H53+'CF2'!H53</f>
        <v>0</v>
      </c>
      <c r="I72" s="202">
        <f>'CF1'!I53+'CF2'!I53</f>
        <v>0</v>
      </c>
      <c r="J72" s="202">
        <f>'CF1'!J53+'CF2'!J53</f>
        <v>0</v>
      </c>
      <c r="K72" s="202">
        <f>'CF1'!K53+'CF2'!K53</f>
        <v>0</v>
      </c>
      <c r="L72" s="202">
        <f>'CF1'!L53+'CF2'!L53</f>
        <v>0</v>
      </c>
      <c r="M72" s="202">
        <f>'CF1'!M53+'CF2'!M53</f>
        <v>0</v>
      </c>
      <c r="N72" s="142">
        <f>'CF1'!N53+'CF2'!N53</f>
        <v>0</v>
      </c>
      <c r="O72" s="142">
        <f>'CF1'!O53+'CF2'!O53</f>
        <v>-1.5</v>
      </c>
      <c r="P72" s="142">
        <f>'CF1'!P53+'CF2'!P53</f>
        <v>-0.5</v>
      </c>
      <c r="Q72" s="142">
        <f>'CF1'!Q53+'CF2'!Q53</f>
        <v>-1.5</v>
      </c>
      <c r="R72" s="142">
        <f>'CF1'!R53+'CF2'!R53</f>
        <v>-15</v>
      </c>
      <c r="S72" s="142">
        <f>'CF1'!S53+'CF2'!S53</f>
        <v>-9.25</v>
      </c>
      <c r="T72" s="142">
        <f>'CF1'!T53+'CF2'!T53</f>
        <v>-73.953438874</v>
      </c>
      <c r="U72" s="142">
        <f>'CF1'!U53+'CF2'!U53</f>
        <v>-61.903438873999995</v>
      </c>
      <c r="V72" s="142">
        <f>'CF1'!V53+'CF2'!V53</f>
        <v>-61.903438873999995</v>
      </c>
      <c r="W72" s="142">
        <f>'CF1'!W53+'CF2'!W53</f>
        <v>-61.903438873999995</v>
      </c>
      <c r="X72" s="142">
        <f>'CF1'!X53+'CF2'!X53</f>
        <v>-125.69838026458828</v>
      </c>
      <c r="Y72" s="142">
        <f>'CF1'!Y53+'CF2'!Y53</f>
        <v>-125.69838026458828</v>
      </c>
      <c r="Z72" s="142">
        <f>'CF1'!Z53+'CF2'!Z53</f>
        <v>-125.69838026458828</v>
      </c>
      <c r="AA72" s="142">
        <f>'CF1'!AA53+'CF2'!AA53</f>
        <v>-125.69838026458828</v>
      </c>
      <c r="AB72" s="142">
        <f>'CF1'!AB53+'CF2'!AB53</f>
        <v>-125.69838026458828</v>
      </c>
      <c r="AC72" s="142">
        <f>'CF1'!AC53+'CF2'!AC53</f>
        <v>-125.69838026458828</v>
      </c>
      <c r="AD72" s="142">
        <f>'CF1'!AD53+'CF2'!AD53</f>
        <v>-125.69838026458828</v>
      </c>
      <c r="AE72" s="142">
        <f>'CF1'!AE53+'CF2'!AE53</f>
        <v>-125.69838026458828</v>
      </c>
      <c r="AF72" s="142">
        <f>'CF1'!AF53+'CF2'!AF53</f>
        <v>-125.69838026458828</v>
      </c>
      <c r="AG72" s="142">
        <f>'CF1'!AG53+'CF2'!AG53</f>
        <v>-125.69838026458828</v>
      </c>
      <c r="AH72" s="142">
        <f>'CF1'!AH53+'CF2'!AH53</f>
        <v>-125.69838026458828</v>
      </c>
      <c r="AI72" s="142">
        <f>'CF1'!AI53+'CF2'!AI53</f>
        <v>-125.69838026458828</v>
      </c>
      <c r="AJ72" s="142">
        <f>'CF1'!AJ53+'CF2'!AJ53</f>
        <v>-125.69838026458828</v>
      </c>
      <c r="AK72" s="142">
        <f>'CF1'!AK53+'CF2'!AK53</f>
        <v>-125.69838026458828</v>
      </c>
      <c r="AL72" s="142">
        <f>'CF1'!AL53+'CF2'!AL53</f>
        <v>-125.69838026458828</v>
      </c>
      <c r="AM72" s="142">
        <f>'CF1'!AM53+'CF2'!AM53</f>
        <v>-125.69838026458828</v>
      </c>
      <c r="AN72" s="142">
        <f>'CF1'!AN53+'CF2'!AN53</f>
        <v>-63.794941390588285</v>
      </c>
      <c r="AO72" s="142">
        <f>'CF1'!AO53+'CF2'!AO53</f>
        <v>0</v>
      </c>
      <c r="AP72" s="142">
        <f>'CF1'!AP53+'CF2'!AP53</f>
        <v>0</v>
      </c>
      <c r="AQ72" s="142">
        <f>'CF1'!AQ53+'CF2'!AQ53</f>
        <v>0</v>
      </c>
      <c r="AR72" s="142">
        <f>'CF1'!AR53+'CF2'!AR53</f>
        <v>0</v>
      </c>
      <c r="AS72" s="142">
        <f>'CF1'!AS53+'CF2'!AS53</f>
        <v>0</v>
      </c>
      <c r="AT72" s="142">
        <f>'CF1'!AT53+'CF2'!AT53</f>
        <v>0</v>
      </c>
      <c r="AU72" s="142">
        <f>'CF1'!AU53+'CF2'!AU53</f>
        <v>0</v>
      </c>
      <c r="AV72" s="142">
        <f>'CF1'!AV53+'CF2'!AV53</f>
        <v>0</v>
      </c>
      <c r="AW72" s="142">
        <f>'CF1'!AW53+'CF2'!AW53</f>
        <v>0</v>
      </c>
      <c r="AX72" s="142">
        <f>'CF1'!AX53+'CF2'!AX53</f>
        <v>0</v>
      </c>
      <c r="AY72" s="142">
        <f>'CF1'!AY53+'CF2'!AY53</f>
        <v>0</v>
      </c>
      <c r="AZ72" s="142">
        <f>'CF1'!AZ53+'CF2'!AZ53</f>
        <v>0</v>
      </c>
      <c r="BA72" s="142">
        <f>'CF1'!BA53+'CF2'!BA53</f>
        <v>0</v>
      </c>
      <c r="BB72" s="142">
        <f>'CF1'!BB53+'CF2'!BB53</f>
        <v>0</v>
      </c>
      <c r="BC72" s="142">
        <f>'CF1'!BC53+'CF2'!BC53</f>
        <v>0</v>
      </c>
      <c r="BD72" s="142">
        <f>'CF1'!BD53+'CF2'!BD53</f>
        <v>0</v>
      </c>
      <c r="BE72" s="142">
        <f>'CF1'!BE53+'CF2'!BE53</f>
        <v>0</v>
      </c>
      <c r="BF72" s="142">
        <f>'CF1'!BF53+'CF2'!BF53</f>
        <v>0</v>
      </c>
      <c r="BG72" s="142">
        <f>'CF1'!BG53+'CF2'!BG53</f>
        <v>0</v>
      </c>
      <c r="BH72" s="142">
        <f>'CF1'!BH53+'CF2'!BH53</f>
        <v>0</v>
      </c>
      <c r="BI72" s="142">
        <f>'CF1'!BI53+'CF2'!BI53</f>
        <v>0</v>
      </c>
      <c r="BJ72" s="142">
        <f>'CF1'!BJ53+'CF2'!BJ53</f>
        <v>0</v>
      </c>
      <c r="BK72" s="142">
        <f>'CF1'!BK53+'CF2'!BK53</f>
        <v>0</v>
      </c>
      <c r="BL72" s="142">
        <f>'CF1'!BL53+'CF2'!BL53</f>
        <v>0</v>
      </c>
      <c r="BM72" s="142">
        <f>'CF1'!BM53+'CF2'!BM53</f>
        <v>0</v>
      </c>
    </row>
    <row r="73" spans="1:65">
      <c r="A73" s="149"/>
      <c r="B73" s="140" t="s">
        <v>39</v>
      </c>
      <c r="C73" s="27"/>
      <c r="D73" s="131" t="s">
        <v>19</v>
      </c>
      <c r="E73" s="141">
        <f>SUM(F73:BM73)</f>
        <v>-32.599916270999998</v>
      </c>
      <c r="F73" s="202">
        <f>'CF1'!F54+'CF2'!F54</f>
        <v>0</v>
      </c>
      <c r="G73" s="202">
        <f>'CF1'!G54+'CF2'!G54</f>
        <v>0</v>
      </c>
      <c r="H73" s="202">
        <f>'CF1'!H54+'CF2'!H54</f>
        <v>0</v>
      </c>
      <c r="I73" s="202">
        <f>'CF1'!I54+'CF2'!I54</f>
        <v>0</v>
      </c>
      <c r="J73" s="202">
        <f>'CF1'!J54+'CF2'!J54</f>
        <v>0</v>
      </c>
      <c r="K73" s="202">
        <f>'CF1'!K54+'CF2'!K54</f>
        <v>0</v>
      </c>
      <c r="L73" s="202">
        <f>'CF1'!L54+'CF2'!L54</f>
        <v>0</v>
      </c>
      <c r="M73" s="202">
        <f>'CF1'!M54+'CF2'!M54</f>
        <v>0</v>
      </c>
      <c r="N73" s="142">
        <f>'CF1'!N54+'CF2'!N54</f>
        <v>0</v>
      </c>
      <c r="O73" s="142">
        <f>'CF1'!O54+'CF2'!O54</f>
        <v>0</v>
      </c>
      <c r="P73" s="142">
        <f>'CF1'!P54+'CF2'!P54</f>
        <v>0</v>
      </c>
      <c r="Q73" s="142">
        <f>'CF1'!Q54+'CF2'!Q54</f>
        <v>0</v>
      </c>
      <c r="R73" s="142">
        <f>'CF1'!R54+'CF2'!R54</f>
        <v>0</v>
      </c>
      <c r="S73" s="142">
        <f>'CF1'!S54+'CF2'!S54</f>
        <v>0</v>
      </c>
      <c r="T73" s="142">
        <f>'CF1'!T54+'CF2'!T54</f>
        <v>0</v>
      </c>
      <c r="U73" s="142">
        <f>'CF1'!U54+'CF2'!U54</f>
        <v>0</v>
      </c>
      <c r="V73" s="142">
        <f>'CF1'!V54+'CF2'!V54</f>
        <v>0</v>
      </c>
      <c r="W73" s="142">
        <f>'CF1'!W54+'CF2'!W54</f>
        <v>0</v>
      </c>
      <c r="X73" s="142">
        <f>'CF1'!X54+'CF2'!X54</f>
        <v>0</v>
      </c>
      <c r="Y73" s="142">
        <f>'CF1'!Y54+'CF2'!Y54</f>
        <v>0</v>
      </c>
      <c r="Z73" s="142">
        <f>'CF1'!Z54+'CF2'!Z54</f>
        <v>0</v>
      </c>
      <c r="AA73" s="142">
        <f>'CF1'!AA54+'CF2'!AA54</f>
        <v>0</v>
      </c>
      <c r="AB73" s="142">
        <f>'CF1'!AB54+'CF2'!AB54</f>
        <v>0</v>
      </c>
      <c r="AC73" s="142">
        <f>'CF1'!AC54+'CF2'!AC54</f>
        <v>0</v>
      </c>
      <c r="AD73" s="142">
        <f>'CF1'!AD54+'CF2'!AD54</f>
        <v>0</v>
      </c>
      <c r="AE73" s="142">
        <f>'CF1'!AE54+'CF2'!AE54</f>
        <v>0</v>
      </c>
      <c r="AF73" s="142">
        <f>'CF1'!AF54+'CF2'!AF54</f>
        <v>-8.7079154760000002</v>
      </c>
      <c r="AG73" s="142">
        <f>'CF1'!AG54+'CF2'!AG54</f>
        <v>-8.7079154760000002</v>
      </c>
      <c r="AH73" s="142">
        <f>'CF1'!AH54+'CF2'!AH54</f>
        <v>0</v>
      </c>
      <c r="AI73" s="142">
        <f>'CF1'!AI54+'CF2'!AI54</f>
        <v>0</v>
      </c>
      <c r="AJ73" s="142">
        <f>'CF1'!AJ54+'CF2'!AJ54</f>
        <v>-7.5920426594999997</v>
      </c>
      <c r="AK73" s="142">
        <f>'CF1'!AK54+'CF2'!AK54</f>
        <v>-7.5920426594999997</v>
      </c>
      <c r="AL73" s="142">
        <f>'CF1'!AL54+'CF2'!AL54</f>
        <v>0</v>
      </c>
      <c r="AM73" s="142">
        <f>'CF1'!AM54+'CF2'!AM54</f>
        <v>0</v>
      </c>
      <c r="AN73" s="142">
        <f>'CF1'!AN54+'CF2'!AN54</f>
        <v>0</v>
      </c>
      <c r="AO73" s="142">
        <f>'CF1'!AO54+'CF2'!AO54</f>
        <v>0</v>
      </c>
      <c r="AP73" s="142">
        <f>'CF1'!AP54+'CF2'!AP54</f>
        <v>0</v>
      </c>
      <c r="AQ73" s="142">
        <f>'CF1'!AQ54+'CF2'!AQ54</f>
        <v>0</v>
      </c>
      <c r="AR73" s="142">
        <f>'CF1'!AR54+'CF2'!AR54</f>
        <v>0</v>
      </c>
      <c r="AS73" s="142">
        <f>'CF1'!AS54+'CF2'!AS54</f>
        <v>0</v>
      </c>
      <c r="AT73" s="142">
        <f>'CF1'!AT54+'CF2'!AT54</f>
        <v>0</v>
      </c>
      <c r="AU73" s="142">
        <f>'CF1'!AU54+'CF2'!AU54</f>
        <v>0</v>
      </c>
      <c r="AV73" s="142">
        <f>'CF1'!AV54+'CF2'!AV54</f>
        <v>0</v>
      </c>
      <c r="AW73" s="142">
        <f>'CF1'!AW54+'CF2'!AW54</f>
        <v>0</v>
      </c>
      <c r="AX73" s="142">
        <f>'CF1'!AX54+'CF2'!AX54</f>
        <v>0</v>
      </c>
      <c r="AY73" s="142">
        <f>'CF1'!AY54+'CF2'!AY54</f>
        <v>0</v>
      </c>
      <c r="AZ73" s="142">
        <f>'CF1'!AZ54+'CF2'!AZ54</f>
        <v>0</v>
      </c>
      <c r="BA73" s="142">
        <f>'CF1'!BA54+'CF2'!BA54</f>
        <v>0</v>
      </c>
      <c r="BB73" s="142">
        <f>'CF1'!BB54+'CF2'!BB54</f>
        <v>0</v>
      </c>
      <c r="BC73" s="142">
        <f>'CF1'!BC54+'CF2'!BC54</f>
        <v>0</v>
      </c>
      <c r="BD73" s="142">
        <f>'CF1'!BD54+'CF2'!BD54</f>
        <v>0</v>
      </c>
      <c r="BE73" s="142">
        <f>'CF1'!BE54+'CF2'!BE54</f>
        <v>0</v>
      </c>
      <c r="BF73" s="142">
        <f>'CF1'!BF54+'CF2'!BF54</f>
        <v>0</v>
      </c>
      <c r="BG73" s="142">
        <f>'CF1'!BG54+'CF2'!BG54</f>
        <v>0</v>
      </c>
      <c r="BH73" s="142">
        <f>'CF1'!BH54+'CF2'!BH54</f>
        <v>0</v>
      </c>
      <c r="BI73" s="142">
        <f>'CF1'!BI54+'CF2'!BI54</f>
        <v>0</v>
      </c>
      <c r="BJ73" s="142">
        <f>'CF1'!BJ54+'CF2'!BJ54</f>
        <v>0</v>
      </c>
      <c r="BK73" s="142">
        <f>'CF1'!BK54+'CF2'!BK54</f>
        <v>0</v>
      </c>
      <c r="BL73" s="142">
        <f>'CF1'!BL54+'CF2'!BL54</f>
        <v>0</v>
      </c>
      <c r="BM73" s="142">
        <f>'CF1'!BM54+'CF2'!BM54</f>
        <v>0</v>
      </c>
    </row>
    <row r="74" spans="1:65">
      <c r="A74" s="149"/>
      <c r="B74" s="140" t="s">
        <v>141</v>
      </c>
      <c r="C74" s="27"/>
      <c r="D74" s="131" t="s">
        <v>19</v>
      </c>
      <c r="E74" s="141">
        <f>SUM(F74:BM74)</f>
        <v>-138.07654403207547</v>
      </c>
      <c r="F74" s="202">
        <f>'CF1'!F55+'CF2'!F55</f>
        <v>0</v>
      </c>
      <c r="G74" s="202">
        <f>'CF1'!G55+'CF2'!G55</f>
        <v>0</v>
      </c>
      <c r="H74" s="202">
        <f>'CF1'!H55+'CF2'!H55</f>
        <v>0</v>
      </c>
      <c r="I74" s="202">
        <f>'CF1'!I55+'CF2'!I55</f>
        <v>0</v>
      </c>
      <c r="J74" s="202">
        <f>'CF1'!J55+'CF2'!J55</f>
        <v>0</v>
      </c>
      <c r="K74" s="202">
        <f>'CF1'!K55+'CF2'!K55</f>
        <v>0</v>
      </c>
      <c r="L74" s="202">
        <f>'CF1'!L55+'CF2'!L55</f>
        <v>0</v>
      </c>
      <c r="M74" s="202">
        <f>'CF1'!M55+'CF2'!M55</f>
        <v>0</v>
      </c>
      <c r="N74" s="142">
        <f>'CF1'!N55+'CF2'!N55</f>
        <v>0</v>
      </c>
      <c r="O74" s="142">
        <f>'CF1'!O55+'CF2'!O55</f>
        <v>0</v>
      </c>
      <c r="P74" s="142">
        <f>'CF1'!P55+'CF2'!P55</f>
        <v>0</v>
      </c>
      <c r="Q74" s="142">
        <f>'CF1'!Q55+'CF2'!Q55</f>
        <v>0</v>
      </c>
      <c r="R74" s="142">
        <f>'CF1'!R55+'CF2'!R55</f>
        <v>0</v>
      </c>
      <c r="S74" s="142">
        <f>'CF1'!S55+'CF2'!S55</f>
        <v>0</v>
      </c>
      <c r="T74" s="142">
        <f>'CF1'!T55+'CF2'!T55</f>
        <v>-2.5981132075471702</v>
      </c>
      <c r="U74" s="142">
        <f>'CF1'!U55+'CF2'!U55</f>
        <v>-2.5981132075471702</v>
      </c>
      <c r="V74" s="142">
        <f>'CF1'!V55+'CF2'!V55</f>
        <v>-2.5981132075471702</v>
      </c>
      <c r="W74" s="142">
        <f>'CF1'!W55+'CF2'!W55</f>
        <v>-2.5981132075471702</v>
      </c>
      <c r="X74" s="142">
        <f>'CF1'!X55+'CF2'!X55</f>
        <v>-5.1962264150943405</v>
      </c>
      <c r="Y74" s="142">
        <f>'CF1'!Y55+'CF2'!Y55</f>
        <v>-5.1962264150943405</v>
      </c>
      <c r="Z74" s="142">
        <f>'CF1'!Z55+'CF2'!Z55</f>
        <v>-5.1962264150943405</v>
      </c>
      <c r="AA74" s="142">
        <f>'CF1'!AA55+'CF2'!AA55</f>
        <v>-5.1962264150943405</v>
      </c>
      <c r="AB74" s="142">
        <f>'CF1'!AB55+'CF2'!AB55</f>
        <v>-5.1962264150943405</v>
      </c>
      <c r="AC74" s="142">
        <f>'CF1'!AC55+'CF2'!AC55</f>
        <v>-5.1962264150943405</v>
      </c>
      <c r="AD74" s="142">
        <f>'CF1'!AD55+'CF2'!AD55</f>
        <v>-5.1962264150943405</v>
      </c>
      <c r="AE74" s="142">
        <f>'CF1'!AE55+'CF2'!AE55</f>
        <v>-29.279185069811312</v>
      </c>
      <c r="AF74" s="142">
        <f>'CF1'!AF55+'CF2'!AF55</f>
        <v>-5.1962264150943405</v>
      </c>
      <c r="AG74" s="142">
        <f>'CF1'!AG55+'CF2'!AG55</f>
        <v>-5.723829365094339</v>
      </c>
      <c r="AH74" s="142">
        <f>'CF1'!AH55+'CF2'!AH55</f>
        <v>-5.723829365094339</v>
      </c>
      <c r="AI74" s="142">
        <f>'CF1'!AI55+'CF2'!AI55</f>
        <v>-21.572294493396228</v>
      </c>
      <c r="AJ74" s="142">
        <f>'CF1'!AJ55+'CF2'!AJ55</f>
        <v>-5.1962264150943405</v>
      </c>
      <c r="AK74" s="142">
        <f>'CF1'!AK55+'CF2'!AK55</f>
        <v>-5.5796351900943399</v>
      </c>
      <c r="AL74" s="142">
        <f>'CF1'!AL55+'CF2'!AL55</f>
        <v>-5.5796351900943399</v>
      </c>
      <c r="AM74" s="142">
        <f>'CF1'!AM55+'CF2'!AM55</f>
        <v>-4.8409603018867848</v>
      </c>
      <c r="AN74" s="142">
        <f>'CF1'!AN55+'CF2'!AN55</f>
        <v>-2.6186844905660398</v>
      </c>
      <c r="AO74" s="142">
        <f>'CF1'!AO55+'CF2'!AO55</f>
        <v>0</v>
      </c>
      <c r="AP74" s="142">
        <f>'CF1'!AP55+'CF2'!AP55</f>
        <v>0</v>
      </c>
      <c r="AQ74" s="142">
        <f>'CF1'!AQ55+'CF2'!AQ55</f>
        <v>0</v>
      </c>
      <c r="AR74" s="142">
        <f>'CF1'!AR55+'CF2'!AR55</f>
        <v>0</v>
      </c>
      <c r="AS74" s="142">
        <f>'CF1'!AS55+'CF2'!AS55</f>
        <v>0</v>
      </c>
      <c r="AT74" s="142">
        <f>'CF1'!AT55+'CF2'!AT55</f>
        <v>0</v>
      </c>
      <c r="AU74" s="142">
        <f>'CF1'!AU55+'CF2'!AU55</f>
        <v>0</v>
      </c>
      <c r="AV74" s="142">
        <f>'CF1'!AV55+'CF2'!AV55</f>
        <v>0</v>
      </c>
      <c r="AW74" s="142">
        <f>'CF1'!AW55+'CF2'!AW55</f>
        <v>0</v>
      </c>
      <c r="AX74" s="142">
        <f>'CF1'!AX55+'CF2'!AX55</f>
        <v>0</v>
      </c>
      <c r="AY74" s="142">
        <f>'CF1'!AY55+'CF2'!AY55</f>
        <v>0</v>
      </c>
      <c r="AZ74" s="142">
        <f>'CF1'!AZ55+'CF2'!AZ55</f>
        <v>0</v>
      </c>
      <c r="BA74" s="142">
        <f>'CF1'!BA55+'CF2'!BA55</f>
        <v>0</v>
      </c>
      <c r="BB74" s="142">
        <f>'CF1'!BB55+'CF2'!BB55</f>
        <v>0</v>
      </c>
      <c r="BC74" s="142">
        <f>'CF1'!BC55+'CF2'!BC55</f>
        <v>0</v>
      </c>
      <c r="BD74" s="142">
        <f>'CF1'!BD55+'CF2'!BD55</f>
        <v>0</v>
      </c>
      <c r="BE74" s="142">
        <f>'CF1'!BE55+'CF2'!BE55</f>
        <v>0</v>
      </c>
      <c r="BF74" s="142">
        <f>'CF1'!BF55+'CF2'!BF55</f>
        <v>0</v>
      </c>
      <c r="BG74" s="142">
        <f>'CF1'!BG55+'CF2'!BG55</f>
        <v>0</v>
      </c>
      <c r="BH74" s="142">
        <f>'CF1'!BH55+'CF2'!BH55</f>
        <v>0</v>
      </c>
      <c r="BI74" s="142">
        <f>'CF1'!BI55+'CF2'!BI55</f>
        <v>0</v>
      </c>
      <c r="BJ74" s="142">
        <f>'CF1'!BJ55+'CF2'!BJ55</f>
        <v>0</v>
      </c>
      <c r="BK74" s="142">
        <f>'CF1'!BK55+'CF2'!BK55</f>
        <v>0</v>
      </c>
      <c r="BL74" s="142">
        <f>'CF1'!BL55+'CF2'!BL55</f>
        <v>0</v>
      </c>
      <c r="BM74" s="142">
        <f>'CF1'!BM55+'CF2'!BM55</f>
        <v>0</v>
      </c>
    </row>
    <row r="75" spans="1:65">
      <c r="A75" s="149"/>
      <c r="B75" s="140" t="s">
        <v>6</v>
      </c>
      <c r="C75" s="27"/>
      <c r="D75" s="131" t="s">
        <v>19</v>
      </c>
      <c r="E75" s="141">
        <f>SUM(F75:BM75)</f>
        <v>-158.99999999999997</v>
      </c>
      <c r="F75" s="202">
        <f>'CF1'!F56+'CF2'!F56</f>
        <v>-0.18152285999999998</v>
      </c>
      <c r="G75" s="202">
        <f>'CF1'!G56+'CF2'!G56</f>
        <v>-0.55836329000000007</v>
      </c>
      <c r="H75" s="202">
        <f>'CF1'!H56+'CF2'!H56</f>
        <v>-0.28356999999999999</v>
      </c>
      <c r="I75" s="202">
        <f>'CF1'!I56+'CF2'!I56</f>
        <v>-0.29047000000000001</v>
      </c>
      <c r="J75" s="202">
        <f>'CF1'!J56+'CF2'!J56</f>
        <v>-0.33546999999999999</v>
      </c>
      <c r="K75" s="202">
        <f>'CF1'!K56+'CF2'!K56</f>
        <v>-0.3448</v>
      </c>
      <c r="L75" s="202">
        <f>'CF1'!L56+'CF2'!L56</f>
        <v>-0.63933561999999999</v>
      </c>
      <c r="M75" s="202">
        <f>'CF1'!M56+'CF2'!M56</f>
        <v>-0.68847999999999998</v>
      </c>
      <c r="N75" s="142">
        <f>'CF1'!N56+'CF2'!N56</f>
        <v>-5.5783841626923074</v>
      </c>
      <c r="O75" s="142">
        <f>'CF1'!O56+'CF2'!O56</f>
        <v>-9.5783841626923092</v>
      </c>
      <c r="P75" s="142">
        <f>'CF1'!P56+'CF2'!P56</f>
        <v>-9.5783841626923092</v>
      </c>
      <c r="Q75" s="142">
        <f>'CF1'!Q56+'CF2'!Q56</f>
        <v>-5.5783841626923074</v>
      </c>
      <c r="R75" s="142">
        <f>'CF1'!R56+'CF2'!R56</f>
        <v>-5.5783841626923074</v>
      </c>
      <c r="S75" s="142">
        <f>'CF1'!S56+'CF2'!S56</f>
        <v>-5.5783841626923074</v>
      </c>
      <c r="T75" s="142">
        <f>'CF1'!T56+'CF2'!T56</f>
        <v>-5.5783841626923074</v>
      </c>
      <c r="U75" s="142">
        <f>'CF1'!U56+'CF2'!U56</f>
        <v>-5.5783841626923074</v>
      </c>
      <c r="V75" s="142">
        <f>'CF1'!V56+'CF2'!V56</f>
        <v>-5.5783841626923074</v>
      </c>
      <c r="W75" s="142">
        <f>'CF1'!W56+'CF2'!W56</f>
        <v>-5.5783841626923074</v>
      </c>
      <c r="X75" s="142">
        <f>'CF1'!X56+'CF2'!X56</f>
        <v>-5.5783841626923074</v>
      </c>
      <c r="Y75" s="142">
        <f>'CF1'!Y56+'CF2'!Y56</f>
        <v>-5.5783841626923074</v>
      </c>
      <c r="Z75" s="142">
        <f>'CF1'!Z56+'CF2'!Z56</f>
        <v>-5.5783841626923074</v>
      </c>
      <c r="AA75" s="142">
        <f>'CF1'!AA56+'CF2'!AA56</f>
        <v>-5.5783841626923074</v>
      </c>
      <c r="AB75" s="142">
        <f>'CF1'!AB56+'CF2'!AB56</f>
        <v>-5.5783841626923074</v>
      </c>
      <c r="AC75" s="142">
        <f>'CF1'!AC56+'CF2'!AC56</f>
        <v>-5.5783841626923074</v>
      </c>
      <c r="AD75" s="142">
        <f>'CF1'!AD56+'CF2'!AD56</f>
        <v>-5.5783841626923074</v>
      </c>
      <c r="AE75" s="142">
        <f>'CF1'!AE56+'CF2'!AE56</f>
        <v>-5.5783841626923074</v>
      </c>
      <c r="AF75" s="142">
        <f>'CF1'!AF56+'CF2'!AF56</f>
        <v>-5.5783841626923074</v>
      </c>
      <c r="AG75" s="142">
        <f>'CF1'!AG56+'CF2'!AG56</f>
        <v>-5.5783841626923074</v>
      </c>
      <c r="AH75" s="142">
        <f>'CF1'!AH56+'CF2'!AH56</f>
        <v>-5.5783841626923074</v>
      </c>
      <c r="AI75" s="142">
        <f>'CF1'!AI56+'CF2'!AI56</f>
        <v>-5.5783841626923074</v>
      </c>
      <c r="AJ75" s="142">
        <f>'CF1'!AJ56+'CF2'!AJ56</f>
        <v>-5.5783841626923074</v>
      </c>
      <c r="AK75" s="142">
        <f>'CF1'!AK56+'CF2'!AK56</f>
        <v>-5.5783841626923074</v>
      </c>
      <c r="AL75" s="142">
        <f>'CF1'!AL56+'CF2'!AL56</f>
        <v>-5.3983841626923077</v>
      </c>
      <c r="AM75" s="142">
        <f>'CF1'!AM56+'CF2'!AM56</f>
        <v>-5.3983841626923077</v>
      </c>
      <c r="AN75" s="142">
        <f>'CF1'!AN56+'CF2'!AN56</f>
        <v>-3</v>
      </c>
      <c r="AO75" s="142">
        <f>'CF1'!AO56+'CF2'!AO56</f>
        <v>0</v>
      </c>
      <c r="AP75" s="142">
        <f>'CF1'!AP56+'CF2'!AP56</f>
        <v>0</v>
      </c>
      <c r="AQ75" s="142">
        <f>'CF1'!AQ56+'CF2'!AQ56</f>
        <v>0</v>
      </c>
      <c r="AR75" s="142">
        <f>'CF1'!AR56+'CF2'!AR56</f>
        <v>0</v>
      </c>
      <c r="AS75" s="142">
        <f>'CF1'!AS56+'CF2'!AS56</f>
        <v>0</v>
      </c>
      <c r="AT75" s="142">
        <f>'CF1'!AT56+'CF2'!AT56</f>
        <v>0</v>
      </c>
      <c r="AU75" s="142">
        <f>'CF1'!AU56+'CF2'!AU56</f>
        <v>0</v>
      </c>
      <c r="AV75" s="142">
        <f>'CF1'!AV56+'CF2'!AV56</f>
        <v>0</v>
      </c>
      <c r="AW75" s="142">
        <f>'CF1'!AW56+'CF2'!AW56</f>
        <v>0</v>
      </c>
      <c r="AX75" s="142">
        <f>'CF1'!AX56+'CF2'!AX56</f>
        <v>0</v>
      </c>
      <c r="AY75" s="142">
        <f>'CF1'!AY56+'CF2'!AY56</f>
        <v>0</v>
      </c>
      <c r="AZ75" s="142">
        <f>'CF1'!AZ56+'CF2'!AZ56</f>
        <v>0</v>
      </c>
      <c r="BA75" s="142">
        <f>'CF1'!BA56+'CF2'!BA56</f>
        <v>0</v>
      </c>
      <c r="BB75" s="142">
        <f>'CF1'!BB56+'CF2'!BB56</f>
        <v>0</v>
      </c>
      <c r="BC75" s="142">
        <f>'CF1'!BC56+'CF2'!BC56</f>
        <v>0</v>
      </c>
      <c r="BD75" s="142">
        <f>'CF1'!BD56+'CF2'!BD56</f>
        <v>0</v>
      </c>
      <c r="BE75" s="142">
        <f>'CF1'!BE56+'CF2'!BE56</f>
        <v>0</v>
      </c>
      <c r="BF75" s="142">
        <f>'CF1'!BF56+'CF2'!BF56</f>
        <v>0</v>
      </c>
      <c r="BG75" s="142">
        <f>'CF1'!BG56+'CF2'!BG56</f>
        <v>0</v>
      </c>
      <c r="BH75" s="142">
        <f>'CF1'!BH56+'CF2'!BH56</f>
        <v>0</v>
      </c>
      <c r="BI75" s="142">
        <f>'CF1'!BI56+'CF2'!BI56</f>
        <v>0</v>
      </c>
      <c r="BJ75" s="142">
        <f>'CF1'!BJ56+'CF2'!BJ56</f>
        <v>0</v>
      </c>
      <c r="BK75" s="142">
        <f>'CF1'!BK56+'CF2'!BK56</f>
        <v>0</v>
      </c>
      <c r="BL75" s="142">
        <f>'CF1'!BL56+'CF2'!BL56</f>
        <v>0</v>
      </c>
      <c r="BM75" s="142">
        <f>'CF1'!BM56+'CF2'!BM56</f>
        <v>0</v>
      </c>
    </row>
    <row r="76" spans="1:65">
      <c r="A76" s="149"/>
      <c r="E76" s="138"/>
      <c r="F76" s="139"/>
      <c r="G76" s="139"/>
      <c r="H76" s="139"/>
      <c r="I76" s="139"/>
      <c r="J76" s="394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  <c r="AA76" s="139"/>
      <c r="AB76" s="139"/>
      <c r="AC76" s="139"/>
      <c r="AD76" s="139"/>
      <c r="AE76" s="139"/>
      <c r="AF76" s="139"/>
      <c r="AG76" s="139"/>
      <c r="AH76" s="139"/>
      <c r="AI76" s="139"/>
      <c r="AJ76" s="139"/>
      <c r="AK76" s="139"/>
      <c r="AL76" s="139"/>
      <c r="AM76" s="139"/>
      <c r="AN76" s="139"/>
      <c r="AO76" s="139"/>
      <c r="AP76" s="139"/>
      <c r="AQ76" s="139"/>
      <c r="AR76" s="139"/>
      <c r="AS76" s="139"/>
      <c r="AT76" s="139"/>
      <c r="AU76" s="139"/>
      <c r="AV76" s="139"/>
      <c r="AW76" s="139"/>
      <c r="AX76" s="139"/>
      <c r="AY76" s="139"/>
      <c r="AZ76" s="139"/>
      <c r="BA76" s="139"/>
      <c r="BB76" s="139"/>
      <c r="BC76" s="139"/>
      <c r="BD76" s="139"/>
      <c r="BE76" s="139"/>
      <c r="BF76" s="139"/>
      <c r="BG76" s="139"/>
      <c r="BH76" s="139"/>
      <c r="BI76" s="139"/>
      <c r="BJ76" s="139"/>
      <c r="BK76" s="139"/>
      <c r="BL76" s="139"/>
      <c r="BM76" s="139"/>
    </row>
    <row r="77" spans="1:65">
      <c r="A77" s="149"/>
      <c r="E77" s="395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  <c r="AA77" s="139"/>
      <c r="AB77" s="139"/>
      <c r="AC77" s="139"/>
      <c r="AD77" s="139"/>
      <c r="AE77" s="139"/>
      <c r="AF77" s="139"/>
      <c r="AG77" s="139"/>
      <c r="AH77" s="139"/>
      <c r="AI77" s="139"/>
      <c r="AJ77" s="139"/>
      <c r="AK77" s="139"/>
      <c r="AL77" s="139"/>
      <c r="AM77" s="139"/>
      <c r="AN77" s="139"/>
      <c r="AO77" s="139"/>
      <c r="AP77" s="139"/>
      <c r="AQ77" s="139"/>
      <c r="AR77" s="139"/>
      <c r="AS77" s="139"/>
      <c r="AT77" s="139"/>
      <c r="AU77" s="139"/>
      <c r="AV77" s="139"/>
      <c r="AW77" s="139"/>
      <c r="AX77" s="139"/>
      <c r="AY77" s="139"/>
      <c r="AZ77" s="139"/>
      <c r="BA77" s="139"/>
      <c r="BB77" s="139"/>
      <c r="BC77" s="139"/>
      <c r="BD77" s="139"/>
      <c r="BE77" s="139"/>
      <c r="BF77" s="139"/>
      <c r="BG77" s="139"/>
      <c r="BH77" s="139"/>
      <c r="BI77" s="139"/>
      <c r="BJ77" s="139"/>
      <c r="BK77" s="139"/>
      <c r="BL77" s="139"/>
      <c r="BM77" s="139"/>
    </row>
    <row r="78" spans="1:65">
      <c r="A78" s="149"/>
      <c r="B78" s="177" t="s">
        <v>13</v>
      </c>
      <c r="C78" s="177"/>
      <c r="D78" s="178" t="s">
        <v>19</v>
      </c>
      <c r="E78" s="179">
        <f t="shared" ref="E78:E93" si="207">SUM(F78:BM78)</f>
        <v>-47750.705783732476</v>
      </c>
      <c r="F78" s="180">
        <f t="shared" ref="F78:AK78" si="208">SUM(F79:F93)</f>
        <v>0</v>
      </c>
      <c r="G78" s="180">
        <f t="shared" si="208"/>
        <v>0</v>
      </c>
      <c r="H78" s="180">
        <f t="shared" si="208"/>
        <v>0</v>
      </c>
      <c r="I78" s="180">
        <f t="shared" si="208"/>
        <v>0</v>
      </c>
      <c r="J78" s="180">
        <f t="shared" si="208"/>
        <v>0</v>
      </c>
      <c r="K78" s="180">
        <f t="shared" si="208"/>
        <v>0</v>
      </c>
      <c r="L78" s="180">
        <f t="shared" si="208"/>
        <v>0</v>
      </c>
      <c r="M78" s="180">
        <f t="shared" si="208"/>
        <v>0</v>
      </c>
      <c r="N78" s="180">
        <f t="shared" si="208"/>
        <v>-110.49574396277761</v>
      </c>
      <c r="O78" s="180">
        <f t="shared" si="208"/>
        <v>-159.92522396277761</v>
      </c>
      <c r="P78" s="180">
        <f t="shared" si="208"/>
        <v>-3932.6830239627775</v>
      </c>
      <c r="Q78" s="180">
        <f t="shared" si="208"/>
        <v>-662.8343114627778</v>
      </c>
      <c r="R78" s="180">
        <f t="shared" si="208"/>
        <v>-924.09968340277771</v>
      </c>
      <c r="S78" s="180">
        <f t="shared" si="208"/>
        <v>-1556.4300479165372</v>
      </c>
      <c r="T78" s="180">
        <f t="shared" si="208"/>
        <v>-2392.0935446553071</v>
      </c>
      <c r="U78" s="180">
        <f t="shared" si="208"/>
        <v>-2371.1565609729369</v>
      </c>
      <c r="V78" s="180">
        <f t="shared" si="208"/>
        <v>-2717.8611842409368</v>
      </c>
      <c r="W78" s="180">
        <f t="shared" si="208"/>
        <v>-2177.6048352984367</v>
      </c>
      <c r="X78" s="180">
        <f t="shared" si="208"/>
        <v>-3231.1629030618319</v>
      </c>
      <c r="Y78" s="180">
        <f t="shared" si="208"/>
        <v>-3233.9258278918314</v>
      </c>
      <c r="Z78" s="180">
        <f t="shared" si="208"/>
        <v>-3233.9258278918314</v>
      </c>
      <c r="AA78" s="180">
        <f t="shared" si="208"/>
        <v>-2842.6384232603978</v>
      </c>
      <c r="AB78" s="180">
        <f t="shared" si="208"/>
        <v>-2858.938381395898</v>
      </c>
      <c r="AC78" s="180">
        <f t="shared" si="208"/>
        <v>-3029.2511577658979</v>
      </c>
      <c r="AD78" s="180">
        <f t="shared" si="208"/>
        <v>-2922.1261053758981</v>
      </c>
      <c r="AE78" s="180">
        <f t="shared" si="208"/>
        <v>-2858.938381395898</v>
      </c>
      <c r="AF78" s="180">
        <f t="shared" si="208"/>
        <v>-1647.2331435949372</v>
      </c>
      <c r="AG78" s="180">
        <f t="shared" si="208"/>
        <v>-1635.204181050937</v>
      </c>
      <c r="AH78" s="180">
        <f t="shared" si="208"/>
        <v>-1598.7010805265975</v>
      </c>
      <c r="AI78" s="180">
        <f t="shared" si="208"/>
        <v>-1513.4453015523857</v>
      </c>
      <c r="AJ78" s="180">
        <f t="shared" si="208"/>
        <v>-59.204033583009597</v>
      </c>
      <c r="AK78" s="180">
        <f t="shared" si="208"/>
        <v>-56.441108753009601</v>
      </c>
      <c r="AL78" s="180">
        <f t="shared" ref="AL78:BM78" si="209">SUM(AL79:AL93)</f>
        <v>-24.385766794071682</v>
      </c>
      <c r="AM78" s="180">
        <f t="shared" si="209"/>
        <v>0</v>
      </c>
      <c r="AN78" s="180">
        <f t="shared" si="209"/>
        <v>0</v>
      </c>
      <c r="AO78" s="180">
        <f t="shared" si="209"/>
        <v>0</v>
      </c>
      <c r="AP78" s="180">
        <f t="shared" si="209"/>
        <v>0</v>
      </c>
      <c r="AQ78" s="180">
        <f t="shared" si="209"/>
        <v>0</v>
      </c>
      <c r="AR78" s="180">
        <f t="shared" si="209"/>
        <v>0</v>
      </c>
      <c r="AS78" s="180">
        <f t="shared" si="209"/>
        <v>0</v>
      </c>
      <c r="AT78" s="180">
        <f t="shared" si="209"/>
        <v>0</v>
      </c>
      <c r="AU78" s="180">
        <f t="shared" si="209"/>
        <v>0</v>
      </c>
      <c r="AV78" s="180">
        <f t="shared" si="209"/>
        <v>0</v>
      </c>
      <c r="AW78" s="180">
        <f t="shared" si="209"/>
        <v>0</v>
      </c>
      <c r="AX78" s="180">
        <f t="shared" si="209"/>
        <v>0</v>
      </c>
      <c r="AY78" s="180">
        <f t="shared" si="209"/>
        <v>0</v>
      </c>
      <c r="AZ78" s="180">
        <f t="shared" si="209"/>
        <v>0</v>
      </c>
      <c r="BA78" s="180">
        <f t="shared" si="209"/>
        <v>0</v>
      </c>
      <c r="BB78" s="180">
        <f t="shared" si="209"/>
        <v>0</v>
      </c>
      <c r="BC78" s="180">
        <f t="shared" si="209"/>
        <v>0</v>
      </c>
      <c r="BD78" s="180">
        <f t="shared" si="209"/>
        <v>0</v>
      </c>
      <c r="BE78" s="180">
        <f t="shared" si="209"/>
        <v>0</v>
      </c>
      <c r="BF78" s="180">
        <f t="shared" si="209"/>
        <v>0</v>
      </c>
      <c r="BG78" s="180">
        <f t="shared" si="209"/>
        <v>0</v>
      </c>
      <c r="BH78" s="180">
        <f t="shared" si="209"/>
        <v>0</v>
      </c>
      <c r="BI78" s="180">
        <f t="shared" si="209"/>
        <v>0</v>
      </c>
      <c r="BJ78" s="180">
        <f t="shared" si="209"/>
        <v>0</v>
      </c>
      <c r="BK78" s="180">
        <f t="shared" si="209"/>
        <v>0</v>
      </c>
      <c r="BL78" s="180">
        <f t="shared" si="209"/>
        <v>0</v>
      </c>
      <c r="BM78" s="180">
        <f t="shared" si="209"/>
        <v>0</v>
      </c>
    </row>
    <row r="79" spans="1:65">
      <c r="A79" s="149"/>
      <c r="B79" s="140" t="s">
        <v>31</v>
      </c>
      <c r="C79" s="27"/>
      <c r="D79" s="131" t="s">
        <v>19</v>
      </c>
      <c r="E79" s="141">
        <f t="shared" si="207"/>
        <v>-3841.3457539823703</v>
      </c>
      <c r="F79" s="202">
        <f>'CF1'!F60+'CF2'!F60</f>
        <v>0</v>
      </c>
      <c r="G79" s="202">
        <f>'CF1'!G60+'CF2'!G60</f>
        <v>0</v>
      </c>
      <c r="H79" s="202">
        <f>'CF1'!H60+'CF2'!H60</f>
        <v>0</v>
      </c>
      <c r="I79" s="202">
        <f>'CF1'!I60+'CF2'!I60</f>
        <v>0</v>
      </c>
      <c r="J79" s="202">
        <f>'CF1'!J60+'CF2'!J60</f>
        <v>0</v>
      </c>
      <c r="K79" s="202">
        <f>'CF1'!K60+'CF2'!K60</f>
        <v>0</v>
      </c>
      <c r="L79" s="202">
        <f>'CF1'!L60+'CF2'!L60</f>
        <v>0</v>
      </c>
      <c r="M79" s="202">
        <f>'CF1'!M60+'CF2'!M60</f>
        <v>0</v>
      </c>
      <c r="N79" s="142">
        <f>'CF1'!N60+'CF2'!N60</f>
        <v>0</v>
      </c>
      <c r="O79" s="142">
        <f>'CF1'!O60+'CF2'!O60</f>
        <v>0</v>
      </c>
      <c r="P79" s="142">
        <f>'CF1'!P60+'CF2'!P60</f>
        <v>-3545</v>
      </c>
      <c r="Q79" s="142">
        <f>'CF1'!Q60+'CF2'!Q60</f>
        <v>0</v>
      </c>
      <c r="R79" s="142">
        <f>'CF1'!R60+'CF2'!R60</f>
        <v>0</v>
      </c>
      <c r="S79" s="142">
        <f>'CF1'!S60+'CF2'!S60</f>
        <v>0</v>
      </c>
      <c r="T79" s="142">
        <f>'CF1'!T60+'CF2'!T60</f>
        <v>-296.34575398237018</v>
      </c>
      <c r="U79" s="142">
        <f>'CF1'!U60+'CF2'!U60</f>
        <v>0</v>
      </c>
      <c r="V79" s="142">
        <f>'CF1'!V60+'CF2'!V60</f>
        <v>0</v>
      </c>
      <c r="W79" s="142">
        <f>'CF1'!W60+'CF2'!W60</f>
        <v>0</v>
      </c>
      <c r="X79" s="142">
        <f>'CF1'!X60+'CF2'!X60</f>
        <v>0</v>
      </c>
      <c r="Y79" s="142">
        <f>'CF1'!Y60+'CF2'!Y60</f>
        <v>0</v>
      </c>
      <c r="Z79" s="142">
        <f>'CF1'!Z60+'CF2'!Z60</f>
        <v>0</v>
      </c>
      <c r="AA79" s="142">
        <f>'CF1'!AA60+'CF2'!AA60</f>
        <v>0</v>
      </c>
      <c r="AB79" s="142">
        <f>'CF1'!AB60+'CF2'!AB60</f>
        <v>0</v>
      </c>
      <c r="AC79" s="142">
        <f>'CF1'!AC60+'CF2'!AC60</f>
        <v>0</v>
      </c>
      <c r="AD79" s="142">
        <f>'CF1'!AD60+'CF2'!AD60</f>
        <v>0</v>
      </c>
      <c r="AE79" s="142">
        <f>'CF1'!AE60+'CF2'!AE60</f>
        <v>0</v>
      </c>
      <c r="AF79" s="142">
        <f>'CF1'!AF60+'CF2'!AF60</f>
        <v>0</v>
      </c>
      <c r="AG79" s="142">
        <f>'CF1'!AG60+'CF2'!AG60</f>
        <v>0</v>
      </c>
      <c r="AH79" s="142">
        <f>'CF1'!AH60+'CF2'!AH60</f>
        <v>0</v>
      </c>
      <c r="AI79" s="142">
        <f>'CF1'!AI60+'CF2'!AI60</f>
        <v>0</v>
      </c>
      <c r="AJ79" s="142">
        <f>'CF1'!AJ60+'CF2'!AJ60</f>
        <v>0</v>
      </c>
      <c r="AK79" s="142">
        <f>'CF1'!AK60+'CF2'!AK60</f>
        <v>0</v>
      </c>
      <c r="AL79" s="142">
        <f>'CF1'!AL60+'CF2'!AL60</f>
        <v>0</v>
      </c>
      <c r="AM79" s="142">
        <f>'CF1'!AM60+'CF2'!AM60</f>
        <v>0</v>
      </c>
      <c r="AN79" s="142">
        <f>'CF1'!AN60+'CF2'!AN60</f>
        <v>0</v>
      </c>
      <c r="AO79" s="142">
        <f>'CF1'!AO60+'CF2'!AO60</f>
        <v>0</v>
      </c>
      <c r="AP79" s="142">
        <f>'CF1'!AP60+'CF2'!AP60</f>
        <v>0</v>
      </c>
      <c r="AQ79" s="142">
        <f>'CF1'!AQ60+'CF2'!AQ60</f>
        <v>0</v>
      </c>
      <c r="AR79" s="142">
        <f>'CF1'!AR60+'CF2'!AR60</f>
        <v>0</v>
      </c>
      <c r="AS79" s="142">
        <f>'CF1'!AS60+'CF2'!AS60</f>
        <v>0</v>
      </c>
      <c r="AT79" s="142">
        <f>'CF1'!AT60+'CF2'!AT60</f>
        <v>0</v>
      </c>
      <c r="AU79" s="142">
        <f>'CF1'!AU60+'CF2'!AU60</f>
        <v>0</v>
      </c>
      <c r="AV79" s="142">
        <f>'CF1'!AV60+'CF2'!AV60</f>
        <v>0</v>
      </c>
      <c r="AW79" s="142">
        <f>'CF1'!AW60+'CF2'!AW60</f>
        <v>0</v>
      </c>
      <c r="AX79" s="142">
        <f>'CF1'!AX60+'CF2'!AX60</f>
        <v>0</v>
      </c>
      <c r="AY79" s="142">
        <f>'CF1'!AY60+'CF2'!AY60</f>
        <v>0</v>
      </c>
      <c r="AZ79" s="142">
        <f>'CF1'!AZ60+'CF2'!AZ60</f>
        <v>0</v>
      </c>
      <c r="BA79" s="142">
        <f>'CF1'!BA60+'CF2'!BA60</f>
        <v>0</v>
      </c>
      <c r="BB79" s="142">
        <f>'CF1'!BB60+'CF2'!BB60</f>
        <v>0</v>
      </c>
      <c r="BC79" s="142">
        <f>'CF1'!BC60+'CF2'!BC60</f>
        <v>0</v>
      </c>
      <c r="BD79" s="142">
        <f>'CF1'!BD60+'CF2'!BD60</f>
        <v>0</v>
      </c>
      <c r="BE79" s="142">
        <f>'CF1'!BE60+'CF2'!BE60</f>
        <v>0</v>
      </c>
      <c r="BF79" s="142">
        <f>'CF1'!BF60+'CF2'!BF60</f>
        <v>0</v>
      </c>
      <c r="BG79" s="142">
        <f>'CF1'!BG60+'CF2'!BG60</f>
        <v>0</v>
      </c>
      <c r="BH79" s="142">
        <f>'CF1'!BH60+'CF2'!BH60</f>
        <v>0</v>
      </c>
      <c r="BI79" s="142">
        <f>'CF1'!BI60+'CF2'!BI60</f>
        <v>0</v>
      </c>
      <c r="BJ79" s="142">
        <f>'CF1'!BJ60+'CF2'!BJ60</f>
        <v>0</v>
      </c>
      <c r="BK79" s="142">
        <f>'CF1'!BK60+'CF2'!BK60</f>
        <v>0</v>
      </c>
      <c r="BL79" s="142">
        <f>'CF1'!BL60+'CF2'!BL60</f>
        <v>0</v>
      </c>
      <c r="BM79" s="142">
        <f>'CF1'!BM60+'CF2'!BM60</f>
        <v>0</v>
      </c>
    </row>
    <row r="80" spans="1:65">
      <c r="A80" s="149"/>
      <c r="B80" s="140" t="s">
        <v>10</v>
      </c>
      <c r="C80" s="27"/>
      <c r="D80" s="131" t="s">
        <v>19</v>
      </c>
      <c r="E80" s="141">
        <f t="shared" si="207"/>
        <v>-4689.294757227216</v>
      </c>
      <c r="F80" s="382">
        <f>'CF1'!F61+'CF2'!F61</f>
        <v>0</v>
      </c>
      <c r="G80" s="382">
        <f>'CF1'!G61+'CF2'!G61</f>
        <v>0</v>
      </c>
      <c r="H80" s="382">
        <f>'CF1'!H61+'CF2'!H61</f>
        <v>0</v>
      </c>
      <c r="I80" s="382">
        <f>'CF1'!I61+'CF2'!I61</f>
        <v>0</v>
      </c>
      <c r="J80" s="382">
        <f>'CF1'!J61+'CF2'!J61</f>
        <v>0</v>
      </c>
      <c r="K80" s="382">
        <f>'CF1'!K61+'CF2'!K61</f>
        <v>0</v>
      </c>
      <c r="L80" s="382">
        <f>'CF1'!L61+'CF2'!L61</f>
        <v>0</v>
      </c>
      <c r="M80" s="382">
        <f>'CF1'!M61+'CF2'!M61</f>
        <v>0</v>
      </c>
      <c r="N80" s="144">
        <f>'CF1'!N61+'CF2'!N61</f>
        <v>0</v>
      </c>
      <c r="O80" s="144">
        <f>'CF1'!O61+'CF2'!O61</f>
        <v>0</v>
      </c>
      <c r="P80" s="144">
        <f>'CF1'!P61+'CF2'!P61</f>
        <v>0</v>
      </c>
      <c r="Q80" s="144">
        <f>'CF1'!Q61+'CF2'!Q61</f>
        <v>0</v>
      </c>
      <c r="R80" s="144">
        <f>'CF1'!R61+'CF2'!R61</f>
        <v>0</v>
      </c>
      <c r="S80" s="144">
        <f>'CF1'!S61+'CF2'!S61</f>
        <v>-598.05656531169802</v>
      </c>
      <c r="T80" s="144">
        <f>'CF1'!T61+'CF2'!T61</f>
        <v>-598.05656531169802</v>
      </c>
      <c r="U80" s="144">
        <f>'CF1'!U61+'CF2'!U61</f>
        <v>-598.05656531169802</v>
      </c>
      <c r="V80" s="144">
        <f>'CF1'!V61+'CF2'!V61</f>
        <v>-598.05656531169802</v>
      </c>
      <c r="W80" s="144">
        <f>'CF1'!W61+'CF2'!W61</f>
        <v>-444.15205548796712</v>
      </c>
      <c r="X80" s="144">
        <f>'CF1'!X61+'CF2'!X61</f>
        <v>-444.15205548796712</v>
      </c>
      <c r="Y80" s="144">
        <f>'CF1'!Y61+'CF2'!Y61</f>
        <v>-444.15205548796712</v>
      </c>
      <c r="Z80" s="144">
        <f>'CF1'!Z61+'CF2'!Z61</f>
        <v>-444.15205548796712</v>
      </c>
      <c r="AA80" s="144">
        <f>'CF1'!AA61+'CF2'!AA61</f>
        <v>-52.864650856533494</v>
      </c>
      <c r="AB80" s="144">
        <f>'CF1'!AB61+'CF2'!AB61</f>
        <v>-52.864650856533494</v>
      </c>
      <c r="AC80" s="144">
        <f>'CF1'!AC61+'CF2'!AC61</f>
        <v>-52.864650856533494</v>
      </c>
      <c r="AD80" s="144">
        <f>'CF1'!AD61+'CF2'!AD61</f>
        <v>-52.864650856533494</v>
      </c>
      <c r="AE80" s="144">
        <f>'CF1'!AE61+'CF2'!AE61</f>
        <v>-52.864650856533494</v>
      </c>
      <c r="AF80" s="144">
        <f>'CF1'!AF61+'CF2'!AF61</f>
        <v>-52.864650856533494</v>
      </c>
      <c r="AG80" s="144">
        <f>'CF1'!AG61+'CF2'!AG61</f>
        <v>-52.864650856533494</v>
      </c>
      <c r="AH80" s="144">
        <f>'CF1'!AH61+'CF2'!AH61</f>
        <v>-52.864650856533494</v>
      </c>
      <c r="AI80" s="144">
        <f>'CF1'!AI61+'CF2'!AI61</f>
        <v>-24.385766794071682</v>
      </c>
      <c r="AJ80" s="144">
        <f>'CF1'!AJ61+'CF2'!AJ61</f>
        <v>-24.385766794071682</v>
      </c>
      <c r="AK80" s="144">
        <f>'CF1'!AK61+'CF2'!AK61</f>
        <v>-24.385766794071682</v>
      </c>
      <c r="AL80" s="144">
        <f>'CF1'!AL61+'CF2'!AL61</f>
        <v>-24.385766794071682</v>
      </c>
      <c r="AM80" s="144">
        <f>'CF1'!AM61+'CF2'!AM61</f>
        <v>0</v>
      </c>
      <c r="AN80" s="144">
        <f>'CF1'!AN61+'CF2'!AN61</f>
        <v>0</v>
      </c>
      <c r="AO80" s="144">
        <f>'CF1'!AO61+'CF2'!AO61</f>
        <v>0</v>
      </c>
      <c r="AP80" s="144">
        <f>'CF1'!AP61+'CF2'!AP61</f>
        <v>0</v>
      </c>
      <c r="AQ80" s="144">
        <f>'CF1'!AQ61+'CF2'!AQ61</f>
        <v>0</v>
      </c>
      <c r="AR80" s="144">
        <f>'CF1'!AR61+'CF2'!AR61</f>
        <v>0</v>
      </c>
      <c r="AS80" s="144">
        <f>'CF1'!AS61+'CF2'!AS61</f>
        <v>0</v>
      </c>
      <c r="AT80" s="144">
        <f>'CF1'!AT61+'CF2'!AT61</f>
        <v>0</v>
      </c>
      <c r="AU80" s="144">
        <f>'CF1'!AU61+'CF2'!AU61</f>
        <v>0</v>
      </c>
      <c r="AV80" s="144">
        <f>'CF1'!AV61+'CF2'!AV61</f>
        <v>0</v>
      </c>
      <c r="AW80" s="144">
        <f>'CF1'!AW61+'CF2'!AW61</f>
        <v>0</v>
      </c>
      <c r="AX80" s="144">
        <f>'CF1'!AX61+'CF2'!AX61</f>
        <v>0</v>
      </c>
      <c r="AY80" s="144">
        <f>'CF1'!AY61+'CF2'!AY61</f>
        <v>0</v>
      </c>
      <c r="AZ80" s="144">
        <f>'CF1'!AZ61+'CF2'!AZ61</f>
        <v>0</v>
      </c>
      <c r="BA80" s="144">
        <f>'CF1'!BA61+'CF2'!BA61</f>
        <v>0</v>
      </c>
      <c r="BB80" s="144">
        <f>'CF1'!BB61+'CF2'!BB61</f>
        <v>0</v>
      </c>
      <c r="BC80" s="144">
        <f>'CF1'!BC61+'CF2'!BC61</f>
        <v>0</v>
      </c>
      <c r="BD80" s="144">
        <f>'CF1'!BD61+'CF2'!BD61</f>
        <v>0</v>
      </c>
      <c r="BE80" s="144">
        <f>'CF1'!BE61+'CF2'!BE61</f>
        <v>0</v>
      </c>
      <c r="BF80" s="144">
        <f>'CF1'!BF61+'CF2'!BF61</f>
        <v>0</v>
      </c>
      <c r="BG80" s="144">
        <f>'CF1'!BG61+'CF2'!BG61</f>
        <v>0</v>
      </c>
      <c r="BH80" s="144">
        <f>'CF1'!BH61+'CF2'!BH61</f>
        <v>0</v>
      </c>
      <c r="BI80" s="144">
        <f>'CF1'!BI61+'CF2'!BI61</f>
        <v>0</v>
      </c>
      <c r="BJ80" s="144">
        <f>'CF1'!BJ61+'CF2'!BJ61</f>
        <v>0</v>
      </c>
      <c r="BK80" s="144">
        <f>'CF1'!BK61+'CF2'!BK61</f>
        <v>0</v>
      </c>
      <c r="BL80" s="144">
        <f>'CF1'!BL61+'CF2'!BL61</f>
        <v>0</v>
      </c>
      <c r="BM80" s="144">
        <f>'CF1'!BM61+'CF2'!BM61</f>
        <v>0</v>
      </c>
    </row>
    <row r="81" spans="1:65">
      <c r="A81" s="149"/>
      <c r="B81" s="140" t="s">
        <v>889</v>
      </c>
      <c r="C81" s="27"/>
      <c r="D81" s="131" t="s">
        <v>19</v>
      </c>
      <c r="E81" s="141">
        <f t="shared" si="207"/>
        <v>-235.91961748899996</v>
      </c>
      <c r="F81" s="202">
        <f>'CF1'!F62+'CF2'!F62</f>
        <v>0</v>
      </c>
      <c r="G81" s="202">
        <f>'CF1'!G62+'CF2'!G62</f>
        <v>0</v>
      </c>
      <c r="H81" s="202">
        <f>'CF1'!H62+'CF2'!H62</f>
        <v>0</v>
      </c>
      <c r="I81" s="202">
        <f>'CF1'!I62+'CF2'!I62</f>
        <v>0</v>
      </c>
      <c r="J81" s="202">
        <f>'CF1'!J62+'CF2'!J62</f>
        <v>0</v>
      </c>
      <c r="K81" s="202">
        <f>'CF1'!K62+'CF2'!K62</f>
        <v>0</v>
      </c>
      <c r="L81" s="202">
        <f>'CF1'!L62+'CF2'!L62</f>
        <v>0</v>
      </c>
      <c r="M81" s="202">
        <f>'CF1'!M62+'CF2'!M62</f>
        <v>0</v>
      </c>
      <c r="N81" s="142">
        <f>'CF1'!N62+'CF2'!N62</f>
        <v>-4.5640092614999999</v>
      </c>
      <c r="O81" s="142">
        <f>'CF1'!O62+'CF2'!O62</f>
        <v>-4.8560092614999997</v>
      </c>
      <c r="P81" s="142">
        <f>'CF1'!P62+'CF2'!P62</f>
        <v>-9.8560092614999988</v>
      </c>
      <c r="Q81" s="142">
        <f>'CF1'!Q62+'CF2'!Q62</f>
        <v>-4.8560092614999997</v>
      </c>
      <c r="R81" s="142">
        <f>'CF1'!R62+'CF2'!R62</f>
        <v>-5.1480092615000004</v>
      </c>
      <c r="S81" s="142">
        <f>'CF1'!S62+'CF2'!S62</f>
        <v>-3.8560092614999997</v>
      </c>
      <c r="T81" s="142">
        <f>'CF1'!T62+'CF2'!T62</f>
        <v>-1.7960160734999997</v>
      </c>
      <c r="U81" s="142">
        <f>'CF1'!U62+'CF2'!U62</f>
        <v>-1.7960160734999997</v>
      </c>
      <c r="V81" s="142">
        <f>'CF1'!V62+'CF2'!V62</f>
        <v>-1.7960160734999997</v>
      </c>
      <c r="W81" s="142">
        <f>'CF1'!W62+'CF2'!W62</f>
        <v>-1.7960160734999997</v>
      </c>
      <c r="X81" s="142">
        <f>'CF1'!X62+'CF2'!X62</f>
        <v>-8.7079154760000002</v>
      </c>
      <c r="Y81" s="142">
        <f>'CF1'!Y62+'CF2'!Y62</f>
        <v>-8.7079154760000002</v>
      </c>
      <c r="Z81" s="142">
        <f>'CF1'!Z62+'CF2'!Z62</f>
        <v>-8.7079154760000002</v>
      </c>
      <c r="AA81" s="142">
        <f>'CF1'!AA62+'CF2'!AA62</f>
        <v>-8.7079154760000002</v>
      </c>
      <c r="AB81" s="142">
        <f>'CF1'!AB62+'CF2'!AB62</f>
        <v>-25.007873611499999</v>
      </c>
      <c r="AC81" s="142">
        <f>'CF1'!AC62+'CF2'!AC62</f>
        <v>-25.007873611499999</v>
      </c>
      <c r="AD81" s="142">
        <f>'CF1'!AD62+'CF2'!AD62</f>
        <v>-25.007873611499999</v>
      </c>
      <c r="AE81" s="142">
        <f>'CF1'!AE62+'CF2'!AE62</f>
        <v>-25.007873611499999</v>
      </c>
      <c r="AF81" s="142">
        <f>'CF1'!AF62+'CF2'!AF62</f>
        <v>-15.184085318999999</v>
      </c>
      <c r="AG81" s="142">
        <f>'CF1'!AG62+'CF2'!AG62</f>
        <v>-15.184085318999999</v>
      </c>
      <c r="AH81" s="142">
        <f>'CF1'!AH62+'CF2'!AH62</f>
        <v>-15.184085318999999</v>
      </c>
      <c r="AI81" s="142">
        <f>'CF1'!AI62+'CF2'!AI62</f>
        <v>-15.184085318999999</v>
      </c>
      <c r="AJ81" s="142">
        <f>'CF1'!AJ62+'CF2'!AJ62</f>
        <v>0</v>
      </c>
      <c r="AK81" s="142">
        <f>'CF1'!AK62+'CF2'!AK62</f>
        <v>0</v>
      </c>
      <c r="AL81" s="142">
        <f>'CF1'!AL62+'CF2'!AL62</f>
        <v>0</v>
      </c>
      <c r="AM81" s="142">
        <f>'CF1'!AM62+'CF2'!AM62</f>
        <v>0</v>
      </c>
      <c r="AN81" s="142">
        <f>'CF1'!AN62+'CF2'!AN62</f>
        <v>0</v>
      </c>
      <c r="AO81" s="142">
        <f>'CF1'!AO62+'CF2'!AO62</f>
        <v>0</v>
      </c>
      <c r="AP81" s="142">
        <f>'CF1'!AP62+'CF2'!AP62</f>
        <v>0</v>
      </c>
      <c r="AQ81" s="142">
        <f>'CF1'!AQ62+'CF2'!AQ62</f>
        <v>0</v>
      </c>
      <c r="AR81" s="142">
        <f>'CF1'!AR62+'CF2'!AR62</f>
        <v>0</v>
      </c>
      <c r="AS81" s="142">
        <f>'CF1'!AS62+'CF2'!AS62</f>
        <v>0</v>
      </c>
      <c r="AT81" s="142">
        <f>'CF1'!AT62+'CF2'!AT62</f>
        <v>0</v>
      </c>
      <c r="AU81" s="142">
        <f>'CF1'!AU62+'CF2'!AU62</f>
        <v>0</v>
      </c>
      <c r="AV81" s="142">
        <f>'CF1'!AV62+'CF2'!AV62</f>
        <v>0</v>
      </c>
      <c r="AW81" s="142">
        <f>'CF1'!AW62+'CF2'!AW62</f>
        <v>0</v>
      </c>
      <c r="AX81" s="142">
        <f>'CF1'!AX62+'CF2'!AX62</f>
        <v>0</v>
      </c>
      <c r="AY81" s="142">
        <f>'CF1'!AY62+'CF2'!AY62</f>
        <v>0</v>
      </c>
      <c r="AZ81" s="142">
        <f>'CF1'!AZ62+'CF2'!AZ62</f>
        <v>0</v>
      </c>
      <c r="BA81" s="142">
        <f>'CF1'!BA62+'CF2'!BA62</f>
        <v>0</v>
      </c>
      <c r="BB81" s="142">
        <f>'CF1'!BB62+'CF2'!BB62</f>
        <v>0</v>
      </c>
      <c r="BC81" s="142">
        <f>'CF1'!BC62+'CF2'!BC62</f>
        <v>0</v>
      </c>
      <c r="BD81" s="142">
        <f>'CF1'!BD62+'CF2'!BD62</f>
        <v>0</v>
      </c>
      <c r="BE81" s="142">
        <f>'CF1'!BE62+'CF2'!BE62</f>
        <v>0</v>
      </c>
      <c r="BF81" s="142">
        <f>'CF1'!BF62+'CF2'!BF62</f>
        <v>0</v>
      </c>
      <c r="BG81" s="142">
        <f>'CF1'!BG62+'CF2'!BG62</f>
        <v>0</v>
      </c>
      <c r="BH81" s="142">
        <f>'CF1'!BH62+'CF2'!BH62</f>
        <v>0</v>
      </c>
      <c r="BI81" s="142">
        <f>'CF1'!BI62+'CF2'!BI62</f>
        <v>0</v>
      </c>
      <c r="BJ81" s="142">
        <f>'CF1'!BJ62+'CF2'!BJ62</f>
        <v>0</v>
      </c>
      <c r="BK81" s="142">
        <f>'CF1'!BK62+'CF2'!BK62</f>
        <v>0</v>
      </c>
      <c r="BL81" s="142">
        <f>'CF1'!BL62+'CF2'!BL62</f>
        <v>0</v>
      </c>
      <c r="BM81" s="142">
        <f>'CF1'!BM62+'CF2'!BM62</f>
        <v>0</v>
      </c>
    </row>
    <row r="82" spans="1:65">
      <c r="A82" s="149"/>
      <c r="B82" s="140" t="str">
        <f>'DB1'!B31</f>
        <v>ПРОЕКТИРОВАНИЕ (К+П+РД)</v>
      </c>
      <c r="C82" s="27"/>
      <c r="D82" s="131" t="s">
        <v>19</v>
      </c>
      <c r="E82" s="141">
        <f t="shared" si="207"/>
        <v>-1536.3104140000005</v>
      </c>
      <c r="F82" s="202">
        <f>'CF1'!F63+'CF2'!F63</f>
        <v>0</v>
      </c>
      <c r="G82" s="202">
        <f>'CF1'!G63+'CF2'!G63</f>
        <v>0</v>
      </c>
      <c r="H82" s="202">
        <f>'CF1'!H63+'CF2'!H63</f>
        <v>0</v>
      </c>
      <c r="I82" s="202">
        <f>'CF1'!I63+'CF2'!I63</f>
        <v>0</v>
      </c>
      <c r="J82" s="202">
        <f>'CF1'!J63+'CF2'!J63</f>
        <v>0</v>
      </c>
      <c r="K82" s="202">
        <f>'CF1'!K63+'CF2'!K63</f>
        <v>0</v>
      </c>
      <c r="L82" s="202">
        <f>'CF1'!L63+'CF2'!L63</f>
        <v>0</v>
      </c>
      <c r="M82" s="202">
        <f>'CF1'!M63+'CF2'!M63</f>
        <v>0</v>
      </c>
      <c r="N82" s="142">
        <f>'CF1'!N63+'CF2'!N63</f>
        <v>-25.795717766666662</v>
      </c>
      <c r="O82" s="142">
        <f>'CF1'!O63+'CF2'!O63</f>
        <v>-60.945717766666668</v>
      </c>
      <c r="P82" s="142">
        <f>'CF1'!P63+'CF2'!P63</f>
        <v>-100.44571776666665</v>
      </c>
      <c r="Q82" s="142">
        <f>'CF1'!Q63+'CF2'!Q63</f>
        <v>-104.69571776666665</v>
      </c>
      <c r="R82" s="142">
        <f>'CF1'!R63+'CF2'!R63</f>
        <v>-242.44571776666666</v>
      </c>
      <c r="S82" s="142">
        <f>'CF1'!S63+'CF2'!S63</f>
        <v>-28.95</v>
      </c>
      <c r="T82" s="142">
        <f>'CF1'!T63+'CF2'!T63</f>
        <v>-66.175302666666653</v>
      </c>
      <c r="U82" s="142">
        <f>'CF1'!U63+'CF2'!U63</f>
        <v>-82.055302666666663</v>
      </c>
      <c r="V82" s="142">
        <f>'CF1'!V63+'CF2'!V63</f>
        <v>-231.49530266666667</v>
      </c>
      <c r="W82" s="142">
        <f>'CF1'!W63+'CF2'!W63</f>
        <v>-26.375302666666663</v>
      </c>
      <c r="X82" s="142">
        <f>'CF1'!X63+'CF2'!X63</f>
        <v>-40.283938666666664</v>
      </c>
      <c r="Y82" s="142">
        <f>'CF1'!Y63+'CF2'!Y63</f>
        <v>-40.283938666666664</v>
      </c>
      <c r="Z82" s="142">
        <f>'CF1'!Z63+'CF2'!Z63</f>
        <v>-40.283938666666664</v>
      </c>
      <c r="AA82" s="142">
        <f>'CF1'!AA63+'CF2'!AA63</f>
        <v>-40.283938666666664</v>
      </c>
      <c r="AB82" s="142">
        <f>'CF1'!AB63+'CF2'!AB63</f>
        <v>-40.283938666666664</v>
      </c>
      <c r="AC82" s="142">
        <f>'CF1'!AC63+'CF2'!AC63</f>
        <v>-145.30849983333334</v>
      </c>
      <c r="AD82" s="142">
        <f>'CF1'!AD63+'CF2'!AD63</f>
        <v>-40.283938666666664</v>
      </c>
      <c r="AE82" s="142">
        <f>'CF1'!AE63+'CF2'!AE63</f>
        <v>-40.283938666666664</v>
      </c>
      <c r="AF82" s="142">
        <f>'CF1'!AF63+'CF2'!AF63</f>
        <v>-79.908636000000001</v>
      </c>
      <c r="AG82" s="142">
        <f>'CF1'!AG63+'CF2'!AG63</f>
        <v>-19.908636000000001</v>
      </c>
      <c r="AH82" s="142">
        <f>'CF1'!AH63+'CF2'!AH63</f>
        <v>-19.908636000000001</v>
      </c>
      <c r="AI82" s="142">
        <f>'CF1'!AI63+'CF2'!AI63</f>
        <v>-19.908636000000001</v>
      </c>
      <c r="AJ82" s="142">
        <f>'CF1'!AJ63+'CF2'!AJ63</f>
        <v>0</v>
      </c>
      <c r="AK82" s="142">
        <f>'CF1'!AK63+'CF2'!AK63</f>
        <v>0</v>
      </c>
      <c r="AL82" s="142">
        <f>'CF1'!AL63+'CF2'!AL63</f>
        <v>0</v>
      </c>
      <c r="AM82" s="142">
        <f>'CF1'!AM63+'CF2'!AM63</f>
        <v>0</v>
      </c>
      <c r="AN82" s="142">
        <f>'CF1'!AN63+'CF2'!AN63</f>
        <v>0</v>
      </c>
      <c r="AO82" s="142">
        <f>'CF1'!AO63+'CF2'!AO63</f>
        <v>0</v>
      </c>
      <c r="AP82" s="142">
        <f>'CF1'!AP63+'CF2'!AP63</f>
        <v>0</v>
      </c>
      <c r="AQ82" s="142">
        <f>'CF1'!AQ63+'CF2'!AQ63</f>
        <v>0</v>
      </c>
      <c r="AR82" s="142">
        <f>'CF1'!AR63+'CF2'!AR63</f>
        <v>0</v>
      </c>
      <c r="AS82" s="142">
        <f>'CF1'!AS63+'CF2'!AS63</f>
        <v>0</v>
      </c>
      <c r="AT82" s="142">
        <f>'CF1'!AT63+'CF2'!AT63</f>
        <v>0</v>
      </c>
      <c r="AU82" s="142">
        <f>'CF1'!AU63+'CF2'!AU63</f>
        <v>0</v>
      </c>
      <c r="AV82" s="142">
        <f>'CF1'!AV63+'CF2'!AV63</f>
        <v>0</v>
      </c>
      <c r="AW82" s="142">
        <f>'CF1'!AW63+'CF2'!AW63</f>
        <v>0</v>
      </c>
      <c r="AX82" s="142">
        <f>'CF1'!AX63+'CF2'!AX63</f>
        <v>0</v>
      </c>
      <c r="AY82" s="142">
        <f>'CF1'!AY63+'CF2'!AY63</f>
        <v>0</v>
      </c>
      <c r="AZ82" s="142">
        <f>'CF1'!AZ63+'CF2'!AZ63</f>
        <v>0</v>
      </c>
      <c r="BA82" s="142">
        <f>'CF1'!BA63+'CF2'!BA63</f>
        <v>0</v>
      </c>
      <c r="BB82" s="142">
        <f>'CF1'!BB63+'CF2'!BB63</f>
        <v>0</v>
      </c>
      <c r="BC82" s="142">
        <f>'CF1'!BC63+'CF2'!BC63</f>
        <v>0</v>
      </c>
      <c r="BD82" s="142">
        <f>'CF1'!BD63+'CF2'!BD63</f>
        <v>0</v>
      </c>
      <c r="BE82" s="142">
        <f>'CF1'!BE63+'CF2'!BE63</f>
        <v>0</v>
      </c>
      <c r="BF82" s="142">
        <f>'CF1'!BF63+'CF2'!BF63</f>
        <v>0</v>
      </c>
      <c r="BG82" s="142">
        <f>'CF1'!BG63+'CF2'!BG63</f>
        <v>0</v>
      </c>
      <c r="BH82" s="142">
        <f>'CF1'!BH63+'CF2'!BH63</f>
        <v>0</v>
      </c>
      <c r="BI82" s="142">
        <f>'CF1'!BI63+'CF2'!BI63</f>
        <v>0</v>
      </c>
      <c r="BJ82" s="142">
        <f>'CF1'!BJ63+'CF2'!BJ63</f>
        <v>0</v>
      </c>
      <c r="BK82" s="142">
        <f>'CF1'!BK63+'CF2'!BK63</f>
        <v>0</v>
      </c>
      <c r="BL82" s="142">
        <f>'CF1'!BL63+'CF2'!BL63</f>
        <v>0</v>
      </c>
      <c r="BM82" s="142">
        <f>'CF1'!BM63+'CF2'!BM63</f>
        <v>0</v>
      </c>
    </row>
    <row r="83" spans="1:65">
      <c r="A83" s="149"/>
      <c r="B83" s="140" t="str">
        <f>'DB1'!B32</f>
        <v>СОГЛАСОВАНИЯ</v>
      </c>
      <c r="C83" s="27"/>
      <c r="D83" s="131" t="s">
        <v>19</v>
      </c>
      <c r="E83" s="141">
        <f t="shared" si="207"/>
        <v>-210.15317599999997</v>
      </c>
      <c r="F83" s="202">
        <f>'CF1'!F64+'CF2'!F64</f>
        <v>0</v>
      </c>
      <c r="G83" s="202">
        <f>'CF1'!G64+'CF2'!G64</f>
        <v>0</v>
      </c>
      <c r="H83" s="202">
        <f>'CF1'!H64+'CF2'!H64</f>
        <v>0</v>
      </c>
      <c r="I83" s="202">
        <f>'CF1'!I64+'CF2'!I64</f>
        <v>0</v>
      </c>
      <c r="J83" s="202">
        <f>'CF1'!J64+'CF2'!J64</f>
        <v>0</v>
      </c>
      <c r="K83" s="202">
        <f>'CF1'!K64+'CF2'!K64</f>
        <v>0</v>
      </c>
      <c r="L83" s="202">
        <f>'CF1'!L64+'CF2'!L64</f>
        <v>0</v>
      </c>
      <c r="M83" s="202">
        <f>'CF1'!M64+'CF2'!M64</f>
        <v>0</v>
      </c>
      <c r="N83" s="142">
        <f>'CF1'!N64+'CF2'!N64</f>
        <v>-10.8447648</v>
      </c>
      <c r="O83" s="142">
        <f>'CF1'!O64+'CF2'!O64</f>
        <v>-23.868764800000001</v>
      </c>
      <c r="P83" s="142">
        <f>'CF1'!P64+'CF2'!P64</f>
        <v>-10.6587648</v>
      </c>
      <c r="Q83" s="142">
        <f>'CF1'!Q64+'CF2'!Q64</f>
        <v>-26.538764799999999</v>
      </c>
      <c r="R83" s="142">
        <f>'CF1'!R64+'CF2'!R64</f>
        <v>-16.698764799999999</v>
      </c>
      <c r="S83" s="142">
        <f>'CF1'!S64+'CF2'!S64</f>
        <v>-18.898764799999999</v>
      </c>
      <c r="T83" s="142">
        <f>'CF1'!T64+'CF2'!T64</f>
        <v>-4.6226323000000002</v>
      </c>
      <c r="U83" s="142">
        <f>'CF1'!U64+'CF2'!U64</f>
        <v>-5.8226323000000004</v>
      </c>
      <c r="V83" s="142">
        <f>'CF1'!V64+'CF2'!V64</f>
        <v>-30.7826323</v>
      </c>
      <c r="W83" s="142">
        <f>'CF1'!W64+'CF2'!W64</f>
        <v>-19.022632300000001</v>
      </c>
      <c r="X83" s="142">
        <f>'CF1'!X64+'CF2'!X64</f>
        <v>-4.1715489999999997</v>
      </c>
      <c r="Y83" s="142">
        <f>'CF1'!Y64+'CF2'!Y64</f>
        <v>-4.1715489999999997</v>
      </c>
      <c r="Z83" s="142">
        <f>'CF1'!Z64+'CF2'!Z64</f>
        <v>-4.1715489999999997</v>
      </c>
      <c r="AA83" s="142">
        <f>'CF1'!AA64+'CF2'!AA64</f>
        <v>-4.1715489999999997</v>
      </c>
      <c r="AB83" s="142">
        <f>'CF1'!AB64+'CF2'!AB64</f>
        <v>-4.1715489999999997</v>
      </c>
      <c r="AC83" s="142">
        <f>'CF1'!AC64+'CF2'!AC64</f>
        <v>-4.1715489999999997</v>
      </c>
      <c r="AD83" s="142">
        <f>'CF1'!AD64+'CF2'!AD64</f>
        <v>-4.1715489999999997</v>
      </c>
      <c r="AE83" s="142">
        <f>'CF1'!AE64+'CF2'!AE64</f>
        <v>-4.1715489999999997</v>
      </c>
      <c r="AF83" s="142">
        <f>'CF1'!AF64+'CF2'!AF64</f>
        <v>-2.2554164999999999</v>
      </c>
      <c r="AG83" s="142">
        <f>'CF1'!AG64+'CF2'!AG64</f>
        <v>-2.2554164999999999</v>
      </c>
      <c r="AH83" s="142">
        <f>'CF1'!AH64+'CF2'!AH64</f>
        <v>-2.2554164999999999</v>
      </c>
      <c r="AI83" s="142">
        <f>'CF1'!AI64+'CF2'!AI64</f>
        <v>-2.2554164999999999</v>
      </c>
      <c r="AJ83" s="142">
        <f>'CF1'!AJ64+'CF2'!AJ64</f>
        <v>0</v>
      </c>
      <c r="AK83" s="142">
        <f>'CF1'!AK64+'CF2'!AK64</f>
        <v>0</v>
      </c>
      <c r="AL83" s="142">
        <f>'CF1'!AL64+'CF2'!AL64</f>
        <v>0</v>
      </c>
      <c r="AM83" s="142">
        <f>'CF1'!AM64+'CF2'!AM64</f>
        <v>0</v>
      </c>
      <c r="AN83" s="142">
        <f>'CF1'!AN64+'CF2'!AN64</f>
        <v>0</v>
      </c>
      <c r="AO83" s="142">
        <f>'CF1'!AO64+'CF2'!AO64</f>
        <v>0</v>
      </c>
      <c r="AP83" s="142">
        <f>'CF1'!AP64+'CF2'!AP64</f>
        <v>0</v>
      </c>
      <c r="AQ83" s="142">
        <f>'CF1'!AQ64+'CF2'!AQ64</f>
        <v>0</v>
      </c>
      <c r="AR83" s="142">
        <f>'CF1'!AR64+'CF2'!AR64</f>
        <v>0</v>
      </c>
      <c r="AS83" s="142">
        <f>'CF1'!AS64+'CF2'!AS64</f>
        <v>0</v>
      </c>
      <c r="AT83" s="142">
        <f>'CF1'!AT64+'CF2'!AT64</f>
        <v>0</v>
      </c>
      <c r="AU83" s="142">
        <f>'CF1'!AU64+'CF2'!AU64</f>
        <v>0</v>
      </c>
      <c r="AV83" s="142">
        <f>'CF1'!AV64+'CF2'!AV64</f>
        <v>0</v>
      </c>
      <c r="AW83" s="142">
        <f>'CF1'!AW64+'CF2'!AW64</f>
        <v>0</v>
      </c>
      <c r="AX83" s="142">
        <f>'CF1'!AX64+'CF2'!AX64</f>
        <v>0</v>
      </c>
      <c r="AY83" s="142">
        <f>'CF1'!AY64+'CF2'!AY64</f>
        <v>0</v>
      </c>
      <c r="AZ83" s="142">
        <f>'CF1'!AZ64+'CF2'!AZ64</f>
        <v>0</v>
      </c>
      <c r="BA83" s="142">
        <f>'CF1'!BA64+'CF2'!BA64</f>
        <v>0</v>
      </c>
      <c r="BB83" s="142">
        <f>'CF1'!BB64+'CF2'!BB64</f>
        <v>0</v>
      </c>
      <c r="BC83" s="142">
        <f>'CF1'!BC64+'CF2'!BC64</f>
        <v>0</v>
      </c>
      <c r="BD83" s="142">
        <f>'CF1'!BD64+'CF2'!BD64</f>
        <v>0</v>
      </c>
      <c r="BE83" s="142">
        <f>'CF1'!BE64+'CF2'!BE64</f>
        <v>0</v>
      </c>
      <c r="BF83" s="142">
        <f>'CF1'!BF64+'CF2'!BF64</f>
        <v>0</v>
      </c>
      <c r="BG83" s="142">
        <f>'CF1'!BG64+'CF2'!BG64</f>
        <v>0</v>
      </c>
      <c r="BH83" s="142">
        <f>'CF1'!BH64+'CF2'!BH64</f>
        <v>0</v>
      </c>
      <c r="BI83" s="142">
        <f>'CF1'!BI64+'CF2'!BI64</f>
        <v>0</v>
      </c>
      <c r="BJ83" s="142">
        <f>'CF1'!BJ64+'CF2'!BJ64</f>
        <v>0</v>
      </c>
      <c r="BK83" s="142">
        <f>'CF1'!BK64+'CF2'!BK64</f>
        <v>0</v>
      </c>
      <c r="BL83" s="142">
        <f>'CF1'!BL64+'CF2'!BL64</f>
        <v>0</v>
      </c>
      <c r="BM83" s="142">
        <f>'CF1'!BM64+'CF2'!BM64</f>
        <v>0</v>
      </c>
    </row>
    <row r="84" spans="1:65">
      <c r="A84" s="149"/>
      <c r="B84" s="140" t="str">
        <f>'DB1'!B33</f>
        <v>СМР жилье</v>
      </c>
      <c r="C84" s="27"/>
      <c r="D84" s="131" t="s">
        <v>19</v>
      </c>
      <c r="E84" s="141">
        <f t="shared" si="207"/>
        <v>-28790.985111999988</v>
      </c>
      <c r="F84" s="202">
        <f>'CF1'!F65+'CF2'!F65</f>
        <v>0</v>
      </c>
      <c r="G84" s="202">
        <f>'CF1'!G65+'CF2'!G65</f>
        <v>0</v>
      </c>
      <c r="H84" s="202">
        <f>'CF1'!H65+'CF2'!H65</f>
        <v>0</v>
      </c>
      <c r="I84" s="202">
        <f>'CF1'!I65+'CF2'!I65</f>
        <v>0</v>
      </c>
      <c r="J84" s="202">
        <f>'CF1'!J65+'CF2'!J65</f>
        <v>0</v>
      </c>
      <c r="K84" s="202">
        <f>'CF1'!K65+'CF2'!K65</f>
        <v>0</v>
      </c>
      <c r="L84" s="202">
        <f>'CF1'!L65+'CF2'!L65</f>
        <v>0</v>
      </c>
      <c r="M84" s="202">
        <f>'CF1'!M65+'CF2'!M65</f>
        <v>0</v>
      </c>
      <c r="N84" s="142">
        <f>'CF1'!N65+'CF2'!N65</f>
        <v>0</v>
      </c>
      <c r="O84" s="142">
        <f>'CF1'!O65+'CF2'!O65</f>
        <v>0</v>
      </c>
      <c r="P84" s="142">
        <f>'CF1'!P65+'CF2'!P65</f>
        <v>-174.5</v>
      </c>
      <c r="Q84" s="142">
        <f>'CF1'!Q65+'CF2'!Q65</f>
        <v>-411.5</v>
      </c>
      <c r="R84" s="142">
        <f>'CF1'!R65+'CF2'!R65</f>
        <v>-365</v>
      </c>
      <c r="S84" s="142">
        <f>'CF1'!S65+'CF2'!S65</f>
        <v>-240</v>
      </c>
      <c r="T84" s="142">
        <f>'CF1'!T65+'CF2'!T65</f>
        <v>-1284.0346383333331</v>
      </c>
      <c r="U84" s="142">
        <f>'CF1'!U65+'CF2'!U65</f>
        <v>-1531.0346383333331</v>
      </c>
      <c r="V84" s="142">
        <f>'CF1'!V65+'CF2'!V65</f>
        <v>-1535.0346383333331</v>
      </c>
      <c r="W84" s="142">
        <f>'CF1'!W65+'CF2'!W65</f>
        <v>-1273.0346383333331</v>
      </c>
      <c r="X84" s="142">
        <f>'CF1'!X65+'CF2'!X65</f>
        <v>-2230.4154259999996</v>
      </c>
      <c r="Y84" s="142">
        <f>'CF1'!Y65+'CF2'!Y65</f>
        <v>-2230.4154259999996</v>
      </c>
      <c r="Z84" s="142">
        <f>'CF1'!Z65+'CF2'!Z65</f>
        <v>-2230.4154259999996</v>
      </c>
      <c r="AA84" s="142">
        <f>'CF1'!AA65+'CF2'!AA65</f>
        <v>-2230.4154259999996</v>
      </c>
      <c r="AB84" s="142">
        <f>'CF1'!AB65+'CF2'!AB65</f>
        <v>-2230.4154259999996</v>
      </c>
      <c r="AC84" s="142">
        <f>'CF1'!AC65+'CF2'!AC65</f>
        <v>-2230.4154259999996</v>
      </c>
      <c r="AD84" s="142">
        <f>'CF1'!AD65+'CF2'!AD65</f>
        <v>-2230.4154259999996</v>
      </c>
      <c r="AE84" s="142">
        <f>'CF1'!AE65+'CF2'!AE65</f>
        <v>-2230.4154259999996</v>
      </c>
      <c r="AF84" s="142">
        <f>'CF1'!AF65+'CF2'!AF65</f>
        <v>-1033.3807876666667</v>
      </c>
      <c r="AG84" s="142">
        <f>'CF1'!AG65+'CF2'!AG65</f>
        <v>-1033.3807876666667</v>
      </c>
      <c r="AH84" s="142">
        <f>'CF1'!AH65+'CF2'!AH65</f>
        <v>-1033.3807876666667</v>
      </c>
      <c r="AI84" s="142">
        <f>'CF1'!AI65+'CF2'!AI65</f>
        <v>-1033.3807876666667</v>
      </c>
      <c r="AJ84" s="142">
        <f>'CF1'!AJ65+'CF2'!AJ65</f>
        <v>0</v>
      </c>
      <c r="AK84" s="142">
        <f>'CF1'!AK65+'CF2'!AK65</f>
        <v>0</v>
      </c>
      <c r="AL84" s="142">
        <f>'CF1'!AL65+'CF2'!AL65</f>
        <v>0</v>
      </c>
      <c r="AM84" s="142">
        <f>'CF1'!AM65+'CF2'!AM65</f>
        <v>0</v>
      </c>
      <c r="AN84" s="142">
        <f>'CF1'!AN65+'CF2'!AN65</f>
        <v>0</v>
      </c>
      <c r="AO84" s="142">
        <f>'CF1'!AO65+'CF2'!AO65</f>
        <v>0</v>
      </c>
      <c r="AP84" s="142">
        <f>'CF1'!AP65+'CF2'!AP65</f>
        <v>0</v>
      </c>
      <c r="AQ84" s="142">
        <f>'CF1'!AQ65+'CF2'!AQ65</f>
        <v>0</v>
      </c>
      <c r="AR84" s="142">
        <f>'CF1'!AR65+'CF2'!AR65</f>
        <v>0</v>
      </c>
      <c r="AS84" s="142">
        <f>'CF1'!AS65+'CF2'!AS65</f>
        <v>0</v>
      </c>
      <c r="AT84" s="142">
        <f>'CF1'!AT65+'CF2'!AT65</f>
        <v>0</v>
      </c>
      <c r="AU84" s="142">
        <f>'CF1'!AU65+'CF2'!AU65</f>
        <v>0</v>
      </c>
      <c r="AV84" s="142">
        <f>'CF1'!AV65+'CF2'!AV65</f>
        <v>0</v>
      </c>
      <c r="AW84" s="142">
        <f>'CF1'!AW65+'CF2'!AW65</f>
        <v>0</v>
      </c>
      <c r="AX84" s="142">
        <f>'CF1'!AX65+'CF2'!AX65</f>
        <v>0</v>
      </c>
      <c r="AY84" s="142">
        <f>'CF1'!AY65+'CF2'!AY65</f>
        <v>0</v>
      </c>
      <c r="AZ84" s="142">
        <f>'CF1'!AZ65+'CF2'!AZ65</f>
        <v>0</v>
      </c>
      <c r="BA84" s="142">
        <f>'CF1'!BA65+'CF2'!BA65</f>
        <v>0</v>
      </c>
      <c r="BB84" s="142">
        <f>'CF1'!BB65+'CF2'!BB65</f>
        <v>0</v>
      </c>
      <c r="BC84" s="142">
        <f>'CF1'!BC65+'CF2'!BC65</f>
        <v>0</v>
      </c>
      <c r="BD84" s="142">
        <f>'CF1'!BD65+'CF2'!BD65</f>
        <v>0</v>
      </c>
      <c r="BE84" s="142">
        <f>'CF1'!BE65+'CF2'!BE65</f>
        <v>0</v>
      </c>
      <c r="BF84" s="142">
        <f>'CF1'!BF65+'CF2'!BF65</f>
        <v>0</v>
      </c>
      <c r="BG84" s="142">
        <f>'CF1'!BG65+'CF2'!BG65</f>
        <v>0</v>
      </c>
      <c r="BH84" s="142">
        <f>'CF1'!BH65+'CF2'!BH65</f>
        <v>0</v>
      </c>
      <c r="BI84" s="142">
        <f>'CF1'!BI65+'CF2'!BI65</f>
        <v>0</v>
      </c>
      <c r="BJ84" s="142">
        <f>'CF1'!BJ65+'CF2'!BJ65</f>
        <v>0</v>
      </c>
      <c r="BK84" s="142">
        <f>'CF1'!BK65+'CF2'!BK65</f>
        <v>0</v>
      </c>
      <c r="BL84" s="142">
        <f>'CF1'!BL65+'CF2'!BL65</f>
        <v>0</v>
      </c>
      <c r="BM84" s="142">
        <f>'CF1'!BM65+'CF2'!BM65</f>
        <v>0</v>
      </c>
    </row>
    <row r="85" spans="1:65" hidden="1">
      <c r="A85" s="149"/>
      <c r="B85" s="697" t="str">
        <f>'DB1'!B34</f>
        <v>СМР офисы</v>
      </c>
      <c r="C85" s="27"/>
      <c r="D85" s="131" t="s">
        <v>19</v>
      </c>
      <c r="E85" s="141">
        <f t="shared" si="207"/>
        <v>0</v>
      </c>
      <c r="F85" s="202">
        <f>'CF1'!F66+'CF2'!F66</f>
        <v>0</v>
      </c>
      <c r="G85" s="202">
        <f>'CF1'!G66+'CF2'!G66</f>
        <v>0</v>
      </c>
      <c r="H85" s="202">
        <f>'CF1'!H66+'CF2'!H66</f>
        <v>0</v>
      </c>
      <c r="I85" s="202">
        <f>'CF1'!I66+'CF2'!I66</f>
        <v>0</v>
      </c>
      <c r="J85" s="202">
        <f>'CF1'!J66+'CF2'!J66</f>
        <v>0</v>
      </c>
      <c r="K85" s="202">
        <f>'CF1'!K66+'CF2'!K66</f>
        <v>0</v>
      </c>
      <c r="L85" s="202">
        <f>'CF1'!L66+'CF2'!L66</f>
        <v>0</v>
      </c>
      <c r="M85" s="202">
        <f>'CF1'!M66+'CF2'!M66</f>
        <v>0</v>
      </c>
      <c r="N85" s="142">
        <f>'CF1'!N66+'CF2'!N66</f>
        <v>0</v>
      </c>
      <c r="O85" s="142">
        <f>'CF1'!O66+'CF2'!O66</f>
        <v>0</v>
      </c>
      <c r="P85" s="142">
        <f>'CF1'!P66+'CF2'!P66</f>
        <v>0</v>
      </c>
      <c r="Q85" s="142">
        <f>'CF1'!Q66+'CF2'!Q66</f>
        <v>0</v>
      </c>
      <c r="R85" s="142">
        <f>'CF1'!R66+'CF2'!R66</f>
        <v>0</v>
      </c>
      <c r="S85" s="142">
        <f>'CF1'!S66+'CF2'!S66</f>
        <v>0</v>
      </c>
      <c r="T85" s="142">
        <f>'CF1'!T66+'CF2'!T66</f>
        <v>0</v>
      </c>
      <c r="U85" s="142">
        <f>'CF1'!U66+'CF2'!U66</f>
        <v>0</v>
      </c>
      <c r="V85" s="142">
        <f>'CF1'!V66+'CF2'!V66</f>
        <v>0</v>
      </c>
      <c r="W85" s="142">
        <f>'CF1'!W66+'CF2'!W66</f>
        <v>0</v>
      </c>
      <c r="X85" s="142">
        <f>'CF1'!X66+'CF2'!X66</f>
        <v>0</v>
      </c>
      <c r="Y85" s="142">
        <f>'CF1'!Y66+'CF2'!Y66</f>
        <v>0</v>
      </c>
      <c r="Z85" s="142">
        <f>'CF1'!Z66+'CF2'!Z66</f>
        <v>0</v>
      </c>
      <c r="AA85" s="142">
        <f>'CF1'!AA66+'CF2'!AA66</f>
        <v>0</v>
      </c>
      <c r="AB85" s="142">
        <f>'CF1'!AB66+'CF2'!AB66</f>
        <v>0</v>
      </c>
      <c r="AC85" s="142">
        <f>'CF1'!AC66+'CF2'!AC66</f>
        <v>0</v>
      </c>
      <c r="AD85" s="142">
        <f>'CF1'!AD66+'CF2'!AD66</f>
        <v>0</v>
      </c>
      <c r="AE85" s="142">
        <f>'CF1'!AE66+'CF2'!AE66</f>
        <v>0</v>
      </c>
      <c r="AF85" s="142">
        <f>'CF1'!AF66+'CF2'!AF66</f>
        <v>0</v>
      </c>
      <c r="AG85" s="142">
        <f>'CF1'!AG66+'CF2'!AG66</f>
        <v>0</v>
      </c>
      <c r="AH85" s="142">
        <f>'CF1'!AH66+'CF2'!AH66</f>
        <v>0</v>
      </c>
      <c r="AI85" s="142">
        <f>'CF1'!AI66+'CF2'!AI66</f>
        <v>0</v>
      </c>
      <c r="AJ85" s="142">
        <f>'CF1'!AJ66+'CF2'!AJ66</f>
        <v>0</v>
      </c>
      <c r="AK85" s="142">
        <f>'CF1'!AK66+'CF2'!AK66</f>
        <v>0</v>
      </c>
      <c r="AL85" s="142">
        <f>'CF1'!AL66+'CF2'!AL66</f>
        <v>0</v>
      </c>
      <c r="AM85" s="142">
        <f>'CF1'!AM66+'CF2'!AM66</f>
        <v>0</v>
      </c>
      <c r="AN85" s="142">
        <f>'CF1'!AN66+'CF2'!AN66</f>
        <v>0</v>
      </c>
      <c r="AO85" s="142">
        <f>'CF1'!AO66+'CF2'!AO66</f>
        <v>0</v>
      </c>
      <c r="AP85" s="142">
        <f>'CF1'!AP66+'CF2'!AP66</f>
        <v>0</v>
      </c>
      <c r="AQ85" s="142">
        <f>'CF1'!AQ66+'CF2'!AQ66</f>
        <v>0</v>
      </c>
      <c r="AR85" s="142">
        <f>'CF1'!AR66+'CF2'!AR66</f>
        <v>0</v>
      </c>
      <c r="AS85" s="142">
        <f>'CF1'!AS66+'CF2'!AS66</f>
        <v>0</v>
      </c>
      <c r="AT85" s="142">
        <f>'CF1'!AT66+'CF2'!AT66</f>
        <v>0</v>
      </c>
      <c r="AU85" s="142">
        <f>'CF1'!AU66+'CF2'!AU66</f>
        <v>0</v>
      </c>
      <c r="AV85" s="142">
        <f>'CF1'!AV66+'CF2'!AV66</f>
        <v>0</v>
      </c>
      <c r="AW85" s="142">
        <f>'CF1'!AW66+'CF2'!AW66</f>
        <v>0</v>
      </c>
      <c r="AX85" s="142">
        <f>'CF1'!AX66+'CF2'!AX66</f>
        <v>0</v>
      </c>
      <c r="AY85" s="142">
        <f>'CF1'!AY66+'CF2'!AY66</f>
        <v>0</v>
      </c>
      <c r="AZ85" s="142">
        <f>'CF1'!AZ66+'CF2'!AZ66</f>
        <v>0</v>
      </c>
      <c r="BA85" s="142">
        <f>'CF1'!BA66+'CF2'!BA66</f>
        <v>0</v>
      </c>
      <c r="BB85" s="142">
        <f>'CF1'!BB66+'CF2'!BB66</f>
        <v>0</v>
      </c>
      <c r="BC85" s="142">
        <f>'CF1'!BC66+'CF2'!BC66</f>
        <v>0</v>
      </c>
      <c r="BD85" s="142">
        <f>'CF1'!BD66+'CF2'!BD66</f>
        <v>0</v>
      </c>
      <c r="BE85" s="142">
        <f>'CF1'!BE66+'CF2'!BE66</f>
        <v>0</v>
      </c>
      <c r="BF85" s="142">
        <f>'CF1'!BF66+'CF2'!BF66</f>
        <v>0</v>
      </c>
      <c r="BG85" s="142">
        <f>'CF1'!BG66+'CF2'!BG66</f>
        <v>0</v>
      </c>
      <c r="BH85" s="142">
        <f>'CF1'!BH66+'CF2'!BH66</f>
        <v>0</v>
      </c>
      <c r="BI85" s="142">
        <f>'CF1'!BI66+'CF2'!BI66</f>
        <v>0</v>
      </c>
      <c r="BJ85" s="142">
        <f>'CF1'!BJ66+'CF2'!BJ66</f>
        <v>0</v>
      </c>
      <c r="BK85" s="142">
        <f>'CF1'!BK66+'CF2'!BK66</f>
        <v>0</v>
      </c>
      <c r="BL85" s="142">
        <f>'CF1'!BL66+'CF2'!BL66</f>
        <v>0</v>
      </c>
      <c r="BM85" s="142">
        <f>'CF1'!BM66+'CF2'!BM66</f>
        <v>0</v>
      </c>
    </row>
    <row r="86" spans="1:65" hidden="1">
      <c r="A86" s="149"/>
      <c r="B86" s="697" t="str">
        <f>'DB1'!B35</f>
        <v>СМР ТЦ</v>
      </c>
      <c r="C86" s="27"/>
      <c r="D86" s="131" t="s">
        <v>19</v>
      </c>
      <c r="E86" s="141">
        <f t="shared" si="207"/>
        <v>0</v>
      </c>
      <c r="F86" s="202">
        <f>'CF1'!F67+'CF2'!F67</f>
        <v>0</v>
      </c>
      <c r="G86" s="202">
        <f>'CF1'!G67+'CF2'!G67</f>
        <v>0</v>
      </c>
      <c r="H86" s="202">
        <f>'CF1'!H67+'CF2'!H67</f>
        <v>0</v>
      </c>
      <c r="I86" s="202">
        <f>'CF1'!I67+'CF2'!I67</f>
        <v>0</v>
      </c>
      <c r="J86" s="202">
        <f>'CF1'!J67+'CF2'!J67</f>
        <v>0</v>
      </c>
      <c r="K86" s="202">
        <f>'CF1'!K67+'CF2'!K67</f>
        <v>0</v>
      </c>
      <c r="L86" s="202">
        <f>'CF1'!L67+'CF2'!L67</f>
        <v>0</v>
      </c>
      <c r="M86" s="202">
        <f>'CF1'!M67+'CF2'!M67</f>
        <v>0</v>
      </c>
      <c r="N86" s="142">
        <f>'CF1'!N67+'CF2'!N67</f>
        <v>0</v>
      </c>
      <c r="O86" s="142">
        <f>'CF1'!O67+'CF2'!O67</f>
        <v>0</v>
      </c>
      <c r="P86" s="142">
        <f>'CF1'!P67+'CF2'!P67</f>
        <v>0</v>
      </c>
      <c r="Q86" s="142">
        <f>'CF1'!Q67+'CF2'!Q67</f>
        <v>0</v>
      </c>
      <c r="R86" s="142">
        <f>'CF1'!R67+'CF2'!R67</f>
        <v>0</v>
      </c>
      <c r="S86" s="142">
        <f>'CF1'!S67+'CF2'!S67</f>
        <v>0</v>
      </c>
      <c r="T86" s="142">
        <f>'CF1'!T67+'CF2'!T67</f>
        <v>0</v>
      </c>
      <c r="U86" s="142">
        <f>'CF1'!U67+'CF2'!U67</f>
        <v>0</v>
      </c>
      <c r="V86" s="142">
        <f>'CF1'!V67+'CF2'!V67</f>
        <v>0</v>
      </c>
      <c r="W86" s="142">
        <f>'CF1'!W67+'CF2'!W67</f>
        <v>0</v>
      </c>
      <c r="X86" s="142">
        <f>'CF1'!X67+'CF2'!X67</f>
        <v>0</v>
      </c>
      <c r="Y86" s="142">
        <f>'CF1'!Y67+'CF2'!Y67</f>
        <v>0</v>
      </c>
      <c r="Z86" s="142">
        <f>'CF1'!Z67+'CF2'!Z67</f>
        <v>0</v>
      </c>
      <c r="AA86" s="142">
        <f>'CF1'!AA67+'CF2'!AA67</f>
        <v>0</v>
      </c>
      <c r="AB86" s="142">
        <f>'CF1'!AB67+'CF2'!AB67</f>
        <v>0</v>
      </c>
      <c r="AC86" s="142">
        <f>'CF1'!AC67+'CF2'!AC67</f>
        <v>0</v>
      </c>
      <c r="AD86" s="142">
        <f>'CF1'!AD67+'CF2'!AD67</f>
        <v>0</v>
      </c>
      <c r="AE86" s="142">
        <f>'CF1'!AE67+'CF2'!AE67</f>
        <v>0</v>
      </c>
      <c r="AF86" s="142">
        <f>'CF1'!AF67+'CF2'!AF67</f>
        <v>0</v>
      </c>
      <c r="AG86" s="142">
        <f>'CF1'!AG67+'CF2'!AG67</f>
        <v>0</v>
      </c>
      <c r="AH86" s="142">
        <f>'CF1'!AH67+'CF2'!AH67</f>
        <v>0</v>
      </c>
      <c r="AI86" s="142">
        <f>'CF1'!AI67+'CF2'!AI67</f>
        <v>0</v>
      </c>
      <c r="AJ86" s="142">
        <f>'CF1'!AJ67+'CF2'!AJ67</f>
        <v>0</v>
      </c>
      <c r="AK86" s="142">
        <f>'CF1'!AK67+'CF2'!AK67</f>
        <v>0</v>
      </c>
      <c r="AL86" s="142">
        <f>'CF1'!AL67+'CF2'!AL67</f>
        <v>0</v>
      </c>
      <c r="AM86" s="142">
        <f>'CF1'!AM67+'CF2'!AM67</f>
        <v>0</v>
      </c>
      <c r="AN86" s="142">
        <f>'CF1'!AN67+'CF2'!AN67</f>
        <v>0</v>
      </c>
      <c r="AO86" s="142">
        <f>'CF1'!AO67+'CF2'!AO67</f>
        <v>0</v>
      </c>
      <c r="AP86" s="142">
        <f>'CF1'!AP67+'CF2'!AP67</f>
        <v>0</v>
      </c>
      <c r="AQ86" s="142">
        <f>'CF1'!AQ67+'CF2'!AQ67</f>
        <v>0</v>
      </c>
      <c r="AR86" s="142">
        <f>'CF1'!AR67+'CF2'!AR67</f>
        <v>0</v>
      </c>
      <c r="AS86" s="142">
        <f>'CF1'!AS67+'CF2'!AS67</f>
        <v>0</v>
      </c>
      <c r="AT86" s="142">
        <f>'CF1'!AT67+'CF2'!AT67</f>
        <v>0</v>
      </c>
      <c r="AU86" s="142">
        <f>'CF1'!AU67+'CF2'!AU67</f>
        <v>0</v>
      </c>
      <c r="AV86" s="142">
        <f>'CF1'!AV67+'CF2'!AV67</f>
        <v>0</v>
      </c>
      <c r="AW86" s="142">
        <f>'CF1'!AW67+'CF2'!AW67</f>
        <v>0</v>
      </c>
      <c r="AX86" s="142">
        <f>'CF1'!AX67+'CF2'!AX67</f>
        <v>0</v>
      </c>
      <c r="AY86" s="142">
        <f>'CF1'!AY67+'CF2'!AY67</f>
        <v>0</v>
      </c>
      <c r="AZ86" s="142">
        <f>'CF1'!AZ67+'CF2'!AZ67</f>
        <v>0</v>
      </c>
      <c r="BA86" s="142">
        <f>'CF1'!BA67+'CF2'!BA67</f>
        <v>0</v>
      </c>
      <c r="BB86" s="142">
        <f>'CF1'!BB67+'CF2'!BB67</f>
        <v>0</v>
      </c>
      <c r="BC86" s="142">
        <f>'CF1'!BC67+'CF2'!BC67</f>
        <v>0</v>
      </c>
      <c r="BD86" s="142">
        <f>'CF1'!BD67+'CF2'!BD67</f>
        <v>0</v>
      </c>
      <c r="BE86" s="142">
        <f>'CF1'!BE67+'CF2'!BE67</f>
        <v>0</v>
      </c>
      <c r="BF86" s="142">
        <f>'CF1'!BF67+'CF2'!BF67</f>
        <v>0</v>
      </c>
      <c r="BG86" s="142">
        <f>'CF1'!BG67+'CF2'!BG67</f>
        <v>0</v>
      </c>
      <c r="BH86" s="142">
        <f>'CF1'!BH67+'CF2'!BH67</f>
        <v>0</v>
      </c>
      <c r="BI86" s="142">
        <f>'CF1'!BI67+'CF2'!BI67</f>
        <v>0</v>
      </c>
      <c r="BJ86" s="142">
        <f>'CF1'!BJ67+'CF2'!BJ67</f>
        <v>0</v>
      </c>
      <c r="BK86" s="142">
        <f>'CF1'!BK67+'CF2'!BK67</f>
        <v>0</v>
      </c>
      <c r="BL86" s="142">
        <f>'CF1'!BL67+'CF2'!BL67</f>
        <v>0</v>
      </c>
      <c r="BM86" s="142">
        <f>'CF1'!BM67+'CF2'!BM67</f>
        <v>0</v>
      </c>
    </row>
    <row r="87" spans="1:65">
      <c r="A87" s="149"/>
      <c r="B87" s="140" t="str">
        <f>'DB1'!B36</f>
        <v>СМР соц. объектов (компенсация)</v>
      </c>
      <c r="C87" s="27"/>
      <c r="D87" s="131" t="s">
        <v>19</v>
      </c>
      <c r="E87" s="141">
        <f t="shared" si="207"/>
        <v>-4369.2379448750908</v>
      </c>
      <c r="F87" s="202">
        <f>'CF1'!F68+'CF2'!F68</f>
        <v>0</v>
      </c>
      <c r="G87" s="202">
        <f>'CF1'!G68+'CF2'!G68</f>
        <v>0</v>
      </c>
      <c r="H87" s="202">
        <f>'CF1'!H68+'CF2'!H68</f>
        <v>0</v>
      </c>
      <c r="I87" s="202">
        <f>'CF1'!I68+'CF2'!I68</f>
        <v>0</v>
      </c>
      <c r="J87" s="202">
        <f>'CF1'!J68+'CF2'!J68</f>
        <v>0</v>
      </c>
      <c r="K87" s="202">
        <f>'CF1'!K68+'CF2'!K68</f>
        <v>0</v>
      </c>
      <c r="L87" s="202">
        <f>'CF1'!L68+'CF2'!L68</f>
        <v>0</v>
      </c>
      <c r="M87" s="202">
        <f>'CF1'!M68+'CF2'!M68</f>
        <v>0</v>
      </c>
      <c r="N87" s="142">
        <f>'CF1'!N68+'CF2'!N68</f>
        <v>0</v>
      </c>
      <c r="O87" s="142">
        <f>'CF1'!O68+'CF2'!O68</f>
        <v>0</v>
      </c>
      <c r="P87" s="142">
        <f>'CF1'!P68+'CF2'!P68</f>
        <v>0</v>
      </c>
      <c r="Q87" s="142">
        <f>'CF1'!Q68+'CF2'!Q68</f>
        <v>-3.0281250000000002</v>
      </c>
      <c r="R87" s="142">
        <f>'CF1'!R68+'CF2'!R68</f>
        <v>-3.0281250000000002</v>
      </c>
      <c r="S87" s="142">
        <f>'CF1'!S68+'CF2'!S68</f>
        <v>-243.00570228000015</v>
      </c>
      <c r="T87" s="142">
        <f>'CF1'!T68+'CF2'!T68</f>
        <v>-3.0281250000000002</v>
      </c>
      <c r="U87" s="142">
        <f>'CF1'!U68+'CF2'!U68</f>
        <v>-3.0281250000000002</v>
      </c>
      <c r="V87" s="142">
        <f>'CF1'!V68+'CF2'!V68</f>
        <v>-3.0281250000000002</v>
      </c>
      <c r="W87" s="142">
        <f>'CF1'!W68+'CF2'!W68</f>
        <v>-3.0281250000000002</v>
      </c>
      <c r="X87" s="142">
        <f>'CF1'!X68+'CF2'!X68</f>
        <v>-342.59096810479917</v>
      </c>
      <c r="Y87" s="142">
        <f>'CF1'!Y68+'CF2'!Y68</f>
        <v>-342.59096810479917</v>
      </c>
      <c r="Z87" s="142">
        <f>'CF1'!Z68+'CF2'!Z68</f>
        <v>-342.59096810479917</v>
      </c>
      <c r="AA87" s="142">
        <f>'CF1'!AA68+'CF2'!AA68</f>
        <v>-342.59096810479917</v>
      </c>
      <c r="AB87" s="142">
        <f>'CF1'!AB68+'CF2'!AB68</f>
        <v>-342.59096810479917</v>
      </c>
      <c r="AC87" s="142">
        <f>'CF1'!AC68+'CF2'!AC68</f>
        <v>-342.59096810479917</v>
      </c>
      <c r="AD87" s="142">
        <f>'CF1'!AD68+'CF2'!AD68</f>
        <v>-342.59096810479917</v>
      </c>
      <c r="AE87" s="142">
        <f>'CF1'!AE68+'CF2'!AE68</f>
        <v>-342.59096810479917</v>
      </c>
      <c r="AF87" s="142">
        <f>'CF1'!AF68+'CF2'!AF68</f>
        <v>-342.59096810479917</v>
      </c>
      <c r="AG87" s="142">
        <f>'CF1'!AG68+'CF2'!AG68</f>
        <v>-342.59096810479917</v>
      </c>
      <c r="AH87" s="142">
        <f>'CF1'!AH68+'CF2'!AH68</f>
        <v>-342.59096810479917</v>
      </c>
      <c r="AI87" s="142">
        <f>'CF1'!AI68+'CF2'!AI68</f>
        <v>-339.5628434422992</v>
      </c>
      <c r="AJ87" s="142">
        <f>'CF1'!AJ68+'CF2'!AJ68</f>
        <v>0</v>
      </c>
      <c r="AK87" s="142">
        <f>'CF1'!AK68+'CF2'!AK68</f>
        <v>0</v>
      </c>
      <c r="AL87" s="142">
        <f>'CF1'!AL68+'CF2'!AL68</f>
        <v>0</v>
      </c>
      <c r="AM87" s="142">
        <f>'CF1'!AM68+'CF2'!AM68</f>
        <v>0</v>
      </c>
      <c r="AN87" s="142">
        <f>'CF1'!AN68+'CF2'!AN68</f>
        <v>0</v>
      </c>
      <c r="AO87" s="142">
        <f>'CF1'!AO68+'CF2'!AO68</f>
        <v>0</v>
      </c>
      <c r="AP87" s="142">
        <f>'CF1'!AP68+'CF2'!AP68</f>
        <v>0</v>
      </c>
      <c r="AQ87" s="142">
        <f>'CF1'!AQ68+'CF2'!AQ68</f>
        <v>0</v>
      </c>
      <c r="AR87" s="142">
        <f>'CF1'!AR68+'CF2'!AR68</f>
        <v>0</v>
      </c>
      <c r="AS87" s="142">
        <f>'CF1'!AS68+'CF2'!AS68</f>
        <v>0</v>
      </c>
      <c r="AT87" s="142">
        <f>'CF1'!AT68+'CF2'!AT68</f>
        <v>0</v>
      </c>
      <c r="AU87" s="142">
        <f>'CF1'!AU68+'CF2'!AU68</f>
        <v>0</v>
      </c>
      <c r="AV87" s="142">
        <f>'CF1'!AV68+'CF2'!AV68</f>
        <v>0</v>
      </c>
      <c r="AW87" s="142">
        <f>'CF1'!AW68+'CF2'!AW68</f>
        <v>0</v>
      </c>
      <c r="AX87" s="142">
        <f>'CF1'!AX68+'CF2'!AX68</f>
        <v>0</v>
      </c>
      <c r="AY87" s="142">
        <f>'CF1'!AY68+'CF2'!AY68</f>
        <v>0</v>
      </c>
      <c r="AZ87" s="142">
        <f>'CF1'!AZ68+'CF2'!AZ68</f>
        <v>0</v>
      </c>
      <c r="BA87" s="142">
        <f>'CF1'!BA68+'CF2'!BA68</f>
        <v>0</v>
      </c>
      <c r="BB87" s="142">
        <f>'CF1'!BB68+'CF2'!BB68</f>
        <v>0</v>
      </c>
      <c r="BC87" s="142">
        <f>'CF1'!BC68+'CF2'!BC68</f>
        <v>0</v>
      </c>
      <c r="BD87" s="142">
        <f>'CF1'!BD68+'CF2'!BD68</f>
        <v>0</v>
      </c>
      <c r="BE87" s="142">
        <f>'CF1'!BE68+'CF2'!BE68</f>
        <v>0</v>
      </c>
      <c r="BF87" s="142">
        <f>'CF1'!BF68+'CF2'!BF68</f>
        <v>0</v>
      </c>
      <c r="BG87" s="142">
        <f>'CF1'!BG68+'CF2'!BG68</f>
        <v>0</v>
      </c>
      <c r="BH87" s="142">
        <f>'CF1'!BH68+'CF2'!BH68</f>
        <v>0</v>
      </c>
      <c r="BI87" s="142">
        <f>'CF1'!BI68+'CF2'!BI68</f>
        <v>0</v>
      </c>
      <c r="BJ87" s="142">
        <f>'CF1'!BJ68+'CF2'!BJ68</f>
        <v>0</v>
      </c>
      <c r="BK87" s="142">
        <f>'CF1'!BK68+'CF2'!BK68</f>
        <v>0</v>
      </c>
      <c r="BL87" s="142">
        <f>'CF1'!BL68+'CF2'!BL68</f>
        <v>0</v>
      </c>
      <c r="BM87" s="142">
        <f>'CF1'!BM68+'CF2'!BM68</f>
        <v>0</v>
      </c>
    </row>
    <row r="88" spans="1:65" hidden="1">
      <c r="A88" s="149"/>
      <c r="B88" s="697" t="s">
        <v>36</v>
      </c>
      <c r="C88" s="27"/>
      <c r="D88" s="131" t="s">
        <v>19</v>
      </c>
      <c r="E88" s="141">
        <f t="shared" si="207"/>
        <v>0</v>
      </c>
      <c r="F88" s="202">
        <f>'CF1'!F69+'CF2'!F69</f>
        <v>0</v>
      </c>
      <c r="G88" s="202">
        <f>'CF1'!G69+'CF2'!G69</f>
        <v>0</v>
      </c>
      <c r="H88" s="202">
        <f>'CF1'!H69+'CF2'!H69</f>
        <v>0</v>
      </c>
      <c r="I88" s="202">
        <f>'CF1'!I69+'CF2'!I69</f>
        <v>0</v>
      </c>
      <c r="J88" s="202">
        <f>'CF1'!J69+'CF2'!J69</f>
        <v>0</v>
      </c>
      <c r="K88" s="202">
        <f>'CF1'!K69+'CF2'!K69</f>
        <v>0</v>
      </c>
      <c r="L88" s="202">
        <f>'CF1'!L69+'CF2'!L69</f>
        <v>0</v>
      </c>
      <c r="M88" s="202">
        <f>'CF1'!M69+'CF2'!M69</f>
        <v>0</v>
      </c>
      <c r="N88" s="142">
        <f>'CF1'!N69+'CF2'!N69</f>
        <v>0</v>
      </c>
      <c r="O88" s="142">
        <f>'CF1'!O69+'CF2'!O69</f>
        <v>0</v>
      </c>
      <c r="P88" s="142">
        <f>'CF1'!P69+'CF2'!P69</f>
        <v>0</v>
      </c>
      <c r="Q88" s="142">
        <f>'CF1'!Q69+'CF2'!Q69</f>
        <v>0</v>
      </c>
      <c r="R88" s="142">
        <f>'CF1'!R69+'CF2'!R69</f>
        <v>0</v>
      </c>
      <c r="S88" s="142">
        <f>'CF1'!S69+'CF2'!S69</f>
        <v>0</v>
      </c>
      <c r="T88" s="142">
        <f>'CF1'!T69+'CF2'!T69</f>
        <v>0</v>
      </c>
      <c r="U88" s="142">
        <f>'CF1'!U69+'CF2'!U69</f>
        <v>0</v>
      </c>
      <c r="V88" s="142">
        <f>'CF1'!V69+'CF2'!V69</f>
        <v>0</v>
      </c>
      <c r="W88" s="142">
        <f>'CF1'!W69+'CF2'!W69</f>
        <v>0</v>
      </c>
      <c r="X88" s="142">
        <f>'CF1'!X69+'CF2'!X69</f>
        <v>0</v>
      </c>
      <c r="Y88" s="142">
        <f>'CF1'!Y69+'CF2'!Y69</f>
        <v>0</v>
      </c>
      <c r="Z88" s="142">
        <f>'CF1'!Z69+'CF2'!Z69</f>
        <v>0</v>
      </c>
      <c r="AA88" s="142">
        <f>'CF1'!AA69+'CF2'!AA69</f>
        <v>0</v>
      </c>
      <c r="AB88" s="142">
        <f>'CF1'!AB69+'CF2'!AB69</f>
        <v>0</v>
      </c>
      <c r="AC88" s="142">
        <f>'CF1'!AC69+'CF2'!AC69</f>
        <v>0</v>
      </c>
      <c r="AD88" s="142">
        <f>'CF1'!AD69+'CF2'!AD69</f>
        <v>0</v>
      </c>
      <c r="AE88" s="142">
        <f>'CF1'!AE69+'CF2'!AE69</f>
        <v>0</v>
      </c>
      <c r="AF88" s="142">
        <f>'CF1'!AF69+'CF2'!AF69</f>
        <v>0</v>
      </c>
      <c r="AG88" s="142">
        <f>'CF1'!AG69+'CF2'!AG69</f>
        <v>0</v>
      </c>
      <c r="AH88" s="142">
        <f>'CF1'!AH69+'CF2'!AH69</f>
        <v>0</v>
      </c>
      <c r="AI88" s="142">
        <f>'CF1'!AI69+'CF2'!AI69</f>
        <v>0</v>
      </c>
      <c r="AJ88" s="142">
        <f>'CF1'!AJ69+'CF2'!AJ69</f>
        <v>0</v>
      </c>
      <c r="AK88" s="142">
        <f>'CF1'!AK69+'CF2'!AK69</f>
        <v>0</v>
      </c>
      <c r="AL88" s="142">
        <f>'CF1'!AL69+'CF2'!AL69</f>
        <v>0</v>
      </c>
      <c r="AM88" s="142">
        <f>'CF1'!AM69+'CF2'!AM69</f>
        <v>0</v>
      </c>
      <c r="AN88" s="142">
        <f>'CF1'!AN69+'CF2'!AN69</f>
        <v>0</v>
      </c>
      <c r="AO88" s="142">
        <f>'CF1'!AO69+'CF2'!AO69</f>
        <v>0</v>
      </c>
      <c r="AP88" s="142">
        <f>'CF1'!AP69+'CF2'!AP69</f>
        <v>0</v>
      </c>
      <c r="AQ88" s="142">
        <f>'CF1'!AQ69+'CF2'!AQ69</f>
        <v>0</v>
      </c>
      <c r="AR88" s="142">
        <f>'CF1'!AR69+'CF2'!AR69</f>
        <v>0</v>
      </c>
      <c r="AS88" s="142">
        <f>'CF1'!AS69+'CF2'!AS69</f>
        <v>0</v>
      </c>
      <c r="AT88" s="142">
        <f>'CF1'!AT69+'CF2'!AT69</f>
        <v>0</v>
      </c>
      <c r="AU88" s="142">
        <f>'CF1'!AU69+'CF2'!AU69</f>
        <v>0</v>
      </c>
      <c r="AV88" s="142">
        <f>'CF1'!AV69+'CF2'!AV69</f>
        <v>0</v>
      </c>
      <c r="AW88" s="142">
        <f>'CF1'!AW69+'CF2'!AW69</f>
        <v>0</v>
      </c>
      <c r="AX88" s="142">
        <f>'CF1'!AX69+'CF2'!AX69</f>
        <v>0</v>
      </c>
      <c r="AY88" s="142">
        <f>'CF1'!AY69+'CF2'!AY69</f>
        <v>0</v>
      </c>
      <c r="AZ88" s="142">
        <f>'CF1'!AZ69+'CF2'!AZ69</f>
        <v>0</v>
      </c>
      <c r="BA88" s="142">
        <f>'CF1'!BA69+'CF2'!BA69</f>
        <v>0</v>
      </c>
      <c r="BB88" s="142">
        <f>'CF1'!BB69+'CF2'!BB69</f>
        <v>0</v>
      </c>
      <c r="BC88" s="142">
        <f>'CF1'!BC69+'CF2'!BC69</f>
        <v>0</v>
      </c>
      <c r="BD88" s="142">
        <f>'CF1'!BD69+'CF2'!BD69</f>
        <v>0</v>
      </c>
      <c r="BE88" s="142">
        <f>'CF1'!BE69+'CF2'!BE69</f>
        <v>0</v>
      </c>
      <c r="BF88" s="142">
        <f>'CF1'!BF69+'CF2'!BF69</f>
        <v>0</v>
      </c>
      <c r="BG88" s="142">
        <f>'CF1'!BG69+'CF2'!BG69</f>
        <v>0</v>
      </c>
      <c r="BH88" s="142">
        <f>'CF1'!BH69+'CF2'!BH69</f>
        <v>0</v>
      </c>
      <c r="BI88" s="142">
        <f>'CF1'!BI69+'CF2'!BI69</f>
        <v>0</v>
      </c>
      <c r="BJ88" s="142">
        <f>'CF1'!BJ69+'CF2'!BJ69</f>
        <v>0</v>
      </c>
      <c r="BK88" s="142">
        <f>'CF1'!BK69+'CF2'!BK69</f>
        <v>0</v>
      </c>
      <c r="BL88" s="142">
        <f>'CF1'!BL69+'CF2'!BL69</f>
        <v>0</v>
      </c>
      <c r="BM88" s="142">
        <f>'CF1'!BM69+'CF2'!BM69</f>
        <v>0</v>
      </c>
    </row>
    <row r="89" spans="1:65">
      <c r="A89" s="149"/>
      <c r="B89" s="140" t="str">
        <f>'DB1'!B38</f>
        <v>СОДЕРЖАНИЕ ПЛОЩАДКИ</v>
      </c>
      <c r="C89" s="27"/>
      <c r="D89" s="131" t="s">
        <v>19</v>
      </c>
      <c r="E89" s="141">
        <f>SUM(F89:BM89)</f>
        <v>-161.84817800000005</v>
      </c>
      <c r="F89" s="202">
        <f>'CF1'!F71+'CF2'!F71</f>
        <v>0</v>
      </c>
      <c r="G89" s="202">
        <f>'CF1'!G71+'CF2'!G71</f>
        <v>0</v>
      </c>
      <c r="H89" s="202">
        <f>'CF1'!H71+'CF2'!H71</f>
        <v>0</v>
      </c>
      <c r="I89" s="202">
        <f>'CF1'!I71+'CF2'!I71</f>
        <v>0</v>
      </c>
      <c r="J89" s="202">
        <f>'CF1'!J71+'CF2'!J71</f>
        <v>0</v>
      </c>
      <c r="K89" s="202">
        <f>'CF1'!K71+'CF2'!K71</f>
        <v>0</v>
      </c>
      <c r="L89" s="202">
        <f>'CF1'!L71+'CF2'!L71</f>
        <v>0</v>
      </c>
      <c r="M89" s="202">
        <f>'CF1'!M71+'CF2'!M71</f>
        <v>0</v>
      </c>
      <c r="N89" s="142">
        <f>'CF1'!N71+'CF2'!N71</f>
        <v>0</v>
      </c>
      <c r="O89" s="142">
        <f>'CF1'!O71+'CF2'!O71</f>
        <v>0</v>
      </c>
      <c r="P89" s="142">
        <f>'CF1'!P71+'CF2'!P71</f>
        <v>-7.6</v>
      </c>
      <c r="Q89" s="142">
        <f>'CF1'!Q71+'CF2'!Q71</f>
        <v>-15.6</v>
      </c>
      <c r="R89" s="142">
        <f>'CF1'!R71+'CF2'!R71</f>
        <v>-5.2</v>
      </c>
      <c r="S89" s="142">
        <f>'CF1'!S71+'CF2'!S71</f>
        <v>-9</v>
      </c>
      <c r="T89" s="142">
        <f>'CF1'!T71+'CF2'!T71</f>
        <v>-12.5</v>
      </c>
      <c r="U89" s="142">
        <f>'CF1'!U71+'CF2'!U71</f>
        <v>-11.928598333333332</v>
      </c>
      <c r="V89" s="142">
        <f>'CF1'!V71+'CF2'!V71</f>
        <v>-16.528598333333331</v>
      </c>
      <c r="W89" s="142">
        <f>'CF1'!W71+'CF2'!W71</f>
        <v>-11.128598333333333</v>
      </c>
      <c r="X89" s="142">
        <f>'CF1'!X71+'CF2'!X71</f>
        <v>-4.4285983333333334</v>
      </c>
      <c r="Y89" s="142">
        <f>'CF1'!Y71+'CF2'!Y71</f>
        <v>-7.1373481666666665</v>
      </c>
      <c r="Z89" s="142">
        <f>'CF1'!Z71+'CF2'!Z71</f>
        <v>-7.1373481666666665</v>
      </c>
      <c r="AA89" s="142">
        <f>'CF1'!AA71+'CF2'!AA71</f>
        <v>-7.1373481666666665</v>
      </c>
      <c r="AB89" s="142">
        <f>'CF1'!AB71+'CF2'!AB71</f>
        <v>-7.1373481666666665</v>
      </c>
      <c r="AC89" s="142">
        <f>'CF1'!AC71+'CF2'!AC71</f>
        <v>-7.1373481666666665</v>
      </c>
      <c r="AD89" s="142">
        <f>'CF1'!AD71+'CF2'!AD71</f>
        <v>-7.1373481666666665</v>
      </c>
      <c r="AE89" s="142">
        <f>'CF1'!AE71+'CF2'!AE71</f>
        <v>-7.1373481666666665</v>
      </c>
      <c r="AF89" s="142">
        <f>'CF1'!AF71+'CF2'!AF71</f>
        <v>-7.1373481666666665</v>
      </c>
      <c r="AG89" s="142">
        <f>'CF1'!AG71+'CF2'!AG71</f>
        <v>-2.7087498333333331</v>
      </c>
      <c r="AH89" s="142">
        <f>'CF1'!AH71+'CF2'!AH71</f>
        <v>-2.7087498333333331</v>
      </c>
      <c r="AI89" s="142">
        <f>'CF1'!AI71+'CF2'!AI71</f>
        <v>-2.7087498333333331</v>
      </c>
      <c r="AJ89" s="142">
        <f>'CF1'!AJ71+'CF2'!AJ71</f>
        <v>-2.7087498333333331</v>
      </c>
      <c r="AK89" s="142">
        <f>'CF1'!AK71+'CF2'!AK71</f>
        <v>0</v>
      </c>
      <c r="AL89" s="142">
        <f>'CF1'!AL71+'CF2'!AL71</f>
        <v>0</v>
      </c>
      <c r="AM89" s="142">
        <f>'CF1'!AM71+'CF2'!AM71</f>
        <v>0</v>
      </c>
      <c r="AN89" s="142">
        <f>'CF1'!AN71+'CF2'!AN71</f>
        <v>0</v>
      </c>
      <c r="AO89" s="142">
        <f>'CF1'!AO71+'CF2'!AO71</f>
        <v>0</v>
      </c>
      <c r="AP89" s="142">
        <f>'CF1'!AP71+'CF2'!AP71</f>
        <v>0</v>
      </c>
      <c r="AQ89" s="142">
        <f>'CF1'!AQ71+'CF2'!AQ71</f>
        <v>0</v>
      </c>
      <c r="AR89" s="142">
        <f>'CF1'!AR71+'CF2'!AR71</f>
        <v>0</v>
      </c>
      <c r="AS89" s="142">
        <f>'CF1'!AS71+'CF2'!AS71</f>
        <v>0</v>
      </c>
      <c r="AT89" s="142">
        <f>'CF1'!AT71+'CF2'!AT71</f>
        <v>0</v>
      </c>
      <c r="AU89" s="142">
        <f>'CF1'!AU71+'CF2'!AU71</f>
        <v>0</v>
      </c>
      <c r="AV89" s="142">
        <f>'CF1'!AV71+'CF2'!AV71</f>
        <v>0</v>
      </c>
      <c r="AW89" s="142">
        <f>'CF1'!AW71+'CF2'!AW71</f>
        <v>0</v>
      </c>
      <c r="AX89" s="142">
        <f>'CF1'!AX71+'CF2'!AX71</f>
        <v>0</v>
      </c>
      <c r="AY89" s="142">
        <f>'CF1'!AY71+'CF2'!AY71</f>
        <v>0</v>
      </c>
      <c r="AZ89" s="142">
        <f>'CF1'!AZ71+'CF2'!AZ71</f>
        <v>0</v>
      </c>
      <c r="BA89" s="142">
        <f>'CF1'!BA71+'CF2'!BA71</f>
        <v>0</v>
      </c>
      <c r="BB89" s="142">
        <f>'CF1'!BB71+'CF2'!BB71</f>
        <v>0</v>
      </c>
      <c r="BC89" s="142">
        <f>'CF1'!BC71+'CF2'!BC71</f>
        <v>0</v>
      </c>
      <c r="BD89" s="142">
        <f>'CF1'!BD71+'CF2'!BD71</f>
        <v>0</v>
      </c>
      <c r="BE89" s="142">
        <f>'CF1'!BE71+'CF2'!BE71</f>
        <v>0</v>
      </c>
      <c r="BF89" s="142">
        <f>'CF1'!BF71+'CF2'!BF71</f>
        <v>0</v>
      </c>
      <c r="BG89" s="142">
        <f>'CF1'!BG71+'CF2'!BG71</f>
        <v>0</v>
      </c>
      <c r="BH89" s="142">
        <f>'CF1'!BH71+'CF2'!BH71</f>
        <v>0</v>
      </c>
      <c r="BI89" s="142">
        <f>'CF1'!BI71+'CF2'!BI71</f>
        <v>0</v>
      </c>
      <c r="BJ89" s="142">
        <f>'CF1'!BJ71+'CF2'!BJ71</f>
        <v>0</v>
      </c>
      <c r="BK89" s="142">
        <f>'CF1'!BK71+'CF2'!BK71</f>
        <v>0</v>
      </c>
      <c r="BL89" s="142">
        <f>'CF1'!BL71+'CF2'!BL71</f>
        <v>0</v>
      </c>
      <c r="BM89" s="142">
        <f>'CF1'!BM71+'CF2'!BM71</f>
        <v>0</v>
      </c>
    </row>
    <row r="90" spans="1:65">
      <c r="A90" s="149"/>
      <c r="B90" s="140" t="s">
        <v>33</v>
      </c>
      <c r="C90" s="27"/>
      <c r="D90" s="131" t="s">
        <v>19</v>
      </c>
      <c r="E90" s="141">
        <f t="shared" si="207"/>
        <v>-1155.8424679999998</v>
      </c>
      <c r="F90" s="202">
        <f>'CF1'!F70+'CF2'!F70</f>
        <v>0</v>
      </c>
      <c r="G90" s="202">
        <f>'CF1'!G70+'CF2'!G70</f>
        <v>0</v>
      </c>
      <c r="H90" s="202">
        <f>'CF1'!H70+'CF2'!H70</f>
        <v>0</v>
      </c>
      <c r="I90" s="202">
        <f>'CF1'!I70+'CF2'!I70</f>
        <v>0</v>
      </c>
      <c r="J90" s="202">
        <f>'CF1'!J70+'CF2'!J70</f>
        <v>0</v>
      </c>
      <c r="K90" s="202">
        <f>'CF1'!K70+'CF2'!K70</f>
        <v>0</v>
      </c>
      <c r="L90" s="202">
        <f>'CF1'!L70+'CF2'!L70</f>
        <v>0</v>
      </c>
      <c r="M90" s="202">
        <f>'CF1'!M70+'CF2'!M70</f>
        <v>0</v>
      </c>
      <c r="N90" s="142">
        <f>'CF1'!N70+'CF2'!N70</f>
        <v>0</v>
      </c>
      <c r="O90" s="142">
        <f>'CF1'!O70+'CF2'!O70</f>
        <v>0</v>
      </c>
      <c r="P90" s="142">
        <f>'CF1'!P70+'CF2'!P70</f>
        <v>0</v>
      </c>
      <c r="Q90" s="142">
        <f>'CF1'!Q70+'CF2'!Q70</f>
        <v>-1.5</v>
      </c>
      <c r="R90" s="142">
        <f>'CF1'!R70+'CF2'!R70</f>
        <v>-189.34624700000001</v>
      </c>
      <c r="S90" s="142">
        <f>'CF1'!S70+'CF2'!S70</f>
        <v>-309.74374499999999</v>
      </c>
      <c r="T90" s="142">
        <f>'CF1'!T70+'CF2'!T70</f>
        <v>0</v>
      </c>
      <c r="U90" s="142">
        <f>'CF1'!U70+'CF2'!U70</f>
        <v>-1.5</v>
      </c>
      <c r="V90" s="142">
        <f>'CF1'!V70+'CF2'!V70</f>
        <v>-161.40649339999999</v>
      </c>
      <c r="W90" s="142">
        <f>'CF1'!W70+'CF2'!W70</f>
        <v>-263.17748899999998</v>
      </c>
      <c r="X90" s="142">
        <f>'CF1'!X70+'CF2'!X70</f>
        <v>0</v>
      </c>
      <c r="Y90" s="142">
        <f>'CF1'!Y70+'CF2'!Y70</f>
        <v>0</v>
      </c>
      <c r="Z90" s="142">
        <f>'CF1'!Z70+'CF2'!Z70</f>
        <v>0</v>
      </c>
      <c r="AA90" s="142">
        <f>'CF1'!AA70+'CF2'!AA70</f>
        <v>0</v>
      </c>
      <c r="AB90" s="142">
        <f>'CF1'!AB70+'CF2'!AB70</f>
        <v>0</v>
      </c>
      <c r="AC90" s="142">
        <f>'CF1'!AC70+'CF2'!AC70</f>
        <v>-61.948748999999999</v>
      </c>
      <c r="AD90" s="142">
        <f>'CF1'!AD70+'CF2'!AD70</f>
        <v>-61.948748999999999</v>
      </c>
      <c r="AE90" s="142">
        <f>'CF1'!AE70+'CF2'!AE70</f>
        <v>0</v>
      </c>
      <c r="AF90" s="142">
        <f>'CF1'!AF70+'CF2'!AF70</f>
        <v>0</v>
      </c>
      <c r="AG90" s="142">
        <f>'CF1'!AG70+'CF2'!AG70</f>
        <v>-52.635497799999996</v>
      </c>
      <c r="AH90" s="142">
        <f>'CF1'!AH70+'CF2'!AH70</f>
        <v>-52.635497799999996</v>
      </c>
      <c r="AI90" s="142">
        <f>'CF1'!AI70+'CF2'!AI70</f>
        <v>0</v>
      </c>
      <c r="AJ90" s="142">
        <f>'CF1'!AJ70+'CF2'!AJ70</f>
        <v>0</v>
      </c>
      <c r="AK90" s="142">
        <f>'CF1'!AK70+'CF2'!AK70</f>
        <v>0</v>
      </c>
      <c r="AL90" s="142">
        <f>'CF1'!AL70+'CF2'!AL70</f>
        <v>0</v>
      </c>
      <c r="AM90" s="142">
        <f>'CF1'!AM70+'CF2'!AM70</f>
        <v>0</v>
      </c>
      <c r="AN90" s="142">
        <f>'CF1'!AN70+'CF2'!AN70</f>
        <v>0</v>
      </c>
      <c r="AO90" s="142">
        <f>'CF1'!AO70+'CF2'!AO70</f>
        <v>0</v>
      </c>
      <c r="AP90" s="142">
        <f>'CF1'!AP70+'CF2'!AP70</f>
        <v>0</v>
      </c>
      <c r="AQ90" s="142">
        <f>'CF1'!AQ70+'CF2'!AQ70</f>
        <v>0</v>
      </c>
      <c r="AR90" s="142">
        <f>'CF1'!AR70+'CF2'!AR70</f>
        <v>0</v>
      </c>
      <c r="AS90" s="142">
        <f>'CF1'!AS70+'CF2'!AS70</f>
        <v>0</v>
      </c>
      <c r="AT90" s="142">
        <f>'CF1'!AT70+'CF2'!AT70</f>
        <v>0</v>
      </c>
      <c r="AU90" s="142">
        <f>'CF1'!AU70+'CF2'!AU70</f>
        <v>0</v>
      </c>
      <c r="AV90" s="142">
        <f>'CF1'!AV70+'CF2'!AV70</f>
        <v>0</v>
      </c>
      <c r="AW90" s="142">
        <f>'CF1'!AW70+'CF2'!AW70</f>
        <v>0</v>
      </c>
      <c r="AX90" s="142">
        <f>'CF1'!AX70+'CF2'!AX70</f>
        <v>0</v>
      </c>
      <c r="AY90" s="142">
        <f>'CF1'!AY70+'CF2'!AY70</f>
        <v>0</v>
      </c>
      <c r="AZ90" s="142">
        <f>'CF1'!AZ70+'CF2'!AZ70</f>
        <v>0</v>
      </c>
      <c r="BA90" s="142">
        <f>'CF1'!BA70+'CF2'!BA70</f>
        <v>0</v>
      </c>
      <c r="BB90" s="142">
        <f>'CF1'!BB70+'CF2'!BB70</f>
        <v>0</v>
      </c>
      <c r="BC90" s="142">
        <f>'CF1'!BC70+'CF2'!BC70</f>
        <v>0</v>
      </c>
      <c r="BD90" s="142">
        <f>'CF1'!BD70+'CF2'!BD70</f>
        <v>0</v>
      </c>
      <c r="BE90" s="142">
        <f>'CF1'!BE70+'CF2'!BE70</f>
        <v>0</v>
      </c>
      <c r="BF90" s="142">
        <f>'CF1'!BF70+'CF2'!BF70</f>
        <v>0</v>
      </c>
      <c r="BG90" s="142">
        <f>'CF1'!BG70+'CF2'!BG70</f>
        <v>0</v>
      </c>
      <c r="BH90" s="142">
        <f>'CF1'!BH70+'CF2'!BH70</f>
        <v>0</v>
      </c>
      <c r="BI90" s="142">
        <f>'CF1'!BI70+'CF2'!BI70</f>
        <v>0</v>
      </c>
      <c r="BJ90" s="142">
        <f>'CF1'!BJ70+'CF2'!BJ70</f>
        <v>0</v>
      </c>
      <c r="BK90" s="142">
        <f>'CF1'!BK70+'CF2'!BK70</f>
        <v>0</v>
      </c>
      <c r="BL90" s="142">
        <f>'CF1'!BL70+'CF2'!BL70</f>
        <v>0</v>
      </c>
      <c r="BM90" s="142">
        <f>'CF1'!BM70+'CF2'!BM70</f>
        <v>0</v>
      </c>
    </row>
    <row r="91" spans="1:65">
      <c r="A91" s="149"/>
      <c r="B91" s="140" t="s">
        <v>45</v>
      </c>
      <c r="C91" s="27"/>
      <c r="D91" s="131" t="s">
        <v>19</v>
      </c>
      <c r="E91" s="141">
        <f t="shared" si="207"/>
        <v>-525.38293999999996</v>
      </c>
      <c r="F91" s="202">
        <f>'CF1'!F72+'CF2'!F72</f>
        <v>0</v>
      </c>
      <c r="G91" s="202">
        <f>'CF1'!G72+'CF2'!G72</f>
        <v>0</v>
      </c>
      <c r="H91" s="202">
        <f>'CF1'!H72+'CF2'!H72</f>
        <v>0</v>
      </c>
      <c r="I91" s="202">
        <f>'CF1'!I72+'CF2'!I72</f>
        <v>0</v>
      </c>
      <c r="J91" s="202">
        <f>'CF1'!J72+'CF2'!J72</f>
        <v>0</v>
      </c>
      <c r="K91" s="202">
        <f>'CF1'!K72+'CF2'!K72</f>
        <v>0</v>
      </c>
      <c r="L91" s="202">
        <f>'CF1'!L72+'CF2'!L72</f>
        <v>0</v>
      </c>
      <c r="M91" s="202">
        <f>'CF1'!M72+'CF2'!M72</f>
        <v>0</v>
      </c>
      <c r="N91" s="142">
        <f>'CF1'!N72+'CF2'!N72</f>
        <v>0</v>
      </c>
      <c r="O91" s="142">
        <f>'CF1'!O72+'CF2'!O72</f>
        <v>0</v>
      </c>
      <c r="P91" s="142">
        <f>'CF1'!P72+'CF2'!P72</f>
        <v>-10</v>
      </c>
      <c r="Q91" s="142">
        <f>'CF1'!Q72+'CF2'!Q72</f>
        <v>-15</v>
      </c>
      <c r="R91" s="142">
        <f>'CF1'!R72+'CF2'!R72</f>
        <v>-12</v>
      </c>
      <c r="S91" s="142">
        <f>'CF1'!S72+'CF2'!S72</f>
        <v>-18.989073076923077</v>
      </c>
      <c r="T91" s="142">
        <f>'CF1'!T72+'CF2'!T72</f>
        <v>-28.989073076923077</v>
      </c>
      <c r="U91" s="142">
        <f>'CF1'!U72+'CF2'!U72</f>
        <v>-33.989073076923077</v>
      </c>
      <c r="V91" s="142">
        <f>'CF1'!V72+'CF2'!V72</f>
        <v>-30.989073076923077</v>
      </c>
      <c r="W91" s="142">
        <f>'CF1'!W72+'CF2'!W72</f>
        <v>-34.721764615384615</v>
      </c>
      <c r="X91" s="142">
        <f>'CF1'!X72+'CF2'!X72</f>
        <v>-34.721764615384615</v>
      </c>
      <c r="Y91" s="142">
        <f>'CF1'!Y72+'CF2'!Y72</f>
        <v>-34.721764615384615</v>
      </c>
      <c r="Z91" s="142">
        <f>'CF1'!Z72+'CF2'!Z72</f>
        <v>-34.721764615384615</v>
      </c>
      <c r="AA91" s="142">
        <f>'CF1'!AA72+'CF2'!AA72</f>
        <v>-34.721764615384615</v>
      </c>
      <c r="AB91" s="142">
        <f>'CF1'!AB72+'CF2'!AB72</f>
        <v>-34.721764615384615</v>
      </c>
      <c r="AC91" s="142">
        <f>'CF1'!AC72+'CF2'!AC72</f>
        <v>-34.721764615384615</v>
      </c>
      <c r="AD91" s="142">
        <f>'CF1'!AD72+'CF2'!AD72</f>
        <v>-34.721764615384615</v>
      </c>
      <c r="AE91" s="142">
        <f>'CF1'!AE72+'CF2'!AE72</f>
        <v>-34.721764615384615</v>
      </c>
      <c r="AF91" s="142">
        <f>'CF1'!AF72+'CF2'!AF72</f>
        <v>-15.732691538461538</v>
      </c>
      <c r="AG91" s="142">
        <f>'CF1'!AG72+'CF2'!AG72</f>
        <v>-15.732691538461538</v>
      </c>
      <c r="AH91" s="142">
        <f>'CF1'!AH72+'CF2'!AH72</f>
        <v>-15.732691538461538</v>
      </c>
      <c r="AI91" s="142">
        <f>'CF1'!AI72+'CF2'!AI72</f>
        <v>-15.732691538461538</v>
      </c>
      <c r="AJ91" s="142">
        <f>'CF1'!AJ72+'CF2'!AJ72</f>
        <v>0</v>
      </c>
      <c r="AK91" s="142">
        <f>'CF1'!AK72+'CF2'!AK72</f>
        <v>0</v>
      </c>
      <c r="AL91" s="142">
        <f>'CF1'!AL72+'CF2'!AL72</f>
        <v>0</v>
      </c>
      <c r="AM91" s="142">
        <f>'CF1'!AM72+'CF2'!AM72</f>
        <v>0</v>
      </c>
      <c r="AN91" s="142">
        <f>'CF1'!AN72+'CF2'!AN72</f>
        <v>0</v>
      </c>
      <c r="AO91" s="142">
        <f>'CF1'!AO72+'CF2'!AO72</f>
        <v>0</v>
      </c>
      <c r="AP91" s="142">
        <f>'CF1'!AP72+'CF2'!AP72</f>
        <v>0</v>
      </c>
      <c r="AQ91" s="142">
        <f>'CF1'!AQ72+'CF2'!AQ72</f>
        <v>0</v>
      </c>
      <c r="AR91" s="142">
        <f>'CF1'!AR72+'CF2'!AR72</f>
        <v>0</v>
      </c>
      <c r="AS91" s="142">
        <f>'CF1'!AS72+'CF2'!AS72</f>
        <v>0</v>
      </c>
      <c r="AT91" s="142">
        <f>'CF1'!AT72+'CF2'!AT72</f>
        <v>0</v>
      </c>
      <c r="AU91" s="142">
        <f>'CF1'!AU72+'CF2'!AU72</f>
        <v>0</v>
      </c>
      <c r="AV91" s="142">
        <f>'CF1'!AV72+'CF2'!AV72</f>
        <v>0</v>
      </c>
      <c r="AW91" s="142">
        <f>'CF1'!AW72+'CF2'!AW72</f>
        <v>0</v>
      </c>
      <c r="AX91" s="142">
        <f>'CF1'!AX72+'CF2'!AX72</f>
        <v>0</v>
      </c>
      <c r="AY91" s="142">
        <f>'CF1'!AY72+'CF2'!AY72</f>
        <v>0</v>
      </c>
      <c r="AZ91" s="142">
        <f>'CF1'!AZ72+'CF2'!AZ72</f>
        <v>0</v>
      </c>
      <c r="BA91" s="142">
        <f>'CF1'!BA72+'CF2'!BA72</f>
        <v>0</v>
      </c>
      <c r="BB91" s="142">
        <f>'CF1'!BB72+'CF2'!BB72</f>
        <v>0</v>
      </c>
      <c r="BC91" s="142">
        <f>'CF1'!BC72+'CF2'!BC72</f>
        <v>0</v>
      </c>
      <c r="BD91" s="142">
        <f>'CF1'!BD72+'CF2'!BD72</f>
        <v>0</v>
      </c>
      <c r="BE91" s="142">
        <f>'CF1'!BE72+'CF2'!BE72</f>
        <v>0</v>
      </c>
      <c r="BF91" s="142">
        <f>'CF1'!BF72+'CF2'!BF72</f>
        <v>0</v>
      </c>
      <c r="BG91" s="142">
        <f>'CF1'!BG72+'CF2'!BG72</f>
        <v>0</v>
      </c>
      <c r="BH91" s="142">
        <f>'CF1'!BH72+'CF2'!BH72</f>
        <v>0</v>
      </c>
      <c r="BI91" s="142">
        <f>'CF1'!BI72+'CF2'!BI72</f>
        <v>0</v>
      </c>
      <c r="BJ91" s="142">
        <f>'CF1'!BJ72+'CF2'!BJ72</f>
        <v>0</v>
      </c>
      <c r="BK91" s="142">
        <f>'CF1'!BK72+'CF2'!BK72</f>
        <v>0</v>
      </c>
      <c r="BL91" s="142">
        <f>'CF1'!BL72+'CF2'!BL72</f>
        <v>0</v>
      </c>
      <c r="BM91" s="142">
        <f>'CF1'!BM72+'CF2'!BM72</f>
        <v>0</v>
      </c>
    </row>
    <row r="92" spans="1:65">
      <c r="A92" s="149"/>
      <c r="B92" s="140" t="s">
        <v>140</v>
      </c>
      <c r="C92" s="27"/>
      <c r="D92" s="131" t="s">
        <v>19</v>
      </c>
      <c r="E92" s="141">
        <f t="shared" si="207"/>
        <v>-1499.3902175013043</v>
      </c>
      <c r="F92" s="202">
        <f>'CF1'!F73+'CF2'!F73</f>
        <v>0</v>
      </c>
      <c r="G92" s="202">
        <f>'CF1'!G73+'CF2'!G73</f>
        <v>0</v>
      </c>
      <c r="H92" s="202">
        <f>'CF1'!H73+'CF2'!H73</f>
        <v>0</v>
      </c>
      <c r="I92" s="202">
        <f>'CF1'!I73+'CF2'!I73</f>
        <v>0</v>
      </c>
      <c r="J92" s="202">
        <f>'CF1'!J73+'CF2'!J73</f>
        <v>0</v>
      </c>
      <c r="K92" s="202">
        <f>'CF1'!K73+'CF2'!K73</f>
        <v>0</v>
      </c>
      <c r="L92" s="202">
        <f>'CF1'!L73+'CF2'!L73</f>
        <v>0</v>
      </c>
      <c r="M92" s="202">
        <f>'CF1'!M73+'CF2'!M73</f>
        <v>0</v>
      </c>
      <c r="N92" s="142">
        <f>'CF1'!N73+'CF2'!N73</f>
        <v>-68.558442483277616</v>
      </c>
      <c r="O92" s="142">
        <f>'CF1'!O73+'CF2'!O73</f>
        <v>-68.558442483277616</v>
      </c>
      <c r="P92" s="142">
        <f>'CF1'!P73+'CF2'!P73</f>
        <v>-68.558442483277616</v>
      </c>
      <c r="Q92" s="142">
        <f>'CF1'!Q73+'CF2'!Q73</f>
        <v>-68.558442483277616</v>
      </c>
      <c r="R92" s="142">
        <f>'CF1'!R73+'CF2'!R73</f>
        <v>-68.558442483277616</v>
      </c>
      <c r="S92" s="142">
        <f>'CF1'!S73+'CF2'!S73</f>
        <v>-68.558442483277616</v>
      </c>
      <c r="T92" s="142">
        <f>'CF1'!T73+'CF2'!T73</f>
        <v>-68.558442483277616</v>
      </c>
      <c r="U92" s="142">
        <f>'CF1'!U73+'CF2'!U73</f>
        <v>-68.558442483277616</v>
      </c>
      <c r="V92" s="142">
        <f>'CF1'!V73+'CF2'!V73</f>
        <v>-68.558442483277616</v>
      </c>
      <c r="W92" s="142">
        <f>'CF1'!W73+'CF2'!W73</f>
        <v>-68.558442483277616</v>
      </c>
      <c r="X92" s="142">
        <f>'CF1'!X73+'CF2'!X73</f>
        <v>-68.558442483277616</v>
      </c>
      <c r="Y92" s="142">
        <f>'CF1'!Y73+'CF2'!Y73</f>
        <v>-68.558442483277616</v>
      </c>
      <c r="Z92" s="142">
        <f>'CF1'!Z73+'CF2'!Z73</f>
        <v>-68.558442483277616</v>
      </c>
      <c r="AA92" s="142">
        <f>'CF1'!AA73+'CF2'!AA73</f>
        <v>-68.558442483277616</v>
      </c>
      <c r="AB92" s="142">
        <f>'CF1'!AB73+'CF2'!AB73</f>
        <v>-68.558442483277616</v>
      </c>
      <c r="AC92" s="142">
        <f>'CF1'!AC73+'CF2'!AC73</f>
        <v>-68.558442483277616</v>
      </c>
      <c r="AD92" s="142">
        <f>'CF1'!AD73+'CF2'!AD73</f>
        <v>-68.558442483277616</v>
      </c>
      <c r="AE92" s="142">
        <f>'CF1'!AE73+'CF2'!AE73</f>
        <v>-68.558442483277616</v>
      </c>
      <c r="AF92" s="142">
        <f>'CF1'!AF73+'CF2'!AF73</f>
        <v>-68.558442483277616</v>
      </c>
      <c r="AG92" s="142">
        <f>'CF1'!AG73+'CF2'!AG73</f>
        <v>-68.558442483277616</v>
      </c>
      <c r="AH92" s="142">
        <f>'CF1'!AH73+'CF2'!AH73</f>
        <v>-32.055341958937916</v>
      </c>
      <c r="AI92" s="142">
        <f>'CF1'!AI73+'CF2'!AI73</f>
        <v>-32.055341958937916</v>
      </c>
      <c r="AJ92" s="142">
        <f>'CF1'!AJ73+'CF2'!AJ73</f>
        <v>-32.055341958937916</v>
      </c>
      <c r="AK92" s="142">
        <f>'CF1'!AK73+'CF2'!AK73</f>
        <v>-32.055341958937916</v>
      </c>
      <c r="AL92" s="142">
        <f>'CF1'!AL73+'CF2'!AL73</f>
        <v>0</v>
      </c>
      <c r="AM92" s="142">
        <f>'CF1'!AM73+'CF2'!AM73</f>
        <v>0</v>
      </c>
      <c r="AN92" s="142">
        <f>'CF1'!AN73+'CF2'!AN73</f>
        <v>0</v>
      </c>
      <c r="AO92" s="142">
        <f>'CF1'!AO73+'CF2'!AO73</f>
        <v>0</v>
      </c>
      <c r="AP92" s="142">
        <f>'CF1'!AP73+'CF2'!AP73</f>
        <v>0</v>
      </c>
      <c r="AQ92" s="142">
        <f>'CF1'!AQ73+'CF2'!AQ73</f>
        <v>0</v>
      </c>
      <c r="AR92" s="142">
        <f>'CF1'!AR73+'CF2'!AR73</f>
        <v>0</v>
      </c>
      <c r="AS92" s="142">
        <f>'CF1'!AS73+'CF2'!AS73</f>
        <v>0</v>
      </c>
      <c r="AT92" s="142">
        <f>'CF1'!AT73+'CF2'!AT73</f>
        <v>0</v>
      </c>
      <c r="AU92" s="142">
        <f>'CF1'!AU73+'CF2'!AU73</f>
        <v>0</v>
      </c>
      <c r="AV92" s="142">
        <f>'CF1'!AV73+'CF2'!AV73</f>
        <v>0</v>
      </c>
      <c r="AW92" s="142">
        <f>'CF1'!AW73+'CF2'!AW73</f>
        <v>0</v>
      </c>
      <c r="AX92" s="142">
        <f>'CF1'!AX73+'CF2'!AX73</f>
        <v>0</v>
      </c>
      <c r="AY92" s="142">
        <f>'CF1'!AY73+'CF2'!AY73</f>
        <v>0</v>
      </c>
      <c r="AZ92" s="142">
        <f>'CF1'!AZ73+'CF2'!AZ73</f>
        <v>0</v>
      </c>
      <c r="BA92" s="142">
        <f>'CF1'!BA73+'CF2'!BA73</f>
        <v>0</v>
      </c>
      <c r="BB92" s="142">
        <f>'CF1'!BB73+'CF2'!BB73</f>
        <v>0</v>
      </c>
      <c r="BC92" s="142">
        <f>'CF1'!BC73+'CF2'!BC73</f>
        <v>0</v>
      </c>
      <c r="BD92" s="142">
        <f>'CF1'!BD73+'CF2'!BD73</f>
        <v>0</v>
      </c>
      <c r="BE92" s="142">
        <f>'CF1'!BE73+'CF2'!BE73</f>
        <v>0</v>
      </c>
      <c r="BF92" s="142">
        <f>'CF1'!BF73+'CF2'!BF73</f>
        <v>0</v>
      </c>
      <c r="BG92" s="142">
        <f>'CF1'!BG73+'CF2'!BG73</f>
        <v>0</v>
      </c>
      <c r="BH92" s="142">
        <f>'CF1'!BH73+'CF2'!BH73</f>
        <v>0</v>
      </c>
      <c r="BI92" s="142">
        <f>'CF1'!BI73+'CF2'!BI73</f>
        <v>0</v>
      </c>
      <c r="BJ92" s="142">
        <f>'CF1'!BJ73+'CF2'!BJ73</f>
        <v>0</v>
      </c>
      <c r="BK92" s="142">
        <f>'CF1'!BK73+'CF2'!BK73</f>
        <v>0</v>
      </c>
      <c r="BL92" s="142">
        <f>'CF1'!BL73+'CF2'!BL73</f>
        <v>0</v>
      </c>
      <c r="BM92" s="142">
        <f>'CF1'!BM73+'CF2'!BM73</f>
        <v>0</v>
      </c>
    </row>
    <row r="93" spans="1:65">
      <c r="A93" s="149"/>
      <c r="B93" s="140" t="s">
        <v>35</v>
      </c>
      <c r="C93" s="27"/>
      <c r="D93" s="131" t="s">
        <v>19</v>
      </c>
      <c r="E93" s="141">
        <f t="shared" si="207"/>
        <v>-734.99520465750174</v>
      </c>
      <c r="F93" s="202">
        <f>'CF1'!F74+'CF2'!F74</f>
        <v>0</v>
      </c>
      <c r="G93" s="202">
        <f>'CF1'!G74+'CF2'!G74</f>
        <v>0</v>
      </c>
      <c r="H93" s="202">
        <f>'CF1'!H74+'CF2'!H74</f>
        <v>0</v>
      </c>
      <c r="I93" s="202">
        <f>'CF1'!I74+'CF2'!I74</f>
        <v>0</v>
      </c>
      <c r="J93" s="202">
        <f>'CF1'!J74+'CF2'!J74</f>
        <v>0</v>
      </c>
      <c r="K93" s="202">
        <f>'CF1'!K74+'CF2'!K74</f>
        <v>0</v>
      </c>
      <c r="L93" s="202">
        <f>'CF1'!L74+'CF2'!L74</f>
        <v>0</v>
      </c>
      <c r="M93" s="202">
        <f>'CF1'!M74+'CF2'!M74</f>
        <v>0</v>
      </c>
      <c r="N93" s="142">
        <f>'CF1'!N74+'CF2'!N74</f>
        <v>-0.73280965133333331</v>
      </c>
      <c r="O93" s="142">
        <f>'CF1'!O74+'CF2'!O74</f>
        <v>-1.6962896513333334</v>
      </c>
      <c r="P93" s="142">
        <f>'CF1'!P74+'CF2'!P74</f>
        <v>-6.0640896513333322</v>
      </c>
      <c r="Q93" s="142">
        <f>'CF1'!Q74+'CF2'!Q74</f>
        <v>-11.557252151333334</v>
      </c>
      <c r="R93" s="142">
        <f>'CF1'!R74+'CF2'!R74</f>
        <v>-16.674377091333334</v>
      </c>
      <c r="S93" s="142">
        <f>'CF1'!S74+'CF2'!S74</f>
        <v>-17.371745703138465</v>
      </c>
      <c r="T93" s="142">
        <f>'CF1'!T74+'CF2'!T74</f>
        <v>-27.986995427538456</v>
      </c>
      <c r="U93" s="142">
        <f>'CF1'!U74+'CF2'!U74</f>
        <v>-33.387167394205122</v>
      </c>
      <c r="V93" s="142">
        <f>'CF1'!V74+'CF2'!V74</f>
        <v>-40.185297262205125</v>
      </c>
      <c r="W93" s="142">
        <f>'CF1'!W74+'CF2'!W74</f>
        <v>-32.609771004974348</v>
      </c>
      <c r="X93" s="142">
        <f>'CF1'!X74+'CF2'!X74</f>
        <v>-53.132244894403669</v>
      </c>
      <c r="Y93" s="142">
        <f>'CF1'!Y74+'CF2'!Y74</f>
        <v>-53.186419891070337</v>
      </c>
      <c r="Z93" s="142">
        <f>'CF1'!Z74+'CF2'!Z74</f>
        <v>-53.186419891070337</v>
      </c>
      <c r="AA93" s="142">
        <f>'CF1'!AA74+'CF2'!AA74</f>
        <v>-53.186419891070337</v>
      </c>
      <c r="AB93" s="142">
        <f>'CF1'!AB74+'CF2'!AB74</f>
        <v>-53.186419891070337</v>
      </c>
      <c r="AC93" s="142">
        <f>'CF1'!AC74+'CF2'!AC74</f>
        <v>-56.525886094403674</v>
      </c>
      <c r="AD93" s="142">
        <f>'CF1'!AD74+'CF2'!AD74</f>
        <v>-54.425394871070338</v>
      </c>
      <c r="AE93" s="142">
        <f>'CF1'!AE74+'CF2'!AE74</f>
        <v>-53.186419891070337</v>
      </c>
      <c r="AF93" s="142">
        <f>'CF1'!AF74+'CF2'!AF74</f>
        <v>-29.620116959531881</v>
      </c>
      <c r="AG93" s="142">
        <f>'CF1'!AG74+'CF2'!AG74</f>
        <v>-29.384254948865212</v>
      </c>
      <c r="AH93" s="142">
        <f>'CF1'!AH74+'CF2'!AH74</f>
        <v>-29.384254948865212</v>
      </c>
      <c r="AI93" s="142">
        <f>'CF1'!AI74+'CF2'!AI74</f>
        <v>-28.270982499615215</v>
      </c>
      <c r="AJ93" s="142">
        <f>'CF1'!AJ74+'CF2'!AJ74</f>
        <v>-5.4174996666666662E-2</v>
      </c>
      <c r="AK93" s="142">
        <f>'CF1'!AK74+'CF2'!AK74</f>
        <v>0</v>
      </c>
      <c r="AL93" s="142">
        <f>'CF1'!AL74+'CF2'!AL74</f>
        <v>0</v>
      </c>
      <c r="AM93" s="142">
        <f>'CF1'!AM74+'CF2'!AM74</f>
        <v>0</v>
      </c>
      <c r="AN93" s="142">
        <f>'CF1'!AN74+'CF2'!AN74</f>
        <v>0</v>
      </c>
      <c r="AO93" s="142">
        <f>'CF1'!AO74+'CF2'!AO74</f>
        <v>0</v>
      </c>
      <c r="AP93" s="142">
        <f>'CF1'!AP74+'CF2'!AP74</f>
        <v>0</v>
      </c>
      <c r="AQ93" s="142">
        <f>'CF1'!AQ74+'CF2'!AQ74</f>
        <v>0</v>
      </c>
      <c r="AR93" s="142">
        <f>'CF1'!AR74+'CF2'!AR74</f>
        <v>0</v>
      </c>
      <c r="AS93" s="142">
        <f>'CF1'!AS74+'CF2'!AS74</f>
        <v>0</v>
      </c>
      <c r="AT93" s="142">
        <f>'CF1'!AT74+'CF2'!AT74</f>
        <v>0</v>
      </c>
      <c r="AU93" s="142">
        <f>'CF1'!AU74+'CF2'!AU74</f>
        <v>0</v>
      </c>
      <c r="AV93" s="142">
        <f>'CF1'!AV74+'CF2'!AV74</f>
        <v>0</v>
      </c>
      <c r="AW93" s="142">
        <f>'CF1'!AW74+'CF2'!AW74</f>
        <v>0</v>
      </c>
      <c r="AX93" s="142">
        <f>'CF1'!AX74+'CF2'!AX74</f>
        <v>0</v>
      </c>
      <c r="AY93" s="142">
        <f>'CF1'!AY74+'CF2'!AY74</f>
        <v>0</v>
      </c>
      <c r="AZ93" s="142">
        <f>'CF1'!AZ74+'CF2'!AZ74</f>
        <v>0</v>
      </c>
      <c r="BA93" s="142">
        <f>'CF1'!BA74+'CF2'!BA74</f>
        <v>0</v>
      </c>
      <c r="BB93" s="142">
        <f>'CF1'!BB74+'CF2'!BB74</f>
        <v>0</v>
      </c>
      <c r="BC93" s="142">
        <f>'CF1'!BC74+'CF2'!BC74</f>
        <v>0</v>
      </c>
      <c r="BD93" s="142">
        <f>'CF1'!BD74+'CF2'!BD74</f>
        <v>0</v>
      </c>
      <c r="BE93" s="142">
        <f>'CF1'!BE74+'CF2'!BE74</f>
        <v>0</v>
      </c>
      <c r="BF93" s="142">
        <f>'CF1'!BF74+'CF2'!BF74</f>
        <v>0</v>
      </c>
      <c r="BG93" s="142">
        <f>'CF1'!BG74+'CF2'!BG74</f>
        <v>0</v>
      </c>
      <c r="BH93" s="142">
        <f>'CF1'!BH74+'CF2'!BH74</f>
        <v>0</v>
      </c>
      <c r="BI93" s="142">
        <f>'CF1'!BI74+'CF2'!BI74</f>
        <v>0</v>
      </c>
      <c r="BJ93" s="142">
        <f>'CF1'!BJ74+'CF2'!BJ74</f>
        <v>0</v>
      </c>
      <c r="BK93" s="142">
        <f>'CF1'!BK74+'CF2'!BK74</f>
        <v>0</v>
      </c>
      <c r="BL93" s="142">
        <f>'CF1'!BL74+'CF2'!BL74</f>
        <v>0</v>
      </c>
      <c r="BM93" s="142">
        <f>'CF1'!BM74+'CF2'!BM74</f>
        <v>0</v>
      </c>
    </row>
    <row r="94" spans="1:65">
      <c r="E94" s="143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  <c r="AZ94" s="144"/>
      <c r="BA94" s="144"/>
      <c r="BB94" s="144"/>
      <c r="BC94" s="144"/>
      <c r="BD94" s="144"/>
      <c r="BE94" s="144"/>
      <c r="BF94" s="144"/>
      <c r="BG94" s="144"/>
      <c r="BH94" s="144"/>
      <c r="BI94" s="144"/>
      <c r="BJ94" s="144"/>
      <c r="BK94" s="144"/>
      <c r="BL94" s="144"/>
      <c r="BM94" s="144"/>
    </row>
    <row r="95" spans="1:65">
      <c r="A95" s="124"/>
      <c r="B95" s="177" t="s">
        <v>55</v>
      </c>
      <c r="C95" s="177"/>
      <c r="D95" s="178" t="s">
        <v>19</v>
      </c>
      <c r="E95" s="180">
        <f>SUM(F95:BM95)</f>
        <v>24995.991785276467</v>
      </c>
      <c r="F95" s="180">
        <f t="shared" ref="F95:AK95" si="210">F53+F69+F78</f>
        <v>-0.18152285999999998</v>
      </c>
      <c r="G95" s="180">
        <f t="shared" si="210"/>
        <v>-0.55836329000000007</v>
      </c>
      <c r="H95" s="180">
        <f t="shared" si="210"/>
        <v>-0.28356999999999999</v>
      </c>
      <c r="I95" s="180">
        <f t="shared" si="210"/>
        <v>-0.29047000000000001</v>
      </c>
      <c r="J95" s="180">
        <f t="shared" si="210"/>
        <v>-0.33546999999999999</v>
      </c>
      <c r="K95" s="180">
        <f t="shared" si="210"/>
        <v>-0.3448</v>
      </c>
      <c r="L95" s="180">
        <f t="shared" si="210"/>
        <v>-0.63933561999999999</v>
      </c>
      <c r="M95" s="180">
        <f t="shared" si="210"/>
        <v>-0.68847999999999998</v>
      </c>
      <c r="N95" s="180">
        <f t="shared" si="210"/>
        <v>-116.07412812546991</v>
      </c>
      <c r="O95" s="180">
        <f t="shared" si="210"/>
        <v>-171.00360812546992</v>
      </c>
      <c r="P95" s="180">
        <f t="shared" si="210"/>
        <v>-3942.7614081254696</v>
      </c>
      <c r="Q95" s="180">
        <f t="shared" si="210"/>
        <v>-669.91269562547006</v>
      </c>
      <c r="R95" s="180">
        <f t="shared" si="210"/>
        <v>-944.67806756546997</v>
      </c>
      <c r="S95" s="180">
        <f t="shared" si="210"/>
        <v>-1571.2584320792296</v>
      </c>
      <c r="T95" s="180">
        <f t="shared" si="210"/>
        <v>-2474.2234808995468</v>
      </c>
      <c r="U95" s="180">
        <f t="shared" si="210"/>
        <v>-2490.1273608535398</v>
      </c>
      <c r="V95" s="180">
        <f t="shared" si="210"/>
        <v>-2846.0626503082035</v>
      </c>
      <c r="W95" s="180">
        <f t="shared" si="210"/>
        <v>-2308.9780531426068</v>
      </c>
      <c r="X95" s="180">
        <f t="shared" si="210"/>
        <v>-3432.41850676884</v>
      </c>
      <c r="Y95" s="180">
        <f t="shared" si="210"/>
        <v>-3492.1626502569466</v>
      </c>
      <c r="Z95" s="180">
        <f t="shared" si="210"/>
        <v>-3509.934280828963</v>
      </c>
      <c r="AA95" s="180">
        <f t="shared" si="210"/>
        <v>-3125.8607070599305</v>
      </c>
      <c r="AB95" s="180">
        <f t="shared" si="210"/>
        <v>-3150.4783761814083</v>
      </c>
      <c r="AC95" s="180">
        <f t="shared" si="210"/>
        <v>-3330.854791169435</v>
      </c>
      <c r="AD95" s="180">
        <f t="shared" si="210"/>
        <v>-3244.168324566946</v>
      </c>
      <c r="AE95" s="180">
        <f t="shared" si="210"/>
        <v>-3221.112193813733</v>
      </c>
      <c r="AF95" s="180">
        <f t="shared" si="210"/>
        <v>22316.367007242065</v>
      </c>
      <c r="AG95" s="180">
        <f t="shared" si="210"/>
        <v>1495.4994232915726</v>
      </c>
      <c r="AH95" s="180">
        <f t="shared" si="210"/>
        <v>1474.2972495148367</v>
      </c>
      <c r="AI95" s="180">
        <f t="shared" si="210"/>
        <v>310.9401118588828</v>
      </c>
      <c r="AJ95" s="180">
        <f t="shared" si="210"/>
        <v>27170.724694858916</v>
      </c>
      <c r="AK95" s="180">
        <f t="shared" si="210"/>
        <v>5001.648931445935</v>
      </c>
      <c r="AL95" s="180">
        <f t="shared" ref="AL95:BM95" si="211">AL53+AL69+AL78</f>
        <v>5003.9022561143729</v>
      </c>
      <c r="AM95" s="180">
        <f t="shared" si="211"/>
        <v>3850.3394624208404</v>
      </c>
      <c r="AN95" s="180">
        <f t="shared" si="211"/>
        <v>2489.9082247737724</v>
      </c>
      <c r="AO95" s="180">
        <f t="shared" si="211"/>
        <v>-70.372748978053977</v>
      </c>
      <c r="AP95" s="180">
        <f t="shared" si="211"/>
        <v>-1.8711000000000075</v>
      </c>
      <c r="AQ95" s="180">
        <f t="shared" si="211"/>
        <v>0</v>
      </c>
      <c r="AR95" s="180">
        <f t="shared" si="211"/>
        <v>0</v>
      </c>
      <c r="AS95" s="180">
        <f t="shared" si="211"/>
        <v>0</v>
      </c>
      <c r="AT95" s="180">
        <f t="shared" si="211"/>
        <v>0</v>
      </c>
      <c r="AU95" s="180">
        <f t="shared" si="211"/>
        <v>0</v>
      </c>
      <c r="AV95" s="180">
        <f t="shared" si="211"/>
        <v>0</v>
      </c>
      <c r="AW95" s="180">
        <f t="shared" si="211"/>
        <v>0</v>
      </c>
      <c r="AX95" s="180">
        <f t="shared" si="211"/>
        <v>0</v>
      </c>
      <c r="AY95" s="180">
        <f t="shared" si="211"/>
        <v>0</v>
      </c>
      <c r="AZ95" s="180">
        <f t="shared" si="211"/>
        <v>0</v>
      </c>
      <c r="BA95" s="180">
        <f t="shared" si="211"/>
        <v>0</v>
      </c>
      <c r="BB95" s="180">
        <f t="shared" si="211"/>
        <v>0</v>
      </c>
      <c r="BC95" s="180">
        <f t="shared" si="211"/>
        <v>0</v>
      </c>
      <c r="BD95" s="180">
        <f t="shared" si="211"/>
        <v>0</v>
      </c>
      <c r="BE95" s="180">
        <f t="shared" si="211"/>
        <v>0</v>
      </c>
      <c r="BF95" s="180">
        <f t="shared" si="211"/>
        <v>0</v>
      </c>
      <c r="BG95" s="180">
        <f t="shared" si="211"/>
        <v>0</v>
      </c>
      <c r="BH95" s="180">
        <f t="shared" si="211"/>
        <v>0</v>
      </c>
      <c r="BI95" s="180">
        <f t="shared" si="211"/>
        <v>0</v>
      </c>
      <c r="BJ95" s="180">
        <f t="shared" si="211"/>
        <v>0</v>
      </c>
      <c r="BK95" s="180">
        <f t="shared" si="211"/>
        <v>0</v>
      </c>
      <c r="BL95" s="180">
        <f t="shared" si="211"/>
        <v>0</v>
      </c>
      <c r="BM95" s="180">
        <f t="shared" si="211"/>
        <v>0</v>
      </c>
    </row>
    <row r="96" spans="1:65">
      <c r="E96" s="143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  <c r="BA96" s="144"/>
      <c r="BB96" s="144"/>
      <c r="BC96" s="144"/>
      <c r="BD96" s="144"/>
      <c r="BE96" s="144"/>
      <c r="BF96" s="144"/>
      <c r="BG96" s="144"/>
      <c r="BH96" s="144"/>
      <c r="BI96" s="144"/>
      <c r="BJ96" s="144"/>
      <c r="BK96" s="144"/>
      <c r="BL96" s="144"/>
      <c r="BM96" s="144"/>
    </row>
    <row r="97" spans="1:65">
      <c r="E97" s="143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  <c r="BB97" s="144"/>
      <c r="BC97" s="144"/>
      <c r="BD97" s="144"/>
      <c r="BE97" s="144"/>
      <c r="BF97" s="144"/>
      <c r="BG97" s="144"/>
      <c r="BH97" s="144"/>
      <c r="BI97" s="144"/>
      <c r="BJ97" s="144"/>
      <c r="BK97" s="144"/>
      <c r="BL97" s="144"/>
      <c r="BM97" s="144"/>
    </row>
    <row r="98" spans="1:65">
      <c r="A98" s="124"/>
      <c r="B98" s="177" t="s">
        <v>56</v>
      </c>
      <c r="C98" s="177"/>
      <c r="D98" s="178" t="s">
        <v>19</v>
      </c>
      <c r="E98" s="179">
        <f t="shared" ref="E98:E126" si="212">SUM(F98:BM98)</f>
        <v>-10772.115778733547</v>
      </c>
      <c r="F98" s="180">
        <f t="shared" ref="F98:BM98" si="213">SUM(F100:F101,F104,F106:F107,F114:F115,F110,F112,F120,F118,F123,F125:F126)</f>
        <v>0.2</v>
      </c>
      <c r="G98" s="180">
        <f t="shared" si="213"/>
        <v>0.6</v>
      </c>
      <c r="H98" s="180">
        <f t="shared" si="213"/>
        <v>0.6</v>
      </c>
      <c r="I98" s="180">
        <f t="shared" si="213"/>
        <v>0.3</v>
      </c>
      <c r="J98" s="180">
        <f t="shared" si="213"/>
        <v>0</v>
      </c>
      <c r="K98" s="180">
        <f t="shared" si="213"/>
        <v>0.8</v>
      </c>
      <c r="L98" s="180">
        <f t="shared" si="213"/>
        <v>0.6</v>
      </c>
      <c r="M98" s="180">
        <f t="shared" si="213"/>
        <v>1.07</v>
      </c>
      <c r="N98" s="180">
        <f t="shared" si="213"/>
        <v>116.08026635546994</v>
      </c>
      <c r="O98" s="180">
        <f t="shared" si="213"/>
        <v>170.14948166546992</v>
      </c>
      <c r="P98" s="180">
        <f t="shared" si="213"/>
        <v>3942.7614081254692</v>
      </c>
      <c r="Q98" s="180">
        <f t="shared" si="213"/>
        <v>669.91269562546995</v>
      </c>
      <c r="R98" s="180">
        <f t="shared" si="213"/>
        <v>944.67806756547009</v>
      </c>
      <c r="S98" s="180">
        <f t="shared" si="213"/>
        <v>1571.2584320792296</v>
      </c>
      <c r="T98" s="180">
        <f t="shared" si="213"/>
        <v>2474.2234808995463</v>
      </c>
      <c r="U98" s="180">
        <f t="shared" si="213"/>
        <v>2490.1273608535394</v>
      </c>
      <c r="V98" s="180">
        <f t="shared" si="213"/>
        <v>2846.062650308204</v>
      </c>
      <c r="W98" s="180">
        <f t="shared" si="213"/>
        <v>2308.9780531426068</v>
      </c>
      <c r="X98" s="180">
        <f t="shared" si="213"/>
        <v>3432.41850676884</v>
      </c>
      <c r="Y98" s="180">
        <f t="shared" si="213"/>
        <v>3492.1626502569479</v>
      </c>
      <c r="Z98" s="180">
        <f t="shared" si="213"/>
        <v>3509.9342808289639</v>
      </c>
      <c r="AA98" s="180">
        <f t="shared" si="213"/>
        <v>3125.860707059931</v>
      </c>
      <c r="AB98" s="180">
        <f t="shared" si="213"/>
        <v>3150.4783761814087</v>
      </c>
      <c r="AC98" s="180">
        <f t="shared" si="213"/>
        <v>3330.8547911694354</v>
      </c>
      <c r="AD98" s="180">
        <f t="shared" si="213"/>
        <v>3244.1683245669465</v>
      </c>
      <c r="AE98" s="180">
        <f t="shared" si="213"/>
        <v>3221.1121938137335</v>
      </c>
      <c r="AF98" s="180">
        <f t="shared" si="213"/>
        <v>-22009.095708620502</v>
      </c>
      <c r="AG98" s="180">
        <f t="shared" si="213"/>
        <v>-1184.1825673200601</v>
      </c>
      <c r="AH98" s="180">
        <f t="shared" si="213"/>
        <v>-1027.9581486269858</v>
      </c>
      <c r="AI98" s="180">
        <f t="shared" si="213"/>
        <v>21.318178209186726</v>
      </c>
      <c r="AJ98" s="180">
        <f t="shared" si="213"/>
        <v>-25596.672444543303</v>
      </c>
      <c r="AK98" s="180">
        <f t="shared" si="213"/>
        <v>-3388.021872154226</v>
      </c>
      <c r="AL98" s="180">
        <f t="shared" si="213"/>
        <v>-1632.8949429443458</v>
      </c>
      <c r="AM98" s="180">
        <f t="shared" si="213"/>
        <v>0</v>
      </c>
      <c r="AN98" s="180">
        <f t="shared" si="213"/>
        <v>0</v>
      </c>
      <c r="AO98" s="180">
        <f t="shared" si="213"/>
        <v>0</v>
      </c>
      <c r="AP98" s="180">
        <f t="shared" si="213"/>
        <v>0</v>
      </c>
      <c r="AQ98" s="180">
        <f t="shared" si="213"/>
        <v>0</v>
      </c>
      <c r="AR98" s="180">
        <f t="shared" si="213"/>
        <v>0</v>
      </c>
      <c r="AS98" s="180">
        <f t="shared" si="213"/>
        <v>0</v>
      </c>
      <c r="AT98" s="180">
        <f t="shared" si="213"/>
        <v>0</v>
      </c>
      <c r="AU98" s="180">
        <f t="shared" si="213"/>
        <v>0</v>
      </c>
      <c r="AV98" s="180">
        <f t="shared" si="213"/>
        <v>0</v>
      </c>
      <c r="AW98" s="180">
        <f t="shared" si="213"/>
        <v>0</v>
      </c>
      <c r="AX98" s="180">
        <f t="shared" si="213"/>
        <v>0</v>
      </c>
      <c r="AY98" s="180">
        <f t="shared" si="213"/>
        <v>0</v>
      </c>
      <c r="AZ98" s="180">
        <f t="shared" si="213"/>
        <v>0</v>
      </c>
      <c r="BA98" s="180">
        <f t="shared" si="213"/>
        <v>0</v>
      </c>
      <c r="BB98" s="180">
        <f t="shared" si="213"/>
        <v>0</v>
      </c>
      <c r="BC98" s="180">
        <f t="shared" si="213"/>
        <v>0</v>
      </c>
      <c r="BD98" s="180">
        <f t="shared" si="213"/>
        <v>0</v>
      </c>
      <c r="BE98" s="180">
        <f t="shared" si="213"/>
        <v>0</v>
      </c>
      <c r="BF98" s="180">
        <f t="shared" si="213"/>
        <v>0</v>
      </c>
      <c r="BG98" s="180">
        <f t="shared" si="213"/>
        <v>0</v>
      </c>
      <c r="BH98" s="180">
        <f t="shared" si="213"/>
        <v>0</v>
      </c>
      <c r="BI98" s="180">
        <f t="shared" si="213"/>
        <v>0</v>
      </c>
      <c r="BJ98" s="180">
        <f t="shared" si="213"/>
        <v>0</v>
      </c>
      <c r="BK98" s="180">
        <f t="shared" si="213"/>
        <v>0</v>
      </c>
      <c r="BL98" s="180">
        <f t="shared" si="213"/>
        <v>0</v>
      </c>
      <c r="BM98" s="180">
        <f t="shared" si="213"/>
        <v>0</v>
      </c>
    </row>
    <row r="99" spans="1:65">
      <c r="B99" s="145" t="s">
        <v>75</v>
      </c>
      <c r="C99" s="27"/>
      <c r="D99" s="131" t="s">
        <v>19</v>
      </c>
      <c r="E99" s="141">
        <f t="shared" si="212"/>
        <v>0</v>
      </c>
      <c r="F99" s="142">
        <f>'CF1'!F80+'CF2'!F80</f>
        <v>0</v>
      </c>
      <c r="G99" s="142">
        <f>'CF1'!G80+'CF2'!G80</f>
        <v>0</v>
      </c>
      <c r="H99" s="142">
        <f>'CF1'!H80+'CF2'!H80</f>
        <v>0</v>
      </c>
      <c r="I99" s="142">
        <f>'CF1'!I80+'CF2'!I80</f>
        <v>0</v>
      </c>
      <c r="J99" s="142">
        <f>'CF1'!J80+'CF2'!J80</f>
        <v>0</v>
      </c>
      <c r="K99" s="142">
        <f>'CF1'!K80+'CF2'!K80</f>
        <v>0</v>
      </c>
      <c r="L99" s="142">
        <f>'CF1'!L80+'CF2'!L80</f>
        <v>0</v>
      </c>
      <c r="M99" s="142">
        <f>'CF1'!M80+'CF2'!M80</f>
        <v>0</v>
      </c>
      <c r="N99" s="142">
        <f>'CF1'!N80+'CF2'!N80</f>
        <v>0</v>
      </c>
      <c r="O99" s="142">
        <f>'CF1'!O80+'CF2'!O80</f>
        <v>0</v>
      </c>
      <c r="P99" s="142">
        <f>'CF1'!P80+'CF2'!P80</f>
        <v>0</v>
      </c>
      <c r="Q99" s="142">
        <f>'CF1'!Q80+'CF2'!Q80</f>
        <v>0</v>
      </c>
      <c r="R99" s="142">
        <f>'CF1'!R80+'CF2'!R80</f>
        <v>0</v>
      </c>
      <c r="S99" s="142">
        <f>'CF1'!S80+'CF2'!S80</f>
        <v>0</v>
      </c>
      <c r="T99" s="142">
        <f>'CF1'!T80+'CF2'!T80</f>
        <v>0</v>
      </c>
      <c r="U99" s="142">
        <f>'CF1'!U80+'CF2'!U80</f>
        <v>0</v>
      </c>
      <c r="V99" s="142">
        <f>'CF1'!V80+'CF2'!V80</f>
        <v>0</v>
      </c>
      <c r="W99" s="142">
        <f>'CF1'!W80+'CF2'!W80</f>
        <v>0</v>
      </c>
      <c r="X99" s="142">
        <f>'CF1'!X80+'CF2'!X80</f>
        <v>0</v>
      </c>
      <c r="Y99" s="142">
        <f>'CF1'!Y80+'CF2'!Y80</f>
        <v>0</v>
      </c>
      <c r="Z99" s="142">
        <f>'CF1'!Z80+'CF2'!Z80</f>
        <v>0</v>
      </c>
      <c r="AA99" s="142">
        <f>'CF1'!AA80+'CF2'!AA80</f>
        <v>0</v>
      </c>
      <c r="AB99" s="142">
        <f>'CF1'!AB80+'CF2'!AB80</f>
        <v>0</v>
      </c>
      <c r="AC99" s="142">
        <f>'CF1'!AC80+'CF2'!AC80</f>
        <v>0</v>
      </c>
      <c r="AD99" s="142">
        <f>'CF1'!AD80+'CF2'!AD80</f>
        <v>0</v>
      </c>
      <c r="AE99" s="142">
        <f>'CF1'!AE80+'CF2'!AE80</f>
        <v>0</v>
      </c>
      <c r="AF99" s="142">
        <f>'CF1'!AF80+'CF2'!AF80</f>
        <v>0</v>
      </c>
      <c r="AG99" s="142">
        <f>'CF1'!AG80+'CF2'!AG80</f>
        <v>0</v>
      </c>
      <c r="AH99" s="142">
        <f>'CF1'!AH80+'CF2'!AH80</f>
        <v>0</v>
      </c>
      <c r="AI99" s="142">
        <f>'CF1'!AI80+'CF2'!AI80</f>
        <v>0</v>
      </c>
      <c r="AJ99" s="142">
        <f>'CF1'!AJ80+'CF2'!AJ80</f>
        <v>0</v>
      </c>
      <c r="AK99" s="142">
        <f>'CF1'!AK80+'CF2'!AK80</f>
        <v>0</v>
      </c>
      <c r="AL99" s="142">
        <f>'CF1'!AL80+'CF2'!AL80</f>
        <v>0</v>
      </c>
      <c r="AM99" s="142">
        <f>'CF1'!AM80+'CF2'!AM80</f>
        <v>0</v>
      </c>
      <c r="AN99" s="142">
        <f>'CF1'!AN80+'CF2'!AN80</f>
        <v>0</v>
      </c>
      <c r="AO99" s="142">
        <f>'CF1'!AO80+'CF2'!AO80</f>
        <v>0</v>
      </c>
      <c r="AP99" s="142">
        <f>'CF1'!AP80+'CF2'!AP80</f>
        <v>0</v>
      </c>
      <c r="AQ99" s="142">
        <f>'CF1'!AQ80+'CF2'!AQ80</f>
        <v>0</v>
      </c>
      <c r="AR99" s="142">
        <f>'CF1'!AR80+'CF2'!AR80</f>
        <v>0</v>
      </c>
      <c r="AS99" s="142">
        <f>'CF1'!AS80+'CF2'!AS80</f>
        <v>0</v>
      </c>
      <c r="AT99" s="142">
        <f>'CF1'!AT80+'CF2'!AT80</f>
        <v>0</v>
      </c>
      <c r="AU99" s="142">
        <f>'CF1'!AU80+'CF2'!AU80</f>
        <v>0</v>
      </c>
      <c r="AV99" s="142">
        <f>'CF1'!AV80+'CF2'!AV80</f>
        <v>0</v>
      </c>
      <c r="AW99" s="142">
        <f>'CF1'!AW80+'CF2'!AW80</f>
        <v>0</v>
      </c>
      <c r="AX99" s="142">
        <f>'CF1'!AX80+'CF2'!AX80</f>
        <v>0</v>
      </c>
      <c r="AY99" s="142">
        <f>'CF1'!AY80+'CF2'!AY80</f>
        <v>0</v>
      </c>
      <c r="AZ99" s="142">
        <f>'CF1'!AZ80+'CF2'!AZ80</f>
        <v>0</v>
      </c>
      <c r="BA99" s="142">
        <f>'CF1'!BA80+'CF2'!BA80</f>
        <v>0</v>
      </c>
      <c r="BB99" s="142">
        <f>'CF1'!BB80+'CF2'!BB80</f>
        <v>0</v>
      </c>
      <c r="BC99" s="142">
        <f>'CF1'!BC80+'CF2'!BC80</f>
        <v>0</v>
      </c>
      <c r="BD99" s="142">
        <f>'CF1'!BD80+'CF2'!BD80</f>
        <v>0</v>
      </c>
      <c r="BE99" s="142">
        <f>'CF1'!BE80+'CF2'!BE80</f>
        <v>0</v>
      </c>
      <c r="BF99" s="142">
        <f>'CF1'!BF80+'CF2'!BF80</f>
        <v>0</v>
      </c>
      <c r="BG99" s="142">
        <f>'CF1'!BG80+'CF2'!BG80</f>
        <v>0</v>
      </c>
      <c r="BH99" s="142">
        <f>'CF1'!BH80+'CF2'!BH80</f>
        <v>0</v>
      </c>
      <c r="BI99" s="142">
        <f>'CF1'!BI80+'CF2'!BI80</f>
        <v>0</v>
      </c>
      <c r="BJ99" s="142">
        <f>'CF1'!BJ80+'CF2'!BJ80</f>
        <v>0</v>
      </c>
      <c r="BK99" s="142">
        <f>'CF1'!BK80+'CF2'!BK80</f>
        <v>0</v>
      </c>
      <c r="BL99" s="142">
        <f>'CF1'!BL80+'CF2'!BL80</f>
        <v>0</v>
      </c>
      <c r="BM99" s="142">
        <f>'CF1'!BM80+'CF2'!BM80</f>
        <v>0</v>
      </c>
    </row>
    <row r="100" spans="1:65">
      <c r="B100" s="27"/>
      <c r="C100" s="28" t="s">
        <v>57</v>
      </c>
      <c r="D100" s="131" t="s">
        <v>19</v>
      </c>
      <c r="E100" s="141">
        <f t="shared" si="212"/>
        <v>596.34439879243371</v>
      </c>
      <c r="F100" s="202">
        <f>'CF1'!F81+'CF2'!F81</f>
        <v>0.2</v>
      </c>
      <c r="G100" s="202">
        <f>'CF1'!G81+'CF2'!G81</f>
        <v>0.6</v>
      </c>
      <c r="H100" s="202">
        <f>'CF1'!H81+'CF2'!H81</f>
        <v>0.6</v>
      </c>
      <c r="I100" s="202">
        <f>'CF1'!I81+'CF2'!I81</f>
        <v>0.3</v>
      </c>
      <c r="J100" s="202">
        <f>'CF1'!J81+'CF2'!J81</f>
        <v>0</v>
      </c>
      <c r="K100" s="202">
        <f>'CF1'!K81+'CF2'!K81</f>
        <v>0.8</v>
      </c>
      <c r="L100" s="202">
        <f>'CF1'!L81+'CF2'!L81</f>
        <v>0.6</v>
      </c>
      <c r="M100" s="202">
        <f>'CF1'!M81+'CF2'!M81</f>
        <v>1.07</v>
      </c>
      <c r="N100" s="142">
        <f>'CF1'!N81+'CF2'!N81</f>
        <v>116.92211635546994</v>
      </c>
      <c r="O100" s="142">
        <f>'CF1'!O81+'CF2'!O81</f>
        <v>171.85773458546993</v>
      </c>
      <c r="P100" s="142">
        <f>'CF1'!P81+'CF2'!P81</f>
        <v>303.39454785149383</v>
      </c>
      <c r="Q100" s="142">
        <f>'CF1'!Q81+'CF2'!Q81</f>
        <v>0</v>
      </c>
      <c r="R100" s="142">
        <f>'CF1'!R81+'CF2'!R81</f>
        <v>0</v>
      </c>
      <c r="S100" s="142">
        <f>'CF1'!S81+'CF2'!S81</f>
        <v>0</v>
      </c>
      <c r="T100" s="142">
        <f>'CF1'!T81+'CF2'!T81</f>
        <v>0</v>
      </c>
      <c r="U100" s="142">
        <f>'CF1'!U81+'CF2'!U81</f>
        <v>0</v>
      </c>
      <c r="V100" s="142">
        <f>'CF1'!V81+'CF2'!V81</f>
        <v>0</v>
      </c>
      <c r="W100" s="142">
        <f>'CF1'!W81+'CF2'!W81</f>
        <v>0</v>
      </c>
      <c r="X100" s="142">
        <f>'CF1'!X81+'CF2'!X81</f>
        <v>0</v>
      </c>
      <c r="Y100" s="142">
        <f>'CF1'!Y81+'CF2'!Y81</f>
        <v>0</v>
      </c>
      <c r="Z100" s="142">
        <f>'CF1'!Z81+'CF2'!Z81</f>
        <v>0</v>
      </c>
      <c r="AA100" s="142">
        <f>'CF1'!AA81+'CF2'!AA81</f>
        <v>0</v>
      </c>
      <c r="AB100" s="142">
        <f>'CF1'!AB81+'CF2'!AB81</f>
        <v>0</v>
      </c>
      <c r="AC100" s="142">
        <f>'CF1'!AC81+'CF2'!AC81</f>
        <v>0</v>
      </c>
      <c r="AD100" s="142">
        <f>'CF1'!AD81+'CF2'!AD81</f>
        <v>0</v>
      </c>
      <c r="AE100" s="142">
        <f>'CF1'!AE81+'CF2'!AE81</f>
        <v>0</v>
      </c>
      <c r="AF100" s="142">
        <f>'CF1'!AF81+'CF2'!AF81</f>
        <v>0</v>
      </c>
      <c r="AG100" s="142">
        <f>'CF1'!AG81+'CF2'!AG81</f>
        <v>0</v>
      </c>
      <c r="AH100" s="142">
        <f>'CF1'!AH81+'CF2'!AH81</f>
        <v>0</v>
      </c>
      <c r="AI100" s="142">
        <f>'CF1'!AI81+'CF2'!AI81</f>
        <v>0</v>
      </c>
      <c r="AJ100" s="142">
        <f>'CF1'!AJ81+'CF2'!AJ81</f>
        <v>0</v>
      </c>
      <c r="AK100" s="142">
        <f>'CF1'!AK81+'CF2'!AK81</f>
        <v>0</v>
      </c>
      <c r="AL100" s="142">
        <f>'CF1'!AL81+'CF2'!AL81</f>
        <v>0</v>
      </c>
      <c r="AM100" s="142">
        <f>'CF1'!AM81+'CF2'!AM81</f>
        <v>0</v>
      </c>
      <c r="AN100" s="142">
        <f>'CF1'!AN81+'CF2'!AN81</f>
        <v>0</v>
      </c>
      <c r="AO100" s="142">
        <f>'CF1'!AO81+'CF2'!AO81</f>
        <v>0</v>
      </c>
      <c r="AP100" s="142">
        <f>'CF1'!AP81+'CF2'!AP81</f>
        <v>0</v>
      </c>
      <c r="AQ100" s="142">
        <f>'CF1'!AQ81+'CF2'!AQ81</f>
        <v>0</v>
      </c>
      <c r="AR100" s="142">
        <f>'CF1'!AR81+'CF2'!AR81</f>
        <v>0</v>
      </c>
      <c r="AS100" s="142">
        <f>'CF1'!AS81+'CF2'!AS81</f>
        <v>0</v>
      </c>
      <c r="AT100" s="142">
        <f>'CF1'!AT81+'CF2'!AT81</f>
        <v>0</v>
      </c>
      <c r="AU100" s="142">
        <f>'CF1'!AU81+'CF2'!AU81</f>
        <v>0</v>
      </c>
      <c r="AV100" s="142">
        <f>'CF1'!AV81+'CF2'!AV81</f>
        <v>0</v>
      </c>
      <c r="AW100" s="142">
        <f>'CF1'!AW81+'CF2'!AW81</f>
        <v>0</v>
      </c>
      <c r="AX100" s="142">
        <f>'CF1'!AX81+'CF2'!AX81</f>
        <v>0</v>
      </c>
      <c r="AY100" s="142">
        <f>'CF1'!AY81+'CF2'!AY81</f>
        <v>0</v>
      </c>
      <c r="AZ100" s="142">
        <f>'CF1'!AZ81+'CF2'!AZ81</f>
        <v>0</v>
      </c>
      <c r="BA100" s="142">
        <f>'CF1'!BA81+'CF2'!BA81</f>
        <v>0</v>
      </c>
      <c r="BB100" s="142">
        <f>'CF1'!BB81+'CF2'!BB81</f>
        <v>0</v>
      </c>
      <c r="BC100" s="142">
        <f>'CF1'!BC81+'CF2'!BC81</f>
        <v>0</v>
      </c>
      <c r="BD100" s="142">
        <f>'CF1'!BD81+'CF2'!BD81</f>
        <v>0</v>
      </c>
      <c r="BE100" s="142">
        <f>'CF1'!BE81+'CF2'!BE81</f>
        <v>0</v>
      </c>
      <c r="BF100" s="142">
        <f>'CF1'!BF81+'CF2'!BF81</f>
        <v>0</v>
      </c>
      <c r="BG100" s="142">
        <f>'CF1'!BG81+'CF2'!BG81</f>
        <v>0</v>
      </c>
      <c r="BH100" s="142">
        <f>'CF1'!BH81+'CF2'!BH81</f>
        <v>0</v>
      </c>
      <c r="BI100" s="142">
        <f>'CF1'!BI81+'CF2'!BI81</f>
        <v>0</v>
      </c>
      <c r="BJ100" s="142">
        <f>'CF1'!BJ81+'CF2'!BJ81</f>
        <v>0</v>
      </c>
      <c r="BK100" s="142">
        <f>'CF1'!BK81+'CF2'!BK81</f>
        <v>0</v>
      </c>
      <c r="BL100" s="142">
        <f>'CF1'!BL81+'CF2'!BL81</f>
        <v>0</v>
      </c>
      <c r="BM100" s="142">
        <f>'CF1'!BM81+'CF2'!BM81</f>
        <v>0</v>
      </c>
    </row>
    <row r="101" spans="1:65">
      <c r="B101" s="27"/>
      <c r="C101" s="28" t="s">
        <v>58</v>
      </c>
      <c r="D101" s="131" t="s">
        <v>19</v>
      </c>
      <c r="E101" s="141">
        <f t="shared" si="212"/>
        <v>-596.34439879243371</v>
      </c>
      <c r="F101" s="202">
        <f>'CF1'!F82+'CF2'!F82</f>
        <v>0</v>
      </c>
      <c r="G101" s="202">
        <f>'CF1'!G82+'CF2'!G82</f>
        <v>0</v>
      </c>
      <c r="H101" s="202">
        <f>'CF1'!H82+'CF2'!H82</f>
        <v>0</v>
      </c>
      <c r="I101" s="202">
        <f>'CF1'!I82+'CF2'!I82</f>
        <v>0</v>
      </c>
      <c r="J101" s="202">
        <f>'CF1'!J82+'CF2'!J82</f>
        <v>0</v>
      </c>
      <c r="K101" s="202">
        <f>'CF1'!K82+'CF2'!K82</f>
        <v>0</v>
      </c>
      <c r="L101" s="202">
        <f>'CF1'!L82+'CF2'!L82</f>
        <v>0</v>
      </c>
      <c r="M101" s="202">
        <f>'CF1'!M82+'CF2'!M82</f>
        <v>0</v>
      </c>
      <c r="N101" s="142">
        <f>'CF1'!N82+'CF2'!N82</f>
        <v>0</v>
      </c>
      <c r="O101" s="142">
        <f>'CF1'!O82+'CF2'!O82</f>
        <v>0</v>
      </c>
      <c r="P101" s="142">
        <f>'CF1'!P82+'CF2'!P82</f>
        <v>0</v>
      </c>
      <c r="Q101" s="142">
        <f>'CF1'!Q82+'CF2'!Q82</f>
        <v>0</v>
      </c>
      <c r="R101" s="142">
        <f>'CF1'!R82+'CF2'!R82</f>
        <v>0</v>
      </c>
      <c r="S101" s="142">
        <f>'CF1'!S82+'CF2'!S82</f>
        <v>0</v>
      </c>
      <c r="T101" s="142">
        <f>'CF1'!T82+'CF2'!T82</f>
        <v>0</v>
      </c>
      <c r="U101" s="142">
        <f>'CF1'!U82+'CF2'!U82</f>
        <v>0</v>
      </c>
      <c r="V101" s="142">
        <f>'CF1'!V82+'CF2'!V82</f>
        <v>0</v>
      </c>
      <c r="W101" s="142">
        <f>'CF1'!W82+'CF2'!W82</f>
        <v>0</v>
      </c>
      <c r="X101" s="142">
        <f>'CF1'!X82+'CF2'!X82</f>
        <v>0</v>
      </c>
      <c r="Y101" s="142">
        <f>'CF1'!Y82+'CF2'!Y82</f>
        <v>0</v>
      </c>
      <c r="Z101" s="142">
        <f>'CF1'!Z82+'CF2'!Z82</f>
        <v>0</v>
      </c>
      <c r="AA101" s="142">
        <f>'CF1'!AA82+'CF2'!AA82</f>
        <v>0</v>
      </c>
      <c r="AB101" s="142">
        <f>'CF1'!AB82+'CF2'!AB82</f>
        <v>0</v>
      </c>
      <c r="AC101" s="142">
        <f>'CF1'!AC82+'CF2'!AC82</f>
        <v>0</v>
      </c>
      <c r="AD101" s="142">
        <f>'CF1'!AD82+'CF2'!AD82</f>
        <v>0</v>
      </c>
      <c r="AE101" s="142">
        <f>'CF1'!AE82+'CF2'!AE82</f>
        <v>0</v>
      </c>
      <c r="AF101" s="142">
        <f>'CF1'!AF82+'CF2'!AF82</f>
        <v>0</v>
      </c>
      <c r="AG101" s="142">
        <f>'CF1'!AG82+'CF2'!AG82</f>
        <v>0</v>
      </c>
      <c r="AH101" s="142">
        <f>'CF1'!AH82+'CF2'!AH82</f>
        <v>0</v>
      </c>
      <c r="AI101" s="142">
        <f>'CF1'!AI82+'CF2'!AI82</f>
        <v>0</v>
      </c>
      <c r="AJ101" s="142">
        <f>'CF1'!AJ82+'CF2'!AJ82</f>
        <v>0</v>
      </c>
      <c r="AK101" s="142">
        <f>'CF1'!AK82+'CF2'!AK82</f>
        <v>-382.39009605994522</v>
      </c>
      <c r="AL101" s="142">
        <f>'CF1'!AL82+'CF2'!AL82</f>
        <v>-213.95430273248849</v>
      </c>
      <c r="AM101" s="142">
        <f>'CF1'!AM82+'CF2'!AM82</f>
        <v>0</v>
      </c>
      <c r="AN101" s="142">
        <f>'CF1'!AN82+'CF2'!AN82</f>
        <v>0</v>
      </c>
      <c r="AO101" s="142">
        <f>'CF1'!AO82+'CF2'!AO82</f>
        <v>0</v>
      </c>
      <c r="AP101" s="142">
        <f>'CF1'!AP82+'CF2'!AP82</f>
        <v>0</v>
      </c>
      <c r="AQ101" s="142">
        <f>'CF1'!AQ82+'CF2'!AQ82</f>
        <v>0</v>
      </c>
      <c r="AR101" s="142">
        <f>'CF1'!AR82+'CF2'!AR82</f>
        <v>0</v>
      </c>
      <c r="AS101" s="142">
        <f>'CF1'!AS82+'CF2'!AS82</f>
        <v>0</v>
      </c>
      <c r="AT101" s="142">
        <f>'CF1'!AT82+'CF2'!AT82</f>
        <v>0</v>
      </c>
      <c r="AU101" s="142">
        <f>'CF1'!AU82+'CF2'!AU82</f>
        <v>0</v>
      </c>
      <c r="AV101" s="142">
        <f>'CF1'!AV82+'CF2'!AV82</f>
        <v>0</v>
      </c>
      <c r="AW101" s="142">
        <f>'CF1'!AW82+'CF2'!AW82</f>
        <v>0</v>
      </c>
      <c r="AX101" s="142">
        <f>'CF1'!AX82+'CF2'!AX82</f>
        <v>0</v>
      </c>
      <c r="AY101" s="142">
        <f>'CF1'!AY82+'CF2'!AY82</f>
        <v>0</v>
      </c>
      <c r="AZ101" s="142">
        <f>'CF1'!AZ82+'CF2'!AZ82</f>
        <v>0</v>
      </c>
      <c r="BA101" s="142">
        <f>'CF1'!BA82+'CF2'!BA82</f>
        <v>0</v>
      </c>
      <c r="BB101" s="142">
        <f>'CF1'!BB82+'CF2'!BB82</f>
        <v>0</v>
      </c>
      <c r="BC101" s="142">
        <f>'CF1'!BC82+'CF2'!BC82</f>
        <v>0</v>
      </c>
      <c r="BD101" s="142">
        <f>'CF1'!BD82+'CF2'!BD82</f>
        <v>0</v>
      </c>
      <c r="BE101" s="142">
        <f>'CF1'!BE82+'CF2'!BE82</f>
        <v>0</v>
      </c>
      <c r="BF101" s="142">
        <f>'CF1'!BF82+'CF2'!BF82</f>
        <v>0</v>
      </c>
      <c r="BG101" s="142">
        <f>'CF1'!BG82+'CF2'!BG82</f>
        <v>0</v>
      </c>
      <c r="BH101" s="142">
        <f>'CF1'!BH82+'CF2'!BH82</f>
        <v>0</v>
      </c>
      <c r="BI101" s="142">
        <f>'CF1'!BI82+'CF2'!BI82</f>
        <v>0</v>
      </c>
      <c r="BJ101" s="142">
        <f>'CF1'!BJ82+'CF2'!BJ82</f>
        <v>0</v>
      </c>
      <c r="BK101" s="142">
        <f>'CF1'!BK82+'CF2'!BK82</f>
        <v>0</v>
      </c>
      <c r="BL101" s="142">
        <f>'CF1'!BL82+'CF2'!BL82</f>
        <v>0</v>
      </c>
      <c r="BM101" s="142">
        <f>'CF1'!BM82+'CF2'!BM82</f>
        <v>0</v>
      </c>
    </row>
    <row r="102" spans="1:65">
      <c r="B102" s="145" t="s">
        <v>197</v>
      </c>
      <c r="C102" s="27"/>
      <c r="D102" s="131" t="s">
        <v>19</v>
      </c>
      <c r="E102" s="141">
        <f t="shared" si="212"/>
        <v>0</v>
      </c>
      <c r="F102" s="142">
        <f>'CF1'!F83+'CF2'!F83</f>
        <v>0</v>
      </c>
      <c r="G102" s="142">
        <f>'CF1'!G83+'CF2'!G83</f>
        <v>0</v>
      </c>
      <c r="H102" s="142">
        <f>'CF1'!H83+'CF2'!H83</f>
        <v>0</v>
      </c>
      <c r="I102" s="142">
        <f>'CF1'!I83+'CF2'!I83</f>
        <v>0</v>
      </c>
      <c r="J102" s="142">
        <f>'CF1'!J83+'CF2'!J83</f>
        <v>0</v>
      </c>
      <c r="K102" s="142">
        <f>'CF1'!K83+'CF2'!K83</f>
        <v>0</v>
      </c>
      <c r="L102" s="142">
        <f>'CF1'!L83+'CF2'!L83</f>
        <v>0</v>
      </c>
      <c r="M102" s="142">
        <f>'CF1'!M83+'CF2'!M83</f>
        <v>0</v>
      </c>
      <c r="N102" s="142">
        <f>'CF1'!N83+'CF2'!N83</f>
        <v>0</v>
      </c>
      <c r="O102" s="142">
        <f>'CF1'!O83+'CF2'!O83</f>
        <v>0</v>
      </c>
      <c r="P102" s="142">
        <f>'CF1'!P83+'CF2'!P83</f>
        <v>0</v>
      </c>
      <c r="Q102" s="142">
        <f>'CF1'!Q83+'CF2'!Q83</f>
        <v>0</v>
      </c>
      <c r="R102" s="142">
        <f>'CF1'!R83+'CF2'!R83</f>
        <v>0</v>
      </c>
      <c r="S102" s="142">
        <f>'CF1'!S83+'CF2'!S83</f>
        <v>0</v>
      </c>
      <c r="T102" s="142">
        <f>'CF1'!T83+'CF2'!T83</f>
        <v>0</v>
      </c>
      <c r="U102" s="142">
        <f>'CF1'!U83+'CF2'!U83</f>
        <v>0</v>
      </c>
      <c r="V102" s="142">
        <f>'CF1'!V83+'CF2'!V83</f>
        <v>0</v>
      </c>
      <c r="W102" s="142">
        <f>'CF1'!W83+'CF2'!W83</f>
        <v>0</v>
      </c>
      <c r="X102" s="142">
        <f>'CF1'!X83+'CF2'!X83</f>
        <v>0</v>
      </c>
      <c r="Y102" s="142">
        <f>'CF1'!Y83+'CF2'!Y83</f>
        <v>0</v>
      </c>
      <c r="Z102" s="142">
        <f>'CF1'!Z83+'CF2'!Z83</f>
        <v>0</v>
      </c>
      <c r="AA102" s="142">
        <f>'CF1'!AA83+'CF2'!AA83</f>
        <v>0</v>
      </c>
      <c r="AB102" s="142">
        <f>'CF1'!AB83+'CF2'!AB83</f>
        <v>0</v>
      </c>
      <c r="AC102" s="142">
        <f>'CF1'!AC83+'CF2'!AC83</f>
        <v>0</v>
      </c>
      <c r="AD102" s="142">
        <f>'CF1'!AD83+'CF2'!AD83</f>
        <v>0</v>
      </c>
      <c r="AE102" s="142">
        <f>'CF1'!AE83+'CF2'!AE83</f>
        <v>0</v>
      </c>
      <c r="AF102" s="142">
        <f>'CF1'!AF83+'CF2'!AF83</f>
        <v>0</v>
      </c>
      <c r="AG102" s="142">
        <f>'CF1'!AG83+'CF2'!AG83</f>
        <v>0</v>
      </c>
      <c r="AH102" s="142">
        <f>'CF1'!AH83+'CF2'!AH83</f>
        <v>0</v>
      </c>
      <c r="AI102" s="142">
        <f>'CF1'!AI83+'CF2'!AI83</f>
        <v>0</v>
      </c>
      <c r="AJ102" s="142">
        <f>'CF1'!AJ83+'CF2'!AJ83</f>
        <v>0</v>
      </c>
      <c r="AK102" s="142">
        <f>'CF1'!AK83+'CF2'!AK83</f>
        <v>0</v>
      </c>
      <c r="AL102" s="142">
        <f>'CF1'!AL83+'CF2'!AL83</f>
        <v>0</v>
      </c>
      <c r="AM102" s="142">
        <f>'CF1'!AM83+'CF2'!AM83</f>
        <v>0</v>
      </c>
      <c r="AN102" s="142">
        <f>'CF1'!AN83+'CF2'!AN83</f>
        <v>0</v>
      </c>
      <c r="AO102" s="142">
        <f>'CF1'!AO83+'CF2'!AO83</f>
        <v>0</v>
      </c>
      <c r="AP102" s="142">
        <f>'CF1'!AP83+'CF2'!AP83</f>
        <v>0</v>
      </c>
      <c r="AQ102" s="142">
        <f>'CF1'!AQ83+'CF2'!AQ83</f>
        <v>0</v>
      </c>
      <c r="AR102" s="142">
        <f>'CF1'!AR83+'CF2'!AR83</f>
        <v>0</v>
      </c>
      <c r="AS102" s="142">
        <f>'CF1'!AS83+'CF2'!AS83</f>
        <v>0</v>
      </c>
      <c r="AT102" s="142">
        <f>'CF1'!AT83+'CF2'!AT83</f>
        <v>0</v>
      </c>
      <c r="AU102" s="142">
        <f>'CF1'!AU83+'CF2'!AU83</f>
        <v>0</v>
      </c>
      <c r="AV102" s="142">
        <f>'CF1'!AV83+'CF2'!AV83</f>
        <v>0</v>
      </c>
      <c r="AW102" s="142">
        <f>'CF1'!AW83+'CF2'!AW83</f>
        <v>0</v>
      </c>
      <c r="AX102" s="142">
        <f>'CF1'!AX83+'CF2'!AX83</f>
        <v>0</v>
      </c>
      <c r="AY102" s="142">
        <f>'CF1'!AY83+'CF2'!AY83</f>
        <v>0</v>
      </c>
      <c r="AZ102" s="142">
        <f>'CF1'!AZ83+'CF2'!AZ83</f>
        <v>0</v>
      </c>
      <c r="BA102" s="142">
        <f>'CF1'!BA83+'CF2'!BA83</f>
        <v>0</v>
      </c>
      <c r="BB102" s="142">
        <f>'CF1'!BB83+'CF2'!BB83</f>
        <v>0</v>
      </c>
      <c r="BC102" s="142">
        <f>'CF1'!BC83+'CF2'!BC83</f>
        <v>0</v>
      </c>
      <c r="BD102" s="142">
        <f>'CF1'!BD83+'CF2'!BD83</f>
        <v>0</v>
      </c>
      <c r="BE102" s="142">
        <f>'CF1'!BE83+'CF2'!BE83</f>
        <v>0</v>
      </c>
      <c r="BF102" s="142">
        <f>'CF1'!BF83+'CF2'!BF83</f>
        <v>0</v>
      </c>
      <c r="BG102" s="142">
        <f>'CF1'!BG83+'CF2'!BG83</f>
        <v>0</v>
      </c>
      <c r="BH102" s="142">
        <f>'CF1'!BH83+'CF2'!BH83</f>
        <v>0</v>
      </c>
      <c r="BI102" s="142">
        <f>'CF1'!BI83+'CF2'!BI83</f>
        <v>0</v>
      </c>
      <c r="BJ102" s="142">
        <f>'CF1'!BJ83+'CF2'!BJ83</f>
        <v>0</v>
      </c>
      <c r="BK102" s="142">
        <f>'CF1'!BK83+'CF2'!BK83</f>
        <v>0</v>
      </c>
      <c r="BL102" s="142">
        <f>'CF1'!BL83+'CF2'!BL83</f>
        <v>0</v>
      </c>
      <c r="BM102" s="142">
        <f>'CF1'!BM83+'CF2'!BM83</f>
        <v>0</v>
      </c>
    </row>
    <row r="103" spans="1:65">
      <c r="B103" s="146"/>
      <c r="C103" s="28" t="s">
        <v>59</v>
      </c>
      <c r="D103" s="131" t="s">
        <v>19</v>
      </c>
      <c r="E103" s="141">
        <f t="shared" si="212"/>
        <v>392.30428501773935</v>
      </c>
      <c r="F103" s="202">
        <f>'CF1'!F84+'CF2'!F84</f>
        <v>1.0500000000000002E-2</v>
      </c>
      <c r="G103" s="202">
        <f>'CF1'!G84+'CF2'!G84</f>
        <v>4.200000000000001E-2</v>
      </c>
      <c r="H103" s="202">
        <f>'CF1'!H84+'CF2'!H84</f>
        <v>7.3499999999999996E-2</v>
      </c>
      <c r="I103" s="202">
        <f>'CF1'!I84+'CF2'!I84</f>
        <v>8.925000000000001E-2</v>
      </c>
      <c r="J103" s="202">
        <f>'CF1'!J84+'CF2'!J84</f>
        <v>8.925000000000001E-2</v>
      </c>
      <c r="K103" s="202">
        <f>'CF1'!K84+'CF2'!K84</f>
        <v>0.13750000000000001</v>
      </c>
      <c r="L103" s="202">
        <f>'CF1'!L84+'CF2'!L84</f>
        <v>0.17050000000000001</v>
      </c>
      <c r="M103" s="202">
        <f>'CF1'!M84+'CF2'!M84</f>
        <v>0.22935</v>
      </c>
      <c r="N103" s="142">
        <f>'CF1'!N84+'CF2'!N84</f>
        <v>6.5843838268286783</v>
      </c>
      <c r="O103" s="142">
        <f>'CF1'!O84+'CF2'!O84</f>
        <v>15.013679860723169</v>
      </c>
      <c r="P103" s="142">
        <f>'CF1'!P84+'CF2'!P84</f>
        <v>29.817219939621687</v>
      </c>
      <c r="Q103" s="142">
        <f>'CF1'!Q84+'CF2'!Q84</f>
        <v>26.835497945659519</v>
      </c>
      <c r="R103" s="142">
        <f>'CF1'!R84+'CF2'!R84</f>
        <v>23.853775951697351</v>
      </c>
      <c r="S103" s="142">
        <f>'CF1'!S84+'CF2'!S84</f>
        <v>20.872053957735183</v>
      </c>
      <c r="T103" s="142">
        <f>'CF1'!T84+'CF2'!T84</f>
        <v>19.381192960754095</v>
      </c>
      <c r="U103" s="142">
        <f>'CF1'!U84+'CF2'!U84</f>
        <v>17.890331963773011</v>
      </c>
      <c r="V103" s="142">
        <f>'CF1'!V84+'CF2'!V84</f>
        <v>16.399470966791927</v>
      </c>
      <c r="W103" s="142">
        <f>'CF1'!W84+'CF2'!W84</f>
        <v>15.654040468301385</v>
      </c>
      <c r="X103" s="142">
        <f>'CF1'!X84+'CF2'!X84</f>
        <v>14.90860996981084</v>
      </c>
      <c r="Y103" s="142">
        <f>'CF1'!Y84+'CF2'!Y84</f>
        <v>14.90860996981084</v>
      </c>
      <c r="Z103" s="142">
        <f>'CF1'!Z84+'CF2'!Z84</f>
        <v>14.90860996981084</v>
      </c>
      <c r="AA103" s="142">
        <f>'CF1'!AA84+'CF2'!AA84</f>
        <v>14.90860996981084</v>
      </c>
      <c r="AB103" s="142">
        <f>'CF1'!AB84+'CF2'!AB84</f>
        <v>14.90860996981084</v>
      </c>
      <c r="AC103" s="142">
        <f>'CF1'!AC84+'CF2'!AC84</f>
        <v>14.90860996981084</v>
      </c>
      <c r="AD103" s="142">
        <f>'CF1'!AD84+'CF2'!AD84</f>
        <v>14.90860996981084</v>
      </c>
      <c r="AE103" s="142">
        <f>'CF1'!AE84+'CF2'!AE84</f>
        <v>14.90860996981084</v>
      </c>
      <c r="AF103" s="142">
        <f>'CF1'!AF84+'CF2'!AF84</f>
        <v>14.90860996981084</v>
      </c>
      <c r="AG103" s="142">
        <f>'CF1'!AG84+'CF2'!AG84</f>
        <v>14.90860996981084</v>
      </c>
      <c r="AH103" s="142">
        <f>'CF1'!AH84+'CF2'!AH84</f>
        <v>14.90860996981084</v>
      </c>
      <c r="AI103" s="142">
        <f>'CF1'!AI84+'CF2'!AI84</f>
        <v>14.90860996981084</v>
      </c>
      <c r="AJ103" s="142">
        <f>'CF1'!AJ84+'CF2'!AJ84</f>
        <v>14.90860996981084</v>
      </c>
      <c r="AK103" s="142">
        <f>'CF1'!AK84+'CF2'!AK84</f>
        <v>5.3488575683122113</v>
      </c>
      <c r="AL103" s="142">
        <f>'CF1'!AL84+'CF2'!AL84</f>
        <v>0</v>
      </c>
      <c r="AM103" s="142">
        <f>'CF1'!AM84+'CF2'!AM84</f>
        <v>0</v>
      </c>
      <c r="AN103" s="142">
        <f>'CF1'!AN84+'CF2'!AN84</f>
        <v>0</v>
      </c>
      <c r="AO103" s="142">
        <f>'CF1'!AO84+'CF2'!AO84</f>
        <v>0</v>
      </c>
      <c r="AP103" s="142">
        <f>'CF1'!AP84+'CF2'!AP84</f>
        <v>0</v>
      </c>
      <c r="AQ103" s="142">
        <f>'CF1'!AQ84+'CF2'!AQ84</f>
        <v>0</v>
      </c>
      <c r="AR103" s="142">
        <f>'CF1'!AR84+'CF2'!AR84</f>
        <v>0</v>
      </c>
      <c r="AS103" s="142">
        <f>'CF1'!AS84+'CF2'!AS84</f>
        <v>0</v>
      </c>
      <c r="AT103" s="142">
        <f>'CF1'!AT84+'CF2'!AT84</f>
        <v>0</v>
      </c>
      <c r="AU103" s="142">
        <f>'CF1'!AU84+'CF2'!AU84</f>
        <v>0</v>
      </c>
      <c r="AV103" s="142">
        <f>'CF1'!AV84+'CF2'!AV84</f>
        <v>0</v>
      </c>
      <c r="AW103" s="142">
        <f>'CF1'!AW84+'CF2'!AW84</f>
        <v>0</v>
      </c>
      <c r="AX103" s="142">
        <f>'CF1'!AX84+'CF2'!AX84</f>
        <v>0</v>
      </c>
      <c r="AY103" s="142">
        <f>'CF1'!AY84+'CF2'!AY84</f>
        <v>0</v>
      </c>
      <c r="AZ103" s="142">
        <f>'CF1'!AZ84+'CF2'!AZ84</f>
        <v>0</v>
      </c>
      <c r="BA103" s="142">
        <f>'CF1'!BA84+'CF2'!BA84</f>
        <v>0</v>
      </c>
      <c r="BB103" s="142">
        <f>'CF1'!BB84+'CF2'!BB84</f>
        <v>0</v>
      </c>
      <c r="BC103" s="142">
        <f>'CF1'!BC84+'CF2'!BC84</f>
        <v>0</v>
      </c>
      <c r="BD103" s="142">
        <f>'CF1'!BD84+'CF2'!BD84</f>
        <v>0</v>
      </c>
      <c r="BE103" s="142">
        <f>'CF1'!BE84+'CF2'!BE84</f>
        <v>0</v>
      </c>
      <c r="BF103" s="142">
        <f>'CF1'!BF84+'CF2'!BF84</f>
        <v>0</v>
      </c>
      <c r="BG103" s="142">
        <f>'CF1'!BG84+'CF2'!BG84</f>
        <v>0</v>
      </c>
      <c r="BH103" s="142">
        <f>'CF1'!BH84+'CF2'!BH84</f>
        <v>0</v>
      </c>
      <c r="BI103" s="142">
        <f>'CF1'!BI84+'CF2'!BI84</f>
        <v>0</v>
      </c>
      <c r="BJ103" s="142">
        <f>'CF1'!BJ84+'CF2'!BJ84</f>
        <v>0</v>
      </c>
      <c r="BK103" s="142">
        <f>'CF1'!BK84+'CF2'!BK84</f>
        <v>0</v>
      </c>
      <c r="BL103" s="142">
        <f>'CF1'!BL84+'CF2'!BL84</f>
        <v>0</v>
      </c>
      <c r="BM103" s="142">
        <f>'CF1'!BM84+'CF2'!BM84</f>
        <v>0</v>
      </c>
    </row>
    <row r="104" spans="1:65">
      <c r="B104" s="27"/>
      <c r="C104" s="28" t="s">
        <v>73</v>
      </c>
      <c r="D104" s="131" t="s">
        <v>19</v>
      </c>
      <c r="E104" s="141">
        <f t="shared" si="212"/>
        <v>-392.30428501773912</v>
      </c>
      <c r="F104" s="202">
        <f>'CF1'!F85+'CF2'!F85</f>
        <v>0</v>
      </c>
      <c r="G104" s="202">
        <f>'CF1'!G85+'CF2'!G85</f>
        <v>0</v>
      </c>
      <c r="H104" s="202">
        <f>'CF1'!H85+'CF2'!H85</f>
        <v>0</v>
      </c>
      <c r="I104" s="202">
        <f>'CF1'!I85+'CF2'!I85</f>
        <v>0</v>
      </c>
      <c r="J104" s="202">
        <f>'CF1'!J85+'CF2'!J85</f>
        <v>0</v>
      </c>
      <c r="K104" s="202">
        <f>'CF1'!K85+'CF2'!K85</f>
        <v>0</v>
      </c>
      <c r="L104" s="202">
        <f>'CF1'!L85+'CF2'!L85</f>
        <v>0</v>
      </c>
      <c r="M104" s="202">
        <f>'CF1'!M85+'CF2'!M85</f>
        <v>0</v>
      </c>
      <c r="N104" s="142">
        <f>'CF1'!N85+'CF2'!N85</f>
        <v>-0.84184999999999999</v>
      </c>
      <c r="O104" s="142">
        <f>'CF1'!O85+'CF2'!O85</f>
        <v>-1.7082529200000067</v>
      </c>
      <c r="P104" s="142">
        <f>'CF1'!P85+'CF2'!P85</f>
        <v>0</v>
      </c>
      <c r="Q104" s="142">
        <f>'CF1'!Q85+'CF2'!Q85</f>
        <v>0</v>
      </c>
      <c r="R104" s="142">
        <f>'CF1'!R85+'CF2'!R85</f>
        <v>0</v>
      </c>
      <c r="S104" s="142">
        <f>'CF1'!S85+'CF2'!S85</f>
        <v>0</v>
      </c>
      <c r="T104" s="142">
        <f>'CF1'!T85+'CF2'!T85</f>
        <v>0</v>
      </c>
      <c r="U104" s="142">
        <f>'CF1'!U85+'CF2'!U85</f>
        <v>0</v>
      </c>
      <c r="V104" s="142">
        <f>'CF1'!V85+'CF2'!V85</f>
        <v>0</v>
      </c>
      <c r="W104" s="142">
        <f>'CF1'!W85+'CF2'!W85</f>
        <v>0</v>
      </c>
      <c r="X104" s="142">
        <f>'CF1'!X85+'CF2'!X85</f>
        <v>0</v>
      </c>
      <c r="Y104" s="142">
        <f>'CF1'!Y85+'CF2'!Y85</f>
        <v>0</v>
      </c>
      <c r="Z104" s="142">
        <f>'CF1'!Z85+'CF2'!Z85</f>
        <v>0</v>
      </c>
      <c r="AA104" s="142">
        <f>'CF1'!AA85+'CF2'!AA85</f>
        <v>0</v>
      </c>
      <c r="AB104" s="142">
        <f>'CF1'!AB85+'CF2'!AB85</f>
        <v>0</v>
      </c>
      <c r="AC104" s="142">
        <f>'CF1'!AC85+'CF2'!AC85</f>
        <v>0</v>
      </c>
      <c r="AD104" s="142">
        <f>'CF1'!AD85+'CF2'!AD85</f>
        <v>0</v>
      </c>
      <c r="AE104" s="142">
        <f>'CF1'!AE85+'CF2'!AE85</f>
        <v>0</v>
      </c>
      <c r="AF104" s="142">
        <f>'CF1'!AF85+'CF2'!AF85</f>
        <v>0</v>
      </c>
      <c r="AG104" s="142">
        <f>'CF1'!AG85+'CF2'!AG85</f>
        <v>0</v>
      </c>
      <c r="AH104" s="142">
        <f>'CF1'!AH85+'CF2'!AH85</f>
        <v>0</v>
      </c>
      <c r="AI104" s="142">
        <f>'CF1'!AI85+'CF2'!AI85</f>
        <v>0</v>
      </c>
      <c r="AJ104" s="142">
        <f>'CF1'!AJ85+'CF2'!AJ85</f>
        <v>0</v>
      </c>
      <c r="AK104" s="142">
        <f>'CF1'!AK85+'CF2'!AK85</f>
        <v>-247.55354674426837</v>
      </c>
      <c r="AL104" s="142">
        <f>'CF1'!AL85+'CF2'!AL85</f>
        <v>-142.20063535347074</v>
      </c>
      <c r="AM104" s="142">
        <f>'CF1'!AM85+'CF2'!AM85</f>
        <v>0</v>
      </c>
      <c r="AN104" s="142">
        <f>'CF1'!AN85+'CF2'!AN85</f>
        <v>0</v>
      </c>
      <c r="AO104" s="142">
        <f>'CF1'!AO85+'CF2'!AO85</f>
        <v>0</v>
      </c>
      <c r="AP104" s="142">
        <f>'CF1'!AP85+'CF2'!AP85</f>
        <v>0</v>
      </c>
      <c r="AQ104" s="142">
        <f>'CF1'!AQ85+'CF2'!AQ85</f>
        <v>0</v>
      </c>
      <c r="AR104" s="142">
        <f>'CF1'!AR85+'CF2'!AR85</f>
        <v>0</v>
      </c>
      <c r="AS104" s="142">
        <f>'CF1'!AS85+'CF2'!AS85</f>
        <v>0</v>
      </c>
      <c r="AT104" s="142">
        <f>'CF1'!AT85+'CF2'!AT85</f>
        <v>0</v>
      </c>
      <c r="AU104" s="142">
        <f>'CF1'!AU85+'CF2'!AU85</f>
        <v>0</v>
      </c>
      <c r="AV104" s="142">
        <f>'CF1'!AV85+'CF2'!AV85</f>
        <v>0</v>
      </c>
      <c r="AW104" s="142">
        <f>'CF1'!AW85+'CF2'!AW85</f>
        <v>0</v>
      </c>
      <c r="AX104" s="142">
        <f>'CF1'!AX85+'CF2'!AX85</f>
        <v>0</v>
      </c>
      <c r="AY104" s="142">
        <f>'CF1'!AY85+'CF2'!AY85</f>
        <v>0</v>
      </c>
      <c r="AZ104" s="142">
        <f>'CF1'!AZ85+'CF2'!AZ85</f>
        <v>0</v>
      </c>
      <c r="BA104" s="142">
        <f>'CF1'!BA85+'CF2'!BA85</f>
        <v>0</v>
      </c>
      <c r="BB104" s="142">
        <f>'CF1'!BB85+'CF2'!BB85</f>
        <v>0</v>
      </c>
      <c r="BC104" s="142">
        <f>'CF1'!BC85+'CF2'!BC85</f>
        <v>0</v>
      </c>
      <c r="BD104" s="142">
        <f>'CF1'!BD85+'CF2'!BD85</f>
        <v>0</v>
      </c>
      <c r="BE104" s="142">
        <f>'CF1'!BE85+'CF2'!BE85</f>
        <v>0</v>
      </c>
      <c r="BF104" s="142">
        <f>'CF1'!BF85+'CF2'!BF85</f>
        <v>0</v>
      </c>
      <c r="BG104" s="142">
        <f>'CF1'!BG85+'CF2'!BG85</f>
        <v>0</v>
      </c>
      <c r="BH104" s="142">
        <f>'CF1'!BH85+'CF2'!BH85</f>
        <v>0</v>
      </c>
      <c r="BI104" s="142">
        <f>'CF1'!BI85+'CF2'!BI85</f>
        <v>0</v>
      </c>
      <c r="BJ104" s="142">
        <f>'CF1'!BJ85+'CF2'!BJ85</f>
        <v>0</v>
      </c>
      <c r="BK104" s="142">
        <f>'CF1'!BK85+'CF2'!BK85</f>
        <v>0</v>
      </c>
      <c r="BL104" s="142">
        <f>'CF1'!BL85+'CF2'!BL85</f>
        <v>0</v>
      </c>
      <c r="BM104" s="142">
        <f>'CF1'!BM85+'CF2'!BM85</f>
        <v>0</v>
      </c>
    </row>
    <row r="105" spans="1:65">
      <c r="B105" s="145" t="s">
        <v>198</v>
      </c>
      <c r="C105" s="205" t="s">
        <v>251</v>
      </c>
      <c r="D105" s="131" t="s">
        <v>19</v>
      </c>
      <c r="E105" s="141">
        <f t="shared" si="212"/>
        <v>0</v>
      </c>
      <c r="F105" s="142">
        <f>'CF1'!F86+'CF2'!F86</f>
        <v>0</v>
      </c>
      <c r="G105" s="142">
        <f>'CF1'!G86+'CF2'!G86</f>
        <v>0</v>
      </c>
      <c r="H105" s="142">
        <f>'CF1'!H86+'CF2'!H86</f>
        <v>0</v>
      </c>
      <c r="I105" s="142">
        <f>'CF1'!I86+'CF2'!I86</f>
        <v>0</v>
      </c>
      <c r="J105" s="142">
        <f>'CF1'!J86+'CF2'!J86</f>
        <v>0</v>
      </c>
      <c r="K105" s="142">
        <f>'CF1'!K86+'CF2'!K86</f>
        <v>0</v>
      </c>
      <c r="L105" s="142">
        <f>'CF1'!L86+'CF2'!L86</f>
        <v>0</v>
      </c>
      <c r="M105" s="142">
        <f>'CF1'!M86+'CF2'!M86</f>
        <v>0</v>
      </c>
      <c r="N105" s="142">
        <f>'CF1'!N86+'CF2'!N86</f>
        <v>0</v>
      </c>
      <c r="O105" s="142">
        <f>'CF1'!O86+'CF2'!O86</f>
        <v>0</v>
      </c>
      <c r="P105" s="142">
        <f>'CF1'!P86+'CF2'!P86</f>
        <v>0</v>
      </c>
      <c r="Q105" s="142">
        <f>'CF1'!Q86+'CF2'!Q86</f>
        <v>0</v>
      </c>
      <c r="R105" s="142">
        <f>'CF1'!R86+'CF2'!R86</f>
        <v>0</v>
      </c>
      <c r="S105" s="142">
        <f>'CF1'!S86+'CF2'!S86</f>
        <v>0</v>
      </c>
      <c r="T105" s="142">
        <f>'CF1'!T86+'CF2'!T86</f>
        <v>0</v>
      </c>
      <c r="U105" s="142">
        <f>'CF1'!U86+'CF2'!U86</f>
        <v>0</v>
      </c>
      <c r="V105" s="142">
        <f>'CF1'!V86+'CF2'!V86</f>
        <v>0</v>
      </c>
      <c r="W105" s="142">
        <f>'CF1'!W86+'CF2'!W86</f>
        <v>0</v>
      </c>
      <c r="X105" s="142">
        <f>'CF1'!X86+'CF2'!X86</f>
        <v>0</v>
      </c>
      <c r="Y105" s="142">
        <f>'CF1'!Y86+'CF2'!Y86</f>
        <v>0</v>
      </c>
      <c r="Z105" s="142">
        <f>'CF1'!Z86+'CF2'!Z86</f>
        <v>0</v>
      </c>
      <c r="AA105" s="142">
        <f>'CF1'!AA86+'CF2'!AA86</f>
        <v>0</v>
      </c>
      <c r="AB105" s="142">
        <f>'CF1'!AB86+'CF2'!AB86</f>
        <v>0</v>
      </c>
      <c r="AC105" s="142">
        <f>'CF1'!AC86+'CF2'!AC86</f>
        <v>0</v>
      </c>
      <c r="AD105" s="142">
        <f>'CF1'!AD86+'CF2'!AD86</f>
        <v>0</v>
      </c>
      <c r="AE105" s="142">
        <f>'CF1'!AE86+'CF2'!AE86</f>
        <v>0</v>
      </c>
      <c r="AF105" s="142">
        <f>'CF1'!AF86+'CF2'!AF86</f>
        <v>0</v>
      </c>
      <c r="AG105" s="142">
        <f>'CF1'!AG86+'CF2'!AG86</f>
        <v>0</v>
      </c>
      <c r="AH105" s="142">
        <f>'CF1'!AH86+'CF2'!AH86</f>
        <v>0</v>
      </c>
      <c r="AI105" s="142">
        <f>'CF1'!AI86+'CF2'!AI86</f>
        <v>0</v>
      </c>
      <c r="AJ105" s="142">
        <f>'CF1'!AJ86+'CF2'!AJ86</f>
        <v>0</v>
      </c>
      <c r="AK105" s="142">
        <f>'CF1'!AK86+'CF2'!AK86</f>
        <v>0</v>
      </c>
      <c r="AL105" s="142">
        <f>'CF1'!AL86+'CF2'!AL86</f>
        <v>0</v>
      </c>
      <c r="AM105" s="142">
        <f>'CF1'!AM86+'CF2'!AM86</f>
        <v>0</v>
      </c>
      <c r="AN105" s="142">
        <f>'CF1'!AN86+'CF2'!AN86</f>
        <v>0</v>
      </c>
      <c r="AO105" s="142">
        <f>'CF1'!AO86+'CF2'!AO86</f>
        <v>0</v>
      </c>
      <c r="AP105" s="142">
        <f>'CF1'!AP86+'CF2'!AP86</f>
        <v>0</v>
      </c>
      <c r="AQ105" s="142">
        <f>'CF1'!AQ86+'CF2'!AQ86</f>
        <v>0</v>
      </c>
      <c r="AR105" s="142">
        <f>'CF1'!AR86+'CF2'!AR86</f>
        <v>0</v>
      </c>
      <c r="AS105" s="142">
        <f>'CF1'!AS86+'CF2'!AS86</f>
        <v>0</v>
      </c>
      <c r="AT105" s="142">
        <f>'CF1'!AT86+'CF2'!AT86</f>
        <v>0</v>
      </c>
      <c r="AU105" s="142">
        <f>'CF1'!AU86+'CF2'!AU86</f>
        <v>0</v>
      </c>
      <c r="AV105" s="142">
        <f>'CF1'!AV86+'CF2'!AV86</f>
        <v>0</v>
      </c>
      <c r="AW105" s="142">
        <f>'CF1'!AW86+'CF2'!AW86</f>
        <v>0</v>
      </c>
      <c r="AX105" s="142">
        <f>'CF1'!AX86+'CF2'!AX86</f>
        <v>0</v>
      </c>
      <c r="AY105" s="142">
        <f>'CF1'!AY86+'CF2'!AY86</f>
        <v>0</v>
      </c>
      <c r="AZ105" s="142">
        <f>'CF1'!AZ86+'CF2'!AZ86</f>
        <v>0</v>
      </c>
      <c r="BA105" s="142">
        <f>'CF1'!BA86+'CF2'!BA86</f>
        <v>0</v>
      </c>
      <c r="BB105" s="142">
        <f>'CF1'!BB86+'CF2'!BB86</f>
        <v>0</v>
      </c>
      <c r="BC105" s="142">
        <f>'CF1'!BC86+'CF2'!BC86</f>
        <v>0</v>
      </c>
      <c r="BD105" s="142">
        <f>'CF1'!BD86+'CF2'!BD86</f>
        <v>0</v>
      </c>
      <c r="BE105" s="142">
        <f>'CF1'!BE86+'CF2'!BE86</f>
        <v>0</v>
      </c>
      <c r="BF105" s="142">
        <f>'CF1'!BF86+'CF2'!BF86</f>
        <v>0</v>
      </c>
      <c r="BG105" s="142">
        <f>'CF1'!BG86+'CF2'!BG86</f>
        <v>0</v>
      </c>
      <c r="BH105" s="142">
        <f>'CF1'!BH86+'CF2'!BH86</f>
        <v>0</v>
      </c>
      <c r="BI105" s="142">
        <f>'CF1'!BI86+'CF2'!BI86</f>
        <v>0</v>
      </c>
      <c r="BJ105" s="142">
        <f>'CF1'!BJ86+'CF2'!BJ86</f>
        <v>0</v>
      </c>
      <c r="BK105" s="142">
        <f>'CF1'!BK86+'CF2'!BK86</f>
        <v>0</v>
      </c>
      <c r="BL105" s="142">
        <f>'CF1'!BL86+'CF2'!BL86</f>
        <v>0</v>
      </c>
      <c r="BM105" s="142">
        <f>'CF1'!BM86+'CF2'!BM86</f>
        <v>0</v>
      </c>
    </row>
    <row r="106" spans="1:65">
      <c r="B106" s="27"/>
      <c r="C106" s="28" t="s">
        <v>57</v>
      </c>
      <c r="D106" s="131" t="s">
        <v>19</v>
      </c>
      <c r="E106" s="141">
        <f t="shared" si="212"/>
        <v>9432.6279335521267</v>
      </c>
      <c r="F106" s="202">
        <f>'CF1'!F87+'CF2'!F87</f>
        <v>0</v>
      </c>
      <c r="G106" s="202">
        <f>'CF1'!G87+'CF2'!G87</f>
        <v>0</v>
      </c>
      <c r="H106" s="202">
        <f>'CF1'!H87+'CF2'!H87</f>
        <v>0</v>
      </c>
      <c r="I106" s="202">
        <f>'CF1'!I87+'CF2'!I87</f>
        <v>0</v>
      </c>
      <c r="J106" s="202">
        <f>'CF1'!J87+'CF2'!J87</f>
        <v>0</v>
      </c>
      <c r="K106" s="202">
        <f>'CF1'!K87+'CF2'!K87</f>
        <v>0</v>
      </c>
      <c r="L106" s="202">
        <f>'CF1'!L87+'CF2'!L87</f>
        <v>0</v>
      </c>
      <c r="M106" s="202">
        <f>'CF1'!M87+'CF2'!M87</f>
        <v>0</v>
      </c>
      <c r="N106" s="142">
        <f>'CF1'!N87+'CF2'!N87</f>
        <v>0</v>
      </c>
      <c r="O106" s="142">
        <f>'CF1'!O87+'CF2'!O87</f>
        <v>0</v>
      </c>
      <c r="P106" s="142">
        <f>'CF1'!P87+'CF2'!P87</f>
        <v>3942.7614081254696</v>
      </c>
      <c r="Q106" s="142">
        <f>'CF1'!Q87+'CF2'!Q87</f>
        <v>669.91269562546995</v>
      </c>
      <c r="R106" s="142">
        <f>'CF1'!R87+'CF2'!R87</f>
        <v>944.67806756547009</v>
      </c>
      <c r="S106" s="142">
        <f>'CF1'!S87+'CF2'!S87</f>
        <v>1571.2584320792296</v>
      </c>
      <c r="T106" s="142">
        <f>'CF1'!T87+'CF2'!T87</f>
        <v>190.97998782843791</v>
      </c>
      <c r="U106" s="142">
        <f>'CF1'!U87+'CF2'!U87</f>
        <v>461.8715878284379</v>
      </c>
      <c r="V106" s="142">
        <f>'CF1'!V87+'CF2'!V87</f>
        <v>808.57621109643799</v>
      </c>
      <c r="W106" s="142">
        <f>'CF1'!W87+'CF2'!W87</f>
        <v>842.58954340317382</v>
      </c>
      <c r="X106" s="142">
        <f>'CF1'!X87+'CF2'!X87</f>
        <v>0</v>
      </c>
      <c r="Y106" s="142">
        <f>'CF1'!Y87+'CF2'!Y87</f>
        <v>0</v>
      </c>
      <c r="Z106" s="142">
        <f>'CF1'!Z87+'CF2'!Z87</f>
        <v>0</v>
      </c>
      <c r="AA106" s="142">
        <f>'CF1'!AA87+'CF2'!AA87</f>
        <v>0</v>
      </c>
      <c r="AB106" s="142">
        <f>'CF1'!AB87+'CF2'!AB87</f>
        <v>0</v>
      </c>
      <c r="AC106" s="142">
        <f>'CF1'!AC87+'CF2'!AC87</f>
        <v>0</v>
      </c>
      <c r="AD106" s="142">
        <f>'CF1'!AD87+'CF2'!AD87</f>
        <v>0</v>
      </c>
      <c r="AE106" s="142">
        <f>'CF1'!AE87+'CF2'!AE87</f>
        <v>0</v>
      </c>
      <c r="AF106" s="142">
        <f>'CF1'!AF87+'CF2'!AF87</f>
        <v>0</v>
      </c>
      <c r="AG106" s="142">
        <f>'CF1'!AG87+'CF2'!AG87</f>
        <v>0</v>
      </c>
      <c r="AH106" s="142">
        <f>'CF1'!AH87+'CF2'!AH87</f>
        <v>0</v>
      </c>
      <c r="AI106" s="142">
        <f>'CF1'!AI87+'CF2'!AI87</f>
        <v>0</v>
      </c>
      <c r="AJ106" s="142">
        <f>'CF1'!AJ87+'CF2'!AJ87</f>
        <v>0</v>
      </c>
      <c r="AK106" s="142">
        <f>'CF1'!AK87+'CF2'!AK87</f>
        <v>0</v>
      </c>
      <c r="AL106" s="142">
        <f>'CF1'!AL87+'CF2'!AL87</f>
        <v>0</v>
      </c>
      <c r="AM106" s="142">
        <f>'CF1'!AM87+'CF2'!AM87</f>
        <v>0</v>
      </c>
      <c r="AN106" s="142">
        <f>'CF1'!AN87+'CF2'!AN87</f>
        <v>0</v>
      </c>
      <c r="AO106" s="142">
        <f>'CF1'!AO87+'CF2'!AO87</f>
        <v>0</v>
      </c>
      <c r="AP106" s="142">
        <f>'CF1'!AP87+'CF2'!AP87</f>
        <v>0</v>
      </c>
      <c r="AQ106" s="142">
        <f>'CF1'!AQ87+'CF2'!AQ87</f>
        <v>0</v>
      </c>
      <c r="AR106" s="142">
        <f>'CF1'!AR87+'CF2'!AR87</f>
        <v>0</v>
      </c>
      <c r="AS106" s="142">
        <f>'CF1'!AS87+'CF2'!AS87</f>
        <v>0</v>
      </c>
      <c r="AT106" s="142">
        <f>'CF1'!AT87+'CF2'!AT87</f>
        <v>0</v>
      </c>
      <c r="AU106" s="142">
        <f>'CF1'!AU87+'CF2'!AU87</f>
        <v>0</v>
      </c>
      <c r="AV106" s="142">
        <f>'CF1'!AV87+'CF2'!AV87</f>
        <v>0</v>
      </c>
      <c r="AW106" s="142">
        <f>'CF1'!AW87+'CF2'!AW87</f>
        <v>0</v>
      </c>
      <c r="AX106" s="142">
        <f>'CF1'!AX87+'CF2'!AX87</f>
        <v>0</v>
      </c>
      <c r="AY106" s="142">
        <f>'CF1'!AY87+'CF2'!AY87</f>
        <v>0</v>
      </c>
      <c r="AZ106" s="142">
        <f>'CF1'!AZ87+'CF2'!AZ87</f>
        <v>0</v>
      </c>
      <c r="BA106" s="142">
        <f>'CF1'!BA87+'CF2'!BA87</f>
        <v>0</v>
      </c>
      <c r="BB106" s="142">
        <f>'CF1'!BB87+'CF2'!BB87</f>
        <v>0</v>
      </c>
      <c r="BC106" s="142">
        <f>'CF1'!BC87+'CF2'!BC87</f>
        <v>0</v>
      </c>
      <c r="BD106" s="142">
        <f>'CF1'!BD87+'CF2'!BD87</f>
        <v>0</v>
      </c>
      <c r="BE106" s="142">
        <f>'CF1'!BE87+'CF2'!BE87</f>
        <v>0</v>
      </c>
      <c r="BF106" s="142">
        <f>'CF1'!BF87+'CF2'!BF87</f>
        <v>0</v>
      </c>
      <c r="BG106" s="142">
        <f>'CF1'!BG87+'CF2'!BG87</f>
        <v>0</v>
      </c>
      <c r="BH106" s="142">
        <f>'CF1'!BH87+'CF2'!BH87</f>
        <v>0</v>
      </c>
      <c r="BI106" s="142">
        <f>'CF1'!BI87+'CF2'!BI87</f>
        <v>0</v>
      </c>
      <c r="BJ106" s="142">
        <f>'CF1'!BJ87+'CF2'!BJ87</f>
        <v>0</v>
      </c>
      <c r="BK106" s="142">
        <f>'CF1'!BK87+'CF2'!BK87</f>
        <v>0</v>
      </c>
      <c r="BL106" s="142">
        <f>'CF1'!BL87+'CF2'!BL87</f>
        <v>0</v>
      </c>
      <c r="BM106" s="142">
        <f>'CF1'!BM87+'CF2'!BM87</f>
        <v>0</v>
      </c>
    </row>
    <row r="107" spans="1:65">
      <c r="B107" s="27"/>
      <c r="C107" s="28" t="s">
        <v>58</v>
      </c>
      <c r="D107" s="131" t="s">
        <v>19</v>
      </c>
      <c r="E107" s="141">
        <f t="shared" si="212"/>
        <v>-9432.6279335521285</v>
      </c>
      <c r="F107" s="202">
        <f>'CF1'!F88+'CF2'!F88</f>
        <v>0</v>
      </c>
      <c r="G107" s="202">
        <f>'CF1'!G88+'CF2'!G88</f>
        <v>0</v>
      </c>
      <c r="H107" s="202">
        <f>'CF1'!H88+'CF2'!H88</f>
        <v>0</v>
      </c>
      <c r="I107" s="202">
        <f>'CF1'!I88+'CF2'!I88</f>
        <v>0</v>
      </c>
      <c r="J107" s="202">
        <f>'CF1'!J88+'CF2'!J88</f>
        <v>0</v>
      </c>
      <c r="K107" s="202">
        <f>'CF1'!K88+'CF2'!K88</f>
        <v>0</v>
      </c>
      <c r="L107" s="202">
        <f>'CF1'!L88+'CF2'!L88</f>
        <v>0</v>
      </c>
      <c r="M107" s="202">
        <f>'CF1'!M88+'CF2'!M88</f>
        <v>0</v>
      </c>
      <c r="N107" s="142">
        <f>'CF1'!N88+'CF2'!N88</f>
        <v>0</v>
      </c>
      <c r="O107" s="142">
        <f>'CF1'!O88+'CF2'!O88</f>
        <v>0</v>
      </c>
      <c r="P107" s="142">
        <f>'CF1'!P88+'CF2'!P88</f>
        <v>0</v>
      </c>
      <c r="Q107" s="142">
        <f>'CF1'!Q88+'CF2'!Q88</f>
        <v>0</v>
      </c>
      <c r="R107" s="142">
        <f>'CF1'!R88+'CF2'!R88</f>
        <v>0</v>
      </c>
      <c r="S107" s="142">
        <f>'CF1'!S88+'CF2'!S88</f>
        <v>0</v>
      </c>
      <c r="T107" s="142">
        <f>'CF1'!T88+'CF2'!T88</f>
        <v>-6417.9982667558879</v>
      </c>
      <c r="U107" s="142">
        <f>'CF1'!U88+'CF2'!U88</f>
        <v>0</v>
      </c>
      <c r="V107" s="142">
        <f>'CF1'!V88+'CF2'!V88</f>
        <v>0</v>
      </c>
      <c r="W107" s="142">
        <f>'CF1'!W88+'CF2'!W88</f>
        <v>0</v>
      </c>
      <c r="X107" s="142">
        <f>'CF1'!X88+'CF2'!X88</f>
        <v>-3014.6296667962397</v>
      </c>
      <c r="Y107" s="142">
        <f>'CF1'!Y88+'CF2'!Y88</f>
        <v>0</v>
      </c>
      <c r="Z107" s="142">
        <f>'CF1'!Z88+'CF2'!Z88</f>
        <v>0</v>
      </c>
      <c r="AA107" s="142">
        <f>'CF1'!AA88+'CF2'!AA88</f>
        <v>0</v>
      </c>
      <c r="AB107" s="142">
        <f>'CF1'!AB88+'CF2'!AB88</f>
        <v>0</v>
      </c>
      <c r="AC107" s="142">
        <f>'CF1'!AC88+'CF2'!AC88</f>
        <v>0</v>
      </c>
      <c r="AD107" s="142">
        <f>'CF1'!AD88+'CF2'!AD88</f>
        <v>0</v>
      </c>
      <c r="AE107" s="142">
        <f>'CF1'!AE88+'CF2'!AE88</f>
        <v>0</v>
      </c>
      <c r="AF107" s="142">
        <f>'CF1'!AF88+'CF2'!AF88</f>
        <v>0</v>
      </c>
      <c r="AG107" s="142">
        <f>'CF1'!AG88+'CF2'!AG88</f>
        <v>0</v>
      </c>
      <c r="AH107" s="142">
        <f>'CF1'!AH88+'CF2'!AH88</f>
        <v>0</v>
      </c>
      <c r="AI107" s="142">
        <f>'CF1'!AI88+'CF2'!AI88</f>
        <v>0</v>
      </c>
      <c r="AJ107" s="142">
        <f>'CF1'!AJ88+'CF2'!AJ88</f>
        <v>0</v>
      </c>
      <c r="AK107" s="142">
        <f>'CF1'!AK88+'CF2'!AK88</f>
        <v>0</v>
      </c>
      <c r="AL107" s="142">
        <f>'CF1'!AL88+'CF2'!AL88</f>
        <v>0</v>
      </c>
      <c r="AM107" s="142">
        <f>'CF1'!AM88+'CF2'!AM88</f>
        <v>0</v>
      </c>
      <c r="AN107" s="142">
        <f>'CF1'!AN88+'CF2'!AN88</f>
        <v>0</v>
      </c>
      <c r="AO107" s="142">
        <f>'CF1'!AO88+'CF2'!AO88</f>
        <v>0</v>
      </c>
      <c r="AP107" s="142">
        <f>'CF1'!AP88+'CF2'!AP88</f>
        <v>0</v>
      </c>
      <c r="AQ107" s="142">
        <f>'CF1'!AQ88+'CF2'!AQ88</f>
        <v>0</v>
      </c>
      <c r="AR107" s="142">
        <f>'CF1'!AR88+'CF2'!AR88</f>
        <v>0</v>
      </c>
      <c r="AS107" s="142">
        <f>'CF1'!AS88+'CF2'!AS88</f>
        <v>0</v>
      </c>
      <c r="AT107" s="142">
        <f>'CF1'!AT88+'CF2'!AT88</f>
        <v>0</v>
      </c>
      <c r="AU107" s="142">
        <f>'CF1'!AU88+'CF2'!AU88</f>
        <v>0</v>
      </c>
      <c r="AV107" s="142">
        <f>'CF1'!AV88+'CF2'!AV88</f>
        <v>0</v>
      </c>
      <c r="AW107" s="142">
        <f>'CF1'!AW88+'CF2'!AW88</f>
        <v>0</v>
      </c>
      <c r="AX107" s="142">
        <f>'CF1'!AX88+'CF2'!AX88</f>
        <v>0</v>
      </c>
      <c r="AY107" s="142">
        <f>'CF1'!AY88+'CF2'!AY88</f>
        <v>0</v>
      </c>
      <c r="AZ107" s="142">
        <f>'CF1'!AZ88+'CF2'!AZ88</f>
        <v>0</v>
      </c>
      <c r="BA107" s="142">
        <f>'CF1'!BA88+'CF2'!BA88</f>
        <v>0</v>
      </c>
      <c r="BB107" s="142">
        <f>'CF1'!BB88+'CF2'!BB88</f>
        <v>0</v>
      </c>
      <c r="BC107" s="142">
        <f>'CF1'!BC88+'CF2'!BC88</f>
        <v>0</v>
      </c>
      <c r="BD107" s="142">
        <f>'CF1'!BD88+'CF2'!BD88</f>
        <v>0</v>
      </c>
      <c r="BE107" s="142">
        <f>'CF1'!BE88+'CF2'!BE88</f>
        <v>0</v>
      </c>
      <c r="BF107" s="142">
        <f>'CF1'!BF88+'CF2'!BF88</f>
        <v>0</v>
      </c>
      <c r="BG107" s="142">
        <f>'CF1'!BG88+'CF2'!BG88</f>
        <v>0</v>
      </c>
      <c r="BH107" s="142">
        <f>'CF1'!BH88+'CF2'!BH88</f>
        <v>0</v>
      </c>
      <c r="BI107" s="142">
        <f>'CF1'!BI88+'CF2'!BI88</f>
        <v>0</v>
      </c>
      <c r="BJ107" s="142">
        <f>'CF1'!BJ88+'CF2'!BJ88</f>
        <v>0</v>
      </c>
      <c r="BK107" s="142">
        <f>'CF1'!BK88+'CF2'!BK88</f>
        <v>0</v>
      </c>
      <c r="BL107" s="142">
        <f>'CF1'!BL88+'CF2'!BL88</f>
        <v>0</v>
      </c>
      <c r="BM107" s="142">
        <f>'CF1'!BM88+'CF2'!BM88</f>
        <v>0</v>
      </c>
    </row>
    <row r="108" spans="1:65">
      <c r="B108" s="145" t="s">
        <v>199</v>
      </c>
      <c r="C108" s="27"/>
      <c r="D108" s="131" t="s">
        <v>19</v>
      </c>
      <c r="E108" s="141">
        <f t="shared" si="212"/>
        <v>0</v>
      </c>
      <c r="F108" s="142">
        <f>'CF1'!F89+'CF2'!F89</f>
        <v>0</v>
      </c>
      <c r="G108" s="142">
        <f>'CF1'!G89+'CF2'!G89</f>
        <v>0</v>
      </c>
      <c r="H108" s="142">
        <f>'CF1'!H89+'CF2'!H89</f>
        <v>0</v>
      </c>
      <c r="I108" s="142">
        <f>'CF1'!I89+'CF2'!I89</f>
        <v>0</v>
      </c>
      <c r="J108" s="142">
        <f>'CF1'!J89+'CF2'!J89</f>
        <v>0</v>
      </c>
      <c r="K108" s="142">
        <f>'CF1'!K89+'CF2'!K89</f>
        <v>0</v>
      </c>
      <c r="L108" s="142">
        <f>'CF1'!L89+'CF2'!L89</f>
        <v>0</v>
      </c>
      <c r="M108" s="142">
        <f>'CF1'!M89+'CF2'!M89</f>
        <v>0</v>
      </c>
      <c r="N108" s="142">
        <f>'CF1'!N89+'CF2'!N89</f>
        <v>0</v>
      </c>
      <c r="O108" s="142">
        <f>'CF1'!O89+'CF2'!O89</f>
        <v>0</v>
      </c>
      <c r="P108" s="142">
        <f>'CF1'!P89+'CF2'!P89</f>
        <v>0</v>
      </c>
      <c r="Q108" s="142">
        <f>'CF1'!Q89+'CF2'!Q89</f>
        <v>0</v>
      </c>
      <c r="R108" s="142">
        <f>'CF1'!R89+'CF2'!R89</f>
        <v>0</v>
      </c>
      <c r="S108" s="142">
        <f>'CF1'!S89+'CF2'!S89</f>
        <v>0</v>
      </c>
      <c r="T108" s="142">
        <f>'CF1'!T89+'CF2'!T89</f>
        <v>0</v>
      </c>
      <c r="U108" s="142">
        <f>'CF1'!U89+'CF2'!U89</f>
        <v>0</v>
      </c>
      <c r="V108" s="142">
        <f>'CF1'!V89+'CF2'!V89</f>
        <v>0</v>
      </c>
      <c r="W108" s="142">
        <f>'CF1'!W89+'CF2'!W89</f>
        <v>0</v>
      </c>
      <c r="X108" s="142">
        <f>'CF1'!X89+'CF2'!X89</f>
        <v>0</v>
      </c>
      <c r="Y108" s="142">
        <f>'CF1'!Y89+'CF2'!Y89</f>
        <v>0</v>
      </c>
      <c r="Z108" s="142">
        <f>'CF1'!Z89+'CF2'!Z89</f>
        <v>0</v>
      </c>
      <c r="AA108" s="142">
        <f>'CF1'!AA89+'CF2'!AA89</f>
        <v>0</v>
      </c>
      <c r="AB108" s="142">
        <f>'CF1'!AB89+'CF2'!AB89</f>
        <v>0</v>
      </c>
      <c r="AC108" s="142">
        <f>'CF1'!AC89+'CF2'!AC89</f>
        <v>0</v>
      </c>
      <c r="AD108" s="142">
        <f>'CF1'!AD89+'CF2'!AD89</f>
        <v>0</v>
      </c>
      <c r="AE108" s="142">
        <f>'CF1'!AE89+'CF2'!AE89</f>
        <v>0</v>
      </c>
      <c r="AF108" s="142">
        <f>'CF1'!AF89+'CF2'!AF89</f>
        <v>0</v>
      </c>
      <c r="AG108" s="142">
        <f>'CF1'!AG89+'CF2'!AG89</f>
        <v>0</v>
      </c>
      <c r="AH108" s="142">
        <f>'CF1'!AH89+'CF2'!AH89</f>
        <v>0</v>
      </c>
      <c r="AI108" s="142">
        <f>'CF1'!AI89+'CF2'!AI89</f>
        <v>0</v>
      </c>
      <c r="AJ108" s="142">
        <f>'CF1'!AJ89+'CF2'!AJ89</f>
        <v>0</v>
      </c>
      <c r="AK108" s="142">
        <f>'CF1'!AK89+'CF2'!AK89</f>
        <v>0</v>
      </c>
      <c r="AL108" s="142">
        <f>'CF1'!AL89+'CF2'!AL89</f>
        <v>0</v>
      </c>
      <c r="AM108" s="142">
        <f>'CF1'!AM89+'CF2'!AM89</f>
        <v>0</v>
      </c>
      <c r="AN108" s="142">
        <f>'CF1'!AN89+'CF2'!AN89</f>
        <v>0</v>
      </c>
      <c r="AO108" s="142">
        <f>'CF1'!AO89+'CF2'!AO89</f>
        <v>0</v>
      </c>
      <c r="AP108" s="142">
        <f>'CF1'!AP89+'CF2'!AP89</f>
        <v>0</v>
      </c>
      <c r="AQ108" s="142">
        <f>'CF1'!AQ89+'CF2'!AQ89</f>
        <v>0</v>
      </c>
      <c r="AR108" s="142">
        <f>'CF1'!AR89+'CF2'!AR89</f>
        <v>0</v>
      </c>
      <c r="AS108" s="142">
        <f>'CF1'!AS89+'CF2'!AS89</f>
        <v>0</v>
      </c>
      <c r="AT108" s="142">
        <f>'CF1'!AT89+'CF2'!AT89</f>
        <v>0</v>
      </c>
      <c r="AU108" s="142">
        <f>'CF1'!AU89+'CF2'!AU89</f>
        <v>0</v>
      </c>
      <c r="AV108" s="142">
        <f>'CF1'!AV89+'CF2'!AV89</f>
        <v>0</v>
      </c>
      <c r="AW108" s="142">
        <f>'CF1'!AW89+'CF2'!AW89</f>
        <v>0</v>
      </c>
      <c r="AX108" s="142">
        <f>'CF1'!AX89+'CF2'!AX89</f>
        <v>0</v>
      </c>
      <c r="AY108" s="142">
        <f>'CF1'!AY89+'CF2'!AY89</f>
        <v>0</v>
      </c>
      <c r="AZ108" s="142">
        <f>'CF1'!AZ89+'CF2'!AZ89</f>
        <v>0</v>
      </c>
      <c r="BA108" s="142">
        <f>'CF1'!BA89+'CF2'!BA89</f>
        <v>0</v>
      </c>
      <c r="BB108" s="142">
        <f>'CF1'!BB89+'CF2'!BB89</f>
        <v>0</v>
      </c>
      <c r="BC108" s="142">
        <f>'CF1'!BC89+'CF2'!BC89</f>
        <v>0</v>
      </c>
      <c r="BD108" s="142">
        <f>'CF1'!BD89+'CF2'!BD89</f>
        <v>0</v>
      </c>
      <c r="BE108" s="142">
        <f>'CF1'!BE89+'CF2'!BE89</f>
        <v>0</v>
      </c>
      <c r="BF108" s="142">
        <f>'CF1'!BF89+'CF2'!BF89</f>
        <v>0</v>
      </c>
      <c r="BG108" s="142">
        <f>'CF1'!BG89+'CF2'!BG89</f>
        <v>0</v>
      </c>
      <c r="BH108" s="142">
        <f>'CF1'!BH89+'CF2'!BH89</f>
        <v>0</v>
      </c>
      <c r="BI108" s="142">
        <f>'CF1'!BI89+'CF2'!BI89</f>
        <v>0</v>
      </c>
      <c r="BJ108" s="142">
        <f>'CF1'!BJ89+'CF2'!BJ89</f>
        <v>0</v>
      </c>
      <c r="BK108" s="142">
        <f>'CF1'!BK89+'CF2'!BK89</f>
        <v>0</v>
      </c>
      <c r="BL108" s="142">
        <f>'CF1'!BL89+'CF2'!BL89</f>
        <v>0</v>
      </c>
      <c r="BM108" s="142">
        <f>'CF1'!BM89+'CF2'!BM89</f>
        <v>0</v>
      </c>
    </row>
    <row r="109" spans="1:65">
      <c r="B109" s="146"/>
      <c r="C109" s="28" t="s">
        <v>59</v>
      </c>
      <c r="D109" s="131" t="s">
        <v>19</v>
      </c>
      <c r="E109" s="141">
        <f t="shared" si="212"/>
        <v>1297.0420441852471</v>
      </c>
      <c r="F109" s="202">
        <f>'CF1'!F90+'CF2'!F90</f>
        <v>0</v>
      </c>
      <c r="G109" s="202">
        <f>'CF1'!G90+'CF2'!G90</f>
        <v>0</v>
      </c>
      <c r="H109" s="202">
        <f>'CF1'!H90+'CF2'!H90</f>
        <v>0</v>
      </c>
      <c r="I109" s="202">
        <f>'CF1'!I90+'CF2'!I90</f>
        <v>0</v>
      </c>
      <c r="J109" s="202">
        <f>'CF1'!J90+'CF2'!J90</f>
        <v>0</v>
      </c>
      <c r="K109" s="202">
        <f>'CF1'!K90+'CF2'!K90</f>
        <v>0</v>
      </c>
      <c r="L109" s="202">
        <f>'CF1'!L90+'CF2'!L90</f>
        <v>0</v>
      </c>
      <c r="M109" s="202">
        <f>'CF1'!M90+'CF2'!M90</f>
        <v>0</v>
      </c>
      <c r="N109" s="142">
        <f>'CF1'!N90+'CF2'!N90</f>
        <v>0</v>
      </c>
      <c r="O109" s="142">
        <f>'CF1'!O90+'CF2'!O90</f>
        <v>0</v>
      </c>
      <c r="P109" s="142">
        <f>'CF1'!P90+'CF2'!P90</f>
        <v>234.85506253871688</v>
      </c>
      <c r="Q109" s="142">
        <f>'CF1'!Q90+'CF2'!Q90</f>
        <v>251.87033180867911</v>
      </c>
      <c r="R109" s="142">
        <f>'CF1'!R90+'CF2'!R90</f>
        <v>275.92364111938662</v>
      </c>
      <c r="S109" s="142">
        <f>'CF1'!S90+'CF2'!S90</f>
        <v>318.65564014288452</v>
      </c>
      <c r="T109" s="142">
        <f>'CF1'!T90+'CF2'!T90</f>
        <v>32.662476639398008</v>
      </c>
      <c r="U109" s="142">
        <f>'CF1'!U90+'CF2'!U90</f>
        <v>43.189594251732764</v>
      </c>
      <c r="V109" s="142">
        <f>'CF1'!V90+'CF2'!V90</f>
        <v>61.341978026072503</v>
      </c>
      <c r="W109" s="142">
        <f>'CF1'!W90+'CF2'!W90</f>
        <v>78.543319658376674</v>
      </c>
      <c r="X109" s="142">
        <f>'CF1'!X90+'CF2'!X90</f>
        <v>0</v>
      </c>
      <c r="Y109" s="142">
        <f>'CF1'!Y90+'CF2'!Y90</f>
        <v>0</v>
      </c>
      <c r="Z109" s="142">
        <f>'CF1'!Z90+'CF2'!Z90</f>
        <v>0</v>
      </c>
      <c r="AA109" s="142">
        <f>'CF1'!AA90+'CF2'!AA90</f>
        <v>0</v>
      </c>
      <c r="AB109" s="142">
        <f>'CF1'!AB90+'CF2'!AB90</f>
        <v>0</v>
      </c>
      <c r="AC109" s="142">
        <f>'CF1'!AC90+'CF2'!AC90</f>
        <v>0</v>
      </c>
      <c r="AD109" s="142">
        <f>'CF1'!AD90+'CF2'!AD90</f>
        <v>0</v>
      </c>
      <c r="AE109" s="142">
        <f>'CF1'!AE90+'CF2'!AE90</f>
        <v>0</v>
      </c>
      <c r="AF109" s="142">
        <f>'CF1'!AF90+'CF2'!AF90</f>
        <v>0</v>
      </c>
      <c r="AG109" s="142">
        <f>'CF1'!AG90+'CF2'!AG90</f>
        <v>0</v>
      </c>
      <c r="AH109" s="142">
        <f>'CF1'!AH90+'CF2'!AH90</f>
        <v>0</v>
      </c>
      <c r="AI109" s="142">
        <f>'CF1'!AI90+'CF2'!AI90</f>
        <v>0</v>
      </c>
      <c r="AJ109" s="142">
        <f>'CF1'!AJ90+'CF2'!AJ90</f>
        <v>0</v>
      </c>
      <c r="AK109" s="142">
        <f>'CF1'!AK90+'CF2'!AK90</f>
        <v>0</v>
      </c>
      <c r="AL109" s="142">
        <f>'CF1'!AL90+'CF2'!AL90</f>
        <v>0</v>
      </c>
      <c r="AM109" s="142">
        <f>'CF1'!AM90+'CF2'!AM90</f>
        <v>0</v>
      </c>
      <c r="AN109" s="142">
        <f>'CF1'!AN90+'CF2'!AN90</f>
        <v>0</v>
      </c>
      <c r="AO109" s="142">
        <f>'CF1'!AO90+'CF2'!AO90</f>
        <v>0</v>
      </c>
      <c r="AP109" s="142">
        <f>'CF1'!AP90+'CF2'!AP90</f>
        <v>0</v>
      </c>
      <c r="AQ109" s="142">
        <f>'CF1'!AQ90+'CF2'!AQ90</f>
        <v>0</v>
      </c>
      <c r="AR109" s="142">
        <f>'CF1'!AR90+'CF2'!AR90</f>
        <v>0</v>
      </c>
      <c r="AS109" s="142">
        <f>'CF1'!AS90+'CF2'!AS90</f>
        <v>0</v>
      </c>
      <c r="AT109" s="142">
        <f>'CF1'!AT90+'CF2'!AT90</f>
        <v>0</v>
      </c>
      <c r="AU109" s="142">
        <f>'CF1'!AU90+'CF2'!AU90</f>
        <v>0</v>
      </c>
      <c r="AV109" s="142">
        <f>'CF1'!AV90+'CF2'!AV90</f>
        <v>0</v>
      </c>
      <c r="AW109" s="142">
        <f>'CF1'!AW90+'CF2'!AW90</f>
        <v>0</v>
      </c>
      <c r="AX109" s="142">
        <f>'CF1'!AX90+'CF2'!AX90</f>
        <v>0</v>
      </c>
      <c r="AY109" s="142">
        <f>'CF1'!AY90+'CF2'!AY90</f>
        <v>0</v>
      </c>
      <c r="AZ109" s="142">
        <f>'CF1'!AZ90+'CF2'!AZ90</f>
        <v>0</v>
      </c>
      <c r="BA109" s="142">
        <f>'CF1'!BA90+'CF2'!BA90</f>
        <v>0</v>
      </c>
      <c r="BB109" s="142">
        <f>'CF1'!BB90+'CF2'!BB90</f>
        <v>0</v>
      </c>
      <c r="BC109" s="142">
        <f>'CF1'!BC90+'CF2'!BC90</f>
        <v>0</v>
      </c>
      <c r="BD109" s="142">
        <f>'CF1'!BD90+'CF2'!BD90</f>
        <v>0</v>
      </c>
      <c r="BE109" s="142">
        <f>'CF1'!BE90+'CF2'!BE90</f>
        <v>0</v>
      </c>
      <c r="BF109" s="142">
        <f>'CF1'!BF90+'CF2'!BF90</f>
        <v>0</v>
      </c>
      <c r="BG109" s="142">
        <f>'CF1'!BG90+'CF2'!BG90</f>
        <v>0</v>
      </c>
      <c r="BH109" s="142">
        <f>'CF1'!BH90+'CF2'!BH90</f>
        <v>0</v>
      </c>
      <c r="BI109" s="142">
        <f>'CF1'!BI90+'CF2'!BI90</f>
        <v>0</v>
      </c>
      <c r="BJ109" s="142">
        <f>'CF1'!BJ90+'CF2'!BJ90</f>
        <v>0</v>
      </c>
      <c r="BK109" s="142">
        <f>'CF1'!BK90+'CF2'!BK90</f>
        <v>0</v>
      </c>
      <c r="BL109" s="142">
        <f>'CF1'!BL90+'CF2'!BL90</f>
        <v>0</v>
      </c>
      <c r="BM109" s="142">
        <f>'CF1'!BM90+'CF2'!BM90</f>
        <v>0</v>
      </c>
    </row>
    <row r="110" spans="1:65">
      <c r="B110" s="27"/>
      <c r="C110" s="28" t="s">
        <v>73</v>
      </c>
      <c r="D110" s="131" t="s">
        <v>19</v>
      </c>
      <c r="E110" s="141">
        <f t="shared" si="212"/>
        <v>-1297.0420441852471</v>
      </c>
      <c r="F110" s="202">
        <f>'CF1'!F91+'CF2'!F91</f>
        <v>0</v>
      </c>
      <c r="G110" s="202">
        <f>'CF1'!G91+'CF2'!G91</f>
        <v>0</v>
      </c>
      <c r="H110" s="202">
        <f>'CF1'!H91+'CF2'!H91</f>
        <v>0</v>
      </c>
      <c r="I110" s="202">
        <f>'CF1'!I91+'CF2'!I91</f>
        <v>0</v>
      </c>
      <c r="J110" s="202">
        <f>'CF1'!J91+'CF2'!J91</f>
        <v>0</v>
      </c>
      <c r="K110" s="202">
        <f>'CF1'!K91+'CF2'!K91</f>
        <v>0</v>
      </c>
      <c r="L110" s="202">
        <f>'CF1'!L91+'CF2'!L91</f>
        <v>0</v>
      </c>
      <c r="M110" s="202">
        <f>'CF1'!M91+'CF2'!M91</f>
        <v>0</v>
      </c>
      <c r="N110" s="142">
        <f>'CF1'!N91+'CF2'!N91</f>
        <v>0</v>
      </c>
      <c r="O110" s="142">
        <f>'CF1'!O91+'CF2'!O91</f>
        <v>0</v>
      </c>
      <c r="P110" s="142">
        <f>'CF1'!P91+'CF2'!P91</f>
        <v>0</v>
      </c>
      <c r="Q110" s="142">
        <f>'CF1'!Q91+'CF2'!Q91</f>
        <v>0</v>
      </c>
      <c r="R110" s="142">
        <f>'CF1'!R91+'CF2'!R91</f>
        <v>0</v>
      </c>
      <c r="S110" s="142">
        <f>'CF1'!S91+'CF2'!S91</f>
        <v>0</v>
      </c>
      <c r="T110" s="142">
        <f>'CF1'!T91+'CF2'!T91</f>
        <v>-956.83808955712516</v>
      </c>
      <c r="U110" s="142">
        <f>'CF1'!U91+'CF2'!U91</f>
        <v>0</v>
      </c>
      <c r="V110" s="142">
        <f>'CF1'!V91+'CF2'!V91</f>
        <v>0</v>
      </c>
      <c r="W110" s="142">
        <f>'CF1'!W91+'CF2'!W91</f>
        <v>0</v>
      </c>
      <c r="X110" s="142">
        <f>'CF1'!X91+'CF2'!X91</f>
        <v>-340.20395462812178</v>
      </c>
      <c r="Y110" s="142">
        <f>'CF1'!Y91+'CF2'!Y91</f>
        <v>0</v>
      </c>
      <c r="Z110" s="142">
        <f>'CF1'!Z91+'CF2'!Z91</f>
        <v>0</v>
      </c>
      <c r="AA110" s="142">
        <f>'CF1'!AA91+'CF2'!AA91</f>
        <v>0</v>
      </c>
      <c r="AB110" s="142">
        <f>'CF1'!AB91+'CF2'!AB91</f>
        <v>0</v>
      </c>
      <c r="AC110" s="142">
        <f>'CF1'!AC91+'CF2'!AC91</f>
        <v>0</v>
      </c>
      <c r="AD110" s="142">
        <f>'CF1'!AD91+'CF2'!AD91</f>
        <v>0</v>
      </c>
      <c r="AE110" s="142">
        <f>'CF1'!AE91+'CF2'!AE91</f>
        <v>0</v>
      </c>
      <c r="AF110" s="142">
        <f>'CF1'!AF91+'CF2'!AF91</f>
        <v>0</v>
      </c>
      <c r="AG110" s="142">
        <f>'CF1'!AG91+'CF2'!AG91</f>
        <v>0</v>
      </c>
      <c r="AH110" s="142">
        <f>'CF1'!AH91+'CF2'!AH91</f>
        <v>0</v>
      </c>
      <c r="AI110" s="142">
        <f>'CF1'!AI91+'CF2'!AI91</f>
        <v>0</v>
      </c>
      <c r="AJ110" s="142">
        <f>'CF1'!AJ91+'CF2'!AJ91</f>
        <v>0</v>
      </c>
      <c r="AK110" s="142">
        <f>'CF1'!AK91+'CF2'!AK91</f>
        <v>0</v>
      </c>
      <c r="AL110" s="142">
        <f>'CF1'!AL91+'CF2'!AL91</f>
        <v>0</v>
      </c>
      <c r="AM110" s="142">
        <f>'CF1'!AM91+'CF2'!AM91</f>
        <v>0</v>
      </c>
      <c r="AN110" s="142">
        <f>'CF1'!AN91+'CF2'!AN91</f>
        <v>0</v>
      </c>
      <c r="AO110" s="142">
        <f>'CF1'!AO91+'CF2'!AO91</f>
        <v>0</v>
      </c>
      <c r="AP110" s="142">
        <f>'CF1'!AP91+'CF2'!AP91</f>
        <v>0</v>
      </c>
      <c r="AQ110" s="142">
        <f>'CF1'!AQ91+'CF2'!AQ91</f>
        <v>0</v>
      </c>
      <c r="AR110" s="142">
        <f>'CF1'!AR91+'CF2'!AR91</f>
        <v>0</v>
      </c>
      <c r="AS110" s="142">
        <f>'CF1'!AS91+'CF2'!AS91</f>
        <v>0</v>
      </c>
      <c r="AT110" s="142">
        <f>'CF1'!AT91+'CF2'!AT91</f>
        <v>0</v>
      </c>
      <c r="AU110" s="142">
        <f>'CF1'!AU91+'CF2'!AU91</f>
        <v>0</v>
      </c>
      <c r="AV110" s="142">
        <f>'CF1'!AV91+'CF2'!AV91</f>
        <v>0</v>
      </c>
      <c r="AW110" s="142">
        <f>'CF1'!AW91+'CF2'!AW91</f>
        <v>0</v>
      </c>
      <c r="AX110" s="142">
        <f>'CF1'!AX91+'CF2'!AX91</f>
        <v>0</v>
      </c>
      <c r="AY110" s="142">
        <f>'CF1'!AY91+'CF2'!AY91</f>
        <v>0</v>
      </c>
      <c r="AZ110" s="142">
        <f>'CF1'!AZ91+'CF2'!AZ91</f>
        <v>0</v>
      </c>
      <c r="BA110" s="142">
        <f>'CF1'!BA91+'CF2'!BA91</f>
        <v>0</v>
      </c>
      <c r="BB110" s="142">
        <f>'CF1'!BB91+'CF2'!BB91</f>
        <v>0</v>
      </c>
      <c r="BC110" s="142">
        <f>'CF1'!BC91+'CF2'!BC91</f>
        <v>0</v>
      </c>
      <c r="BD110" s="142">
        <f>'CF1'!BD91+'CF2'!BD91</f>
        <v>0</v>
      </c>
      <c r="BE110" s="142">
        <f>'CF1'!BE91+'CF2'!BE91</f>
        <v>0</v>
      </c>
      <c r="BF110" s="142">
        <f>'CF1'!BF91+'CF2'!BF91</f>
        <v>0</v>
      </c>
      <c r="BG110" s="142">
        <f>'CF1'!BG91+'CF2'!BG91</f>
        <v>0</v>
      </c>
      <c r="BH110" s="142">
        <f>'CF1'!BH91+'CF2'!BH91</f>
        <v>0</v>
      </c>
      <c r="BI110" s="142">
        <f>'CF1'!BI91+'CF2'!BI91</f>
        <v>0</v>
      </c>
      <c r="BJ110" s="142">
        <f>'CF1'!BJ91+'CF2'!BJ91</f>
        <v>0</v>
      </c>
      <c r="BK110" s="142">
        <f>'CF1'!BK91+'CF2'!BK91</f>
        <v>0</v>
      </c>
      <c r="BL110" s="142">
        <f>'CF1'!BL91+'CF2'!BL91</f>
        <v>0</v>
      </c>
      <c r="BM110" s="142">
        <f>'CF1'!BM91+'CF2'!BM91</f>
        <v>0</v>
      </c>
    </row>
    <row r="111" spans="1:65">
      <c r="B111" s="146"/>
      <c r="C111" s="28" t="s">
        <v>94</v>
      </c>
      <c r="D111" s="131" t="s">
        <v>19</v>
      </c>
      <c r="E111" s="141">
        <f t="shared" si="212"/>
        <v>154.99628528198835</v>
      </c>
      <c r="F111" s="202">
        <f>'CF1'!F92+'CF2'!F92</f>
        <v>0</v>
      </c>
      <c r="G111" s="202">
        <f>'CF1'!G92+'CF2'!G92</f>
        <v>0</v>
      </c>
      <c r="H111" s="202">
        <f>'CF1'!H92+'CF2'!H92</f>
        <v>0</v>
      </c>
      <c r="I111" s="202">
        <f>'CF1'!I92+'CF2'!I92</f>
        <v>0</v>
      </c>
      <c r="J111" s="202">
        <f>'CF1'!J92+'CF2'!J92</f>
        <v>0</v>
      </c>
      <c r="K111" s="202">
        <f>'CF1'!K92+'CF2'!K92</f>
        <v>0</v>
      </c>
      <c r="L111" s="202">
        <f>'CF1'!L92+'CF2'!L92</f>
        <v>0</v>
      </c>
      <c r="M111" s="202">
        <f>'CF1'!M92+'CF2'!M92</f>
        <v>0</v>
      </c>
      <c r="N111" s="142">
        <f>'CF1'!N92+'CF2'!N92</f>
        <v>0</v>
      </c>
      <c r="O111" s="142">
        <f>'CF1'!O92+'CF2'!O92</f>
        <v>0</v>
      </c>
      <c r="P111" s="142">
        <f>'CF1'!P92+'CF2'!P92</f>
        <v>13.993798301240767</v>
      </c>
      <c r="Q111" s="142">
        <f>'CF1'!Q92+'CF2'!Q92</f>
        <v>26.577400555348159</v>
      </c>
      <c r="R111" s="142">
        <f>'CF1'!R92+'CF2'!R92</f>
        <v>37.848589169598114</v>
      </c>
      <c r="S111" s="142">
        <f>'CF1'!S92+'CF2'!S92</f>
        <v>48.285310644277388</v>
      </c>
      <c r="T111" s="142">
        <f>'CF1'!T92+'CF2'!T92</f>
        <v>5.6924002126718065</v>
      </c>
      <c r="U111" s="142">
        <f>'CF1'!U92+'CF2'!U92</f>
        <v>6.3453689066667858</v>
      </c>
      <c r="V111" s="142">
        <f>'CF1'!V92+'CF2'!V92</f>
        <v>7.3897257917724186</v>
      </c>
      <c r="W111" s="142">
        <f>'CF1'!W92+'CF2'!W92</f>
        <v>8.8636917004129359</v>
      </c>
      <c r="X111" s="142">
        <f>'CF1'!X92+'CF2'!X92</f>
        <v>0</v>
      </c>
      <c r="Y111" s="142">
        <f>'CF1'!Y92+'CF2'!Y92</f>
        <v>0</v>
      </c>
      <c r="Z111" s="142">
        <f>'CF1'!Z92+'CF2'!Z92</f>
        <v>0</v>
      </c>
      <c r="AA111" s="142">
        <f>'CF1'!AA92+'CF2'!AA92</f>
        <v>0</v>
      </c>
      <c r="AB111" s="142">
        <f>'CF1'!AB92+'CF2'!AB92</f>
        <v>0</v>
      </c>
      <c r="AC111" s="142">
        <f>'CF1'!AC92+'CF2'!AC92</f>
        <v>0</v>
      </c>
      <c r="AD111" s="142">
        <f>'CF1'!AD92+'CF2'!AD92</f>
        <v>0</v>
      </c>
      <c r="AE111" s="142">
        <f>'CF1'!AE92+'CF2'!AE92</f>
        <v>0</v>
      </c>
      <c r="AF111" s="142">
        <f>'CF1'!AF92+'CF2'!AF92</f>
        <v>0</v>
      </c>
      <c r="AG111" s="142">
        <f>'CF1'!AG92+'CF2'!AG92</f>
        <v>0</v>
      </c>
      <c r="AH111" s="142">
        <f>'CF1'!AH92+'CF2'!AH92</f>
        <v>0</v>
      </c>
      <c r="AI111" s="142">
        <f>'CF1'!AI92+'CF2'!AI92</f>
        <v>0</v>
      </c>
      <c r="AJ111" s="142">
        <f>'CF1'!AJ92+'CF2'!AJ92</f>
        <v>0</v>
      </c>
      <c r="AK111" s="142">
        <f>'CF1'!AK92+'CF2'!AK92</f>
        <v>0</v>
      </c>
      <c r="AL111" s="142">
        <f>'CF1'!AL92+'CF2'!AL92</f>
        <v>0</v>
      </c>
      <c r="AM111" s="142">
        <f>'CF1'!AM92+'CF2'!AM92</f>
        <v>0</v>
      </c>
      <c r="AN111" s="142">
        <f>'CF1'!AN92+'CF2'!AN92</f>
        <v>0</v>
      </c>
      <c r="AO111" s="142">
        <f>'CF1'!AO92+'CF2'!AO92</f>
        <v>0</v>
      </c>
      <c r="AP111" s="142">
        <f>'CF1'!AP92+'CF2'!AP92</f>
        <v>0</v>
      </c>
      <c r="AQ111" s="142">
        <f>'CF1'!AQ92+'CF2'!AQ92</f>
        <v>0</v>
      </c>
      <c r="AR111" s="142">
        <f>'CF1'!AR92+'CF2'!AR92</f>
        <v>0</v>
      </c>
      <c r="AS111" s="142">
        <f>'CF1'!AS92+'CF2'!AS92</f>
        <v>0</v>
      </c>
      <c r="AT111" s="142">
        <f>'CF1'!AT92+'CF2'!AT92</f>
        <v>0</v>
      </c>
      <c r="AU111" s="142">
        <f>'CF1'!AU92+'CF2'!AU92</f>
        <v>0</v>
      </c>
      <c r="AV111" s="142">
        <f>'CF1'!AV92+'CF2'!AV92</f>
        <v>0</v>
      </c>
      <c r="AW111" s="142">
        <f>'CF1'!AW92+'CF2'!AW92</f>
        <v>0</v>
      </c>
      <c r="AX111" s="142">
        <f>'CF1'!AX92+'CF2'!AX92</f>
        <v>0</v>
      </c>
      <c r="AY111" s="142">
        <f>'CF1'!AY92+'CF2'!AY92</f>
        <v>0</v>
      </c>
      <c r="AZ111" s="142">
        <f>'CF1'!AZ92+'CF2'!AZ92</f>
        <v>0</v>
      </c>
      <c r="BA111" s="142">
        <f>'CF1'!BA92+'CF2'!BA92</f>
        <v>0</v>
      </c>
      <c r="BB111" s="142">
        <f>'CF1'!BB92+'CF2'!BB92</f>
        <v>0</v>
      </c>
      <c r="BC111" s="142">
        <f>'CF1'!BC92+'CF2'!BC92</f>
        <v>0</v>
      </c>
      <c r="BD111" s="142">
        <f>'CF1'!BD92+'CF2'!BD92</f>
        <v>0</v>
      </c>
      <c r="BE111" s="142">
        <f>'CF1'!BE92+'CF2'!BE92</f>
        <v>0</v>
      </c>
      <c r="BF111" s="142">
        <f>'CF1'!BF92+'CF2'!BF92</f>
        <v>0</v>
      </c>
      <c r="BG111" s="142">
        <f>'CF1'!BG92+'CF2'!BG92</f>
        <v>0</v>
      </c>
      <c r="BH111" s="142">
        <f>'CF1'!BH92+'CF2'!BH92</f>
        <v>0</v>
      </c>
      <c r="BI111" s="142">
        <f>'CF1'!BI92+'CF2'!BI92</f>
        <v>0</v>
      </c>
      <c r="BJ111" s="142">
        <f>'CF1'!BJ92+'CF2'!BJ92</f>
        <v>0</v>
      </c>
      <c r="BK111" s="142">
        <f>'CF1'!BK92+'CF2'!BK92</f>
        <v>0</v>
      </c>
      <c r="BL111" s="142">
        <f>'CF1'!BL92+'CF2'!BL92</f>
        <v>0</v>
      </c>
      <c r="BM111" s="142">
        <f>'CF1'!BM92+'CF2'!BM92</f>
        <v>0</v>
      </c>
    </row>
    <row r="112" spans="1:65">
      <c r="B112" s="27"/>
      <c r="C112" s="28" t="s">
        <v>95</v>
      </c>
      <c r="D112" s="131" t="s">
        <v>19</v>
      </c>
      <c r="E112" s="141">
        <f t="shared" si="212"/>
        <v>-154.99628528198838</v>
      </c>
      <c r="F112" s="202">
        <f>'CF1'!F93+'CF2'!F93</f>
        <v>0</v>
      </c>
      <c r="G112" s="202">
        <f>'CF1'!G93+'CF2'!G93</f>
        <v>0</v>
      </c>
      <c r="H112" s="202">
        <f>'CF1'!H93+'CF2'!H93</f>
        <v>0</v>
      </c>
      <c r="I112" s="202">
        <f>'CF1'!I93+'CF2'!I93</f>
        <v>0</v>
      </c>
      <c r="J112" s="202">
        <f>'CF1'!J93+'CF2'!J93</f>
        <v>0</v>
      </c>
      <c r="K112" s="202">
        <f>'CF1'!K93+'CF2'!K93</f>
        <v>0</v>
      </c>
      <c r="L112" s="202">
        <f>'CF1'!L93+'CF2'!L93</f>
        <v>0</v>
      </c>
      <c r="M112" s="202">
        <f>'CF1'!M93+'CF2'!M93</f>
        <v>0</v>
      </c>
      <c r="N112" s="142">
        <f>'CF1'!N93+'CF2'!N93</f>
        <v>0</v>
      </c>
      <c r="O112" s="142">
        <f>'CF1'!O93+'CF2'!O93</f>
        <v>0</v>
      </c>
      <c r="P112" s="142">
        <f>'CF1'!P93+'CF2'!P93</f>
        <v>0</v>
      </c>
      <c r="Q112" s="142">
        <f>'CF1'!Q93+'CF2'!Q93</f>
        <v>0</v>
      </c>
      <c r="R112" s="142">
        <f>'CF1'!R93+'CF2'!R93</f>
        <v>0</v>
      </c>
      <c r="S112" s="142">
        <f>'CF1'!S93+'CF2'!S93</f>
        <v>0</v>
      </c>
      <c r="T112" s="142">
        <f>'CF1'!T93+'CF2'!T93</f>
        <v>-111.84111804193631</v>
      </c>
      <c r="U112" s="142">
        <f>'CF1'!U93+'CF2'!U93</f>
        <v>0</v>
      </c>
      <c r="V112" s="142">
        <f>'CF1'!V93+'CF2'!V93</f>
        <v>0</v>
      </c>
      <c r="W112" s="142">
        <f>'CF1'!W93+'CF2'!W93</f>
        <v>0</v>
      </c>
      <c r="X112" s="142">
        <f>'CF1'!X93+'CF2'!X93</f>
        <v>-43.155167240052066</v>
      </c>
      <c r="Y112" s="142">
        <f>'CF1'!Y93+'CF2'!Y93</f>
        <v>0</v>
      </c>
      <c r="Z112" s="142">
        <f>'CF1'!Z93+'CF2'!Z93</f>
        <v>0</v>
      </c>
      <c r="AA112" s="142">
        <f>'CF1'!AA93+'CF2'!AA93</f>
        <v>0</v>
      </c>
      <c r="AB112" s="142">
        <f>'CF1'!AB93+'CF2'!AB93</f>
        <v>0</v>
      </c>
      <c r="AC112" s="142">
        <f>'CF1'!AC93+'CF2'!AC93</f>
        <v>0</v>
      </c>
      <c r="AD112" s="142">
        <f>'CF1'!AD93+'CF2'!AD93</f>
        <v>0</v>
      </c>
      <c r="AE112" s="142">
        <f>'CF1'!AE93+'CF2'!AE93</f>
        <v>0</v>
      </c>
      <c r="AF112" s="142">
        <f>'CF1'!AF93+'CF2'!AF93</f>
        <v>0</v>
      </c>
      <c r="AG112" s="142">
        <f>'CF1'!AG93+'CF2'!AG93</f>
        <v>0</v>
      </c>
      <c r="AH112" s="142">
        <f>'CF1'!AH93+'CF2'!AH93</f>
        <v>0</v>
      </c>
      <c r="AI112" s="142">
        <f>'CF1'!AI93+'CF2'!AI93</f>
        <v>0</v>
      </c>
      <c r="AJ112" s="142">
        <f>'CF1'!AJ93+'CF2'!AJ93</f>
        <v>0</v>
      </c>
      <c r="AK112" s="142">
        <f>'CF1'!AK93+'CF2'!AK93</f>
        <v>0</v>
      </c>
      <c r="AL112" s="142">
        <f>'CF1'!AL93+'CF2'!AL93</f>
        <v>0</v>
      </c>
      <c r="AM112" s="142">
        <f>'CF1'!AM93+'CF2'!AM93</f>
        <v>0</v>
      </c>
      <c r="AN112" s="142">
        <f>'CF1'!AN93+'CF2'!AN93</f>
        <v>0</v>
      </c>
      <c r="AO112" s="142">
        <f>'CF1'!AO93+'CF2'!AO93</f>
        <v>0</v>
      </c>
      <c r="AP112" s="142">
        <f>'CF1'!AP93+'CF2'!AP93</f>
        <v>0</v>
      </c>
      <c r="AQ112" s="142">
        <f>'CF1'!AQ93+'CF2'!AQ93</f>
        <v>0</v>
      </c>
      <c r="AR112" s="142">
        <f>'CF1'!AR93+'CF2'!AR93</f>
        <v>0</v>
      </c>
      <c r="AS112" s="142">
        <f>'CF1'!AS93+'CF2'!AS93</f>
        <v>0</v>
      </c>
      <c r="AT112" s="142">
        <f>'CF1'!AT93+'CF2'!AT93</f>
        <v>0</v>
      </c>
      <c r="AU112" s="142">
        <f>'CF1'!AU93+'CF2'!AU93</f>
        <v>0</v>
      </c>
      <c r="AV112" s="142">
        <f>'CF1'!AV93+'CF2'!AV93</f>
        <v>0</v>
      </c>
      <c r="AW112" s="142">
        <f>'CF1'!AW93+'CF2'!AW93</f>
        <v>0</v>
      </c>
      <c r="AX112" s="142">
        <f>'CF1'!AX93+'CF2'!AX93</f>
        <v>0</v>
      </c>
      <c r="AY112" s="142">
        <f>'CF1'!AY93+'CF2'!AY93</f>
        <v>0</v>
      </c>
      <c r="AZ112" s="142">
        <f>'CF1'!AZ93+'CF2'!AZ93</f>
        <v>0</v>
      </c>
      <c r="BA112" s="142">
        <f>'CF1'!BA93+'CF2'!BA93</f>
        <v>0</v>
      </c>
      <c r="BB112" s="142">
        <f>'CF1'!BB93+'CF2'!BB93</f>
        <v>0</v>
      </c>
      <c r="BC112" s="142">
        <f>'CF1'!BC93+'CF2'!BC93</f>
        <v>0</v>
      </c>
      <c r="BD112" s="142">
        <f>'CF1'!BD93+'CF2'!BD93</f>
        <v>0</v>
      </c>
      <c r="BE112" s="142">
        <f>'CF1'!BE93+'CF2'!BE93</f>
        <v>0</v>
      </c>
      <c r="BF112" s="142">
        <f>'CF1'!BF93+'CF2'!BF93</f>
        <v>0</v>
      </c>
      <c r="BG112" s="142">
        <f>'CF1'!BG93+'CF2'!BG93</f>
        <v>0</v>
      </c>
      <c r="BH112" s="142">
        <f>'CF1'!BH93+'CF2'!BH93</f>
        <v>0</v>
      </c>
      <c r="BI112" s="142">
        <f>'CF1'!BI93+'CF2'!BI93</f>
        <v>0</v>
      </c>
      <c r="BJ112" s="142">
        <f>'CF1'!BJ93+'CF2'!BJ93</f>
        <v>0</v>
      </c>
      <c r="BK112" s="142">
        <f>'CF1'!BK93+'CF2'!BK93</f>
        <v>0</v>
      </c>
      <c r="BL112" s="142">
        <f>'CF1'!BL93+'CF2'!BL93</f>
        <v>0</v>
      </c>
      <c r="BM112" s="142">
        <f>'CF1'!BM93+'CF2'!BM93</f>
        <v>0</v>
      </c>
    </row>
    <row r="113" spans="1:65">
      <c r="B113" s="145" t="s">
        <v>194</v>
      </c>
      <c r="C113" s="27"/>
      <c r="D113" s="131" t="s">
        <v>19</v>
      </c>
      <c r="E113" s="141">
        <f t="shared" si="212"/>
        <v>0</v>
      </c>
      <c r="F113" s="142">
        <f>'CF1'!F94+'CF2'!F94</f>
        <v>0</v>
      </c>
      <c r="G113" s="142">
        <f>'CF1'!G94+'CF2'!G94</f>
        <v>0</v>
      </c>
      <c r="H113" s="142">
        <f>'CF1'!H94+'CF2'!H94</f>
        <v>0</v>
      </c>
      <c r="I113" s="142">
        <f>'CF1'!I94+'CF2'!I94</f>
        <v>0</v>
      </c>
      <c r="J113" s="142">
        <f>'CF1'!J94+'CF2'!J94</f>
        <v>0</v>
      </c>
      <c r="K113" s="142">
        <f>'CF1'!K94+'CF2'!K94</f>
        <v>0</v>
      </c>
      <c r="L113" s="142">
        <f>'CF1'!L94+'CF2'!L94</f>
        <v>0</v>
      </c>
      <c r="M113" s="142">
        <f>'CF1'!M94+'CF2'!M94</f>
        <v>0</v>
      </c>
      <c r="N113" s="142">
        <f>'CF1'!N94+'CF2'!N94</f>
        <v>0</v>
      </c>
      <c r="O113" s="142">
        <f>'CF1'!O94+'CF2'!O94</f>
        <v>0</v>
      </c>
      <c r="P113" s="142">
        <f>'CF1'!P94+'CF2'!P94</f>
        <v>0</v>
      </c>
      <c r="Q113" s="142">
        <f>'CF1'!Q94+'CF2'!Q94</f>
        <v>0</v>
      </c>
      <c r="R113" s="142">
        <f>'CF1'!R94+'CF2'!R94</f>
        <v>0</v>
      </c>
      <c r="S113" s="142">
        <f>'CF1'!S94+'CF2'!S94</f>
        <v>0</v>
      </c>
      <c r="T113" s="142">
        <f>'CF1'!T94+'CF2'!T94</f>
        <v>0</v>
      </c>
      <c r="U113" s="142">
        <f>'CF1'!U94+'CF2'!U94</f>
        <v>0</v>
      </c>
      <c r="V113" s="142">
        <f>'CF1'!V94+'CF2'!V94</f>
        <v>0</v>
      </c>
      <c r="W113" s="142">
        <f>'CF1'!W94+'CF2'!W94</f>
        <v>0</v>
      </c>
      <c r="X113" s="142">
        <f>'CF1'!X94+'CF2'!X94</f>
        <v>0</v>
      </c>
      <c r="Y113" s="142">
        <f>'CF1'!Y94+'CF2'!Y94</f>
        <v>0</v>
      </c>
      <c r="Z113" s="142">
        <f>'CF1'!Z94+'CF2'!Z94</f>
        <v>0</v>
      </c>
      <c r="AA113" s="142">
        <f>'CF1'!AA94+'CF2'!AA94</f>
        <v>0</v>
      </c>
      <c r="AB113" s="142">
        <f>'CF1'!AB94+'CF2'!AB94</f>
        <v>0</v>
      </c>
      <c r="AC113" s="142">
        <f>'CF1'!AC94+'CF2'!AC94</f>
        <v>0</v>
      </c>
      <c r="AD113" s="142">
        <f>'CF1'!AD94+'CF2'!AD94</f>
        <v>0</v>
      </c>
      <c r="AE113" s="142">
        <f>'CF1'!AE94+'CF2'!AE94</f>
        <v>0</v>
      </c>
      <c r="AF113" s="142">
        <f>'CF1'!AF94+'CF2'!AF94</f>
        <v>0</v>
      </c>
      <c r="AG113" s="142">
        <f>'CF1'!AG94+'CF2'!AG94</f>
        <v>0</v>
      </c>
      <c r="AH113" s="142">
        <f>'CF1'!AH94+'CF2'!AH94</f>
        <v>0</v>
      </c>
      <c r="AI113" s="142">
        <f>'CF1'!AI94+'CF2'!AI94</f>
        <v>0</v>
      </c>
      <c r="AJ113" s="142">
        <f>'CF1'!AJ94+'CF2'!AJ94</f>
        <v>0</v>
      </c>
      <c r="AK113" s="142">
        <f>'CF1'!AK94+'CF2'!AK94</f>
        <v>0</v>
      </c>
      <c r="AL113" s="142">
        <f>'CF1'!AL94+'CF2'!AL94</f>
        <v>0</v>
      </c>
      <c r="AM113" s="142">
        <f>'CF1'!AM94+'CF2'!AM94</f>
        <v>0</v>
      </c>
      <c r="AN113" s="142">
        <f>'CF1'!AN94+'CF2'!AN94</f>
        <v>0</v>
      </c>
      <c r="AO113" s="142">
        <f>'CF1'!AO94+'CF2'!AO94</f>
        <v>0</v>
      </c>
      <c r="AP113" s="142">
        <f>'CF1'!AP94+'CF2'!AP94</f>
        <v>0</v>
      </c>
      <c r="AQ113" s="142">
        <f>'CF1'!AQ94+'CF2'!AQ94</f>
        <v>0</v>
      </c>
      <c r="AR113" s="142">
        <f>'CF1'!AR94+'CF2'!AR94</f>
        <v>0</v>
      </c>
      <c r="AS113" s="142">
        <f>'CF1'!AS94+'CF2'!AS94</f>
        <v>0</v>
      </c>
      <c r="AT113" s="142">
        <f>'CF1'!AT94+'CF2'!AT94</f>
        <v>0</v>
      </c>
      <c r="AU113" s="142">
        <f>'CF1'!AU94+'CF2'!AU94</f>
        <v>0</v>
      </c>
      <c r="AV113" s="142">
        <f>'CF1'!AV94+'CF2'!AV94</f>
        <v>0</v>
      </c>
      <c r="AW113" s="142">
        <f>'CF1'!AW94+'CF2'!AW94</f>
        <v>0</v>
      </c>
      <c r="AX113" s="142">
        <f>'CF1'!AX94+'CF2'!AX94</f>
        <v>0</v>
      </c>
      <c r="AY113" s="142">
        <f>'CF1'!AY94+'CF2'!AY94</f>
        <v>0</v>
      </c>
      <c r="AZ113" s="142">
        <f>'CF1'!AZ94+'CF2'!AZ94</f>
        <v>0</v>
      </c>
      <c r="BA113" s="142">
        <f>'CF1'!BA94+'CF2'!BA94</f>
        <v>0</v>
      </c>
      <c r="BB113" s="142">
        <f>'CF1'!BB94+'CF2'!BB94</f>
        <v>0</v>
      </c>
      <c r="BC113" s="142">
        <f>'CF1'!BC94+'CF2'!BC94</f>
        <v>0</v>
      </c>
      <c r="BD113" s="142">
        <f>'CF1'!BD94+'CF2'!BD94</f>
        <v>0</v>
      </c>
      <c r="BE113" s="142">
        <f>'CF1'!BE94+'CF2'!BE94</f>
        <v>0</v>
      </c>
      <c r="BF113" s="142">
        <f>'CF1'!BF94+'CF2'!BF94</f>
        <v>0</v>
      </c>
      <c r="BG113" s="142">
        <f>'CF1'!BG94+'CF2'!BG94</f>
        <v>0</v>
      </c>
      <c r="BH113" s="142">
        <f>'CF1'!BH94+'CF2'!BH94</f>
        <v>0</v>
      </c>
      <c r="BI113" s="142">
        <f>'CF1'!BI94+'CF2'!BI94</f>
        <v>0</v>
      </c>
      <c r="BJ113" s="142">
        <f>'CF1'!BJ94+'CF2'!BJ94</f>
        <v>0</v>
      </c>
      <c r="BK113" s="142">
        <f>'CF1'!BK94+'CF2'!BK94</f>
        <v>0</v>
      </c>
      <c r="BL113" s="142">
        <f>'CF1'!BL94+'CF2'!BL94</f>
        <v>0</v>
      </c>
      <c r="BM113" s="142">
        <f>'CF1'!BM94+'CF2'!BM94</f>
        <v>0</v>
      </c>
    </row>
    <row r="114" spans="1:65">
      <c r="B114" s="27"/>
      <c r="C114" s="28" t="s">
        <v>57</v>
      </c>
      <c r="D114" s="131" t="s">
        <v>19</v>
      </c>
      <c r="E114" s="141">
        <f t="shared" si="212"/>
        <v>52117.520470172007</v>
      </c>
      <c r="F114" s="202">
        <f>'CF1'!F95+'CF2'!F95</f>
        <v>0</v>
      </c>
      <c r="G114" s="202">
        <f>'CF1'!G95+'CF2'!G95</f>
        <v>0</v>
      </c>
      <c r="H114" s="202">
        <f>'CF1'!H95+'CF2'!H95</f>
        <v>0</v>
      </c>
      <c r="I114" s="202">
        <f>'CF1'!I95+'CF2'!I95</f>
        <v>0</v>
      </c>
      <c r="J114" s="202">
        <f>'CF1'!J95+'CF2'!J95</f>
        <v>0</v>
      </c>
      <c r="K114" s="202">
        <f>'CF1'!K95+'CF2'!K95</f>
        <v>0</v>
      </c>
      <c r="L114" s="202">
        <f>'CF1'!L95+'CF2'!L95</f>
        <v>0</v>
      </c>
      <c r="M114" s="202">
        <f>'CF1'!M95+'CF2'!M95</f>
        <v>0</v>
      </c>
      <c r="N114" s="142">
        <f>'CF1'!N95+'CF2'!N95</f>
        <v>0</v>
      </c>
      <c r="O114" s="142">
        <f>'CF1'!O95+'CF2'!O95</f>
        <v>0</v>
      </c>
      <c r="P114" s="142">
        <f>'CF1'!P95+'CF2'!P95</f>
        <v>0</v>
      </c>
      <c r="Q114" s="142">
        <f>'CF1'!Q95+'CF2'!Q95</f>
        <v>0</v>
      </c>
      <c r="R114" s="142">
        <f>'CF1'!R95+'CF2'!R95</f>
        <v>0</v>
      </c>
      <c r="S114" s="142">
        <f>'CF1'!S95+'CF2'!S95</f>
        <v>0</v>
      </c>
      <c r="T114" s="142">
        <f>'CF1'!T95+'CF2'!T95</f>
        <v>9769.9209674260583</v>
      </c>
      <c r="U114" s="142">
        <f>'CF1'!U95+'CF2'!U95</f>
        <v>2028.2557730251017</v>
      </c>
      <c r="V114" s="142">
        <f>'CF1'!V95+'CF2'!V95</f>
        <v>2037.4864392117659</v>
      </c>
      <c r="W114" s="142">
        <f>'CF1'!W95+'CF2'!W95</f>
        <v>1466.3885097394329</v>
      </c>
      <c r="X114" s="142">
        <f>'CF1'!X95+'CF2'!X95</f>
        <v>6830.4072954332532</v>
      </c>
      <c r="Y114" s="142">
        <f>'CF1'!Y95+'CF2'!Y95</f>
        <v>3492.1626502569479</v>
      </c>
      <c r="Z114" s="142">
        <f>'CF1'!Z95+'CF2'!Z95</f>
        <v>3509.9342808289639</v>
      </c>
      <c r="AA114" s="142">
        <f>'CF1'!AA95+'CF2'!AA95</f>
        <v>3125.860707059931</v>
      </c>
      <c r="AB114" s="142">
        <f>'CF1'!AB95+'CF2'!AB95</f>
        <v>3150.4783761814087</v>
      </c>
      <c r="AC114" s="142">
        <f>'CF1'!AC95+'CF2'!AC95</f>
        <v>3330.8547911694354</v>
      </c>
      <c r="AD114" s="142">
        <f>'CF1'!AD95+'CF2'!AD95</f>
        <v>3244.1683245669465</v>
      </c>
      <c r="AE114" s="142">
        <f>'CF1'!AE95+'CF2'!AE95</f>
        <v>3221.1121938137335</v>
      </c>
      <c r="AF114" s="142">
        <f>'CF1'!AF95+'CF2'!AF95</f>
        <v>1731.8872876105161</v>
      </c>
      <c r="AG114" s="142">
        <f>'CF1'!AG95+'CF2'!AG95</f>
        <v>1729.5355925521467</v>
      </c>
      <c r="AH114" s="142">
        <f>'CF1'!AH95+'CF2'!AH95</f>
        <v>1742.3442597360954</v>
      </c>
      <c r="AI114" s="142">
        <f>'CF1'!AI95+'CF2'!AI95</f>
        <v>1706.7230215602599</v>
      </c>
      <c r="AJ114" s="142">
        <f>'CF1'!AJ95+'CF2'!AJ95</f>
        <v>0</v>
      </c>
      <c r="AK114" s="142">
        <f>'CF1'!AK95+'CF2'!AK95</f>
        <v>0</v>
      </c>
      <c r="AL114" s="142">
        <f>'CF1'!AL95+'CF2'!AL95</f>
        <v>0</v>
      </c>
      <c r="AM114" s="142">
        <f>'CF1'!AM95+'CF2'!AM95</f>
        <v>0</v>
      </c>
      <c r="AN114" s="142">
        <f>'CF1'!AN95+'CF2'!AN95</f>
        <v>0</v>
      </c>
      <c r="AO114" s="142">
        <f>'CF1'!AO95+'CF2'!AO95</f>
        <v>0</v>
      </c>
      <c r="AP114" s="142">
        <f>'CF1'!AP95+'CF2'!AP95</f>
        <v>0</v>
      </c>
      <c r="AQ114" s="142">
        <f>'CF1'!AQ95+'CF2'!AQ95</f>
        <v>0</v>
      </c>
      <c r="AR114" s="142">
        <f>'CF1'!AR95+'CF2'!AR95</f>
        <v>0</v>
      </c>
      <c r="AS114" s="142">
        <f>'CF1'!AS95+'CF2'!AS95</f>
        <v>0</v>
      </c>
      <c r="AT114" s="142">
        <f>'CF1'!AT95+'CF2'!AT95</f>
        <v>0</v>
      </c>
      <c r="AU114" s="142">
        <f>'CF1'!AU95+'CF2'!AU95</f>
        <v>0</v>
      </c>
      <c r="AV114" s="142">
        <f>'CF1'!AV95+'CF2'!AV95</f>
        <v>0</v>
      </c>
      <c r="AW114" s="142">
        <f>'CF1'!AW95+'CF2'!AW95</f>
        <v>0</v>
      </c>
      <c r="AX114" s="142">
        <f>'CF1'!AX95+'CF2'!AX95</f>
        <v>0</v>
      </c>
      <c r="AY114" s="142">
        <f>'CF1'!AY95+'CF2'!AY95</f>
        <v>0</v>
      </c>
      <c r="AZ114" s="142">
        <f>'CF1'!AZ95+'CF2'!AZ95</f>
        <v>0</v>
      </c>
      <c r="BA114" s="142">
        <f>'CF1'!BA95+'CF2'!BA95</f>
        <v>0</v>
      </c>
      <c r="BB114" s="142">
        <f>'CF1'!BB95+'CF2'!BB95</f>
        <v>0</v>
      </c>
      <c r="BC114" s="142">
        <f>'CF1'!BC95+'CF2'!BC95</f>
        <v>0</v>
      </c>
      <c r="BD114" s="142">
        <f>'CF1'!BD95+'CF2'!BD95</f>
        <v>0</v>
      </c>
      <c r="BE114" s="142">
        <f>'CF1'!BE95+'CF2'!BE95</f>
        <v>0</v>
      </c>
      <c r="BF114" s="142">
        <f>'CF1'!BF95+'CF2'!BF95</f>
        <v>0</v>
      </c>
      <c r="BG114" s="142">
        <f>'CF1'!BG95+'CF2'!BG95</f>
        <v>0</v>
      </c>
      <c r="BH114" s="142">
        <f>'CF1'!BH95+'CF2'!BH95</f>
        <v>0</v>
      </c>
      <c r="BI114" s="142">
        <f>'CF1'!BI95+'CF2'!BI95</f>
        <v>0</v>
      </c>
      <c r="BJ114" s="142">
        <f>'CF1'!BJ95+'CF2'!BJ95</f>
        <v>0</v>
      </c>
      <c r="BK114" s="142">
        <f>'CF1'!BK95+'CF2'!BK95</f>
        <v>0</v>
      </c>
      <c r="BL114" s="142">
        <f>'CF1'!BL95+'CF2'!BL95</f>
        <v>0</v>
      </c>
      <c r="BM114" s="142">
        <f>'CF1'!BM95+'CF2'!BM95</f>
        <v>0</v>
      </c>
    </row>
    <row r="115" spans="1:65">
      <c r="B115" s="27"/>
      <c r="C115" s="28" t="s">
        <v>58</v>
      </c>
      <c r="D115" s="131" t="s">
        <v>19</v>
      </c>
      <c r="E115" s="141">
        <f t="shared" si="212"/>
        <v>-52117.520470172007</v>
      </c>
      <c r="F115" s="202">
        <f>'CF1'!F96+'CF2'!F96</f>
        <v>0</v>
      </c>
      <c r="G115" s="202">
        <f>'CF1'!G96+'CF2'!G96</f>
        <v>0</v>
      </c>
      <c r="H115" s="202">
        <f>'CF1'!H96+'CF2'!H96</f>
        <v>0</v>
      </c>
      <c r="I115" s="202">
        <f>'CF1'!I96+'CF2'!I96</f>
        <v>0</v>
      </c>
      <c r="J115" s="202">
        <f>'CF1'!J96+'CF2'!J96</f>
        <v>0</v>
      </c>
      <c r="K115" s="202">
        <f>'CF1'!K96+'CF2'!K96</f>
        <v>0</v>
      </c>
      <c r="L115" s="202">
        <f>'CF1'!L96+'CF2'!L96</f>
        <v>0</v>
      </c>
      <c r="M115" s="202">
        <f>'CF1'!M96+'CF2'!M96</f>
        <v>0</v>
      </c>
      <c r="N115" s="142">
        <f>'CF1'!N96+'CF2'!N96</f>
        <v>0</v>
      </c>
      <c r="O115" s="142">
        <f>'CF1'!O96+'CF2'!O96</f>
        <v>0</v>
      </c>
      <c r="P115" s="142">
        <f>'CF1'!P96+'CF2'!P96</f>
        <v>0</v>
      </c>
      <c r="Q115" s="142">
        <f>'CF1'!Q96+'CF2'!Q96</f>
        <v>0</v>
      </c>
      <c r="R115" s="142">
        <f>'CF1'!R96+'CF2'!R96</f>
        <v>0</v>
      </c>
      <c r="S115" s="142">
        <f>'CF1'!S96+'CF2'!S96</f>
        <v>0</v>
      </c>
      <c r="T115" s="142">
        <f>'CF1'!T96+'CF2'!T96</f>
        <v>0</v>
      </c>
      <c r="U115" s="142">
        <f>'CF1'!U96+'CF2'!U96</f>
        <v>0</v>
      </c>
      <c r="V115" s="142">
        <f>'CF1'!V96+'CF2'!V96</f>
        <v>0</v>
      </c>
      <c r="W115" s="142">
        <f>'CF1'!W96+'CF2'!W96</f>
        <v>0</v>
      </c>
      <c r="X115" s="142">
        <f>'CF1'!X96+'CF2'!X96</f>
        <v>0</v>
      </c>
      <c r="Y115" s="142">
        <f>'CF1'!Y96+'CF2'!Y96</f>
        <v>0</v>
      </c>
      <c r="Z115" s="142">
        <f>'CF1'!Z96+'CF2'!Z96</f>
        <v>0</v>
      </c>
      <c r="AA115" s="142">
        <f>'CF1'!AA96+'CF2'!AA96</f>
        <v>0</v>
      </c>
      <c r="AB115" s="142">
        <f>'CF1'!AB96+'CF2'!AB96</f>
        <v>0</v>
      </c>
      <c r="AC115" s="142">
        <f>'CF1'!AC96+'CF2'!AC96</f>
        <v>0</v>
      </c>
      <c r="AD115" s="142">
        <f>'CF1'!AD96+'CF2'!AD96</f>
        <v>0</v>
      </c>
      <c r="AE115" s="142">
        <f>'CF1'!AE96+'CF2'!AE96</f>
        <v>0</v>
      </c>
      <c r="AF115" s="142">
        <f>'CF1'!AF96+'CF2'!AF96</f>
        <v>-23740.982996231018</v>
      </c>
      <c r="AG115" s="142">
        <f>'CF1'!AG96+'CF2'!AG96</f>
        <v>-2913.7181598722068</v>
      </c>
      <c r="AH115" s="142">
        <f>'CF1'!AH96+'CF2'!AH96</f>
        <v>-940.98508575606184</v>
      </c>
      <c r="AI115" s="142">
        <f>'CF1'!AI96+'CF2'!AI96</f>
        <v>0</v>
      </c>
      <c r="AJ115" s="142">
        <f>'CF1'!AJ96+'CF2'!AJ96</f>
        <v>-23748.108786328743</v>
      </c>
      <c r="AK115" s="142">
        <f>'CF1'!AK96+'CF2'!AK96</f>
        <v>-773.72544198397009</v>
      </c>
      <c r="AL115" s="142">
        <f>'CF1'!AL96+'CF2'!AL96</f>
        <v>0</v>
      </c>
      <c r="AM115" s="142">
        <f>'CF1'!AM96+'CF2'!AM96</f>
        <v>0</v>
      </c>
      <c r="AN115" s="142">
        <f>'CF1'!AN96+'CF2'!AN96</f>
        <v>0</v>
      </c>
      <c r="AO115" s="142">
        <f>'CF1'!AO96+'CF2'!AO96</f>
        <v>0</v>
      </c>
      <c r="AP115" s="142">
        <f>'CF1'!AP96+'CF2'!AP96</f>
        <v>0</v>
      </c>
      <c r="AQ115" s="142">
        <f>'CF1'!AQ96+'CF2'!AQ96</f>
        <v>0</v>
      </c>
      <c r="AR115" s="142">
        <f>'CF1'!AR96+'CF2'!AR96</f>
        <v>0</v>
      </c>
      <c r="AS115" s="142">
        <f>'CF1'!AS96+'CF2'!AS96</f>
        <v>0</v>
      </c>
      <c r="AT115" s="142">
        <f>'CF1'!AT96+'CF2'!AT96</f>
        <v>0</v>
      </c>
      <c r="AU115" s="142">
        <f>'CF1'!AU96+'CF2'!AU96</f>
        <v>0</v>
      </c>
      <c r="AV115" s="142">
        <f>'CF1'!AV96+'CF2'!AV96</f>
        <v>0</v>
      </c>
      <c r="AW115" s="142">
        <f>'CF1'!AW96+'CF2'!AW96</f>
        <v>0</v>
      </c>
      <c r="AX115" s="142">
        <f>'CF1'!AX96+'CF2'!AX96</f>
        <v>0</v>
      </c>
      <c r="AY115" s="142">
        <f>'CF1'!AY96+'CF2'!AY96</f>
        <v>0</v>
      </c>
      <c r="AZ115" s="142">
        <f>'CF1'!AZ96+'CF2'!AZ96</f>
        <v>0</v>
      </c>
      <c r="BA115" s="142">
        <f>'CF1'!BA96+'CF2'!BA96</f>
        <v>0</v>
      </c>
      <c r="BB115" s="142">
        <f>'CF1'!BB96+'CF2'!BB96</f>
        <v>0</v>
      </c>
      <c r="BC115" s="142">
        <f>'CF1'!BC96+'CF2'!BC96</f>
        <v>0</v>
      </c>
      <c r="BD115" s="142">
        <f>'CF1'!BD96+'CF2'!BD96</f>
        <v>0</v>
      </c>
      <c r="BE115" s="142">
        <f>'CF1'!BE96+'CF2'!BE96</f>
        <v>0</v>
      </c>
      <c r="BF115" s="142">
        <f>'CF1'!BF96+'CF2'!BF96</f>
        <v>0</v>
      </c>
      <c r="BG115" s="142">
        <f>'CF1'!BG96+'CF2'!BG96</f>
        <v>0</v>
      </c>
      <c r="BH115" s="142">
        <f>'CF1'!BH96+'CF2'!BH96</f>
        <v>0</v>
      </c>
      <c r="BI115" s="142">
        <f>'CF1'!BI96+'CF2'!BI96</f>
        <v>0</v>
      </c>
      <c r="BJ115" s="142">
        <f>'CF1'!BJ96+'CF2'!BJ96</f>
        <v>0</v>
      </c>
      <c r="BK115" s="142">
        <f>'CF1'!BK96+'CF2'!BK96</f>
        <v>0</v>
      </c>
      <c r="BL115" s="142">
        <f>'CF1'!BL96+'CF2'!BL96</f>
        <v>0</v>
      </c>
      <c r="BM115" s="142">
        <f>'CF1'!BM96+'CF2'!BM96</f>
        <v>0</v>
      </c>
    </row>
    <row r="116" spans="1:65">
      <c r="B116" s="145" t="s">
        <v>195</v>
      </c>
      <c r="C116" s="27"/>
      <c r="D116" s="131" t="s">
        <v>19</v>
      </c>
      <c r="E116" s="141">
        <f t="shared" si="212"/>
        <v>0</v>
      </c>
      <c r="F116" s="142">
        <f>'CF1'!F97+'CF2'!F97</f>
        <v>0</v>
      </c>
      <c r="G116" s="142">
        <f>'CF1'!G97+'CF2'!G97</f>
        <v>0</v>
      </c>
      <c r="H116" s="142">
        <f>'CF1'!H97+'CF2'!H97</f>
        <v>0</v>
      </c>
      <c r="I116" s="142">
        <f>'CF1'!I97+'CF2'!I97</f>
        <v>0</v>
      </c>
      <c r="J116" s="142">
        <f>'CF1'!J97+'CF2'!J97</f>
        <v>0</v>
      </c>
      <c r="K116" s="142">
        <f>'CF1'!K97+'CF2'!K97</f>
        <v>0</v>
      </c>
      <c r="L116" s="142">
        <f>'CF1'!L97+'CF2'!L97</f>
        <v>0</v>
      </c>
      <c r="M116" s="142">
        <f>'CF1'!M97+'CF2'!M97</f>
        <v>0</v>
      </c>
      <c r="N116" s="142">
        <f>'CF1'!N97+'CF2'!N97</f>
        <v>0</v>
      </c>
      <c r="O116" s="142">
        <f>'CF1'!O97+'CF2'!O97</f>
        <v>0</v>
      </c>
      <c r="P116" s="142">
        <f>'CF1'!P97+'CF2'!P97</f>
        <v>0</v>
      </c>
      <c r="Q116" s="142">
        <f>'CF1'!Q97+'CF2'!Q97</f>
        <v>0</v>
      </c>
      <c r="R116" s="142">
        <f>'CF1'!R97+'CF2'!R97</f>
        <v>0</v>
      </c>
      <c r="S116" s="142">
        <f>'CF1'!S97+'CF2'!S97</f>
        <v>0</v>
      </c>
      <c r="T116" s="142">
        <f>'CF1'!T97+'CF2'!T97</f>
        <v>0</v>
      </c>
      <c r="U116" s="142">
        <f>'CF1'!U97+'CF2'!U97</f>
        <v>0</v>
      </c>
      <c r="V116" s="142">
        <f>'CF1'!V97+'CF2'!V97</f>
        <v>0</v>
      </c>
      <c r="W116" s="142">
        <f>'CF1'!W97+'CF2'!W97</f>
        <v>0</v>
      </c>
      <c r="X116" s="142">
        <f>'CF1'!X97+'CF2'!X97</f>
        <v>0</v>
      </c>
      <c r="Y116" s="142">
        <f>'CF1'!Y97+'CF2'!Y97</f>
        <v>0</v>
      </c>
      <c r="Z116" s="142">
        <f>'CF1'!Z97+'CF2'!Z97</f>
        <v>0</v>
      </c>
      <c r="AA116" s="142">
        <f>'CF1'!AA97+'CF2'!AA97</f>
        <v>0</v>
      </c>
      <c r="AB116" s="142">
        <f>'CF1'!AB97+'CF2'!AB97</f>
        <v>0</v>
      </c>
      <c r="AC116" s="142">
        <f>'CF1'!AC97+'CF2'!AC97</f>
        <v>0</v>
      </c>
      <c r="AD116" s="142">
        <f>'CF1'!AD97+'CF2'!AD97</f>
        <v>0</v>
      </c>
      <c r="AE116" s="142">
        <f>'CF1'!AE97+'CF2'!AE97</f>
        <v>0</v>
      </c>
      <c r="AF116" s="142">
        <f>'CF1'!AF97+'CF2'!AF97</f>
        <v>0</v>
      </c>
      <c r="AG116" s="142">
        <f>'CF1'!AG97+'CF2'!AG97</f>
        <v>0</v>
      </c>
      <c r="AH116" s="142">
        <f>'CF1'!AH97+'CF2'!AH97</f>
        <v>0</v>
      </c>
      <c r="AI116" s="142">
        <f>'CF1'!AI97+'CF2'!AI97</f>
        <v>0</v>
      </c>
      <c r="AJ116" s="142">
        <f>'CF1'!AJ97+'CF2'!AJ97</f>
        <v>0</v>
      </c>
      <c r="AK116" s="142">
        <f>'CF1'!AK97+'CF2'!AK97</f>
        <v>0</v>
      </c>
      <c r="AL116" s="142">
        <f>'CF1'!AL97+'CF2'!AL97</f>
        <v>0</v>
      </c>
      <c r="AM116" s="142">
        <f>'CF1'!AM97+'CF2'!AM97</f>
        <v>0</v>
      </c>
      <c r="AN116" s="142">
        <f>'CF1'!AN97+'CF2'!AN97</f>
        <v>0</v>
      </c>
      <c r="AO116" s="142">
        <f>'CF1'!AO97+'CF2'!AO97</f>
        <v>0</v>
      </c>
      <c r="AP116" s="142">
        <f>'CF1'!AP97+'CF2'!AP97</f>
        <v>0</v>
      </c>
      <c r="AQ116" s="142">
        <f>'CF1'!AQ97+'CF2'!AQ97</f>
        <v>0</v>
      </c>
      <c r="AR116" s="142">
        <f>'CF1'!AR97+'CF2'!AR97</f>
        <v>0</v>
      </c>
      <c r="AS116" s="142">
        <f>'CF1'!AS97+'CF2'!AS97</f>
        <v>0</v>
      </c>
      <c r="AT116" s="142">
        <f>'CF1'!AT97+'CF2'!AT97</f>
        <v>0</v>
      </c>
      <c r="AU116" s="142">
        <f>'CF1'!AU97+'CF2'!AU97</f>
        <v>0</v>
      </c>
      <c r="AV116" s="142">
        <f>'CF1'!AV97+'CF2'!AV97</f>
        <v>0</v>
      </c>
      <c r="AW116" s="142">
        <f>'CF1'!AW97+'CF2'!AW97</f>
        <v>0</v>
      </c>
      <c r="AX116" s="142">
        <f>'CF1'!AX97+'CF2'!AX97</f>
        <v>0</v>
      </c>
      <c r="AY116" s="142">
        <f>'CF1'!AY97+'CF2'!AY97</f>
        <v>0</v>
      </c>
      <c r="AZ116" s="142">
        <f>'CF1'!AZ97+'CF2'!AZ97</f>
        <v>0</v>
      </c>
      <c r="BA116" s="142">
        <f>'CF1'!BA97+'CF2'!BA97</f>
        <v>0</v>
      </c>
      <c r="BB116" s="142">
        <f>'CF1'!BB97+'CF2'!BB97</f>
        <v>0</v>
      </c>
      <c r="BC116" s="142">
        <f>'CF1'!BC97+'CF2'!BC97</f>
        <v>0</v>
      </c>
      <c r="BD116" s="142">
        <f>'CF1'!BD97+'CF2'!BD97</f>
        <v>0</v>
      </c>
      <c r="BE116" s="142">
        <f>'CF1'!BE97+'CF2'!BE97</f>
        <v>0</v>
      </c>
      <c r="BF116" s="142">
        <f>'CF1'!BF97+'CF2'!BF97</f>
        <v>0</v>
      </c>
      <c r="BG116" s="142">
        <f>'CF1'!BG97+'CF2'!BG97</f>
        <v>0</v>
      </c>
      <c r="BH116" s="142">
        <f>'CF1'!BH97+'CF2'!BH97</f>
        <v>0</v>
      </c>
      <c r="BI116" s="142">
        <f>'CF1'!BI97+'CF2'!BI97</f>
        <v>0</v>
      </c>
      <c r="BJ116" s="142">
        <f>'CF1'!BJ97+'CF2'!BJ97</f>
        <v>0</v>
      </c>
      <c r="BK116" s="142">
        <f>'CF1'!BK97+'CF2'!BK97</f>
        <v>0</v>
      </c>
      <c r="BL116" s="142">
        <f>'CF1'!BL97+'CF2'!BL97</f>
        <v>0</v>
      </c>
      <c r="BM116" s="142">
        <f>'CF1'!BM97+'CF2'!BM97</f>
        <v>0</v>
      </c>
    </row>
    <row r="117" spans="1:65">
      <c r="B117" s="147"/>
      <c r="C117" s="28" t="s">
        <v>59</v>
      </c>
      <c r="D117" s="131" t="s">
        <v>19</v>
      </c>
      <c r="E117" s="141">
        <f t="shared" si="212"/>
        <v>7520.6667448189883</v>
      </c>
      <c r="F117" s="202">
        <f>'CF1'!F98+'CF2'!F98</f>
        <v>0</v>
      </c>
      <c r="G117" s="202">
        <f>'CF1'!G98+'CF2'!G98</f>
        <v>0</v>
      </c>
      <c r="H117" s="202">
        <f>'CF1'!H98+'CF2'!H98</f>
        <v>0</v>
      </c>
      <c r="I117" s="202">
        <f>'CF1'!I98+'CF2'!I98</f>
        <v>0</v>
      </c>
      <c r="J117" s="202">
        <f>'CF1'!J98+'CF2'!J98</f>
        <v>0</v>
      </c>
      <c r="K117" s="202">
        <f>'CF1'!K98+'CF2'!K98</f>
        <v>0</v>
      </c>
      <c r="L117" s="202">
        <f>'CF1'!L98+'CF2'!L98</f>
        <v>0</v>
      </c>
      <c r="M117" s="202">
        <f>'CF1'!M98+'CF2'!M98</f>
        <v>0</v>
      </c>
      <c r="N117" s="142">
        <f>'CF1'!N98+'CF2'!N98</f>
        <v>0</v>
      </c>
      <c r="O117" s="142">
        <f>'CF1'!O98+'CF2'!O98</f>
        <v>0</v>
      </c>
      <c r="P117" s="142">
        <f>'CF1'!P98+'CF2'!P98</f>
        <v>0</v>
      </c>
      <c r="Q117" s="142">
        <f>'CF1'!Q98+'CF2'!Q98</f>
        <v>0</v>
      </c>
      <c r="R117" s="142">
        <f>'CF1'!R98+'CF2'!R98</f>
        <v>0</v>
      </c>
      <c r="S117" s="142">
        <f>'CF1'!S98+'CF2'!S98</f>
        <v>0</v>
      </c>
      <c r="T117" s="142">
        <f>'CF1'!T98+'CF2'!T98</f>
        <v>353.94025293587936</v>
      </c>
      <c r="U117" s="142">
        <f>'CF1'!U98+'CF2'!U98</f>
        <v>373.72347132533412</v>
      </c>
      <c r="V117" s="142">
        <f>'CF1'!V98+'CF2'!V98</f>
        <v>390.74183648928681</v>
      </c>
      <c r="W117" s="142">
        <f>'CF1'!W98+'CF2'!W98</f>
        <v>398.68045833537116</v>
      </c>
      <c r="X117" s="142">
        <f>'CF1'!X98+'CF2'!X98</f>
        <v>518.1393378111527</v>
      </c>
      <c r="Y117" s="142">
        <f>'CF1'!Y98+'CF2'!Y98</f>
        <v>555.13740221146963</v>
      </c>
      <c r="Z117" s="142">
        <f>'CF1'!Z98+'CF2'!Z98</f>
        <v>588.83960654237626</v>
      </c>
      <c r="AA117" s="142">
        <f>'CF1'!AA98+'CF2'!AA98</f>
        <v>605.79553991304283</v>
      </c>
      <c r="AB117" s="142">
        <f>'CF1'!AB98+'CF2'!AB98</f>
        <v>618.14800372165405</v>
      </c>
      <c r="AC117" s="142">
        <f>'CF1'!AC98+'CF2'!AC98</f>
        <v>625.32327042371548</v>
      </c>
      <c r="AD117" s="142">
        <f>'CF1'!AD98+'CF2'!AD98</f>
        <v>621.12708738803121</v>
      </c>
      <c r="AE117" s="142">
        <f>'CF1'!AE98+'CF2'!AE98</f>
        <v>643.47951351428333</v>
      </c>
      <c r="AF117" s="142">
        <f>'CF1'!AF98+'CF2'!AF98</f>
        <v>386.0401453710308</v>
      </c>
      <c r="AG117" s="142">
        <f>'CF1'!AG98+'CF2'!AG98</f>
        <v>291.45825169509726</v>
      </c>
      <c r="AH117" s="142">
        <f>'CF1'!AH98+'CF2'!AH98</f>
        <v>259.50785365048313</v>
      </c>
      <c r="AI117" s="142">
        <f>'CF1'!AI98+'CF2'!AI98</f>
        <v>265.82549934729252</v>
      </c>
      <c r="AJ117" s="142">
        <f>'CF1'!AJ98+'CF2'!AJ98</f>
        <v>24.759214143487043</v>
      </c>
      <c r="AK117" s="142">
        <f>'CF1'!AK98+'CF2'!AK98</f>
        <v>0</v>
      </c>
      <c r="AL117" s="142">
        <f>'CF1'!AL98+'CF2'!AL98</f>
        <v>0</v>
      </c>
      <c r="AM117" s="142">
        <f>'CF1'!AM98+'CF2'!AM98</f>
        <v>0</v>
      </c>
      <c r="AN117" s="142">
        <f>'CF1'!AN98+'CF2'!AN98</f>
        <v>0</v>
      </c>
      <c r="AO117" s="142">
        <f>'CF1'!AO98+'CF2'!AO98</f>
        <v>0</v>
      </c>
      <c r="AP117" s="142">
        <f>'CF1'!AP98+'CF2'!AP98</f>
        <v>0</v>
      </c>
      <c r="AQ117" s="142">
        <f>'CF1'!AQ98+'CF2'!AQ98</f>
        <v>0</v>
      </c>
      <c r="AR117" s="142">
        <f>'CF1'!AR98+'CF2'!AR98</f>
        <v>0</v>
      </c>
      <c r="AS117" s="142">
        <f>'CF1'!AS98+'CF2'!AS98</f>
        <v>0</v>
      </c>
      <c r="AT117" s="142">
        <f>'CF1'!AT98+'CF2'!AT98</f>
        <v>0</v>
      </c>
      <c r="AU117" s="142">
        <f>'CF1'!AU98+'CF2'!AU98</f>
        <v>0</v>
      </c>
      <c r="AV117" s="142">
        <f>'CF1'!AV98+'CF2'!AV98</f>
        <v>0</v>
      </c>
      <c r="AW117" s="142">
        <f>'CF1'!AW98+'CF2'!AW98</f>
        <v>0</v>
      </c>
      <c r="AX117" s="142">
        <f>'CF1'!AX98+'CF2'!AX98</f>
        <v>0</v>
      </c>
      <c r="AY117" s="142">
        <f>'CF1'!AY98+'CF2'!AY98</f>
        <v>0</v>
      </c>
      <c r="AZ117" s="142">
        <f>'CF1'!AZ98+'CF2'!AZ98</f>
        <v>0</v>
      </c>
      <c r="BA117" s="142">
        <f>'CF1'!BA98+'CF2'!BA98</f>
        <v>0</v>
      </c>
      <c r="BB117" s="142">
        <f>'CF1'!BB98+'CF2'!BB98</f>
        <v>0</v>
      </c>
      <c r="BC117" s="142">
        <f>'CF1'!BC98+'CF2'!BC98</f>
        <v>0</v>
      </c>
      <c r="BD117" s="142">
        <f>'CF1'!BD98+'CF2'!BD98</f>
        <v>0</v>
      </c>
      <c r="BE117" s="142">
        <f>'CF1'!BE98+'CF2'!BE98</f>
        <v>0</v>
      </c>
      <c r="BF117" s="142">
        <f>'CF1'!BF98+'CF2'!BF98</f>
        <v>0</v>
      </c>
      <c r="BG117" s="142">
        <f>'CF1'!BG98+'CF2'!BG98</f>
        <v>0</v>
      </c>
      <c r="BH117" s="142">
        <f>'CF1'!BH98+'CF2'!BH98</f>
        <v>0</v>
      </c>
      <c r="BI117" s="142">
        <f>'CF1'!BI98+'CF2'!BI98</f>
        <v>0</v>
      </c>
      <c r="BJ117" s="142">
        <f>'CF1'!BJ98+'CF2'!BJ98</f>
        <v>0</v>
      </c>
      <c r="BK117" s="142">
        <f>'CF1'!BK98+'CF2'!BK98</f>
        <v>0</v>
      </c>
      <c r="BL117" s="142">
        <f>'CF1'!BL98+'CF2'!BL98</f>
        <v>0</v>
      </c>
      <c r="BM117" s="142">
        <f>'CF1'!BM98+'CF2'!BM98</f>
        <v>0</v>
      </c>
    </row>
    <row r="118" spans="1:65">
      <c r="B118" s="27"/>
      <c r="C118" s="28" t="s">
        <v>73</v>
      </c>
      <c r="D118" s="131" t="s">
        <v>19</v>
      </c>
      <c r="E118" s="141">
        <f t="shared" si="212"/>
        <v>-7520.6667448189874</v>
      </c>
      <c r="F118" s="202">
        <f>'CF1'!F99+'CF2'!F99</f>
        <v>0</v>
      </c>
      <c r="G118" s="202">
        <f>'CF1'!G99+'CF2'!G99</f>
        <v>0</v>
      </c>
      <c r="H118" s="202">
        <f>'CF1'!H99+'CF2'!H99</f>
        <v>0</v>
      </c>
      <c r="I118" s="202">
        <f>'CF1'!I99+'CF2'!I99</f>
        <v>0</v>
      </c>
      <c r="J118" s="202">
        <f>'CF1'!J99+'CF2'!J99</f>
        <v>0</v>
      </c>
      <c r="K118" s="202">
        <f>'CF1'!K99+'CF2'!K99</f>
        <v>0</v>
      </c>
      <c r="L118" s="202">
        <f>'CF1'!L99+'CF2'!L99</f>
        <v>0</v>
      </c>
      <c r="M118" s="202">
        <f>'CF1'!M99+'CF2'!M99</f>
        <v>0</v>
      </c>
      <c r="N118" s="142">
        <f>'CF1'!N99+'CF2'!N99</f>
        <v>0</v>
      </c>
      <c r="O118" s="142">
        <f>'CF1'!O99+'CF2'!O99</f>
        <v>0</v>
      </c>
      <c r="P118" s="142">
        <f>'CF1'!P99+'CF2'!P99</f>
        <v>0</v>
      </c>
      <c r="Q118" s="142">
        <f>'CF1'!Q99+'CF2'!Q99</f>
        <v>0</v>
      </c>
      <c r="R118" s="142">
        <f>'CF1'!R99+'CF2'!R99</f>
        <v>0</v>
      </c>
      <c r="S118" s="142">
        <f>'CF1'!S99+'CF2'!S99</f>
        <v>0</v>
      </c>
      <c r="T118" s="142">
        <f>'CF1'!T99+'CF2'!T99</f>
        <v>0</v>
      </c>
      <c r="U118" s="142">
        <f>'CF1'!U99+'CF2'!U99</f>
        <v>0</v>
      </c>
      <c r="V118" s="142">
        <f>'CF1'!V99+'CF2'!V99</f>
        <v>0</v>
      </c>
      <c r="W118" s="142">
        <f>'CF1'!W99+'CF2'!W99</f>
        <v>0</v>
      </c>
      <c r="X118" s="142">
        <f>'CF1'!X99+'CF2'!X99</f>
        <v>0</v>
      </c>
      <c r="Y118" s="142">
        <f>'CF1'!Y99+'CF2'!Y99</f>
        <v>0</v>
      </c>
      <c r="Z118" s="142">
        <f>'CF1'!Z99+'CF2'!Z99</f>
        <v>0</v>
      </c>
      <c r="AA118" s="142">
        <f>'CF1'!AA99+'CF2'!AA99</f>
        <v>0</v>
      </c>
      <c r="AB118" s="142">
        <f>'CF1'!AB99+'CF2'!AB99</f>
        <v>0</v>
      </c>
      <c r="AC118" s="142">
        <f>'CF1'!AC99+'CF2'!AC99</f>
        <v>0</v>
      </c>
      <c r="AD118" s="142">
        <f>'CF1'!AD99+'CF2'!AD99</f>
        <v>0</v>
      </c>
      <c r="AE118" s="142">
        <f>'CF1'!AE99+'CF2'!AE99</f>
        <v>0</v>
      </c>
      <c r="AF118" s="142">
        <f>'CF1'!AF99+'CF2'!AF99</f>
        <v>0</v>
      </c>
      <c r="AG118" s="142">
        <f>'CF1'!AG99+'CF2'!AG99</f>
        <v>0</v>
      </c>
      <c r="AH118" s="142">
        <f>'CF1'!AH99+'CF2'!AH99</f>
        <v>-1829.3173226070194</v>
      </c>
      <c r="AI118" s="142">
        <f>'CF1'!AI99+'CF2'!AI99</f>
        <v>-1685.4048433510732</v>
      </c>
      <c r="AJ118" s="142">
        <f>'CF1'!AJ99+'CF2'!AJ99</f>
        <v>-1234.862022886776</v>
      </c>
      <c r="AK118" s="142">
        <f>'CF1'!AK99+'CF2'!AK99</f>
        <v>-1841.3468031202906</v>
      </c>
      <c r="AL118" s="142">
        <f>'CF1'!AL99+'CF2'!AL99</f>
        <v>-929.73575285382867</v>
      </c>
      <c r="AM118" s="142">
        <f>'CF1'!AM99+'CF2'!AM99</f>
        <v>0</v>
      </c>
      <c r="AN118" s="142">
        <f>'CF1'!AN99+'CF2'!AN99</f>
        <v>0</v>
      </c>
      <c r="AO118" s="142">
        <f>'CF1'!AO99+'CF2'!AO99</f>
        <v>0</v>
      </c>
      <c r="AP118" s="142">
        <f>'CF1'!AP99+'CF2'!AP99</f>
        <v>0</v>
      </c>
      <c r="AQ118" s="142">
        <f>'CF1'!AQ99+'CF2'!AQ99</f>
        <v>0</v>
      </c>
      <c r="AR118" s="142">
        <f>'CF1'!AR99+'CF2'!AR99</f>
        <v>0</v>
      </c>
      <c r="AS118" s="142">
        <f>'CF1'!AS99+'CF2'!AS99</f>
        <v>0</v>
      </c>
      <c r="AT118" s="142">
        <f>'CF1'!AT99+'CF2'!AT99</f>
        <v>0</v>
      </c>
      <c r="AU118" s="142">
        <f>'CF1'!AU99+'CF2'!AU99</f>
        <v>0</v>
      </c>
      <c r="AV118" s="142">
        <f>'CF1'!AV99+'CF2'!AV99</f>
        <v>0</v>
      </c>
      <c r="AW118" s="142">
        <f>'CF1'!AW99+'CF2'!AW99</f>
        <v>0</v>
      </c>
      <c r="AX118" s="142">
        <f>'CF1'!AX99+'CF2'!AX99</f>
        <v>0</v>
      </c>
      <c r="AY118" s="142">
        <f>'CF1'!AY99+'CF2'!AY99</f>
        <v>0</v>
      </c>
      <c r="AZ118" s="142">
        <f>'CF1'!AZ99+'CF2'!AZ99</f>
        <v>0</v>
      </c>
      <c r="BA118" s="142">
        <f>'CF1'!BA99+'CF2'!BA99</f>
        <v>0</v>
      </c>
      <c r="BB118" s="142">
        <f>'CF1'!BB99+'CF2'!BB99</f>
        <v>0</v>
      </c>
      <c r="BC118" s="142">
        <f>'CF1'!BC99+'CF2'!BC99</f>
        <v>0</v>
      </c>
      <c r="BD118" s="142">
        <f>'CF1'!BD99+'CF2'!BD99</f>
        <v>0</v>
      </c>
      <c r="BE118" s="142">
        <f>'CF1'!BE99+'CF2'!BE99</f>
        <v>0</v>
      </c>
      <c r="BF118" s="142">
        <f>'CF1'!BF99+'CF2'!BF99</f>
        <v>0</v>
      </c>
      <c r="BG118" s="142">
        <f>'CF1'!BG99+'CF2'!BG99</f>
        <v>0</v>
      </c>
      <c r="BH118" s="142">
        <f>'CF1'!BH99+'CF2'!BH99</f>
        <v>0</v>
      </c>
      <c r="BI118" s="142">
        <f>'CF1'!BI99+'CF2'!BI99</f>
        <v>0</v>
      </c>
      <c r="BJ118" s="142">
        <f>'CF1'!BJ99+'CF2'!BJ99</f>
        <v>0</v>
      </c>
      <c r="BK118" s="142">
        <f>'CF1'!BK99+'CF2'!BK99</f>
        <v>0</v>
      </c>
      <c r="BL118" s="142">
        <f>'CF1'!BL99+'CF2'!BL99</f>
        <v>0</v>
      </c>
      <c r="BM118" s="142">
        <f>'CF1'!BM99+'CF2'!BM99</f>
        <v>0</v>
      </c>
    </row>
    <row r="119" spans="1:65">
      <c r="B119" s="147"/>
      <c r="C119" s="28" t="s">
        <v>94</v>
      </c>
      <c r="D119" s="131" t="s">
        <v>19</v>
      </c>
      <c r="E119" s="141">
        <f t="shared" si="212"/>
        <v>1103.7118715780919</v>
      </c>
      <c r="F119" s="202">
        <f>'CF1'!F100+'CF2'!F100</f>
        <v>0</v>
      </c>
      <c r="G119" s="202">
        <f>'CF1'!G100+'CF2'!G100</f>
        <v>0</v>
      </c>
      <c r="H119" s="202">
        <f>'CF1'!H100+'CF2'!H100</f>
        <v>0</v>
      </c>
      <c r="I119" s="202">
        <f>'CF1'!I100+'CF2'!I100</f>
        <v>0</v>
      </c>
      <c r="J119" s="202">
        <f>'CF1'!J100+'CF2'!J100</f>
        <v>0</v>
      </c>
      <c r="K119" s="202">
        <f>'CF1'!K100+'CF2'!K100</f>
        <v>0</v>
      </c>
      <c r="L119" s="202">
        <f>'CF1'!L100+'CF2'!L100</f>
        <v>0</v>
      </c>
      <c r="M119" s="202">
        <f>'CF1'!M100+'CF2'!M100</f>
        <v>0</v>
      </c>
      <c r="N119" s="142">
        <f>'CF1'!N100+'CF2'!N100</f>
        <v>0</v>
      </c>
      <c r="O119" s="142">
        <f>'CF1'!O100+'CF2'!O100</f>
        <v>0</v>
      </c>
      <c r="P119" s="142">
        <f>'CF1'!P100+'CF2'!P100</f>
        <v>0</v>
      </c>
      <c r="Q119" s="142">
        <f>'CF1'!Q100+'CF2'!Q100</f>
        <v>0</v>
      </c>
      <c r="R119" s="142">
        <f>'CF1'!R100+'CF2'!R100</f>
        <v>0</v>
      </c>
      <c r="S119" s="142">
        <f>'CF1'!S100+'CF2'!S100</f>
        <v>0</v>
      </c>
      <c r="T119" s="142">
        <f>'CF1'!T100+'CF2'!T100</f>
        <v>12.822386492786372</v>
      </c>
      <c r="U119" s="142">
        <f>'CF1'!U100+'CF2'!U100</f>
        <v>23.049749039275905</v>
      </c>
      <c r="V119" s="142">
        <f>'CF1'!V100+'CF2'!V100</f>
        <v>31.58560866022237</v>
      </c>
      <c r="W119" s="142">
        <f>'CF1'!W100+'CF2'!W100</f>
        <v>39.526238814251549</v>
      </c>
      <c r="X119" s="142">
        <f>'CF1'!X100+'CF2'!X100</f>
        <v>47.646324316770155</v>
      </c>
      <c r="Y119" s="142">
        <f>'CF1'!Y100+'CF2'!Y100</f>
        <v>56.11818482062943</v>
      </c>
      <c r="Z119" s="142">
        <f>'CF1'!Z100+'CF2'!Z100</f>
        <v>64.254978710192489</v>
      </c>
      <c r="AA119" s="142">
        <f>'CF1'!AA100+'CF2'!AA100</f>
        <v>71.075797828891083</v>
      </c>
      <c r="AB119" s="142">
        <f>'CF1'!AB100+'CF2'!AB100</f>
        <v>76.863232459512403</v>
      </c>
      <c r="AC119" s="142">
        <f>'CF1'!AC100+'CF2'!AC100</f>
        <v>81.163571849440089</v>
      </c>
      <c r="AD119" s="142">
        <f>'CF1'!AD100+'CF2'!AD100</f>
        <v>83.578433719070972</v>
      </c>
      <c r="AE119" s="142">
        <f>'CF1'!AE100+'CF2'!AE100</f>
        <v>89.576008734995256</v>
      </c>
      <c r="AF119" s="142">
        <f>'CF1'!AF100+'CF2'!AF100</f>
        <v>111.14812277322403</v>
      </c>
      <c r="AG119" s="142">
        <f>'CF1'!AG100+'CF2'!AG100</f>
        <v>92.289190870888348</v>
      </c>
      <c r="AH119" s="142">
        <f>'CF1'!AH100+'CF2'!AH100</f>
        <v>61.430375900017822</v>
      </c>
      <c r="AI119" s="142">
        <f>'CF1'!AI100+'CF2'!AI100</f>
        <v>43.157480705429151</v>
      </c>
      <c r="AJ119" s="142">
        <f>'CF1'!AJ100+'CF2'!AJ100</f>
        <v>88.674641791171823</v>
      </c>
      <c r="AK119" s="142">
        <f>'CF1'!AK100+'CF2'!AK100</f>
        <v>29.751544091322518</v>
      </c>
      <c r="AL119" s="142">
        <f>'CF1'!AL100+'CF2'!AL100</f>
        <v>0</v>
      </c>
      <c r="AM119" s="142">
        <f>'CF1'!AM100+'CF2'!AM100</f>
        <v>0</v>
      </c>
      <c r="AN119" s="142">
        <f>'CF1'!AN100+'CF2'!AN100</f>
        <v>0</v>
      </c>
      <c r="AO119" s="142">
        <f>'CF1'!AO100+'CF2'!AO100</f>
        <v>0</v>
      </c>
      <c r="AP119" s="142">
        <f>'CF1'!AP100+'CF2'!AP100</f>
        <v>0</v>
      </c>
      <c r="AQ119" s="142">
        <f>'CF1'!AQ100+'CF2'!AQ100</f>
        <v>0</v>
      </c>
      <c r="AR119" s="142">
        <f>'CF1'!AR100+'CF2'!AR100</f>
        <v>0</v>
      </c>
      <c r="AS119" s="142">
        <f>'CF1'!AS100+'CF2'!AS100</f>
        <v>0</v>
      </c>
      <c r="AT119" s="142">
        <f>'CF1'!AT100+'CF2'!AT100</f>
        <v>0</v>
      </c>
      <c r="AU119" s="142">
        <f>'CF1'!AU100+'CF2'!AU100</f>
        <v>0</v>
      </c>
      <c r="AV119" s="142">
        <f>'CF1'!AV100+'CF2'!AV100</f>
        <v>0</v>
      </c>
      <c r="AW119" s="142">
        <f>'CF1'!AW100+'CF2'!AW100</f>
        <v>0</v>
      </c>
      <c r="AX119" s="142">
        <f>'CF1'!AX100+'CF2'!AX100</f>
        <v>0</v>
      </c>
      <c r="AY119" s="142">
        <f>'CF1'!AY100+'CF2'!AY100</f>
        <v>0</v>
      </c>
      <c r="AZ119" s="142">
        <f>'CF1'!AZ100+'CF2'!AZ100</f>
        <v>0</v>
      </c>
      <c r="BA119" s="142">
        <f>'CF1'!BA100+'CF2'!BA100</f>
        <v>0</v>
      </c>
      <c r="BB119" s="142">
        <f>'CF1'!BB100+'CF2'!BB100</f>
        <v>0</v>
      </c>
      <c r="BC119" s="142">
        <f>'CF1'!BC100+'CF2'!BC100</f>
        <v>0</v>
      </c>
      <c r="BD119" s="142">
        <f>'CF1'!BD100+'CF2'!BD100</f>
        <v>0</v>
      </c>
      <c r="BE119" s="142">
        <f>'CF1'!BE100+'CF2'!BE100</f>
        <v>0</v>
      </c>
      <c r="BF119" s="142">
        <f>'CF1'!BF100+'CF2'!BF100</f>
        <v>0</v>
      </c>
      <c r="BG119" s="142">
        <f>'CF1'!BG100+'CF2'!BG100</f>
        <v>0</v>
      </c>
      <c r="BH119" s="142">
        <f>'CF1'!BH100+'CF2'!BH100</f>
        <v>0</v>
      </c>
      <c r="BI119" s="142">
        <f>'CF1'!BI100+'CF2'!BI100</f>
        <v>0</v>
      </c>
      <c r="BJ119" s="142">
        <f>'CF1'!BJ100+'CF2'!BJ100</f>
        <v>0</v>
      </c>
      <c r="BK119" s="142">
        <f>'CF1'!BK100+'CF2'!BK100</f>
        <v>0</v>
      </c>
      <c r="BL119" s="142">
        <f>'CF1'!BL100+'CF2'!BL100</f>
        <v>0</v>
      </c>
      <c r="BM119" s="142">
        <f>'CF1'!BM100+'CF2'!BM100</f>
        <v>0</v>
      </c>
    </row>
    <row r="120" spans="1:65">
      <c r="B120" s="27"/>
      <c r="C120" s="28" t="s">
        <v>95</v>
      </c>
      <c r="D120" s="131" t="s">
        <v>19</v>
      </c>
      <c r="E120" s="141">
        <f t="shared" si="212"/>
        <v>-1103.7118715780916</v>
      </c>
      <c r="F120" s="202">
        <f>'CF1'!F101+'CF2'!F101</f>
        <v>0</v>
      </c>
      <c r="G120" s="202">
        <f>'CF1'!G101+'CF2'!G101</f>
        <v>0</v>
      </c>
      <c r="H120" s="202">
        <f>'CF1'!H101+'CF2'!H101</f>
        <v>0</v>
      </c>
      <c r="I120" s="202">
        <f>'CF1'!I101+'CF2'!I101</f>
        <v>0</v>
      </c>
      <c r="J120" s="202">
        <f>'CF1'!J101+'CF2'!J101</f>
        <v>0</v>
      </c>
      <c r="K120" s="202">
        <f>'CF1'!K101+'CF2'!K101</f>
        <v>0</v>
      </c>
      <c r="L120" s="202">
        <f>'CF1'!L101+'CF2'!L101</f>
        <v>0</v>
      </c>
      <c r="M120" s="202">
        <f>'CF1'!M101+'CF2'!M101</f>
        <v>0</v>
      </c>
      <c r="N120" s="142">
        <f>'CF1'!N101+'CF2'!N101</f>
        <v>0</v>
      </c>
      <c r="O120" s="142">
        <f>'CF1'!O101+'CF2'!O101</f>
        <v>0</v>
      </c>
      <c r="P120" s="142">
        <f>'CF1'!P101+'CF2'!P101</f>
        <v>0</v>
      </c>
      <c r="Q120" s="142">
        <f>'CF1'!Q101+'CF2'!Q101</f>
        <v>0</v>
      </c>
      <c r="R120" s="142">
        <f>'CF1'!R101+'CF2'!R101</f>
        <v>0</v>
      </c>
      <c r="S120" s="142">
        <f>'CF1'!S101+'CF2'!S101</f>
        <v>0</v>
      </c>
      <c r="T120" s="142">
        <f>'CF1'!T101+'CF2'!T101</f>
        <v>0</v>
      </c>
      <c r="U120" s="142">
        <f>'CF1'!U101+'CF2'!U101</f>
        <v>0</v>
      </c>
      <c r="V120" s="142">
        <f>'CF1'!V101+'CF2'!V101</f>
        <v>0</v>
      </c>
      <c r="W120" s="142">
        <f>'CF1'!W101+'CF2'!W101</f>
        <v>0</v>
      </c>
      <c r="X120" s="142">
        <f>'CF1'!X101+'CF2'!X101</f>
        <v>0</v>
      </c>
      <c r="Y120" s="142">
        <f>'CF1'!Y101+'CF2'!Y101</f>
        <v>0</v>
      </c>
      <c r="Z120" s="142">
        <f>'CF1'!Z101+'CF2'!Z101</f>
        <v>0</v>
      </c>
      <c r="AA120" s="142">
        <f>'CF1'!AA101+'CF2'!AA101</f>
        <v>0</v>
      </c>
      <c r="AB120" s="142">
        <f>'CF1'!AB101+'CF2'!AB101</f>
        <v>0</v>
      </c>
      <c r="AC120" s="142">
        <f>'CF1'!AC101+'CF2'!AC101</f>
        <v>0</v>
      </c>
      <c r="AD120" s="142">
        <f>'CF1'!AD101+'CF2'!AD101</f>
        <v>0</v>
      </c>
      <c r="AE120" s="142">
        <f>'CF1'!AE101+'CF2'!AE101</f>
        <v>0</v>
      </c>
      <c r="AF120" s="142">
        <f>'CF1'!AF101+'CF2'!AF101</f>
        <v>0</v>
      </c>
      <c r="AG120" s="142">
        <f>'CF1'!AG101+'CF2'!AG101</f>
        <v>0</v>
      </c>
      <c r="AH120" s="142">
        <f>'CF1'!AH101+'CF2'!AH101</f>
        <v>0</v>
      </c>
      <c r="AI120" s="142">
        <f>'CF1'!AI101+'CF2'!AI101</f>
        <v>0</v>
      </c>
      <c r="AJ120" s="142">
        <f>'CF1'!AJ101+'CF2'!AJ101</f>
        <v>-613.70163532778224</v>
      </c>
      <c r="AK120" s="142">
        <f>'CF1'!AK101+'CF2'!AK101</f>
        <v>-143.00598424575151</v>
      </c>
      <c r="AL120" s="142">
        <f>'CF1'!AL101+'CF2'!AL101</f>
        <v>-347.00425200455794</v>
      </c>
      <c r="AM120" s="142">
        <f>'CF1'!AM101+'CF2'!AM101</f>
        <v>0</v>
      </c>
      <c r="AN120" s="142">
        <f>'CF1'!AN101+'CF2'!AN101</f>
        <v>0</v>
      </c>
      <c r="AO120" s="142">
        <f>'CF1'!AO101+'CF2'!AO101</f>
        <v>0</v>
      </c>
      <c r="AP120" s="142">
        <f>'CF1'!AP101+'CF2'!AP101</f>
        <v>0</v>
      </c>
      <c r="AQ120" s="142">
        <f>'CF1'!AQ101+'CF2'!AQ101</f>
        <v>0</v>
      </c>
      <c r="AR120" s="142">
        <f>'CF1'!AR101+'CF2'!AR101</f>
        <v>0</v>
      </c>
      <c r="AS120" s="142">
        <f>'CF1'!AS101+'CF2'!AS101</f>
        <v>0</v>
      </c>
      <c r="AT120" s="142">
        <f>'CF1'!AT101+'CF2'!AT101</f>
        <v>0</v>
      </c>
      <c r="AU120" s="142">
        <f>'CF1'!AU101+'CF2'!AU101</f>
        <v>0</v>
      </c>
      <c r="AV120" s="142">
        <f>'CF1'!AV101+'CF2'!AV101</f>
        <v>0</v>
      </c>
      <c r="AW120" s="142">
        <f>'CF1'!AW101+'CF2'!AW101</f>
        <v>0</v>
      </c>
      <c r="AX120" s="142">
        <f>'CF1'!AX101+'CF2'!AX101</f>
        <v>0</v>
      </c>
      <c r="AY120" s="142">
        <f>'CF1'!AY101+'CF2'!AY101</f>
        <v>0</v>
      </c>
      <c r="AZ120" s="142">
        <f>'CF1'!AZ101+'CF2'!AZ101</f>
        <v>0</v>
      </c>
      <c r="BA120" s="142">
        <f>'CF1'!BA101+'CF2'!BA101</f>
        <v>0</v>
      </c>
      <c r="BB120" s="142">
        <f>'CF1'!BB101+'CF2'!BB101</f>
        <v>0</v>
      </c>
      <c r="BC120" s="142">
        <f>'CF1'!BC101+'CF2'!BC101</f>
        <v>0</v>
      </c>
      <c r="BD120" s="142">
        <f>'CF1'!BD101+'CF2'!BD101</f>
        <v>0</v>
      </c>
      <c r="BE120" s="142">
        <f>'CF1'!BE101+'CF2'!BE101</f>
        <v>0</v>
      </c>
      <c r="BF120" s="142">
        <f>'CF1'!BF101+'CF2'!BF101</f>
        <v>0</v>
      </c>
      <c r="BG120" s="142">
        <f>'CF1'!BG101+'CF2'!BG101</f>
        <v>0</v>
      </c>
      <c r="BH120" s="142">
        <f>'CF1'!BH101+'CF2'!BH101</f>
        <v>0</v>
      </c>
      <c r="BI120" s="142">
        <f>'CF1'!BI101+'CF2'!BI101</f>
        <v>0</v>
      </c>
      <c r="BJ120" s="142">
        <f>'CF1'!BJ101+'CF2'!BJ101</f>
        <v>0</v>
      </c>
      <c r="BK120" s="142">
        <f>'CF1'!BK101+'CF2'!BK101</f>
        <v>0</v>
      </c>
      <c r="BL120" s="142">
        <f>'CF1'!BL101+'CF2'!BL101</f>
        <v>0</v>
      </c>
      <c r="BM120" s="142">
        <f>'CF1'!BM101+'CF2'!BM101</f>
        <v>0</v>
      </c>
    </row>
    <row r="121" spans="1:65">
      <c r="B121" s="145" t="s">
        <v>196</v>
      </c>
      <c r="C121" s="27"/>
      <c r="D121" s="131" t="s">
        <v>19</v>
      </c>
      <c r="E121" s="141">
        <f t="shared" si="212"/>
        <v>0</v>
      </c>
      <c r="F121" s="142">
        <f>'CF1'!F102+'CF2'!F102</f>
        <v>0</v>
      </c>
      <c r="G121" s="142">
        <f>'CF1'!G102+'CF2'!G102</f>
        <v>0</v>
      </c>
      <c r="H121" s="142">
        <f>'CF1'!H102+'CF2'!H102</f>
        <v>0</v>
      </c>
      <c r="I121" s="142">
        <f>'CF1'!I102+'CF2'!I102</f>
        <v>0</v>
      </c>
      <c r="J121" s="142">
        <f>'CF1'!J102+'CF2'!J102</f>
        <v>0</v>
      </c>
      <c r="K121" s="142">
        <f>'CF1'!K102+'CF2'!K102</f>
        <v>0</v>
      </c>
      <c r="L121" s="142">
        <f>'CF1'!L102+'CF2'!L102</f>
        <v>0</v>
      </c>
      <c r="M121" s="142">
        <f>'CF1'!M102+'CF2'!M102</f>
        <v>0</v>
      </c>
      <c r="N121" s="142">
        <f>'CF1'!N102+'CF2'!N102</f>
        <v>0</v>
      </c>
      <c r="O121" s="142">
        <f>'CF1'!O102+'CF2'!O102</f>
        <v>0</v>
      </c>
      <c r="P121" s="142">
        <f>'CF1'!P102+'CF2'!P102</f>
        <v>0</v>
      </c>
      <c r="Q121" s="142">
        <f>'CF1'!Q102+'CF2'!Q102</f>
        <v>0</v>
      </c>
      <c r="R121" s="142">
        <f>'CF1'!R102+'CF2'!R102</f>
        <v>0</v>
      </c>
      <c r="S121" s="142">
        <f>'CF1'!S102+'CF2'!S102</f>
        <v>0</v>
      </c>
      <c r="T121" s="142">
        <f>'CF1'!T102+'CF2'!T102</f>
        <v>0</v>
      </c>
      <c r="U121" s="142">
        <f>'CF1'!U102+'CF2'!U102</f>
        <v>0</v>
      </c>
      <c r="V121" s="142">
        <f>'CF1'!V102+'CF2'!V102</f>
        <v>0</v>
      </c>
      <c r="W121" s="142">
        <f>'CF1'!W102+'CF2'!W102</f>
        <v>0</v>
      </c>
      <c r="X121" s="142">
        <f>'CF1'!X102+'CF2'!X102</f>
        <v>0</v>
      </c>
      <c r="Y121" s="142">
        <f>'CF1'!Y102+'CF2'!Y102</f>
        <v>0</v>
      </c>
      <c r="Z121" s="142">
        <f>'CF1'!Z102+'CF2'!Z102</f>
        <v>0</v>
      </c>
      <c r="AA121" s="142">
        <f>'CF1'!AA102+'CF2'!AA102</f>
        <v>0</v>
      </c>
      <c r="AB121" s="142">
        <f>'CF1'!AB102+'CF2'!AB102</f>
        <v>0</v>
      </c>
      <c r="AC121" s="142">
        <f>'CF1'!AC102+'CF2'!AC102</f>
        <v>0</v>
      </c>
      <c r="AD121" s="142">
        <f>'CF1'!AD102+'CF2'!AD102</f>
        <v>0</v>
      </c>
      <c r="AE121" s="142">
        <f>'CF1'!AE102+'CF2'!AE102</f>
        <v>0</v>
      </c>
      <c r="AF121" s="142">
        <f>'CF1'!AF102+'CF2'!AF102</f>
        <v>0</v>
      </c>
      <c r="AG121" s="142">
        <f>'CF1'!AG102+'CF2'!AG102</f>
        <v>0</v>
      </c>
      <c r="AH121" s="142">
        <f>'CF1'!AH102+'CF2'!AH102</f>
        <v>0</v>
      </c>
      <c r="AI121" s="142">
        <f>'CF1'!AI102+'CF2'!AI102</f>
        <v>0</v>
      </c>
      <c r="AJ121" s="142">
        <f>'CF1'!AJ102+'CF2'!AJ102</f>
        <v>0</v>
      </c>
      <c r="AK121" s="142">
        <f>'CF1'!AK102+'CF2'!AK102</f>
        <v>0</v>
      </c>
      <c r="AL121" s="142">
        <f>'CF1'!AL102+'CF2'!AL102</f>
        <v>0</v>
      </c>
      <c r="AM121" s="142">
        <f>'CF1'!AM102+'CF2'!AM102</f>
        <v>0</v>
      </c>
      <c r="AN121" s="142">
        <f>'CF1'!AN102+'CF2'!AN102</f>
        <v>0</v>
      </c>
      <c r="AO121" s="142">
        <f>'CF1'!AO102+'CF2'!AO102</f>
        <v>0</v>
      </c>
      <c r="AP121" s="142">
        <f>'CF1'!AP102+'CF2'!AP102</f>
        <v>0</v>
      </c>
      <c r="AQ121" s="142">
        <f>'CF1'!AQ102+'CF2'!AQ102</f>
        <v>0</v>
      </c>
      <c r="AR121" s="142">
        <f>'CF1'!AR102+'CF2'!AR102</f>
        <v>0</v>
      </c>
      <c r="AS121" s="142">
        <f>'CF1'!AS102+'CF2'!AS102</f>
        <v>0</v>
      </c>
      <c r="AT121" s="142">
        <f>'CF1'!AT102+'CF2'!AT102</f>
        <v>0</v>
      </c>
      <c r="AU121" s="142">
        <f>'CF1'!AU102+'CF2'!AU102</f>
        <v>0</v>
      </c>
      <c r="AV121" s="142">
        <f>'CF1'!AV102+'CF2'!AV102</f>
        <v>0</v>
      </c>
      <c r="AW121" s="142">
        <f>'CF1'!AW102+'CF2'!AW102</f>
        <v>0</v>
      </c>
      <c r="AX121" s="142">
        <f>'CF1'!AX102+'CF2'!AX102</f>
        <v>0</v>
      </c>
      <c r="AY121" s="142">
        <f>'CF1'!AY102+'CF2'!AY102</f>
        <v>0</v>
      </c>
      <c r="AZ121" s="142">
        <f>'CF1'!AZ102+'CF2'!AZ102</f>
        <v>0</v>
      </c>
      <c r="BA121" s="142">
        <f>'CF1'!BA102+'CF2'!BA102</f>
        <v>0</v>
      </c>
      <c r="BB121" s="142">
        <f>'CF1'!BB102+'CF2'!BB102</f>
        <v>0</v>
      </c>
      <c r="BC121" s="142">
        <f>'CF1'!BC102+'CF2'!BC102</f>
        <v>0</v>
      </c>
      <c r="BD121" s="142">
        <f>'CF1'!BD102+'CF2'!BD102</f>
        <v>0</v>
      </c>
      <c r="BE121" s="142">
        <f>'CF1'!BE102+'CF2'!BE102</f>
        <v>0</v>
      </c>
      <c r="BF121" s="142">
        <f>'CF1'!BF102+'CF2'!BF102</f>
        <v>0</v>
      </c>
      <c r="BG121" s="142">
        <f>'CF1'!BG102+'CF2'!BG102</f>
        <v>0</v>
      </c>
      <c r="BH121" s="142">
        <f>'CF1'!BH102+'CF2'!BH102</f>
        <v>0</v>
      </c>
      <c r="BI121" s="142">
        <f>'CF1'!BI102+'CF2'!BI102</f>
        <v>0</v>
      </c>
      <c r="BJ121" s="142">
        <f>'CF1'!BJ102+'CF2'!BJ102</f>
        <v>0</v>
      </c>
      <c r="BK121" s="142">
        <f>'CF1'!BK102+'CF2'!BK102</f>
        <v>0</v>
      </c>
      <c r="BL121" s="142">
        <f>'CF1'!BL102+'CF2'!BL102</f>
        <v>0</v>
      </c>
      <c r="BM121" s="142">
        <f>'CF1'!BM102+'CF2'!BM102</f>
        <v>0</v>
      </c>
    </row>
    <row r="122" spans="1:65">
      <c r="B122" s="27"/>
      <c r="C122" s="28" t="s">
        <v>59</v>
      </c>
      <c r="D122" s="131" t="s">
        <v>19</v>
      </c>
      <c r="E122" s="141">
        <f t="shared" si="212"/>
        <v>303.39454785149383</v>
      </c>
      <c r="F122" s="202">
        <f>'CF1'!F103+'CF2'!F103</f>
        <v>0</v>
      </c>
      <c r="G122" s="202">
        <f>'CF1'!G103+'CF2'!G103</f>
        <v>0</v>
      </c>
      <c r="H122" s="202">
        <f>'CF1'!H103+'CF2'!H103</f>
        <v>0</v>
      </c>
      <c r="I122" s="202">
        <f>'CF1'!I103+'CF2'!I103</f>
        <v>0</v>
      </c>
      <c r="J122" s="202">
        <f>'CF1'!J103+'CF2'!J103</f>
        <v>0</v>
      </c>
      <c r="K122" s="202">
        <f>'CF1'!K103+'CF2'!K103</f>
        <v>0</v>
      </c>
      <c r="L122" s="202">
        <f>'CF1'!L103+'CF2'!L103</f>
        <v>0</v>
      </c>
      <c r="M122" s="202">
        <f>'CF1'!M103+'CF2'!M103</f>
        <v>0</v>
      </c>
      <c r="N122" s="142">
        <f>'CF1'!N103+'CF2'!N103</f>
        <v>0</v>
      </c>
      <c r="O122" s="142">
        <f>'CF1'!O103+'CF2'!O103</f>
        <v>0</v>
      </c>
      <c r="P122" s="142">
        <f>'CF1'!P103+'CF2'!P103</f>
        <v>303.39454785149383</v>
      </c>
      <c r="Q122" s="142">
        <f>'CF1'!Q103+'CF2'!Q103</f>
        <v>0</v>
      </c>
      <c r="R122" s="142">
        <f>'CF1'!R103+'CF2'!R103</f>
        <v>0</v>
      </c>
      <c r="S122" s="142">
        <f>'CF1'!S103+'CF2'!S103</f>
        <v>0</v>
      </c>
      <c r="T122" s="142">
        <f>'CF1'!T103+'CF2'!T103</f>
        <v>0</v>
      </c>
      <c r="U122" s="142">
        <f>'CF1'!U103+'CF2'!U103</f>
        <v>0</v>
      </c>
      <c r="V122" s="142">
        <f>'CF1'!V103+'CF2'!V103</f>
        <v>0</v>
      </c>
      <c r="W122" s="142">
        <f>'CF1'!W103+'CF2'!W103</f>
        <v>0</v>
      </c>
      <c r="X122" s="142">
        <f>'CF1'!X103+'CF2'!X103</f>
        <v>0</v>
      </c>
      <c r="Y122" s="142">
        <f>'CF1'!Y103+'CF2'!Y103</f>
        <v>0</v>
      </c>
      <c r="Z122" s="142">
        <f>'CF1'!Z103+'CF2'!Z103</f>
        <v>0</v>
      </c>
      <c r="AA122" s="142">
        <f>'CF1'!AA103+'CF2'!AA103</f>
        <v>0</v>
      </c>
      <c r="AB122" s="142">
        <f>'CF1'!AB103+'CF2'!AB103</f>
        <v>0</v>
      </c>
      <c r="AC122" s="142">
        <f>'CF1'!AC103+'CF2'!AC103</f>
        <v>0</v>
      </c>
      <c r="AD122" s="142">
        <f>'CF1'!AD103+'CF2'!AD103</f>
        <v>0</v>
      </c>
      <c r="AE122" s="142">
        <f>'CF1'!AE103+'CF2'!AE103</f>
        <v>0</v>
      </c>
      <c r="AF122" s="142">
        <f>'CF1'!AF103+'CF2'!AF103</f>
        <v>0</v>
      </c>
      <c r="AG122" s="142">
        <f>'CF1'!AG103+'CF2'!AG103</f>
        <v>0</v>
      </c>
      <c r="AH122" s="142">
        <f>'CF1'!AH103+'CF2'!AH103</f>
        <v>0</v>
      </c>
      <c r="AI122" s="142">
        <f>'CF1'!AI103+'CF2'!AI103</f>
        <v>0</v>
      </c>
      <c r="AJ122" s="142">
        <f>'CF1'!AJ103+'CF2'!AJ103</f>
        <v>0</v>
      </c>
      <c r="AK122" s="142">
        <f>'CF1'!AK103+'CF2'!AK103</f>
        <v>0</v>
      </c>
      <c r="AL122" s="142">
        <f>'CF1'!AL103+'CF2'!AL103</f>
        <v>0</v>
      </c>
      <c r="AM122" s="142">
        <f>'CF1'!AM103+'CF2'!AM103</f>
        <v>0</v>
      </c>
      <c r="AN122" s="142">
        <f>'CF1'!AN103+'CF2'!AN103</f>
        <v>0</v>
      </c>
      <c r="AO122" s="142">
        <f>'CF1'!AO103+'CF2'!AO103</f>
        <v>0</v>
      </c>
      <c r="AP122" s="142">
        <f>'CF1'!AP103+'CF2'!AP103</f>
        <v>0</v>
      </c>
      <c r="AQ122" s="142">
        <f>'CF1'!AQ103+'CF2'!AQ103</f>
        <v>0</v>
      </c>
      <c r="AR122" s="142">
        <f>'CF1'!AR103+'CF2'!AR103</f>
        <v>0</v>
      </c>
      <c r="AS122" s="142">
        <f>'CF1'!AS103+'CF2'!AS103</f>
        <v>0</v>
      </c>
      <c r="AT122" s="142">
        <f>'CF1'!AT103+'CF2'!AT103</f>
        <v>0</v>
      </c>
      <c r="AU122" s="142">
        <f>'CF1'!AU103+'CF2'!AU103</f>
        <v>0</v>
      </c>
      <c r="AV122" s="142">
        <f>'CF1'!AV103+'CF2'!AV103</f>
        <v>0</v>
      </c>
      <c r="AW122" s="142">
        <f>'CF1'!AW103+'CF2'!AW103</f>
        <v>0</v>
      </c>
      <c r="AX122" s="142">
        <f>'CF1'!AX103+'CF2'!AX103</f>
        <v>0</v>
      </c>
      <c r="AY122" s="142">
        <f>'CF1'!AY103+'CF2'!AY103</f>
        <v>0</v>
      </c>
      <c r="AZ122" s="142">
        <f>'CF1'!AZ103+'CF2'!AZ103</f>
        <v>0</v>
      </c>
      <c r="BA122" s="142">
        <f>'CF1'!BA103+'CF2'!BA103</f>
        <v>0</v>
      </c>
      <c r="BB122" s="142">
        <f>'CF1'!BB103+'CF2'!BB103</f>
        <v>0</v>
      </c>
      <c r="BC122" s="142">
        <f>'CF1'!BC103+'CF2'!BC103</f>
        <v>0</v>
      </c>
      <c r="BD122" s="142">
        <f>'CF1'!BD103+'CF2'!BD103</f>
        <v>0</v>
      </c>
      <c r="BE122" s="142">
        <f>'CF1'!BE103+'CF2'!BE103</f>
        <v>0</v>
      </c>
      <c r="BF122" s="142">
        <f>'CF1'!BF103+'CF2'!BF103</f>
        <v>0</v>
      </c>
      <c r="BG122" s="142">
        <f>'CF1'!BG103+'CF2'!BG103</f>
        <v>0</v>
      </c>
      <c r="BH122" s="142">
        <f>'CF1'!BH103+'CF2'!BH103</f>
        <v>0</v>
      </c>
      <c r="BI122" s="142">
        <f>'CF1'!BI103+'CF2'!BI103</f>
        <v>0</v>
      </c>
      <c r="BJ122" s="142">
        <f>'CF1'!BJ103+'CF2'!BJ103</f>
        <v>0</v>
      </c>
      <c r="BK122" s="142">
        <f>'CF1'!BK103+'CF2'!BK103</f>
        <v>0</v>
      </c>
      <c r="BL122" s="142">
        <f>'CF1'!BL103+'CF2'!BL103</f>
        <v>0</v>
      </c>
      <c r="BM122" s="142">
        <f>'CF1'!BM103+'CF2'!BM103</f>
        <v>0</v>
      </c>
    </row>
    <row r="123" spans="1:65">
      <c r="B123" s="27"/>
      <c r="C123" s="28" t="s">
        <v>73</v>
      </c>
      <c r="D123" s="131" t="s">
        <v>19</v>
      </c>
      <c r="E123" s="141">
        <f t="shared" si="212"/>
        <v>-303.39454785149383</v>
      </c>
      <c r="F123" s="202">
        <f>'CF1'!F104+'CF2'!F104</f>
        <v>0</v>
      </c>
      <c r="G123" s="202">
        <f>'CF1'!G104+'CF2'!G104</f>
        <v>0</v>
      </c>
      <c r="H123" s="202">
        <f>'CF1'!H104+'CF2'!H104</f>
        <v>0</v>
      </c>
      <c r="I123" s="202">
        <f>'CF1'!I104+'CF2'!I104</f>
        <v>0</v>
      </c>
      <c r="J123" s="202">
        <f>'CF1'!J104+'CF2'!J104</f>
        <v>0</v>
      </c>
      <c r="K123" s="202">
        <f>'CF1'!K104+'CF2'!K104</f>
        <v>0</v>
      </c>
      <c r="L123" s="202">
        <f>'CF1'!L104+'CF2'!L104</f>
        <v>0</v>
      </c>
      <c r="M123" s="202">
        <f>'CF1'!M104+'CF2'!M104</f>
        <v>0</v>
      </c>
      <c r="N123" s="142">
        <f>'CF1'!N104+'CF2'!N104</f>
        <v>0</v>
      </c>
      <c r="O123" s="142">
        <f>'CF1'!O104+'CF2'!O104</f>
        <v>0</v>
      </c>
      <c r="P123" s="142">
        <f>'CF1'!P104+'CF2'!P104</f>
        <v>-303.39454785149383</v>
      </c>
      <c r="Q123" s="142">
        <f>'CF1'!Q104+'CF2'!Q104</f>
        <v>0</v>
      </c>
      <c r="R123" s="142">
        <f>'CF1'!R104+'CF2'!R104</f>
        <v>0</v>
      </c>
      <c r="S123" s="142">
        <f>'CF1'!S104+'CF2'!S104</f>
        <v>0</v>
      </c>
      <c r="T123" s="142">
        <f>'CF1'!T104+'CF2'!T104</f>
        <v>0</v>
      </c>
      <c r="U123" s="142">
        <f>'CF1'!U104+'CF2'!U104</f>
        <v>0</v>
      </c>
      <c r="V123" s="142">
        <f>'CF1'!V104+'CF2'!V104</f>
        <v>0</v>
      </c>
      <c r="W123" s="142">
        <f>'CF1'!W104+'CF2'!W104</f>
        <v>0</v>
      </c>
      <c r="X123" s="142">
        <f>'CF1'!X104+'CF2'!X104</f>
        <v>0</v>
      </c>
      <c r="Y123" s="142">
        <f>'CF1'!Y104+'CF2'!Y104</f>
        <v>0</v>
      </c>
      <c r="Z123" s="142">
        <f>'CF1'!Z104+'CF2'!Z104</f>
        <v>0</v>
      </c>
      <c r="AA123" s="142">
        <f>'CF1'!AA104+'CF2'!AA104</f>
        <v>0</v>
      </c>
      <c r="AB123" s="142">
        <f>'CF1'!AB104+'CF2'!AB104</f>
        <v>0</v>
      </c>
      <c r="AC123" s="142">
        <f>'CF1'!AC104+'CF2'!AC104</f>
        <v>0</v>
      </c>
      <c r="AD123" s="142">
        <f>'CF1'!AD104+'CF2'!AD104</f>
        <v>0</v>
      </c>
      <c r="AE123" s="142">
        <f>'CF1'!AE104+'CF2'!AE104</f>
        <v>0</v>
      </c>
      <c r="AF123" s="142">
        <f>'CF1'!AF104+'CF2'!AF104</f>
        <v>0</v>
      </c>
      <c r="AG123" s="142">
        <f>'CF1'!AG104+'CF2'!AG104</f>
        <v>0</v>
      </c>
      <c r="AH123" s="142">
        <f>'CF1'!AH104+'CF2'!AH104</f>
        <v>0</v>
      </c>
      <c r="AI123" s="142">
        <f>'CF1'!AI104+'CF2'!AI104</f>
        <v>0</v>
      </c>
      <c r="AJ123" s="142">
        <f>'CF1'!AJ104+'CF2'!AJ104</f>
        <v>0</v>
      </c>
      <c r="AK123" s="142">
        <f>'CF1'!AK104+'CF2'!AK104</f>
        <v>0</v>
      </c>
      <c r="AL123" s="142">
        <f>'CF1'!AL104+'CF2'!AL104</f>
        <v>0</v>
      </c>
      <c r="AM123" s="142">
        <f>'CF1'!AM104+'CF2'!AM104</f>
        <v>0</v>
      </c>
      <c r="AN123" s="142">
        <f>'CF1'!AN104+'CF2'!AN104</f>
        <v>0</v>
      </c>
      <c r="AO123" s="142">
        <f>'CF1'!AO104+'CF2'!AO104</f>
        <v>0</v>
      </c>
      <c r="AP123" s="142">
        <f>'CF1'!AP104+'CF2'!AP104</f>
        <v>0</v>
      </c>
      <c r="AQ123" s="142">
        <f>'CF1'!AQ104+'CF2'!AQ104</f>
        <v>0</v>
      </c>
      <c r="AR123" s="142">
        <f>'CF1'!AR104+'CF2'!AR104</f>
        <v>0</v>
      </c>
      <c r="AS123" s="142">
        <f>'CF1'!AS104+'CF2'!AS104</f>
        <v>0</v>
      </c>
      <c r="AT123" s="142">
        <f>'CF1'!AT104+'CF2'!AT104</f>
        <v>0</v>
      </c>
      <c r="AU123" s="142">
        <f>'CF1'!AU104+'CF2'!AU104</f>
        <v>0</v>
      </c>
      <c r="AV123" s="142">
        <f>'CF1'!AV104+'CF2'!AV104</f>
        <v>0</v>
      </c>
      <c r="AW123" s="142">
        <f>'CF1'!AW104+'CF2'!AW104</f>
        <v>0</v>
      </c>
      <c r="AX123" s="142">
        <f>'CF1'!AX104+'CF2'!AX104</f>
        <v>0</v>
      </c>
      <c r="AY123" s="142">
        <f>'CF1'!AY104+'CF2'!AY104</f>
        <v>0</v>
      </c>
      <c r="AZ123" s="142">
        <f>'CF1'!AZ104+'CF2'!AZ104</f>
        <v>0</v>
      </c>
      <c r="BA123" s="142">
        <f>'CF1'!BA104+'CF2'!BA104</f>
        <v>0</v>
      </c>
      <c r="BB123" s="142">
        <f>'CF1'!BB104+'CF2'!BB104</f>
        <v>0</v>
      </c>
      <c r="BC123" s="142">
        <f>'CF1'!BC104+'CF2'!BC104</f>
        <v>0</v>
      </c>
      <c r="BD123" s="142">
        <f>'CF1'!BD104+'CF2'!BD104</f>
        <v>0</v>
      </c>
      <c r="BE123" s="142">
        <f>'CF1'!BE104+'CF2'!BE104</f>
        <v>0</v>
      </c>
      <c r="BF123" s="142">
        <f>'CF1'!BF104+'CF2'!BF104</f>
        <v>0</v>
      </c>
      <c r="BG123" s="142">
        <f>'CF1'!BG104+'CF2'!BG104</f>
        <v>0</v>
      </c>
      <c r="BH123" s="142">
        <f>'CF1'!BH104+'CF2'!BH104</f>
        <v>0</v>
      </c>
      <c r="BI123" s="142">
        <f>'CF1'!BI104+'CF2'!BI104</f>
        <v>0</v>
      </c>
      <c r="BJ123" s="142">
        <f>'CF1'!BJ104+'CF2'!BJ104</f>
        <v>0</v>
      </c>
      <c r="BK123" s="142">
        <f>'CF1'!BK104+'CF2'!BK104</f>
        <v>0</v>
      </c>
      <c r="BL123" s="142">
        <f>'CF1'!BL104+'CF2'!BL104</f>
        <v>0</v>
      </c>
      <c r="BM123" s="142">
        <f>'CF1'!BM104+'CF2'!BM104</f>
        <v>0</v>
      </c>
    </row>
    <row r="124" spans="1:65">
      <c r="B124" s="145" t="s">
        <v>138</v>
      </c>
      <c r="C124" s="27"/>
      <c r="D124" s="131" t="s">
        <v>19</v>
      </c>
      <c r="E124" s="141">
        <f t="shared" si="212"/>
        <v>0</v>
      </c>
      <c r="F124" s="142">
        <f>'CF1'!F105+'CF2'!F105</f>
        <v>0</v>
      </c>
      <c r="G124" s="142">
        <f>'CF1'!G105+'CF2'!G105</f>
        <v>0</v>
      </c>
      <c r="H124" s="142">
        <f>'CF1'!H105+'CF2'!H105</f>
        <v>0</v>
      </c>
      <c r="I124" s="142">
        <f>'CF1'!I105+'CF2'!I105</f>
        <v>0</v>
      </c>
      <c r="J124" s="142">
        <f>'CF1'!J105+'CF2'!J105</f>
        <v>0</v>
      </c>
      <c r="K124" s="142">
        <f>'CF1'!K105+'CF2'!K105</f>
        <v>0</v>
      </c>
      <c r="L124" s="142">
        <f>'CF1'!L105+'CF2'!L105</f>
        <v>0</v>
      </c>
      <c r="M124" s="142">
        <f>'CF1'!M105+'CF2'!M105</f>
        <v>0</v>
      </c>
      <c r="N124" s="142">
        <f>'CF1'!N105+'CF2'!N105</f>
        <v>0</v>
      </c>
      <c r="O124" s="142">
        <f>'CF1'!O105+'CF2'!O105</f>
        <v>0</v>
      </c>
      <c r="P124" s="142">
        <f>'CF1'!P105+'CF2'!P105</f>
        <v>0</v>
      </c>
      <c r="Q124" s="142">
        <f>'CF1'!Q105+'CF2'!Q105</f>
        <v>0</v>
      </c>
      <c r="R124" s="142">
        <f>'CF1'!R105+'CF2'!R105</f>
        <v>0</v>
      </c>
      <c r="S124" s="142">
        <f>'CF1'!S105+'CF2'!S105</f>
        <v>0</v>
      </c>
      <c r="T124" s="142">
        <f>'CF1'!T105+'CF2'!T105</f>
        <v>0</v>
      </c>
      <c r="U124" s="142">
        <f>'CF1'!U105+'CF2'!U105</f>
        <v>0</v>
      </c>
      <c r="V124" s="142">
        <f>'CF1'!V105+'CF2'!V105</f>
        <v>0</v>
      </c>
      <c r="W124" s="142">
        <f>'CF1'!W105+'CF2'!W105</f>
        <v>0</v>
      </c>
      <c r="X124" s="142">
        <f>'CF1'!X105+'CF2'!X105</f>
        <v>0</v>
      </c>
      <c r="Y124" s="142">
        <f>'CF1'!Y105+'CF2'!Y105</f>
        <v>0</v>
      </c>
      <c r="Z124" s="142">
        <f>'CF1'!Z105+'CF2'!Z105</f>
        <v>0</v>
      </c>
      <c r="AA124" s="142">
        <f>'CF1'!AA105+'CF2'!AA105</f>
        <v>0</v>
      </c>
      <c r="AB124" s="142">
        <f>'CF1'!AB105+'CF2'!AB105</f>
        <v>0</v>
      </c>
      <c r="AC124" s="142">
        <f>'CF1'!AC105+'CF2'!AC105</f>
        <v>0</v>
      </c>
      <c r="AD124" s="142">
        <f>'CF1'!AD105+'CF2'!AD105</f>
        <v>0</v>
      </c>
      <c r="AE124" s="142">
        <f>'CF1'!AE105+'CF2'!AE105</f>
        <v>0</v>
      </c>
      <c r="AF124" s="142">
        <f>'CF1'!AF105+'CF2'!AF105</f>
        <v>0</v>
      </c>
      <c r="AG124" s="142">
        <f>'CF1'!AG105+'CF2'!AG105</f>
        <v>0</v>
      </c>
      <c r="AH124" s="142">
        <f>'CF1'!AH105+'CF2'!AH105</f>
        <v>0</v>
      </c>
      <c r="AI124" s="142">
        <f>'CF1'!AI105+'CF2'!AI105</f>
        <v>0</v>
      </c>
      <c r="AJ124" s="142">
        <f>'CF1'!AJ105+'CF2'!AJ105</f>
        <v>0</v>
      </c>
      <c r="AK124" s="142">
        <f>'CF1'!AK105+'CF2'!AK105</f>
        <v>0</v>
      </c>
      <c r="AL124" s="142">
        <f>'CF1'!AL105+'CF2'!AL105</f>
        <v>0</v>
      </c>
      <c r="AM124" s="142">
        <f>'CF1'!AM105+'CF2'!AM105</f>
        <v>0</v>
      </c>
      <c r="AN124" s="142">
        <f>'CF1'!AN105+'CF2'!AN105</f>
        <v>0</v>
      </c>
      <c r="AO124" s="142">
        <f>'CF1'!AO105+'CF2'!AO105</f>
        <v>0</v>
      </c>
      <c r="AP124" s="142">
        <f>'CF1'!AP105+'CF2'!AP105</f>
        <v>0</v>
      </c>
      <c r="AQ124" s="142">
        <f>'CF1'!AQ105+'CF2'!AQ105</f>
        <v>0</v>
      </c>
      <c r="AR124" s="142">
        <f>'CF1'!AR105+'CF2'!AR105</f>
        <v>0</v>
      </c>
      <c r="AS124" s="142">
        <f>'CF1'!AS105+'CF2'!AS105</f>
        <v>0</v>
      </c>
      <c r="AT124" s="142">
        <f>'CF1'!AT105+'CF2'!AT105</f>
        <v>0</v>
      </c>
      <c r="AU124" s="142">
        <f>'CF1'!AU105+'CF2'!AU105</f>
        <v>0</v>
      </c>
      <c r="AV124" s="142">
        <f>'CF1'!AV105+'CF2'!AV105</f>
        <v>0</v>
      </c>
      <c r="AW124" s="142">
        <f>'CF1'!AW105+'CF2'!AW105</f>
        <v>0</v>
      </c>
      <c r="AX124" s="142">
        <f>'CF1'!AX105+'CF2'!AX105</f>
        <v>0</v>
      </c>
      <c r="AY124" s="142">
        <f>'CF1'!AY105+'CF2'!AY105</f>
        <v>0</v>
      </c>
      <c r="AZ124" s="142">
        <f>'CF1'!AZ105+'CF2'!AZ105</f>
        <v>0</v>
      </c>
      <c r="BA124" s="142">
        <f>'CF1'!BA105+'CF2'!BA105</f>
        <v>0</v>
      </c>
      <c r="BB124" s="142">
        <f>'CF1'!BB105+'CF2'!BB105</f>
        <v>0</v>
      </c>
      <c r="BC124" s="142">
        <f>'CF1'!BC105+'CF2'!BC105</f>
        <v>0</v>
      </c>
      <c r="BD124" s="142">
        <f>'CF1'!BD105+'CF2'!BD105</f>
        <v>0</v>
      </c>
      <c r="BE124" s="142">
        <f>'CF1'!BE105+'CF2'!BE105</f>
        <v>0</v>
      </c>
      <c r="BF124" s="142">
        <f>'CF1'!BF105+'CF2'!BF105</f>
        <v>0</v>
      </c>
      <c r="BG124" s="142">
        <f>'CF1'!BG105+'CF2'!BG105</f>
        <v>0</v>
      </c>
      <c r="BH124" s="142">
        <f>'CF1'!BH105+'CF2'!BH105</f>
        <v>0</v>
      </c>
      <c r="BI124" s="142">
        <f>'CF1'!BI105+'CF2'!BI105</f>
        <v>0</v>
      </c>
      <c r="BJ124" s="142">
        <f>'CF1'!BJ105+'CF2'!BJ105</f>
        <v>0</v>
      </c>
      <c r="BK124" s="142">
        <f>'CF1'!BK105+'CF2'!BK105</f>
        <v>0</v>
      </c>
      <c r="BL124" s="142">
        <f>'CF1'!BL105+'CF2'!BL105</f>
        <v>0</v>
      </c>
      <c r="BM124" s="142">
        <f>'CF1'!BM105+'CF2'!BM105</f>
        <v>0</v>
      </c>
    </row>
    <row r="125" spans="1:65">
      <c r="B125" s="27"/>
      <c r="C125" s="28" t="s">
        <v>29</v>
      </c>
      <c r="D125" s="131" t="s">
        <v>19</v>
      </c>
      <c r="E125" s="141">
        <f t="shared" si="212"/>
        <v>0</v>
      </c>
      <c r="F125" s="202">
        <f>'CF1'!F106+'CF2'!F106</f>
        <v>0</v>
      </c>
      <c r="G125" s="202">
        <f>'CF1'!G106+'CF2'!G106</f>
        <v>0</v>
      </c>
      <c r="H125" s="202">
        <f>'CF1'!H106+'CF2'!H106</f>
        <v>0</v>
      </c>
      <c r="I125" s="202">
        <f>'CF1'!I106+'CF2'!I106</f>
        <v>0</v>
      </c>
      <c r="J125" s="202">
        <f>'CF1'!J106+'CF2'!J106</f>
        <v>0</v>
      </c>
      <c r="K125" s="202">
        <f>'CF1'!K106+'CF2'!K106</f>
        <v>0</v>
      </c>
      <c r="L125" s="202">
        <f>'CF1'!L106+'CF2'!L106</f>
        <v>0</v>
      </c>
      <c r="M125" s="202">
        <f>'CF1'!M106+'CF2'!M106</f>
        <v>0</v>
      </c>
      <c r="N125" s="142">
        <f>'CF1'!N106+'CF2'!N106</f>
        <v>0</v>
      </c>
      <c r="O125" s="142">
        <f>'CF1'!O106+'CF2'!O106</f>
        <v>0</v>
      </c>
      <c r="P125" s="142">
        <f>'CF1'!P106+'CF2'!P106</f>
        <v>0</v>
      </c>
      <c r="Q125" s="142">
        <f>'CF1'!Q106+'CF2'!Q106</f>
        <v>0</v>
      </c>
      <c r="R125" s="142">
        <f>'CF1'!R106+'CF2'!R106</f>
        <v>0</v>
      </c>
      <c r="S125" s="142">
        <f>'CF1'!S106+'CF2'!S106</f>
        <v>0</v>
      </c>
      <c r="T125" s="142">
        <f>'CF1'!T106+'CF2'!T106</f>
        <v>0</v>
      </c>
      <c r="U125" s="142">
        <f>'CF1'!U106+'CF2'!U106</f>
        <v>0</v>
      </c>
      <c r="V125" s="142">
        <f>'CF1'!V106+'CF2'!V106</f>
        <v>0</v>
      </c>
      <c r="W125" s="142">
        <f>'CF1'!W106+'CF2'!W106</f>
        <v>0</v>
      </c>
      <c r="X125" s="142">
        <f>'CF1'!X106+'CF2'!X106</f>
        <v>0</v>
      </c>
      <c r="Y125" s="142">
        <f>'CF1'!Y106+'CF2'!Y106</f>
        <v>0</v>
      </c>
      <c r="Z125" s="142">
        <f>'CF1'!Z106+'CF2'!Z106</f>
        <v>0</v>
      </c>
      <c r="AA125" s="142">
        <f>'CF1'!AA106+'CF2'!AA106</f>
        <v>0</v>
      </c>
      <c r="AB125" s="142">
        <f>'CF1'!AB106+'CF2'!AB106</f>
        <v>0</v>
      </c>
      <c r="AC125" s="142">
        <f>'CF1'!AC106+'CF2'!AC106</f>
        <v>0</v>
      </c>
      <c r="AD125" s="142">
        <f>'CF1'!AD106+'CF2'!AD106</f>
        <v>0</v>
      </c>
      <c r="AE125" s="142">
        <f>'CF1'!AE106+'CF2'!AE106</f>
        <v>0</v>
      </c>
      <c r="AF125" s="142">
        <f>'CF1'!AF106+'CF2'!AF106</f>
        <v>0</v>
      </c>
      <c r="AG125" s="142">
        <f>'CF1'!AG106+'CF2'!AG106</f>
        <v>0</v>
      </c>
      <c r="AH125" s="142">
        <f>'CF1'!AH106+'CF2'!AH106</f>
        <v>0</v>
      </c>
      <c r="AI125" s="142">
        <f>'CF1'!AI106+'CF2'!AI106</f>
        <v>0</v>
      </c>
      <c r="AJ125" s="142">
        <f>'CF1'!AJ106+'CF2'!AJ106</f>
        <v>0</v>
      </c>
      <c r="AK125" s="142">
        <f>'CF1'!AK106+'CF2'!AK106</f>
        <v>0</v>
      </c>
      <c r="AL125" s="142">
        <f>'CF1'!AL106+'CF2'!AL106</f>
        <v>0</v>
      </c>
      <c r="AM125" s="142">
        <f>'CF1'!AM106+'CF2'!AM106</f>
        <v>0</v>
      </c>
      <c r="AN125" s="142">
        <f>'CF1'!AN106+'CF2'!AN106</f>
        <v>0</v>
      </c>
      <c r="AO125" s="142">
        <f>'CF1'!AO106+'CF2'!AO106</f>
        <v>0</v>
      </c>
      <c r="AP125" s="142">
        <f>'CF1'!AP106+'CF2'!AP106</f>
        <v>0</v>
      </c>
      <c r="AQ125" s="142">
        <f>'CF1'!AQ106+'CF2'!AQ106</f>
        <v>0</v>
      </c>
      <c r="AR125" s="142">
        <f>'CF1'!AR106+'CF2'!AR106</f>
        <v>0</v>
      </c>
      <c r="AS125" s="142">
        <f>'CF1'!AS106+'CF2'!AS106</f>
        <v>0</v>
      </c>
      <c r="AT125" s="142">
        <f>'CF1'!AT106+'CF2'!AT106</f>
        <v>0</v>
      </c>
      <c r="AU125" s="142">
        <f>'CF1'!AU106+'CF2'!AU106</f>
        <v>0</v>
      </c>
      <c r="AV125" s="142">
        <f>'CF1'!AV106+'CF2'!AV106</f>
        <v>0</v>
      </c>
      <c r="AW125" s="142">
        <f>'CF1'!AW106+'CF2'!AW106</f>
        <v>0</v>
      </c>
      <c r="AX125" s="142">
        <f>'CF1'!AX106+'CF2'!AX106</f>
        <v>0</v>
      </c>
      <c r="AY125" s="142">
        <f>'CF1'!AY106+'CF2'!AY106</f>
        <v>0</v>
      </c>
      <c r="AZ125" s="142">
        <f>'CF1'!AZ106+'CF2'!AZ106</f>
        <v>0</v>
      </c>
      <c r="BA125" s="142">
        <f>'CF1'!BA106+'CF2'!BA106</f>
        <v>0</v>
      </c>
      <c r="BB125" s="142">
        <f>'CF1'!BB106+'CF2'!BB106</f>
        <v>0</v>
      </c>
      <c r="BC125" s="142">
        <f>'CF1'!BC106+'CF2'!BC106</f>
        <v>0</v>
      </c>
      <c r="BD125" s="142">
        <f>'CF1'!BD106+'CF2'!BD106</f>
        <v>0</v>
      </c>
      <c r="BE125" s="142">
        <f>'CF1'!BE106+'CF2'!BE106</f>
        <v>0</v>
      </c>
      <c r="BF125" s="142">
        <f>'CF1'!BF106+'CF2'!BF106</f>
        <v>0</v>
      </c>
      <c r="BG125" s="142">
        <f>'CF1'!BG106+'CF2'!BG106</f>
        <v>0</v>
      </c>
      <c r="BH125" s="142">
        <f>'CF1'!BH106+'CF2'!BH106</f>
        <v>0</v>
      </c>
      <c r="BI125" s="142">
        <f>'CF1'!BI106+'CF2'!BI106</f>
        <v>0</v>
      </c>
      <c r="BJ125" s="142">
        <f>'CF1'!BJ106+'CF2'!BJ106</f>
        <v>0</v>
      </c>
      <c r="BK125" s="142">
        <f>'CF1'!BK106+'CF2'!BK106</f>
        <v>0</v>
      </c>
      <c r="BL125" s="142">
        <f>'CF1'!BL106+'CF2'!BL106</f>
        <v>0</v>
      </c>
      <c r="BM125" s="142">
        <f>'CF1'!BM106+'CF2'!BM106</f>
        <v>0</v>
      </c>
    </row>
    <row r="126" spans="1:65">
      <c r="B126" s="27"/>
      <c r="C126" s="28" t="s">
        <v>139</v>
      </c>
      <c r="D126" s="131" t="s">
        <v>19</v>
      </c>
      <c r="E126" s="141">
        <f t="shared" si="212"/>
        <v>0</v>
      </c>
      <c r="F126" s="202">
        <f>'CF1'!F107+'CF2'!F107</f>
        <v>0</v>
      </c>
      <c r="G126" s="202">
        <f>'CF1'!G107+'CF2'!G107</f>
        <v>0</v>
      </c>
      <c r="H126" s="202">
        <f>'CF1'!H107+'CF2'!H107</f>
        <v>0</v>
      </c>
      <c r="I126" s="202">
        <f>'CF1'!I107+'CF2'!I107</f>
        <v>0</v>
      </c>
      <c r="J126" s="202">
        <f>'CF1'!J107+'CF2'!J107</f>
        <v>0</v>
      </c>
      <c r="K126" s="202">
        <f>'CF1'!K107+'CF2'!K107</f>
        <v>0</v>
      </c>
      <c r="L126" s="202">
        <f>'CF1'!L107+'CF2'!L107</f>
        <v>0</v>
      </c>
      <c r="M126" s="202">
        <f>'CF1'!M107+'CF2'!M107</f>
        <v>0</v>
      </c>
      <c r="N126" s="142">
        <f>'CF1'!N107+'CF2'!N107</f>
        <v>0</v>
      </c>
      <c r="O126" s="142">
        <f>'CF1'!O107+'CF2'!O107</f>
        <v>0</v>
      </c>
      <c r="P126" s="142">
        <f>'CF1'!P107+'CF2'!P107</f>
        <v>0</v>
      </c>
      <c r="Q126" s="142">
        <f>'CF1'!Q107+'CF2'!Q107</f>
        <v>0</v>
      </c>
      <c r="R126" s="142">
        <f>'CF1'!R107+'CF2'!R107</f>
        <v>0</v>
      </c>
      <c r="S126" s="142">
        <f>'CF1'!S107+'CF2'!S107</f>
        <v>0</v>
      </c>
      <c r="T126" s="142">
        <f>'CF1'!T107+'CF2'!T107</f>
        <v>0</v>
      </c>
      <c r="U126" s="142">
        <f>'CF1'!U107+'CF2'!U107</f>
        <v>0</v>
      </c>
      <c r="V126" s="142">
        <f>'CF1'!V107+'CF2'!V107</f>
        <v>0</v>
      </c>
      <c r="W126" s="142">
        <f>'CF1'!W107+'CF2'!W107</f>
        <v>0</v>
      </c>
      <c r="X126" s="142">
        <f>'CF1'!X107+'CF2'!X107</f>
        <v>0</v>
      </c>
      <c r="Y126" s="142">
        <f>'CF1'!Y107+'CF2'!Y107</f>
        <v>0</v>
      </c>
      <c r="Z126" s="142">
        <f>'CF1'!Z107+'CF2'!Z107</f>
        <v>0</v>
      </c>
      <c r="AA126" s="142">
        <f>'CF1'!AA107+'CF2'!AA107</f>
        <v>0</v>
      </c>
      <c r="AB126" s="142">
        <f>'CF1'!AB107+'CF2'!AB107</f>
        <v>0</v>
      </c>
      <c r="AC126" s="142">
        <f>'CF1'!AC107+'CF2'!AC107</f>
        <v>0</v>
      </c>
      <c r="AD126" s="142">
        <f>'CF1'!AD107+'CF2'!AD107</f>
        <v>0</v>
      </c>
      <c r="AE126" s="142">
        <f>'CF1'!AE107+'CF2'!AE107</f>
        <v>0</v>
      </c>
      <c r="AF126" s="142">
        <f>'CF1'!AF107+'CF2'!AF107</f>
        <v>0</v>
      </c>
      <c r="AG126" s="142">
        <f>'CF1'!AG107+'CF2'!AG107</f>
        <v>0</v>
      </c>
      <c r="AH126" s="142">
        <f>'CF1'!AH107+'CF2'!AH107</f>
        <v>0</v>
      </c>
      <c r="AI126" s="142">
        <f>'CF1'!AI107+'CF2'!AI107</f>
        <v>0</v>
      </c>
      <c r="AJ126" s="142">
        <f>'CF1'!AJ107+'CF2'!AJ107</f>
        <v>0</v>
      </c>
      <c r="AK126" s="142">
        <f>'CF1'!AK107+'CF2'!AK107</f>
        <v>0</v>
      </c>
      <c r="AL126" s="142">
        <f>'CF1'!AL107+'CF2'!AL107</f>
        <v>0</v>
      </c>
      <c r="AM126" s="142">
        <f>'CF1'!AM107+'CF2'!AM107</f>
        <v>0</v>
      </c>
      <c r="AN126" s="142">
        <f>'CF1'!AN107+'CF2'!AN107</f>
        <v>0</v>
      </c>
      <c r="AO126" s="142">
        <f>'CF1'!AO107+'CF2'!AO107</f>
        <v>0</v>
      </c>
      <c r="AP126" s="142">
        <f>'CF1'!AP107+'CF2'!AP107</f>
        <v>0</v>
      </c>
      <c r="AQ126" s="142">
        <f>'CF1'!AQ107+'CF2'!AQ107</f>
        <v>0</v>
      </c>
      <c r="AR126" s="142">
        <f>'CF1'!AR107+'CF2'!AR107</f>
        <v>0</v>
      </c>
      <c r="AS126" s="142">
        <f>'CF1'!AS107+'CF2'!AS107</f>
        <v>0</v>
      </c>
      <c r="AT126" s="142">
        <f>'CF1'!AT107+'CF2'!AT107</f>
        <v>0</v>
      </c>
      <c r="AU126" s="142">
        <f>'CF1'!AU107+'CF2'!AU107</f>
        <v>0</v>
      </c>
      <c r="AV126" s="142">
        <f>'CF1'!AV107+'CF2'!AV107</f>
        <v>0</v>
      </c>
      <c r="AW126" s="142">
        <f>'CF1'!AW107+'CF2'!AW107</f>
        <v>0</v>
      </c>
      <c r="AX126" s="142">
        <f>'CF1'!AX107+'CF2'!AX107</f>
        <v>0</v>
      </c>
      <c r="AY126" s="142">
        <f>'CF1'!AY107+'CF2'!AY107</f>
        <v>0</v>
      </c>
      <c r="AZ126" s="142">
        <f>'CF1'!AZ107+'CF2'!AZ107</f>
        <v>0</v>
      </c>
      <c r="BA126" s="142">
        <f>'CF1'!BA107+'CF2'!BA107</f>
        <v>0</v>
      </c>
      <c r="BB126" s="142">
        <f>'CF1'!BB107+'CF2'!BB107</f>
        <v>0</v>
      </c>
      <c r="BC126" s="142">
        <f>'CF1'!BC107+'CF2'!BC107</f>
        <v>0</v>
      </c>
      <c r="BD126" s="142">
        <f>'CF1'!BD107+'CF2'!BD107</f>
        <v>0</v>
      </c>
      <c r="BE126" s="142">
        <f>'CF1'!BE107+'CF2'!BE107</f>
        <v>0</v>
      </c>
      <c r="BF126" s="142">
        <f>'CF1'!BF107+'CF2'!BF107</f>
        <v>0</v>
      </c>
      <c r="BG126" s="142">
        <f>'CF1'!BG107+'CF2'!BG107</f>
        <v>0</v>
      </c>
      <c r="BH126" s="142">
        <f>'CF1'!BH107+'CF2'!BH107</f>
        <v>0</v>
      </c>
      <c r="BI126" s="142">
        <f>'CF1'!BI107+'CF2'!BI107</f>
        <v>0</v>
      </c>
      <c r="BJ126" s="142">
        <f>'CF1'!BJ107+'CF2'!BJ107</f>
        <v>0</v>
      </c>
      <c r="BK126" s="142">
        <f>'CF1'!BK107+'CF2'!BK107</f>
        <v>0</v>
      </c>
      <c r="BL126" s="142">
        <f>'CF1'!BL107+'CF2'!BL107</f>
        <v>0</v>
      </c>
      <c r="BM126" s="142">
        <f>'CF1'!BM107+'CF2'!BM107</f>
        <v>0</v>
      </c>
    </row>
    <row r="127" spans="1:65">
      <c r="E127" s="148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  <c r="AC127" s="149"/>
      <c r="AD127" s="149"/>
      <c r="AE127" s="149"/>
      <c r="AF127" s="149"/>
      <c r="AG127" s="149"/>
      <c r="AH127" s="149"/>
      <c r="AI127" s="149"/>
      <c r="AJ127" s="149"/>
      <c r="AK127" s="149"/>
      <c r="AL127" s="149"/>
      <c r="AM127" s="149"/>
      <c r="AN127" s="149"/>
      <c r="AO127" s="149"/>
      <c r="AP127" s="149"/>
      <c r="AQ127" s="149"/>
      <c r="AR127" s="149"/>
      <c r="AS127" s="149"/>
      <c r="AT127" s="149"/>
      <c r="AU127" s="149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/>
      <c r="BF127" s="149"/>
      <c r="BG127" s="149"/>
      <c r="BH127" s="149"/>
      <c r="BI127" s="149"/>
      <c r="BJ127" s="149"/>
      <c r="BK127" s="149"/>
      <c r="BL127" s="149"/>
      <c r="BM127" s="149"/>
    </row>
    <row r="128" spans="1:65">
      <c r="A128" s="124"/>
      <c r="B128" s="181" t="s">
        <v>185</v>
      </c>
      <c r="C128" s="181"/>
      <c r="D128" s="175"/>
      <c r="E128" s="180"/>
      <c r="F128" s="180">
        <f>SUM($F106:F107,$F$114:F115)</f>
        <v>0</v>
      </c>
      <c r="G128" s="180">
        <f>SUM($F106:G107,$F$114:G115)</f>
        <v>0</v>
      </c>
      <c r="H128" s="180">
        <f>SUM($F106:H107,$F$114:H115)</f>
        <v>0</v>
      </c>
      <c r="I128" s="180">
        <f>SUM($F106:I107,$F$114:I115)</f>
        <v>0</v>
      </c>
      <c r="J128" s="180">
        <f>SUM($F106:J107,$F$114:J115)</f>
        <v>0</v>
      </c>
      <c r="K128" s="180">
        <f>SUM($F106:K107,$F$114:K115)</f>
        <v>0</v>
      </c>
      <c r="L128" s="180">
        <f>SUM($F106:L107,$F$114:L115)</f>
        <v>0</v>
      </c>
      <c r="M128" s="180">
        <f>SUM($F106:M107,$F$114:M115)</f>
        <v>0</v>
      </c>
      <c r="N128" s="180">
        <f>SUM($F106:N107,$F$114:N115)</f>
        <v>0</v>
      </c>
      <c r="O128" s="180">
        <f>SUM($F106:O107,$F$114:O115)</f>
        <v>0</v>
      </c>
      <c r="P128" s="180">
        <f>SUM($F106:P107,$F$114:P115)</f>
        <v>3942.7614081254696</v>
      </c>
      <c r="Q128" s="180">
        <f>SUM($F106:Q107,$F$114:Q115)</f>
        <v>4612.67410375094</v>
      </c>
      <c r="R128" s="180">
        <f>SUM($F106:R107,$F$114:R115)</f>
        <v>5557.35217131641</v>
      </c>
      <c r="S128" s="180">
        <f>SUM($F106:S107,$F$114:S115)</f>
        <v>7128.6106033956394</v>
      </c>
      <c r="T128" s="180">
        <f>SUM($F106:T107,$F$114:T115)</f>
        <v>10671.513291894247</v>
      </c>
      <c r="U128" s="180">
        <f>SUM($F106:U107,$F$114:U115)</f>
        <v>13161.640652747787</v>
      </c>
      <c r="V128" s="180">
        <f>SUM($F106:V107,$F$114:V115)</f>
        <v>16007.703303055991</v>
      </c>
      <c r="W128" s="180">
        <f>SUM($F106:W107,$F$114:W115)</f>
        <v>18316.681356198598</v>
      </c>
      <c r="X128" s="180">
        <f>SUM($F106:X107,$F$114:X115)</f>
        <v>22132.458984835608</v>
      </c>
      <c r="Y128" s="180">
        <f>SUM($F106:Y107,$F$114:Y115)</f>
        <v>25624.621635092557</v>
      </c>
      <c r="Z128" s="180">
        <f>SUM($F106:Z107,$F$114:Z115)</f>
        <v>29134.555915921519</v>
      </c>
      <c r="AA128" s="180">
        <f>SUM($F106:AA107,$F$114:AA115)</f>
        <v>32260.416622981451</v>
      </c>
      <c r="AB128" s="180">
        <f>SUM($F106:AB107,$F$114:AB115)</f>
        <v>35410.894999162861</v>
      </c>
      <c r="AC128" s="180">
        <f>SUM($F106:AC107,$F$114:AC115)</f>
        <v>38741.749790332295</v>
      </c>
      <c r="AD128" s="180">
        <f>SUM($F106:AD107,$F$114:AD115)</f>
        <v>41985.918114899243</v>
      </c>
      <c r="AE128" s="180">
        <f>SUM($F106:AE107,$F$114:AE115)</f>
        <v>45207.03030871298</v>
      </c>
      <c r="AF128" s="180">
        <f>SUM($F106:AF107,$F$114:AF115)</f>
        <v>23197.934600092478</v>
      </c>
      <c r="AG128" s="180">
        <f>SUM($F106:AG107,$F$114:AG115)</f>
        <v>22013.752032772416</v>
      </c>
      <c r="AH128" s="180">
        <f>SUM($F106:AH107,$F$114:AH115)</f>
        <v>22815.111206752445</v>
      </c>
      <c r="AI128" s="180">
        <f>SUM($F106:AI107,$F$114:AI115)</f>
        <v>24521.834228312706</v>
      </c>
      <c r="AJ128" s="180">
        <f>SUM($F106:AJ107,$F$114:AJ115)</f>
        <v>773.72544198396281</v>
      </c>
      <c r="AK128" s="180">
        <f>SUM($F106:AK107,$F$114:AK115)</f>
        <v>-7.2759576141834259E-12</v>
      </c>
      <c r="AL128" s="180">
        <f>SUM($F106:AL107,$F$114:AL115)</f>
        <v>-7.2759576141834259E-12</v>
      </c>
      <c r="AM128" s="180">
        <f>SUM($F106:AM107,$F$114:AM115)</f>
        <v>-7.2759576141834259E-12</v>
      </c>
      <c r="AN128" s="180">
        <f>SUM($F106:AN107,$F$114:AN115)</f>
        <v>-7.2759576141834259E-12</v>
      </c>
      <c r="AO128" s="180">
        <f>SUM($F106:AO107,$F$114:AO115)</f>
        <v>-7.2759576141834259E-12</v>
      </c>
      <c r="AP128" s="180">
        <f>SUM($F106:AP107,$F$114:AP115)</f>
        <v>-7.2759576141834259E-12</v>
      </c>
      <c r="AQ128" s="180">
        <f>SUM($F106:AQ107,$F$114:AQ115)</f>
        <v>-7.2759576141834259E-12</v>
      </c>
      <c r="AR128" s="180">
        <f>SUM($F106:AR107,$F$114:AR115)</f>
        <v>-7.2759576141834259E-12</v>
      </c>
      <c r="AS128" s="180">
        <f>SUM($F106:AS107,$F$114:AS115)</f>
        <v>-7.2759576141834259E-12</v>
      </c>
      <c r="AT128" s="180">
        <f>SUM($F106:AT107,$F$114:AT115)</f>
        <v>-7.2759576141834259E-12</v>
      </c>
      <c r="AU128" s="180">
        <f>SUM($F106:AU107,$F$114:AU115)</f>
        <v>-7.2759576141834259E-12</v>
      </c>
      <c r="AV128" s="180">
        <f>SUM($F106:AV107,$F$114:AV115)</f>
        <v>-7.2759576141834259E-12</v>
      </c>
      <c r="AW128" s="180">
        <f>SUM($F106:AW107,$F$114:AW115)</f>
        <v>-7.2759576141834259E-12</v>
      </c>
      <c r="AX128" s="180">
        <f>SUM($F106:AX107,$F$114:AX115)</f>
        <v>-7.2759576141834259E-12</v>
      </c>
      <c r="AY128" s="180">
        <f>SUM($F106:AY107,$F$114:AY115)</f>
        <v>-7.2759576141834259E-12</v>
      </c>
      <c r="AZ128" s="180">
        <f>SUM($F106:AZ107,$F$114:AZ115)</f>
        <v>-7.2759576141834259E-12</v>
      </c>
      <c r="BA128" s="180">
        <f>SUM($F106:BA107,$F$114:BA115)</f>
        <v>-7.2759576141834259E-12</v>
      </c>
      <c r="BB128" s="180">
        <f>SUM($F106:BB107,$F$114:BB115)</f>
        <v>-7.2759576141834259E-12</v>
      </c>
      <c r="BC128" s="180">
        <f>SUM($F106:BC107,$F$114:BC115)</f>
        <v>-7.2759576141834259E-12</v>
      </c>
      <c r="BD128" s="180">
        <f>SUM($F106:BD107,$F$114:BD115)</f>
        <v>-7.2759576141834259E-12</v>
      </c>
      <c r="BE128" s="180">
        <f>SUM($F106:BE107,$F$114:BE115)</f>
        <v>-7.2759576141834259E-12</v>
      </c>
      <c r="BF128" s="180">
        <f>SUM($F106:BF107,$F$114:BF115)</f>
        <v>-7.2759576141834259E-12</v>
      </c>
      <c r="BG128" s="180">
        <f>SUM($F106:BG107,$F$114:BG115)</f>
        <v>-7.2759576141834259E-12</v>
      </c>
      <c r="BH128" s="180">
        <f>SUM($F106:BH107,$F$114:BH115)</f>
        <v>-7.2759576141834259E-12</v>
      </c>
      <c r="BI128" s="180">
        <f>SUM($F106:BI107,$F$114:BI115)</f>
        <v>-7.2759576141834259E-12</v>
      </c>
      <c r="BJ128" s="180">
        <f>SUM($F106:BJ107,$F$114:BJ115)</f>
        <v>-7.2759576141834259E-12</v>
      </c>
      <c r="BK128" s="180">
        <f>SUM($F106:BK107,$F$114:BK115)</f>
        <v>-7.2759576141834259E-12</v>
      </c>
      <c r="BL128" s="180">
        <f>SUM($F106:BL107,$F$114:BL115)</f>
        <v>-7.2759576141834259E-12</v>
      </c>
      <c r="BM128" s="180">
        <f>SUM($F106:BM107,$F$114:BM115)</f>
        <v>-7.2759576141834259E-12</v>
      </c>
    </row>
    <row r="129" spans="1:65">
      <c r="E129" s="148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149"/>
      <c r="AD129" s="149"/>
      <c r="AE129" s="149"/>
      <c r="AF129" s="149"/>
      <c r="AG129" s="149"/>
      <c r="AH129" s="149"/>
      <c r="AI129" s="149"/>
      <c r="AJ129" s="149"/>
      <c r="AK129" s="149"/>
      <c r="AL129" s="149"/>
      <c r="AM129" s="149"/>
      <c r="AN129" s="149"/>
      <c r="AO129" s="149"/>
      <c r="AP129" s="149"/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  <c r="BI129" s="149"/>
      <c r="BJ129" s="149"/>
      <c r="BK129" s="149"/>
      <c r="BL129" s="149"/>
      <c r="BM129" s="149"/>
    </row>
    <row r="130" spans="1:65">
      <c r="B130" s="181" t="s">
        <v>60</v>
      </c>
      <c r="C130" s="181"/>
      <c r="D130" s="175"/>
      <c r="E130" s="179">
        <f>SUM(F130:BM130)</f>
        <v>-4878.3251274092727</v>
      </c>
      <c r="F130" s="180">
        <f>SUM(F131,F146)</f>
        <v>0</v>
      </c>
      <c r="G130" s="180">
        <f t="shared" ref="G130:BM130" si="214">SUM(G131,G146)</f>
        <v>0</v>
      </c>
      <c r="H130" s="180">
        <f t="shared" si="214"/>
        <v>0</v>
      </c>
      <c r="I130" s="180">
        <f t="shared" si="214"/>
        <v>0</v>
      </c>
      <c r="J130" s="180">
        <f t="shared" si="214"/>
        <v>0</v>
      </c>
      <c r="K130" s="180">
        <f t="shared" si="214"/>
        <v>0</v>
      </c>
      <c r="L130" s="180">
        <f t="shared" si="214"/>
        <v>0</v>
      </c>
      <c r="M130" s="180">
        <f t="shared" si="214"/>
        <v>0</v>
      </c>
      <c r="N130" s="180">
        <f t="shared" si="214"/>
        <v>0</v>
      </c>
      <c r="O130" s="180">
        <f t="shared" si="214"/>
        <v>0</v>
      </c>
      <c r="P130" s="180">
        <f t="shared" si="214"/>
        <v>0</v>
      </c>
      <c r="Q130" s="180">
        <f t="shared" si="214"/>
        <v>0</v>
      </c>
      <c r="R130" s="180">
        <f t="shared" si="214"/>
        <v>0</v>
      </c>
      <c r="S130" s="180">
        <f t="shared" si="214"/>
        <v>0</v>
      </c>
      <c r="T130" s="180">
        <f t="shared" si="214"/>
        <v>0</v>
      </c>
      <c r="U130" s="180">
        <f t="shared" si="214"/>
        <v>0</v>
      </c>
      <c r="V130" s="180">
        <f t="shared" si="214"/>
        <v>0</v>
      </c>
      <c r="W130" s="180">
        <f t="shared" si="214"/>
        <v>0</v>
      </c>
      <c r="X130" s="180">
        <f t="shared" si="214"/>
        <v>0</v>
      </c>
      <c r="Y130" s="180">
        <f t="shared" si="214"/>
        <v>0</v>
      </c>
      <c r="Z130" s="180">
        <f t="shared" si="214"/>
        <v>-1353.2476856667822</v>
      </c>
      <c r="AA130" s="180">
        <f t="shared" si="214"/>
        <v>-317.20846347828086</v>
      </c>
      <c r="AB130" s="180">
        <f t="shared" si="214"/>
        <v>-409.20212886260197</v>
      </c>
      <c r="AC130" s="180">
        <f t="shared" si="214"/>
        <v>-317.68916103143852</v>
      </c>
      <c r="AD130" s="180">
        <f t="shared" si="214"/>
        <v>-236.66586320159735</v>
      </c>
      <c r="AE130" s="180">
        <f t="shared" si="214"/>
        <v>0</v>
      </c>
      <c r="AF130" s="180">
        <f t="shared" si="214"/>
        <v>-307.27129862156744</v>
      </c>
      <c r="AG130" s="180">
        <f t="shared" si="214"/>
        <v>-311.3168559715113</v>
      </c>
      <c r="AH130" s="180">
        <f t="shared" si="214"/>
        <v>-446.3391008878508</v>
      </c>
      <c r="AI130" s="180">
        <f t="shared" si="214"/>
        <v>-332.2582900680697</v>
      </c>
      <c r="AJ130" s="180">
        <f t="shared" si="214"/>
        <v>-220.80456464883468</v>
      </c>
      <c r="AK130" s="180">
        <f t="shared" si="214"/>
        <v>-224.15115172305812</v>
      </c>
      <c r="AL130" s="180">
        <f t="shared" si="214"/>
        <v>-226.58608982343279</v>
      </c>
      <c r="AM130" s="180">
        <f t="shared" si="214"/>
        <v>-175.58447342424688</v>
      </c>
      <c r="AN130" s="180">
        <f t="shared" si="214"/>
        <v>0</v>
      </c>
      <c r="AO130" s="180">
        <f t="shared" si="214"/>
        <v>0</v>
      </c>
      <c r="AP130" s="180">
        <f t="shared" si="214"/>
        <v>0</v>
      </c>
      <c r="AQ130" s="180">
        <f t="shared" si="214"/>
        <v>0</v>
      </c>
      <c r="AR130" s="180">
        <f t="shared" si="214"/>
        <v>0</v>
      </c>
      <c r="AS130" s="180">
        <f t="shared" si="214"/>
        <v>0</v>
      </c>
      <c r="AT130" s="180">
        <f t="shared" si="214"/>
        <v>0</v>
      </c>
      <c r="AU130" s="180">
        <f t="shared" si="214"/>
        <v>0</v>
      </c>
      <c r="AV130" s="180">
        <f t="shared" si="214"/>
        <v>0</v>
      </c>
      <c r="AW130" s="180">
        <f t="shared" si="214"/>
        <v>0</v>
      </c>
      <c r="AX130" s="180">
        <f t="shared" si="214"/>
        <v>0</v>
      </c>
      <c r="AY130" s="180">
        <f t="shared" si="214"/>
        <v>0</v>
      </c>
      <c r="AZ130" s="180">
        <f t="shared" si="214"/>
        <v>0</v>
      </c>
      <c r="BA130" s="180">
        <f t="shared" si="214"/>
        <v>0</v>
      </c>
      <c r="BB130" s="180">
        <f t="shared" si="214"/>
        <v>0</v>
      </c>
      <c r="BC130" s="180">
        <f t="shared" si="214"/>
        <v>0</v>
      </c>
      <c r="BD130" s="180">
        <f t="shared" si="214"/>
        <v>0</v>
      </c>
      <c r="BE130" s="180">
        <f t="shared" si="214"/>
        <v>0</v>
      </c>
      <c r="BF130" s="180">
        <f t="shared" si="214"/>
        <v>0</v>
      </c>
      <c r="BG130" s="180">
        <f t="shared" si="214"/>
        <v>0</v>
      </c>
      <c r="BH130" s="180">
        <f t="shared" si="214"/>
        <v>0</v>
      </c>
      <c r="BI130" s="180">
        <f t="shared" si="214"/>
        <v>0</v>
      </c>
      <c r="BJ130" s="180">
        <f t="shared" si="214"/>
        <v>0</v>
      </c>
      <c r="BK130" s="180">
        <f t="shared" si="214"/>
        <v>0</v>
      </c>
      <c r="BL130" s="180">
        <f t="shared" si="214"/>
        <v>0</v>
      </c>
      <c r="BM130" s="180">
        <f t="shared" si="214"/>
        <v>0</v>
      </c>
    </row>
    <row r="131" spans="1:65">
      <c r="B131" s="145" t="s">
        <v>21</v>
      </c>
      <c r="C131" s="27"/>
      <c r="D131" s="150"/>
      <c r="E131" s="141">
        <f>SUM(F131:BM131)</f>
        <v>-415.81212422981343</v>
      </c>
      <c r="F131" s="202">
        <f>'CF1'!F112+'CF2'!P112</f>
        <v>0</v>
      </c>
      <c r="G131" s="202">
        <f>'CF1'!G112+'CF2'!Q112</f>
        <v>0</v>
      </c>
      <c r="H131" s="202">
        <f>'CF1'!H112+'CF2'!R112</f>
        <v>0</v>
      </c>
      <c r="I131" s="202">
        <f>'CF1'!I112+'CF2'!S112</f>
        <v>0</v>
      </c>
      <c r="J131" s="202">
        <f>'CF1'!J112+'CF2'!T112</f>
        <v>0</v>
      </c>
      <c r="K131" s="202">
        <f>'CF1'!K112+'CF2'!U112</f>
        <v>0</v>
      </c>
      <c r="L131" s="202">
        <f>'CF1'!L112+'CF2'!V112</f>
        <v>0</v>
      </c>
      <c r="M131" s="202">
        <f>'CF1'!M112+'CF2'!W112</f>
        <v>0</v>
      </c>
      <c r="N131" s="142">
        <f>'CF1'!N112+'CF2'!X112</f>
        <v>0</v>
      </c>
      <c r="O131" s="142">
        <f>'CF1'!O112+'CF2'!Y112</f>
        <v>0</v>
      </c>
      <c r="P131" s="142">
        <f>'CF1'!P112+'CF2'!Z112</f>
        <v>0</v>
      </c>
      <c r="Q131" s="142">
        <f>'CF1'!Q112+'CF2'!AA112</f>
        <v>0</v>
      </c>
      <c r="R131" s="142">
        <f>'CF1'!R112+'CF2'!AB112</f>
        <v>0</v>
      </c>
      <c r="S131" s="142">
        <f>'CF1'!S112+'CF2'!AC112</f>
        <v>0</v>
      </c>
      <c r="T131" s="142">
        <f>'CF1'!T112+'CF2'!AD112</f>
        <v>0</v>
      </c>
      <c r="U131" s="142">
        <f>'CF1'!U112+'CF2'!AE112</f>
        <v>0</v>
      </c>
      <c r="V131" s="142">
        <f>'CF1'!V112+'CF2'!AF112</f>
        <v>0</v>
      </c>
      <c r="W131" s="142">
        <f>'CF1'!W112+'CF2'!AG112</f>
        <v>0</v>
      </c>
      <c r="X131" s="142">
        <f>'CF1'!X112+'CF2'!AH112</f>
        <v>0</v>
      </c>
      <c r="Y131" s="142">
        <f>'CF1'!Y112+'CF2'!AI112</f>
        <v>0</v>
      </c>
      <c r="Z131" s="142">
        <f>'CF1'!Z112+'CF2'!AJ112</f>
        <v>0</v>
      </c>
      <c r="AA131" s="142">
        <f>'CF1'!AA112+'CF2'!AK112</f>
        <v>0</v>
      </c>
      <c r="AB131" s="142">
        <f>'CF1'!AB112+'CF2'!AL112</f>
        <v>-78.568591746112105</v>
      </c>
      <c r="AC131" s="142">
        <f>'CF1'!AC112+'CF2'!AM112</f>
        <v>-78.568591746112105</v>
      </c>
      <c r="AD131" s="142">
        <f>'CF1'!AD112+'CF2'!AN112</f>
        <v>0</v>
      </c>
      <c r="AE131" s="142">
        <f>'CF1'!AE112+'CF2'!AO112</f>
        <v>0</v>
      </c>
      <c r="AF131" s="142">
        <f>'CF1'!AF112+'CF2'!AP112</f>
        <v>0</v>
      </c>
      <c r="AG131" s="142">
        <f>'CF1'!AG112+'CF2'!AQ112</f>
        <v>0</v>
      </c>
      <c r="AH131" s="142">
        <f>'CF1'!AH112+'CF2'!AR112</f>
        <v>-129.33747036879461</v>
      </c>
      <c r="AI131" s="142">
        <f>'CF1'!AI112+'CF2'!AS112</f>
        <v>-129.33747036879461</v>
      </c>
      <c r="AJ131" s="142">
        <f>'CF1'!AJ112+'CF2'!AT112</f>
        <v>0</v>
      </c>
      <c r="AK131" s="142">
        <f>'CF1'!AK112+'CF2'!AU112</f>
        <v>0</v>
      </c>
      <c r="AL131" s="142">
        <f>'CF1'!AL112+'CF2'!AV112</f>
        <v>0</v>
      </c>
      <c r="AM131" s="142">
        <f>'CF1'!AM112+'CF2'!AW112</f>
        <v>0</v>
      </c>
      <c r="AN131" s="142">
        <f>'CF1'!AN112+'CF2'!AX112</f>
        <v>0</v>
      </c>
      <c r="AO131" s="142">
        <f>'CF1'!AO112+'CF2'!AY112</f>
        <v>0</v>
      </c>
      <c r="AP131" s="142">
        <f>'CF1'!AP112+'CF2'!AZ112</f>
        <v>0</v>
      </c>
      <c r="AQ131" s="142">
        <f>'CF1'!AQ112+'CF2'!BA112</f>
        <v>0</v>
      </c>
      <c r="AR131" s="142">
        <f>'CF1'!AR112+'CF2'!BB112</f>
        <v>0</v>
      </c>
      <c r="AS131" s="142">
        <f>'CF1'!AS112+'CF2'!BC112</f>
        <v>0</v>
      </c>
      <c r="AT131" s="142">
        <f>'CF1'!AT112+'CF2'!BD112</f>
        <v>0</v>
      </c>
      <c r="AU131" s="142">
        <f>'CF1'!AU112+'CF2'!BE112</f>
        <v>0</v>
      </c>
      <c r="AV131" s="142">
        <f>'CF1'!AV112+'CF2'!BF112</f>
        <v>0</v>
      </c>
      <c r="AW131" s="142">
        <f>'CF1'!AW112+'CF2'!BG112</f>
        <v>0</v>
      </c>
      <c r="AX131" s="142">
        <f>'CF1'!AX112+'CF2'!BH112</f>
        <v>0</v>
      </c>
      <c r="AY131" s="142">
        <f>'CF1'!AY112+'CF2'!BI112</f>
        <v>0</v>
      </c>
      <c r="AZ131" s="142">
        <f>'CF1'!AZ112+'CF2'!BJ112</f>
        <v>0</v>
      </c>
      <c r="BA131" s="142">
        <f>'CF1'!BA112+'CF2'!BK112</f>
        <v>0</v>
      </c>
      <c r="BB131" s="142">
        <f>'CF1'!BB112+'CF2'!BL112</f>
        <v>0</v>
      </c>
      <c r="BC131" s="142">
        <f>'CF1'!BC112+'CF2'!BM112</f>
        <v>0</v>
      </c>
      <c r="BD131" s="142">
        <f>'CF1'!BD112+'CF2'!BN112</f>
        <v>0</v>
      </c>
      <c r="BE131" s="142">
        <f>'CF1'!BE112+'CF2'!BO112</f>
        <v>0</v>
      </c>
      <c r="BF131" s="142">
        <f>'CF1'!BF112+'CF2'!BP112</f>
        <v>0</v>
      </c>
      <c r="BG131" s="142">
        <f>'CF1'!BG112+'CF2'!BQ112</f>
        <v>0</v>
      </c>
      <c r="BH131" s="142">
        <f>'CF1'!BH112+'CF2'!BR112</f>
        <v>0</v>
      </c>
      <c r="BI131" s="142">
        <f>'CF1'!BI112+'CF2'!BS112</f>
        <v>0</v>
      </c>
      <c r="BJ131" s="142">
        <f>'CF1'!BJ112+'CF2'!BT112</f>
        <v>0</v>
      </c>
      <c r="BK131" s="142">
        <f>'CF1'!BK112+'CF2'!BU112</f>
        <v>0</v>
      </c>
      <c r="BL131" s="142">
        <f>'CF1'!BL112+'CF2'!BV112</f>
        <v>0</v>
      </c>
      <c r="BM131" s="142">
        <f>'CF1'!BM112+'CF2'!BW112</f>
        <v>0</v>
      </c>
    </row>
    <row r="132" spans="1:65" s="151" customFormat="1" hidden="1" outlineLevel="1">
      <c r="B132" s="152"/>
      <c r="C132" s="152" t="s">
        <v>73</v>
      </c>
      <c r="D132" s="153"/>
      <c r="E132" s="154">
        <f t="shared" ref="E132:E182" si="215">SUM(F132:BM132)</f>
        <v>-1092.5646750000001</v>
      </c>
      <c r="F132" s="564">
        <f>SUM(F133:F138)</f>
        <v>0</v>
      </c>
      <c r="G132" s="564">
        <f t="shared" ref="G132:BM132" si="216">SUM(G133:G138)</f>
        <v>0</v>
      </c>
      <c r="H132" s="564">
        <f t="shared" si="216"/>
        <v>0</v>
      </c>
      <c r="I132" s="564">
        <f t="shared" si="216"/>
        <v>0</v>
      </c>
      <c r="J132" s="564">
        <f t="shared" si="216"/>
        <v>0</v>
      </c>
      <c r="K132" s="564">
        <f t="shared" si="216"/>
        <v>0</v>
      </c>
      <c r="L132" s="564">
        <f t="shared" si="216"/>
        <v>0</v>
      </c>
      <c r="M132" s="564">
        <f t="shared" si="216"/>
        <v>0</v>
      </c>
      <c r="N132" s="155">
        <f t="shared" si="216"/>
        <v>0</v>
      </c>
      <c r="O132" s="155">
        <f t="shared" si="216"/>
        <v>0</v>
      </c>
      <c r="P132" s="155">
        <f t="shared" si="216"/>
        <v>0</v>
      </c>
      <c r="Q132" s="155">
        <f t="shared" si="216"/>
        <v>0</v>
      </c>
      <c r="R132" s="155">
        <f t="shared" si="216"/>
        <v>0</v>
      </c>
      <c r="S132" s="155">
        <f t="shared" si="216"/>
        <v>0</v>
      </c>
      <c r="T132" s="155">
        <f t="shared" si="216"/>
        <v>0</v>
      </c>
      <c r="U132" s="155">
        <f t="shared" si="216"/>
        <v>0</v>
      </c>
      <c r="V132" s="155">
        <f t="shared" si="216"/>
        <v>0</v>
      </c>
      <c r="W132" s="155">
        <f t="shared" si="216"/>
        <v>0</v>
      </c>
      <c r="X132" s="155">
        <f t="shared" si="216"/>
        <v>0</v>
      </c>
      <c r="Y132" s="155">
        <f t="shared" si="216"/>
        <v>0</v>
      </c>
      <c r="Z132" s="155">
        <f t="shared" si="216"/>
        <v>0</v>
      </c>
      <c r="AA132" s="155">
        <f t="shared" si="216"/>
        <v>0</v>
      </c>
      <c r="AB132" s="155">
        <f t="shared" si="216"/>
        <v>0</v>
      </c>
      <c r="AC132" s="155">
        <f t="shared" si="216"/>
        <v>0</v>
      </c>
      <c r="AD132" s="155">
        <f t="shared" si="216"/>
        <v>0</v>
      </c>
      <c r="AE132" s="155">
        <f t="shared" si="216"/>
        <v>0</v>
      </c>
      <c r="AF132" s="155">
        <f t="shared" si="216"/>
        <v>-45</v>
      </c>
      <c r="AG132" s="155">
        <f t="shared" si="216"/>
        <v>-250.17892500000005</v>
      </c>
      <c r="AH132" s="155">
        <f t="shared" si="216"/>
        <v>-250.17892500000005</v>
      </c>
      <c r="AI132" s="155">
        <f t="shared" si="216"/>
        <v>-45</v>
      </c>
      <c r="AJ132" s="155">
        <f t="shared" si="216"/>
        <v>-45</v>
      </c>
      <c r="AK132" s="155">
        <f t="shared" si="216"/>
        <v>-194.10341249999996</v>
      </c>
      <c r="AL132" s="155">
        <f t="shared" si="216"/>
        <v>-194.10341249999996</v>
      </c>
      <c r="AM132" s="155">
        <f t="shared" si="216"/>
        <v>-44.25</v>
      </c>
      <c r="AN132" s="155">
        <f t="shared" si="216"/>
        <v>-24.75</v>
      </c>
      <c r="AO132" s="155">
        <f t="shared" si="216"/>
        <v>0</v>
      </c>
      <c r="AP132" s="155">
        <f t="shared" si="216"/>
        <v>0</v>
      </c>
      <c r="AQ132" s="155">
        <f t="shared" si="216"/>
        <v>0</v>
      </c>
      <c r="AR132" s="155">
        <f t="shared" si="216"/>
        <v>0</v>
      </c>
      <c r="AS132" s="155">
        <f t="shared" si="216"/>
        <v>0</v>
      </c>
      <c r="AT132" s="155">
        <f t="shared" si="216"/>
        <v>0</v>
      </c>
      <c r="AU132" s="155">
        <f t="shared" si="216"/>
        <v>0</v>
      </c>
      <c r="AV132" s="155">
        <f t="shared" si="216"/>
        <v>0</v>
      </c>
      <c r="AW132" s="155">
        <f t="shared" si="216"/>
        <v>0</v>
      </c>
      <c r="AX132" s="155">
        <f t="shared" si="216"/>
        <v>0</v>
      </c>
      <c r="AY132" s="155">
        <f t="shared" si="216"/>
        <v>0</v>
      </c>
      <c r="AZ132" s="155">
        <f t="shared" si="216"/>
        <v>0</v>
      </c>
      <c r="BA132" s="155">
        <f t="shared" si="216"/>
        <v>0</v>
      </c>
      <c r="BB132" s="155">
        <f t="shared" si="216"/>
        <v>0</v>
      </c>
      <c r="BC132" s="155">
        <f t="shared" si="216"/>
        <v>0</v>
      </c>
      <c r="BD132" s="155">
        <f t="shared" si="216"/>
        <v>0</v>
      </c>
      <c r="BE132" s="155">
        <f t="shared" si="216"/>
        <v>0</v>
      </c>
      <c r="BF132" s="155">
        <f t="shared" si="216"/>
        <v>0</v>
      </c>
      <c r="BG132" s="155">
        <f t="shared" si="216"/>
        <v>0</v>
      </c>
      <c r="BH132" s="155">
        <f t="shared" si="216"/>
        <v>0</v>
      </c>
      <c r="BI132" s="155">
        <f t="shared" si="216"/>
        <v>0</v>
      </c>
      <c r="BJ132" s="155">
        <f t="shared" si="216"/>
        <v>0</v>
      </c>
      <c r="BK132" s="155">
        <f t="shared" si="216"/>
        <v>0</v>
      </c>
      <c r="BL132" s="155">
        <f t="shared" si="216"/>
        <v>0</v>
      </c>
      <c r="BM132" s="155">
        <f t="shared" si="216"/>
        <v>0</v>
      </c>
    </row>
    <row r="133" spans="1:65" s="134" customFormat="1" hidden="1" outlineLevel="1">
      <c r="A133" s="156">
        <f>-E133</f>
        <v>0</v>
      </c>
      <c r="B133" s="157"/>
      <c r="C133" s="157"/>
      <c r="D133" s="158" t="str">
        <f>'DB1'!B9</f>
        <v>АПАРТАМЕНТЫ</v>
      </c>
      <c r="E133" s="154">
        <f t="shared" si="215"/>
        <v>0</v>
      </c>
      <c r="F133" s="565">
        <f>-F42*(1-F$193)/(1+'TS1'!$J$84)*'TS1'!$J$84</f>
        <v>0</v>
      </c>
      <c r="G133" s="565">
        <f>-G42*(1-G$193)/(1+'TS1'!$J$84)*'TS1'!$J$84</f>
        <v>0</v>
      </c>
      <c r="H133" s="565">
        <f>-H42*(1-H$193)/(1+'TS1'!$J$84)*'TS1'!$J$84</f>
        <v>0</v>
      </c>
      <c r="I133" s="565">
        <f>-I42*(1-I$193)/(1+'TS1'!$J$84)*'TS1'!$J$84</f>
        <v>0</v>
      </c>
      <c r="J133" s="565">
        <f>-J42*(1-J$193)/(1+'TS1'!$J$84)*'TS1'!$J$84</f>
        <v>0</v>
      </c>
      <c r="K133" s="565">
        <f>-K42*(1-K$193)/(1+'TS1'!$J$84)*'TS1'!$J$84</f>
        <v>0</v>
      </c>
      <c r="L133" s="565">
        <f>-L42*(1-L$193)/(1+'TS1'!$J$84)*'TS1'!$J$84</f>
        <v>0</v>
      </c>
      <c r="M133" s="565">
        <f>-M42*(1-M$193)/(1+'TS1'!$J$84)*'TS1'!$J$84</f>
        <v>0</v>
      </c>
      <c r="N133" s="159">
        <f>-N42*(1-N$193)/(1+'TS1'!$J$84)*'TS1'!$J$84</f>
        <v>0</v>
      </c>
      <c r="O133" s="159">
        <f>-O42*(1-O$193)/(1+'TS1'!$J$84)*'TS1'!$J$84</f>
        <v>0</v>
      </c>
      <c r="P133" s="159">
        <f>-P42*(1-P$193)/(1+'TS1'!$J$84)*'TS1'!$J$84</f>
        <v>0</v>
      </c>
      <c r="Q133" s="159">
        <f>-Q42*(1-Q$193)/(1+'TS1'!$J$84)*'TS1'!$J$84</f>
        <v>0</v>
      </c>
      <c r="R133" s="159">
        <f>-R42*(1-R$193)/(1+'TS1'!$J$84)*'TS1'!$J$84</f>
        <v>0</v>
      </c>
      <c r="S133" s="159">
        <f>-S42*(1-S$193)/(1+'TS1'!$J$84)*'TS1'!$J$84</f>
        <v>0</v>
      </c>
      <c r="T133" s="159">
        <f>-T42*(1-T$193)/(1+'TS1'!$J$84)*'TS1'!$J$84</f>
        <v>0</v>
      </c>
      <c r="U133" s="159">
        <f>-U42*(1-U$193)/(1+'TS1'!$J$84)*'TS1'!$J$84</f>
        <v>0</v>
      </c>
      <c r="V133" s="159">
        <f>-V42*(1-V$193)/(1+'TS1'!$J$84)*'TS1'!$J$84</f>
        <v>0</v>
      </c>
      <c r="W133" s="159">
        <f>-W42*(1-W$193)/(1+'TS1'!$J$84)*'TS1'!$J$84</f>
        <v>0</v>
      </c>
      <c r="X133" s="159">
        <f>-X42*(1-X$193)/(1+'TS1'!$J$84)*'TS1'!$J$84</f>
        <v>0</v>
      </c>
      <c r="Y133" s="159">
        <f>-Y42*(1-Y$193)/(1+'TS1'!$J$84)*'TS1'!$J$84</f>
        <v>0</v>
      </c>
      <c r="Z133" s="159">
        <f>-Z42*(1-Z$193)/(1+'TS1'!$J$84)*'TS1'!$J$84</f>
        <v>0</v>
      </c>
      <c r="AA133" s="159">
        <f>-AA42*(1-AA$193)/(1+'TS1'!$J$84)*'TS1'!$J$84</f>
        <v>0</v>
      </c>
      <c r="AB133" s="159">
        <f>-AB42*(1-AB$193)/(1+'TS1'!$J$84)*'TS1'!$J$84</f>
        <v>0</v>
      </c>
      <c r="AC133" s="159">
        <f>-AC42*(1-AC$193)/(1+'TS1'!$J$84)*'TS1'!$J$84</f>
        <v>0</v>
      </c>
      <c r="AD133" s="159">
        <f>-AD42*(1-AD$193)/(1+'TS1'!$J$84)*'TS1'!$J$84</f>
        <v>0</v>
      </c>
      <c r="AE133" s="159">
        <f>-AE42*(1-AE$193)/(1+'TS1'!$J$84)*'TS1'!$J$84</f>
        <v>0</v>
      </c>
      <c r="AF133" s="159">
        <f>-AF42*(1-AF$193)/(1+'TS1'!$J$84)*'TS1'!$J$84</f>
        <v>0</v>
      </c>
      <c r="AG133" s="159">
        <f>-AG42*(1-AG$193)/(1+'TS1'!$J$84)*'TS1'!$J$84</f>
        <v>0</v>
      </c>
      <c r="AH133" s="159">
        <f>-AH42*(1-AH$193)/(1+'TS1'!$J$84)*'TS1'!$J$84</f>
        <v>0</v>
      </c>
      <c r="AI133" s="159">
        <f>-AI42*(1-AI$193)/(1+'TS1'!$J$84)*'TS1'!$J$84</f>
        <v>0</v>
      </c>
      <c r="AJ133" s="159">
        <f>-AJ42*(1-AJ$193)/(1+'TS1'!$J$84)*'TS1'!$J$84</f>
        <v>0</v>
      </c>
      <c r="AK133" s="159">
        <f>-AK42*(1-AK$193)/(1+'TS1'!$J$84)*'TS1'!$J$84</f>
        <v>0</v>
      </c>
      <c r="AL133" s="159">
        <f>-AL42*(1-AL$193)/(1+'TS1'!$J$84)*'TS1'!$J$84</f>
        <v>0</v>
      </c>
      <c r="AM133" s="159">
        <f>-AM42*(1-AM$193)/(1+'TS1'!$J$84)*'TS1'!$J$84</f>
        <v>0</v>
      </c>
      <c r="AN133" s="159">
        <f>-AN42*(1-AN$193)/(1+'TS1'!$J$84)*'TS1'!$J$84</f>
        <v>0</v>
      </c>
      <c r="AO133" s="159">
        <f>-AO42*(1-AO$193)/(1+'TS1'!$J$84)*'TS1'!$J$84</f>
        <v>0</v>
      </c>
      <c r="AP133" s="159">
        <f>-AP42*(1-AP$193)/(1+'TS1'!$J$84)*'TS1'!$J$84</f>
        <v>0</v>
      </c>
      <c r="AQ133" s="159">
        <f>-AQ42*(1-AQ$193)/(1+'TS1'!$J$84)*'TS1'!$J$84</f>
        <v>0</v>
      </c>
      <c r="AR133" s="159">
        <f>-AR42*(1-AR$193)/(1+'TS1'!$J$84)*'TS1'!$J$84</f>
        <v>0</v>
      </c>
      <c r="AS133" s="159">
        <f>-AS42*(1-AS$193)/(1+'TS1'!$J$84)*'TS1'!$J$84</f>
        <v>0</v>
      </c>
      <c r="AT133" s="159">
        <f>-AT42*(1-AT$193)/(1+'TS1'!$J$84)*'TS1'!$J$84</f>
        <v>0</v>
      </c>
      <c r="AU133" s="159">
        <f>-AU42*(1-AU$193)/(1+'TS1'!$J$84)*'TS1'!$J$84</f>
        <v>0</v>
      </c>
      <c r="AV133" s="159">
        <f>-AV42*(1-AV$193)/(1+'TS1'!$J$84)*'TS1'!$J$84</f>
        <v>0</v>
      </c>
      <c r="AW133" s="159">
        <f>-AW42*(1-AW$193)/(1+'TS1'!$J$84)*'TS1'!$J$84</f>
        <v>0</v>
      </c>
      <c r="AX133" s="159">
        <f>-AX42*(1-AX$193)/(1+'TS1'!$J$84)*'TS1'!$J$84</f>
        <v>0</v>
      </c>
      <c r="AY133" s="159">
        <f>-AY42*(1-AY$193)/(1+'TS1'!$J$84)*'TS1'!$J$84</f>
        <v>0</v>
      </c>
      <c r="AZ133" s="159">
        <f>-AZ42*(1-AZ$193)/(1+'TS1'!$J$84)*'TS1'!$J$84</f>
        <v>0</v>
      </c>
      <c r="BA133" s="159">
        <f>-BA42*(1-BA$193)/(1+'TS1'!$J$84)*'TS1'!$J$84</f>
        <v>0</v>
      </c>
      <c r="BB133" s="159">
        <f>-BB42*(1-BB$193)/(1+'TS1'!$J$84)*'TS1'!$J$84</f>
        <v>0</v>
      </c>
      <c r="BC133" s="159">
        <f>-BC42*(1-BC$193)/(1+'TS1'!$J$84)*'TS1'!$J$84</f>
        <v>0</v>
      </c>
      <c r="BD133" s="159">
        <f>-BD42*(1-BD$193)/(1+'TS1'!$J$84)*'TS1'!$J$84</f>
        <v>0</v>
      </c>
      <c r="BE133" s="159">
        <f>-BE42*(1-BE$193)/(1+'TS1'!$J$84)*'TS1'!$J$84</f>
        <v>0</v>
      </c>
      <c r="BF133" s="159">
        <f>-BF42*(1-BF$193)/(1+'TS1'!$J$84)*'TS1'!$J$84</f>
        <v>0</v>
      </c>
      <c r="BG133" s="159">
        <f>-BG42*(1-BG$193)/(1+'TS1'!$J$84)*'TS1'!$J$84</f>
        <v>0</v>
      </c>
      <c r="BH133" s="159">
        <f>-BH42*(1-BH$193)/(1+'TS1'!$J$84)*'TS1'!$J$84</f>
        <v>0</v>
      </c>
      <c r="BI133" s="159">
        <f>-BI42*(1-BI$193)/(1+'TS1'!$J$84)*'TS1'!$J$84</f>
        <v>0</v>
      </c>
      <c r="BJ133" s="159">
        <f>-BJ42*(1-BJ$193)/(1+'TS1'!$J$84)*'TS1'!$J$84</f>
        <v>0</v>
      </c>
      <c r="BK133" s="159">
        <f>-BK42*(1-BK$193)/(1+'TS1'!$J$84)*'TS1'!$J$84</f>
        <v>0</v>
      </c>
      <c r="BL133" s="159">
        <f>-BL42*(1-BL$193)/(1+'TS1'!$J$84)*'TS1'!$J$84</f>
        <v>0</v>
      </c>
      <c r="BM133" s="159">
        <f>-BM42*(1-BM$193)/(1+'TS1'!$J$84)*'TS1'!$J$84</f>
        <v>0</v>
      </c>
    </row>
    <row r="134" spans="1:65" s="134" customFormat="1" hidden="1" outlineLevel="1">
      <c r="A134" s="156">
        <f t="shared" ref="A134:A138" si="217">-E134</f>
        <v>0</v>
      </c>
      <c r="B134" s="157"/>
      <c r="C134" s="157"/>
      <c r="D134" s="158" t="str">
        <f>'DB1'!B10</f>
        <v>ОФИСЫ</v>
      </c>
      <c r="E134" s="154">
        <f t="shared" si="215"/>
        <v>0</v>
      </c>
      <c r="F134" s="565"/>
      <c r="G134" s="565">
        <f>-SUM($F$43:G43)*(1-G$193)/(1+'TS1'!$J$84)*'TS1'!$J$84-SUM($F$134:F134)</f>
        <v>0</v>
      </c>
      <c r="H134" s="565">
        <f>-SUM($F$43:H43)*(1-H$193)/(1+'TS1'!$J$84)*'TS1'!$J$84-SUM($F$134:G134)</f>
        <v>0</v>
      </c>
      <c r="I134" s="565">
        <f>-SUM($F$43:I43)*(1-I$193)/(1+'TS1'!$J$84)*'TS1'!$J$84-SUM($F$134:H134)</f>
        <v>0</v>
      </c>
      <c r="J134" s="565">
        <f>-SUM($F$43:J43)*(1-J$193)/(1+'TS1'!$J$84)*'TS1'!$J$84-SUM($F$134:I134)</f>
        <v>0</v>
      </c>
      <c r="K134" s="565">
        <f>-SUM($F$43:K43)*(1-K$193)/(1+'TS1'!$J$84)*'TS1'!$J$84-SUM($F$134:J134)</f>
        <v>0</v>
      </c>
      <c r="L134" s="565">
        <f>-SUM($F$43:L43)*(1-L$193)/(1+'TS1'!$J$84)*'TS1'!$J$84-SUM($F$134:K134)</f>
        <v>0</v>
      </c>
      <c r="M134" s="565">
        <f>-SUM($F$43:M43)*(1-M$193)/(1+'TS1'!$J$84)*'TS1'!$J$84-SUM($F$134:L134)</f>
        <v>0</v>
      </c>
      <c r="N134" s="159">
        <f>-SUM($F$43:N43)*(1-N$193)/(1+'TS1'!$J$84)*'TS1'!$J$84-SUM($F$134:M134)</f>
        <v>0</v>
      </c>
      <c r="O134" s="159">
        <f>-SUM($F$43:O43)*(1-O$193)/(1+'TS1'!$J$84)*'TS1'!$J$84-SUM($F$134:N134)</f>
        <v>0</v>
      </c>
      <c r="P134" s="159">
        <f>-SUM($F$43:P43)*(1-P$193)/(1+'TS1'!$J$84)*'TS1'!$J$84-SUM($F$134:O134)</f>
        <v>0</v>
      </c>
      <c r="Q134" s="159">
        <f>-SUM($F$43:Q43)*(1-Q$193)/(1+'TS1'!$J$84)*'TS1'!$J$84-SUM($F$134:P134)</f>
        <v>0</v>
      </c>
      <c r="R134" s="159">
        <f>-SUM($F$43:R43)*(1-R$193)/(1+'TS1'!$J$84)*'TS1'!$J$84-SUM($F$134:Q134)</f>
        <v>0</v>
      </c>
      <c r="S134" s="159">
        <f>-SUM($F$43:S43)*(1-S$193)/(1+'TS1'!$J$84)*'TS1'!$J$84-SUM($F$134:R134)</f>
        <v>0</v>
      </c>
      <c r="T134" s="159">
        <f>-SUM($F$43:T43)*(1-T$193)/(1+'TS1'!$J$84)*'TS1'!$J$84-SUM($F$134:S134)</f>
        <v>0</v>
      </c>
      <c r="U134" s="159">
        <f>-SUM($F$43:U43)*(1-U$193)/(1+'TS1'!$J$84)*'TS1'!$J$84-SUM($F$134:T134)</f>
        <v>0</v>
      </c>
      <c r="V134" s="159">
        <f>-SUM($F$43:V43)*(1-V$193)/(1+'TS1'!$J$84)*'TS1'!$J$84-SUM($F$134:U134)</f>
        <v>0</v>
      </c>
      <c r="W134" s="159">
        <f>-SUM($F$43:W43)*(1-W$193)/(1+'TS1'!$J$84)*'TS1'!$J$84-SUM($F$134:V134)</f>
        <v>0</v>
      </c>
      <c r="X134" s="159">
        <f>-SUM($F$43:X43)*(1-X$193)/(1+'TS1'!$J$84)*'TS1'!$J$84-SUM($F$134:W134)</f>
        <v>0</v>
      </c>
      <c r="Y134" s="159">
        <f>-SUM($F$43:Y43)*(1-Y$193)/(1+'TS1'!$J$84)*'TS1'!$J$84-SUM($F$134:X134)</f>
        <v>0</v>
      </c>
      <c r="Z134" s="159">
        <f>-SUM($F$43:Z43)*(1-Z$193)/(1+'TS1'!$J$84)*'TS1'!$J$84-SUM($F$134:Y134)</f>
        <v>0</v>
      </c>
      <c r="AA134" s="159">
        <f>-SUM($F$43:AA43)*(1-AA$193)/(1+'TS1'!$J$84)*'TS1'!$J$84-SUM($F$134:Z134)</f>
        <v>0</v>
      </c>
      <c r="AB134" s="159">
        <f>-SUM($F$43:AB43)*(1-AB$193)/(1+'TS1'!$J$84)*'TS1'!$J$84-SUM($F$134:AA134)</f>
        <v>0</v>
      </c>
      <c r="AC134" s="159">
        <f>-SUM($F$43:AC43)*(1-AC$193)/(1+'TS1'!$J$84)*'TS1'!$J$84-SUM($F$134:AB134)</f>
        <v>0</v>
      </c>
      <c r="AD134" s="159">
        <f>-SUM($F$43:AD43)*(1-AD$193)/(1+'TS1'!$J$84)*'TS1'!$J$84-SUM($F$134:AC134)</f>
        <v>0</v>
      </c>
      <c r="AE134" s="159">
        <f>-SUM($F$43:AE43)*(1-AE$193)/(1+'TS1'!$J$84)*'TS1'!$J$84-SUM($F$134:AD134)</f>
        <v>0</v>
      </c>
      <c r="AF134" s="159">
        <f>-SUM($F$43:AF43)*(1-AF$193)/(1+'TS1'!$J$84)*'TS1'!$J$84-SUM($F$134:AE134)</f>
        <v>0</v>
      </c>
      <c r="AG134" s="159">
        <f>-SUM($F$43:AG43)*(1-AG$193)/(1+'TS1'!$J$84)*'TS1'!$J$84-SUM($F$134:AF134)</f>
        <v>0</v>
      </c>
      <c r="AH134" s="159">
        <f>-SUM($F$43:AH43)*(1-AH$193)/(1+'TS1'!$J$84)*'TS1'!$J$84-SUM($F$134:AG134)</f>
        <v>0</v>
      </c>
      <c r="AI134" s="159">
        <f>-SUM($F$43:AI43)*(1-AI$193)/(1+'TS1'!$J$84)*'TS1'!$J$84-SUM($F$134:AH134)</f>
        <v>0</v>
      </c>
      <c r="AJ134" s="159">
        <f>-SUM($F$43:AJ43)*(1-AJ$193)/(1+'TS1'!$J$84)*'TS1'!$J$84-SUM($F$134:AI134)</f>
        <v>0</v>
      </c>
      <c r="AK134" s="159">
        <f>-SUM($F$43:AK43)*(1-AK$193)/(1+'TS1'!$J$84)*'TS1'!$J$84-SUM($F$134:AJ134)</f>
        <v>0</v>
      </c>
      <c r="AL134" s="159">
        <f>-SUM($F$43:AL43)*(1-AL$193)/(1+'TS1'!$J$84)*'TS1'!$J$84-SUM($F$134:AK134)</f>
        <v>0</v>
      </c>
      <c r="AM134" s="159">
        <f>-SUM($F$43:AM43)*(1-AM$193)/(1+'TS1'!$J$84)*'TS1'!$J$84-SUM($F$134:AL134)</f>
        <v>0</v>
      </c>
      <c r="AN134" s="159">
        <f>-SUM($F$43:AN43)*(1-AN$193)/(1+'TS1'!$J$84)*'TS1'!$J$84-SUM($F$134:AM134)</f>
        <v>0</v>
      </c>
      <c r="AO134" s="159">
        <f>-SUM($F$43:AO43)*(1-AO$193)/(1+'TS1'!$J$84)*'TS1'!$J$84-SUM($F$134:AN134)</f>
        <v>0</v>
      </c>
      <c r="AP134" s="159">
        <f>-SUM($F$43:AP43)*(1-AP$193)/(1+'TS1'!$J$84)*'TS1'!$J$84-SUM($F$134:AO134)</f>
        <v>0</v>
      </c>
      <c r="AQ134" s="159">
        <f>-SUM($F$43:AQ43)*(1-AQ$193)/(1+'TS1'!$J$84)*'TS1'!$J$84-SUM($F$134:AP134)</f>
        <v>0</v>
      </c>
      <c r="AR134" s="159">
        <f>-SUM($F$43:AR43)*(1-AR$193)/(1+'TS1'!$J$84)*'TS1'!$J$84-SUM($F$134:AQ134)</f>
        <v>0</v>
      </c>
      <c r="AS134" s="159">
        <f>-SUM($F$43:AS43)*(1-AS$193)/(1+'TS1'!$J$84)*'TS1'!$J$84-SUM($F$134:AR134)</f>
        <v>0</v>
      </c>
      <c r="AT134" s="159">
        <f>-SUM($F$43:AT43)*(1-AT$193)/(1+'TS1'!$J$84)*'TS1'!$J$84-SUM($F$134:AS134)</f>
        <v>0</v>
      </c>
      <c r="AU134" s="159">
        <f>-SUM($F$43:AU43)*(1-AU$193)/(1+'TS1'!$J$84)*'TS1'!$J$84-SUM($F$134:AT134)</f>
        <v>0</v>
      </c>
      <c r="AV134" s="159">
        <f>-SUM($F$43:AV43)*(1-AV$193)/(1+'TS1'!$J$84)*'TS1'!$J$84-SUM($F$134:AU134)</f>
        <v>0</v>
      </c>
      <c r="AW134" s="159">
        <f>-SUM($F$43:AW43)*(1-AW$193)/(1+'TS1'!$J$84)*'TS1'!$J$84-SUM($F$134:AV134)</f>
        <v>0</v>
      </c>
      <c r="AX134" s="159">
        <f>-SUM($F$43:AX43)*(1-AX$193)/(1+'TS1'!$J$84)*'TS1'!$J$84-SUM($F$134:AW134)</f>
        <v>0</v>
      </c>
      <c r="AY134" s="159">
        <f>-SUM($F$43:AY43)*(1-AY$193)/(1+'TS1'!$J$84)*'TS1'!$J$84-SUM($F$134:AX134)</f>
        <v>0</v>
      </c>
      <c r="AZ134" s="159">
        <f>-SUM($F$43:AZ43)*(1-AZ$193)/(1+'TS1'!$J$84)*'TS1'!$J$84-SUM($F$134:AY134)</f>
        <v>0</v>
      </c>
      <c r="BA134" s="159">
        <f>-SUM($F$43:BA43)*(1-BA$193)/(1+'TS1'!$J$84)*'TS1'!$J$84-SUM($F$134:AZ134)</f>
        <v>0</v>
      </c>
      <c r="BB134" s="159">
        <f>-SUM($F$43:BB43)*(1-BB$193)/(1+'TS1'!$J$84)*'TS1'!$J$84-SUM($F$134:BA134)</f>
        <v>0</v>
      </c>
      <c r="BC134" s="159">
        <f>-SUM($F$43:BC43)*(1-BC$193)/(1+'TS1'!$J$84)*'TS1'!$J$84-SUM($F$134:BB134)</f>
        <v>0</v>
      </c>
      <c r="BD134" s="159">
        <f>-SUM($F$43:BD43)*(1-BD$193)/(1+'TS1'!$J$84)*'TS1'!$J$84-SUM($F$134:BC134)</f>
        <v>0</v>
      </c>
      <c r="BE134" s="159">
        <f>-SUM($F$43:BE43)*(1-BE$193)/(1+'TS1'!$J$84)*'TS1'!$J$84-SUM($F$134:BD134)</f>
        <v>0</v>
      </c>
      <c r="BF134" s="159">
        <f>-SUM($F$43:BF43)*(1-BF$193)/(1+'TS1'!$J$84)*'TS1'!$J$84-SUM($F$134:BE134)</f>
        <v>0</v>
      </c>
      <c r="BG134" s="159">
        <f>-SUM($F$43:BG43)*(1-BG$193)/(1+'TS1'!$J$84)*'TS1'!$J$84-SUM($F$134:BF134)</f>
        <v>0</v>
      </c>
      <c r="BH134" s="159">
        <f>-SUM($F$43:BH43)*(1-BH$193)/(1+'TS1'!$J$84)*'TS1'!$J$84-SUM($F$134:BG134)</f>
        <v>0</v>
      </c>
      <c r="BI134" s="159">
        <f>-SUM($F$43:BI43)*(1-BI$193)/(1+'TS1'!$J$84)*'TS1'!$J$84-SUM($F$134:BH134)</f>
        <v>0</v>
      </c>
      <c r="BJ134" s="159">
        <f>-SUM($F$43:BJ43)*(1-BJ$193)/(1+'TS1'!$J$84)*'TS1'!$J$84-SUM($F$134:BI134)</f>
        <v>0</v>
      </c>
      <c r="BK134" s="159">
        <f>-SUM($F$43:BK43)*(1-BK$193)/(1+'TS1'!$J$84)*'TS1'!$J$84-SUM($F$134:BJ134)</f>
        <v>0</v>
      </c>
      <c r="BL134" s="159">
        <f>-SUM($F$43:BL43)*(1-BL$193)/(1+'TS1'!$J$84)*'TS1'!$J$84-SUM($F$134:BK134)</f>
        <v>0</v>
      </c>
      <c r="BM134" s="159">
        <f>-SUM($F$43:BM43)*(1-BM$193)/(1+'TS1'!$J$84)*'TS1'!$J$84-SUM($F$134:BL134)</f>
        <v>0</v>
      </c>
    </row>
    <row r="135" spans="1:65" s="134" customFormat="1" hidden="1" outlineLevel="1">
      <c r="A135" s="156">
        <f t="shared" si="217"/>
        <v>708.56467500000008</v>
      </c>
      <c r="B135" s="157"/>
      <c r="C135" s="157"/>
      <c r="D135" s="158" t="str">
        <f>'DB1'!B11</f>
        <v>РИТЕЙЛ</v>
      </c>
      <c r="E135" s="154">
        <f t="shared" si="215"/>
        <v>-708.56467500000008</v>
      </c>
      <c r="F135" s="565">
        <f>-F44*(1-F$193)/(1+'TS1'!$J$84)*'TS1'!$J$84</f>
        <v>0</v>
      </c>
      <c r="G135" s="565">
        <f>-G44*(1-G$193)/(1+'TS1'!$J$84)*'TS1'!$J$84</f>
        <v>0</v>
      </c>
      <c r="H135" s="565">
        <f>-H44*(1-H$193)/(1+'TS1'!$J$84)*'TS1'!$J$84</f>
        <v>0</v>
      </c>
      <c r="I135" s="565">
        <f>-I44*(1-I$193)/(1+'TS1'!$J$84)*'TS1'!$J$84</f>
        <v>0</v>
      </c>
      <c r="J135" s="565">
        <f>-J44*(1-J$193)/(1+'TS1'!$J$84)*'TS1'!$J$84</f>
        <v>0</v>
      </c>
      <c r="K135" s="565">
        <f>-K44*(1-K$193)/(1+'TS1'!$J$84)*'TS1'!$J$84</f>
        <v>0</v>
      </c>
      <c r="L135" s="565">
        <f>-L44*(1-L$193)/(1+'TS1'!$J$84)*'TS1'!$J$84</f>
        <v>0</v>
      </c>
      <c r="M135" s="565">
        <f>-M44*(1-M$193)/(1+'TS1'!$J$84)*'TS1'!$J$84</f>
        <v>0</v>
      </c>
      <c r="N135" s="159">
        <f>-N44*(1-N$193)/(1+'TS1'!$J$84)*'TS1'!$J$84</f>
        <v>0</v>
      </c>
      <c r="O135" s="159">
        <f>-O44*(1-O$193)/(1+'TS1'!$J$84)*'TS1'!$J$84</f>
        <v>0</v>
      </c>
      <c r="P135" s="159">
        <f>-P44*(1-P$193)/(1+'TS1'!$J$84)*'TS1'!$J$84</f>
        <v>0</v>
      </c>
      <c r="Q135" s="159">
        <f>-Q44*(1-Q$193)/(1+'TS1'!$J$84)*'TS1'!$J$84</f>
        <v>0</v>
      </c>
      <c r="R135" s="159">
        <f>-R44*(1-R$193)/(1+'TS1'!$J$84)*'TS1'!$J$84</f>
        <v>0</v>
      </c>
      <c r="S135" s="159">
        <f>-S44*(1-S$193)/(1+'TS1'!$J$84)*'TS1'!$J$84</f>
        <v>0</v>
      </c>
      <c r="T135" s="159">
        <f>-T44*(1-T$193)/(1+'TS1'!$J$84)*'TS1'!$J$84</f>
        <v>0</v>
      </c>
      <c r="U135" s="159">
        <f>-U44*(1-U$193)/(1+'TS1'!$J$84)*'TS1'!$J$84</f>
        <v>0</v>
      </c>
      <c r="V135" s="159">
        <f>-V44*(1-V$193)/(1+'TS1'!$J$84)*'TS1'!$J$84</f>
        <v>0</v>
      </c>
      <c r="W135" s="159">
        <f>-W44*(1-W$193)/(1+'TS1'!$J$84)*'TS1'!$J$84</f>
        <v>0</v>
      </c>
      <c r="X135" s="159">
        <f>-X44*(1-X$193)/(1+'TS1'!$J$84)*'TS1'!$J$84</f>
        <v>0</v>
      </c>
      <c r="Y135" s="159">
        <f>-Y44*(1-Y$193)/(1+'TS1'!$J$84)*'TS1'!$J$84</f>
        <v>0</v>
      </c>
      <c r="Z135" s="159">
        <f>-Z44*(1-Z$193)/(1+'TS1'!$J$84)*'TS1'!$J$84</f>
        <v>0</v>
      </c>
      <c r="AA135" s="159">
        <f>-AA44*(1-AA$193)/(1+'TS1'!$J$84)*'TS1'!$J$84</f>
        <v>0</v>
      </c>
      <c r="AB135" s="159">
        <f>-AB44*(1-AB$193)/(1+'TS1'!$J$84)*'TS1'!$J$84</f>
        <v>0</v>
      </c>
      <c r="AC135" s="159">
        <f>-AC44*(1-AC$193)/(1+'TS1'!$J$84)*'TS1'!$J$84</f>
        <v>0</v>
      </c>
      <c r="AD135" s="159">
        <f>-AD44*(1-AD$193)/(1+'TS1'!$J$84)*'TS1'!$J$84</f>
        <v>0</v>
      </c>
      <c r="AE135" s="159">
        <f>-AE44*(1-AE$193)/(1+'TS1'!$J$84)*'TS1'!$J$84</f>
        <v>0</v>
      </c>
      <c r="AF135" s="159">
        <f>-AF44*(1-AF$193)/(1+'TS1'!$J$84)*'TS1'!$J$84</f>
        <v>0</v>
      </c>
      <c r="AG135" s="159">
        <f>-AG44*(1-AG$193)/(1+'TS1'!$J$84)*'TS1'!$J$84</f>
        <v>-205.17892500000005</v>
      </c>
      <c r="AH135" s="159">
        <f>-AH44*(1-AH$193)/(1+'TS1'!$J$84)*'TS1'!$J$84</f>
        <v>-205.17892500000005</v>
      </c>
      <c r="AI135" s="159">
        <f>-AI44*(1-AI$193)/(1+'TS1'!$J$84)*'TS1'!$J$84</f>
        <v>0</v>
      </c>
      <c r="AJ135" s="159">
        <f>-AJ44*(1-AJ$193)/(1+'TS1'!$J$84)*'TS1'!$J$84</f>
        <v>0</v>
      </c>
      <c r="AK135" s="159">
        <f>-AK44*(1-AK$193)/(1+'TS1'!$J$84)*'TS1'!$J$84</f>
        <v>-149.10341249999996</v>
      </c>
      <c r="AL135" s="159">
        <f>-AL44*(1-AL$193)/(1+'TS1'!$J$84)*'TS1'!$J$84</f>
        <v>-149.10341249999996</v>
      </c>
      <c r="AM135" s="159">
        <f>-AM44*(1-AM$193)/(1+'TS1'!$J$84)*'TS1'!$J$84</f>
        <v>0</v>
      </c>
      <c r="AN135" s="159">
        <f>-AN44*(1-AN$193)/(1+'TS1'!$J$84)*'TS1'!$J$84</f>
        <v>0</v>
      </c>
      <c r="AO135" s="159">
        <f>-AO44*(1-AO$193)/(1+'TS1'!$J$84)*'TS1'!$J$84</f>
        <v>0</v>
      </c>
      <c r="AP135" s="159">
        <f>-AP44*(1-AP$193)/(1+'TS1'!$J$84)*'TS1'!$J$84</f>
        <v>0</v>
      </c>
      <c r="AQ135" s="159">
        <f>-AQ44*(1-AQ$193)/(1+'TS1'!$J$84)*'TS1'!$J$84</f>
        <v>0</v>
      </c>
      <c r="AR135" s="159">
        <f>-AR44*(1-AR$193)/(1+'TS1'!$J$84)*'TS1'!$J$84</f>
        <v>0</v>
      </c>
      <c r="AS135" s="159">
        <f>-AS44*(1-AS$193)/(1+'TS1'!$J$84)*'TS1'!$J$84</f>
        <v>0</v>
      </c>
      <c r="AT135" s="159">
        <f>-AT44*(1-AT$193)/(1+'TS1'!$J$84)*'TS1'!$J$84</f>
        <v>0</v>
      </c>
      <c r="AU135" s="159">
        <f>-AU44*(1-AU$193)/(1+'TS1'!$J$84)*'TS1'!$J$84</f>
        <v>0</v>
      </c>
      <c r="AV135" s="159">
        <f>-AV44*(1-AV$193)/(1+'TS1'!$J$84)*'TS1'!$J$84</f>
        <v>0</v>
      </c>
      <c r="AW135" s="159">
        <f>-AW44*(1-AW$193)/(1+'TS1'!$J$84)*'TS1'!$J$84</f>
        <v>0</v>
      </c>
      <c r="AX135" s="159">
        <f>-AX44*(1-AX$193)/(1+'TS1'!$J$84)*'TS1'!$J$84</f>
        <v>0</v>
      </c>
      <c r="AY135" s="159">
        <f>-AY44*(1-AY$193)/(1+'TS1'!$J$84)*'TS1'!$J$84</f>
        <v>0</v>
      </c>
      <c r="AZ135" s="159">
        <f>-AZ44*(1-AZ$193)/(1+'TS1'!$J$84)*'TS1'!$J$84</f>
        <v>0</v>
      </c>
      <c r="BA135" s="159">
        <f>-BA44*(1-BA$193)/(1+'TS1'!$J$84)*'TS1'!$J$84</f>
        <v>0</v>
      </c>
      <c r="BB135" s="159">
        <f>-BB44*(1-BB$193)/(1+'TS1'!$J$84)*'TS1'!$J$84</f>
        <v>0</v>
      </c>
      <c r="BC135" s="159">
        <f>-BC44*(1-BC$193)/(1+'TS1'!$J$84)*'TS1'!$J$84</f>
        <v>0</v>
      </c>
      <c r="BD135" s="159">
        <f>-BD44*(1-BD$193)/(1+'TS1'!$J$84)*'TS1'!$J$84</f>
        <v>0</v>
      </c>
      <c r="BE135" s="159">
        <f>-BE44*(1-BE$193)/(1+'TS1'!$J$84)*'TS1'!$J$84</f>
        <v>0</v>
      </c>
      <c r="BF135" s="159">
        <f>-BF44*(1-BF$193)/(1+'TS1'!$J$84)*'TS1'!$J$84</f>
        <v>0</v>
      </c>
      <c r="BG135" s="159">
        <f>-BG44*(1-BG$193)/(1+'TS1'!$J$84)*'TS1'!$J$84</f>
        <v>0</v>
      </c>
      <c r="BH135" s="159">
        <f>-BH44*(1-BH$193)/(1+'TS1'!$J$84)*'TS1'!$J$84</f>
        <v>0</v>
      </c>
      <c r="BI135" s="159">
        <f>-BI44*(1-BI$193)/(1+'TS1'!$J$84)*'TS1'!$J$84</f>
        <v>0</v>
      </c>
      <c r="BJ135" s="159">
        <f>-BJ44*(1-BJ$193)/(1+'TS1'!$J$84)*'TS1'!$J$84</f>
        <v>0</v>
      </c>
      <c r="BK135" s="159">
        <f>-BK44*(1-BK$193)/(1+'TS1'!$J$84)*'TS1'!$J$84</f>
        <v>0</v>
      </c>
      <c r="BL135" s="159">
        <f>-BL44*(1-BL$193)/(1+'TS1'!$J$84)*'TS1'!$J$84</f>
        <v>0</v>
      </c>
      <c r="BM135" s="159">
        <f>-BM44*(1-BM$193)/(1+'TS1'!$J$84)*'TS1'!$J$84</f>
        <v>0</v>
      </c>
    </row>
    <row r="136" spans="1:65" s="134" customFormat="1" hidden="1" outlineLevel="1">
      <c r="A136" s="156">
        <f t="shared" si="217"/>
        <v>0</v>
      </c>
      <c r="B136" s="157"/>
      <c r="C136" s="157"/>
      <c r="D136" s="158" t="str">
        <f>'DB1'!B12</f>
        <v>ТЦ</v>
      </c>
      <c r="E136" s="154">
        <f t="shared" si="215"/>
        <v>0</v>
      </c>
      <c r="F136" s="565">
        <f>-F48*(1-F$193)/(1+'TS1'!$J$84)*'TS1'!$J$84</f>
        <v>0</v>
      </c>
      <c r="G136" s="565">
        <f>-SUM($F$47:G47)*(1-G$193)/(1+'TS1'!$J$84)*'TS1'!$J$84-SUM($F$136:F136)</f>
        <v>0</v>
      </c>
      <c r="H136" s="565">
        <f>-SUM($F$47:H47)*(1-H$193)/(1+'TS1'!$J$84)*'TS1'!$J$84-SUM($F$136:G136)</f>
        <v>0</v>
      </c>
      <c r="I136" s="565">
        <f>-SUM($F$47:I47)*(1-I$193)/(1+'TS1'!$J$84)*'TS1'!$J$84-SUM($F$136:H136)</f>
        <v>0</v>
      </c>
      <c r="J136" s="565">
        <f>-SUM($F$47:J47)*(1-J$193)/(1+'TS1'!$J$84)*'TS1'!$J$84-SUM($F$136:I136)</f>
        <v>0</v>
      </c>
      <c r="K136" s="565">
        <f>-SUM($F$47:K47)*(1-K$193)/(1+'TS1'!$J$84)*'TS1'!$J$84-SUM($F$136:J136)</f>
        <v>0</v>
      </c>
      <c r="L136" s="565">
        <f>-SUM($F$47:L47)*(1-L$193)/(1+'TS1'!$J$84)*'TS1'!$J$84-SUM($F$136:K136)</f>
        <v>0</v>
      </c>
      <c r="M136" s="565">
        <f>-SUM($F$47:M47)*(1-M$193)/(1+'TS1'!$J$84)*'TS1'!$J$84-SUM($F$136:L136)</f>
        <v>0</v>
      </c>
      <c r="N136" s="159">
        <f>-SUM($F$47:N47)*(1-N$193)/(1+'TS1'!$J$84)*'TS1'!$J$84-SUM($F$136:M136)</f>
        <v>0</v>
      </c>
      <c r="O136" s="159">
        <f>-SUM($F$47:O47)*(1-O$193)/(1+'TS1'!$J$84)*'TS1'!$J$84-SUM($F$136:N136)</f>
        <v>0</v>
      </c>
      <c r="P136" s="159">
        <f>-SUM($F$47:P47)*(1-P$193)/(1+'TS1'!$J$84)*'TS1'!$J$84-SUM($F$136:O136)</f>
        <v>0</v>
      </c>
      <c r="Q136" s="159">
        <f>-SUM($F$47:Q47)*(1-Q$193)/(1+'TS1'!$J$84)*'TS1'!$J$84-SUM($F$136:P136)</f>
        <v>0</v>
      </c>
      <c r="R136" s="159">
        <f>-SUM($F$47:R47)*(1-R$193)/(1+'TS1'!$J$84)*'TS1'!$J$84-SUM($F$136:Q136)</f>
        <v>0</v>
      </c>
      <c r="S136" s="159">
        <f>-SUM($F$47:S47)*(1-S$193)/(1+'TS1'!$J$84)*'TS1'!$J$84-SUM($F$136:R136)</f>
        <v>0</v>
      </c>
      <c r="T136" s="159">
        <f>-SUM($F$47:T47)*(1-T$193)/(1+'TS1'!$J$84)*'TS1'!$J$84-SUM($F$136:S136)</f>
        <v>0</v>
      </c>
      <c r="U136" s="159">
        <f>-SUM($F$47:U47)*(1-U$193)/(1+'TS1'!$J$84)*'TS1'!$J$84-SUM($F$136:T136)</f>
        <v>0</v>
      </c>
      <c r="V136" s="159">
        <f>-SUM($F$47:V47)*(1-V$193)/(1+'TS1'!$J$84)*'TS1'!$J$84-SUM($F$136:U136)</f>
        <v>0</v>
      </c>
      <c r="W136" s="159">
        <f>-SUM($F$47:W47)*(1-W$193)/(1+'TS1'!$J$84)*'TS1'!$J$84-SUM($F$136:V136)</f>
        <v>0</v>
      </c>
      <c r="X136" s="159">
        <f>-SUM($F$47:X47)*(1-X$193)/(1+'TS1'!$J$84)*'TS1'!$J$84-SUM($F$136:W136)</f>
        <v>0</v>
      </c>
      <c r="Y136" s="159">
        <f>-SUM($F$47:Y47)*(1-Y$193)/(1+'TS1'!$J$84)*'TS1'!$J$84-SUM($F$136:X136)</f>
        <v>0</v>
      </c>
      <c r="Z136" s="159">
        <f>-SUM($F$47:Z47)*(1-Z$193)/(1+'TS1'!$J$84)*'TS1'!$J$84-SUM($F$136:Y136)</f>
        <v>0</v>
      </c>
      <c r="AA136" s="159">
        <f>-SUM($F$47:AA47)*(1-AA$193)/(1+'TS1'!$J$84)*'TS1'!$J$84-SUM($F$136:Z136)</f>
        <v>0</v>
      </c>
      <c r="AB136" s="159">
        <f>-SUM($F$47:AB47)*(1-AB$193)/(1+'TS1'!$J$84)*'TS1'!$J$84-SUM($F$136:AA136)</f>
        <v>0</v>
      </c>
      <c r="AC136" s="159">
        <f>-SUM($F$47:AC47)*(1-AC$193)/(1+'TS1'!$J$84)*'TS1'!$J$84-SUM($F$136:AB136)</f>
        <v>0</v>
      </c>
      <c r="AD136" s="159">
        <f>-SUM($F$47:AD47)*(1-AD$193)/(1+'TS1'!$J$84)*'TS1'!$J$84-SUM($F$136:AC136)</f>
        <v>0</v>
      </c>
      <c r="AE136" s="159">
        <f>-SUM($F$47:AE47)*(1-AE$193)/(1+'TS1'!$J$84)*'TS1'!$J$84-SUM($F$136:AD136)</f>
        <v>0</v>
      </c>
      <c r="AF136" s="159">
        <f>-SUM($F$47:AF47)*(1-AF$193)/(1+'TS1'!$J$84)*'TS1'!$J$84-SUM($F$136:AE136)</f>
        <v>0</v>
      </c>
      <c r="AG136" s="159">
        <f>-SUM($F$47:AG47)*(1-AG$193)/(1+'TS1'!$J$84)*'TS1'!$J$84-SUM($F$136:AF136)</f>
        <v>0</v>
      </c>
      <c r="AH136" s="159">
        <f>-SUM($F$47:AH47)*(1-AH$193)/(1+'TS1'!$J$84)*'TS1'!$J$84-SUM($F$136:AG136)</f>
        <v>0</v>
      </c>
      <c r="AI136" s="159">
        <f>-SUM($F$47:AI47)*(1-AI$193)/(1+'TS1'!$J$84)*'TS1'!$J$84-SUM($F$136:AH136)</f>
        <v>0</v>
      </c>
      <c r="AJ136" s="159">
        <f>-SUM($F$47:AJ47)*(1-AJ$193)/(1+'TS1'!$J$84)*'TS1'!$J$84-SUM($F$136:AI136)</f>
        <v>0</v>
      </c>
      <c r="AK136" s="159">
        <f>-SUM($F$47:AK47)*(1-AK$193)/(1+'TS1'!$J$84)*'TS1'!$J$84-SUM($F$136:AJ136)</f>
        <v>0</v>
      </c>
      <c r="AL136" s="159">
        <f>-SUM($F$47:AL47)*(1-AL$193)/(1+'TS1'!$J$84)*'TS1'!$J$84-SUM($F$136:AK136)</f>
        <v>0</v>
      </c>
      <c r="AM136" s="159">
        <f>-SUM($F$47:AM47)*(1-AM$193)/(1+'TS1'!$J$84)*'TS1'!$J$84-SUM($F$136:AL136)</f>
        <v>0</v>
      </c>
      <c r="AN136" s="159">
        <f>-SUM($F$47:AN47)*(1-AN$193)/(1+'TS1'!$J$84)*'TS1'!$J$84-SUM($F$136:AM136)</f>
        <v>0</v>
      </c>
      <c r="AO136" s="159">
        <f>-SUM($F$47:AO47)*(1-AO$193)/(1+'TS1'!$J$84)*'TS1'!$J$84-SUM($F$136:AN136)</f>
        <v>0</v>
      </c>
      <c r="AP136" s="159">
        <f>-SUM($F$47:AP47)*(1-AP$193)/(1+'TS1'!$J$84)*'TS1'!$J$84-SUM($F$136:AO136)</f>
        <v>0</v>
      </c>
      <c r="AQ136" s="159">
        <f>-SUM($F$47:AQ47)*(1-AQ$193)/(1+'TS1'!$J$84)*'TS1'!$J$84-SUM($F$136:AP136)</f>
        <v>0</v>
      </c>
      <c r="AR136" s="159">
        <f>-SUM($F$47:AR47)*(1-AR$193)/(1+'TS1'!$J$84)*'TS1'!$J$84-SUM($F$136:AQ136)</f>
        <v>0</v>
      </c>
      <c r="AS136" s="159">
        <f>-SUM($F$47:AS47)*(1-AS$193)/(1+'TS1'!$J$84)*'TS1'!$J$84-SUM($F$136:AR136)</f>
        <v>0</v>
      </c>
      <c r="AT136" s="159">
        <f>-SUM($F$47:AT47)*(1-AT$193)/(1+'TS1'!$J$84)*'TS1'!$J$84-SUM($F$136:AS136)</f>
        <v>0</v>
      </c>
      <c r="AU136" s="159">
        <f>-SUM($F$47:AU47)*(1-AU$193)/(1+'TS1'!$J$84)*'TS1'!$J$84-SUM($F$136:AT136)</f>
        <v>0</v>
      </c>
      <c r="AV136" s="159">
        <f>-SUM($F$47:AV47)*(1-AV$193)/(1+'TS1'!$J$84)*'TS1'!$J$84-SUM($F$136:AU136)</f>
        <v>0</v>
      </c>
      <c r="AW136" s="159">
        <f>-SUM($F$47:AW47)*(1-AW$193)/(1+'TS1'!$J$84)*'TS1'!$J$84-SUM($F$136:AV136)</f>
        <v>0</v>
      </c>
      <c r="AX136" s="159">
        <f>-SUM($F$47:AX47)*(1-AX$193)/(1+'TS1'!$J$84)*'TS1'!$J$84-SUM($F$136:AW136)</f>
        <v>0</v>
      </c>
      <c r="AY136" s="159">
        <f>-SUM($F$47:AY47)*(1-AY$193)/(1+'TS1'!$J$84)*'TS1'!$J$84-SUM($F$136:AX136)</f>
        <v>0</v>
      </c>
      <c r="AZ136" s="159">
        <f>-SUM($F$47:AZ47)*(1-AZ$193)/(1+'TS1'!$J$84)*'TS1'!$J$84-SUM($F$136:AY136)</f>
        <v>0</v>
      </c>
      <c r="BA136" s="159">
        <f>-SUM($F$47:BA47)*(1-BA$193)/(1+'TS1'!$J$84)*'TS1'!$J$84-SUM($F$136:AZ136)</f>
        <v>0</v>
      </c>
      <c r="BB136" s="159">
        <f>-SUM($F$47:BB47)*(1-BB$193)/(1+'TS1'!$J$84)*'TS1'!$J$84-SUM($F$136:BA136)</f>
        <v>0</v>
      </c>
      <c r="BC136" s="159">
        <f>-SUM($F$47:BC47)*(1-BC$193)/(1+'TS1'!$J$84)*'TS1'!$J$84-SUM($F$136:BB136)</f>
        <v>0</v>
      </c>
      <c r="BD136" s="159">
        <f>-SUM($F$47:BD47)*(1-BD$193)/(1+'TS1'!$J$84)*'TS1'!$J$84-SUM($F$136:BC136)</f>
        <v>0</v>
      </c>
      <c r="BE136" s="159">
        <f>-SUM($F$47:BE47)*(1-BE$193)/(1+'TS1'!$J$84)*'TS1'!$J$84-SUM($F$136:BD136)</f>
        <v>0</v>
      </c>
      <c r="BF136" s="159">
        <f>-SUM($F$47:BF47)*(1-BF$193)/(1+'TS1'!$J$84)*'TS1'!$J$84-SUM($F$136:BE136)</f>
        <v>0</v>
      </c>
      <c r="BG136" s="159">
        <f>-SUM($F$47:BG47)*(1-BG$193)/(1+'TS1'!$J$84)*'TS1'!$J$84-SUM($F$136:BF136)</f>
        <v>0</v>
      </c>
      <c r="BH136" s="159">
        <f>-SUM($F$47:BH47)*(1-BH$193)/(1+'TS1'!$J$84)*'TS1'!$J$84-SUM($F$136:BG136)</f>
        <v>0</v>
      </c>
      <c r="BI136" s="159">
        <f>-SUM($F$47:BI47)*(1-BI$193)/(1+'TS1'!$J$84)*'TS1'!$J$84-SUM($F$136:BH136)</f>
        <v>0</v>
      </c>
      <c r="BJ136" s="159">
        <f>-SUM($F$47:BJ47)*(1-BJ$193)/(1+'TS1'!$J$84)*'TS1'!$J$84-SUM($F$136:BI136)</f>
        <v>0</v>
      </c>
      <c r="BK136" s="159">
        <f>-SUM($F$47:BK47)*(1-BK$193)/(1+'TS1'!$J$84)*'TS1'!$J$84-SUM($F$136:BJ136)</f>
        <v>0</v>
      </c>
      <c r="BL136" s="159">
        <f>-SUM($F$47:BL47)*(1-BL$193)/(1+'TS1'!$J$84)*'TS1'!$J$84-SUM($F$136:BK136)</f>
        <v>0</v>
      </c>
      <c r="BM136" s="159">
        <f>-SUM($F$47:BM47)*(1-BM$193)/(1+'TS1'!$J$84)*'TS1'!$J$84-SUM($F$136:BL136)</f>
        <v>0</v>
      </c>
    </row>
    <row r="137" spans="1:65" s="134" customFormat="1" hidden="1" outlineLevel="1">
      <c r="A137" s="156">
        <f t="shared" si="217"/>
        <v>384</v>
      </c>
      <c r="B137" s="157"/>
      <c r="C137" s="157"/>
      <c r="D137" s="158" t="str">
        <f>'DB1'!B16</f>
        <v>ПАРКИНГ ЖИЛЬЕ</v>
      </c>
      <c r="E137" s="154">
        <f t="shared" si="215"/>
        <v>-384</v>
      </c>
      <c r="F137" s="565">
        <f>-F51*(1-F$193)/(1+'TS1'!$J$84)*'TS1'!$J$84</f>
        <v>0</v>
      </c>
      <c r="G137" s="565">
        <f>-G48*(1-G$193)/(1+'TS1'!$J$84)*'TS1'!$J$84</f>
        <v>0</v>
      </c>
      <c r="H137" s="565">
        <f>-H48*(1-H$193)/(1+'TS1'!$J$84)*'TS1'!$J$84</f>
        <v>0</v>
      </c>
      <c r="I137" s="565">
        <f>-I48*(1-I$193)/(1+'TS1'!$J$84)*'TS1'!$J$84</f>
        <v>0</v>
      </c>
      <c r="J137" s="565">
        <f>-J48*(1-J$193)/(1+'TS1'!$J$84)*'TS1'!$J$84</f>
        <v>0</v>
      </c>
      <c r="K137" s="565">
        <f>-K48*(1-K$193)/(1+'TS1'!$J$84)*'TS1'!$J$84</f>
        <v>0</v>
      </c>
      <c r="L137" s="565">
        <f>-L48*(1-L$193)/(1+'TS1'!$J$84)*'TS1'!$J$84</f>
        <v>0</v>
      </c>
      <c r="M137" s="565">
        <f>-M48*(1-M$193)/(1+'TS1'!$J$84)*'TS1'!$J$84</f>
        <v>0</v>
      </c>
      <c r="N137" s="159">
        <f>-N48*(1-N$193)/(1+'TS1'!$J$84)*'TS1'!$J$84</f>
        <v>0</v>
      </c>
      <c r="O137" s="159">
        <f>-O48*(1-O$193)/(1+'TS1'!$J$84)*'TS1'!$J$84</f>
        <v>0</v>
      </c>
      <c r="P137" s="159">
        <f>-P48*(1-P$193)/(1+'TS1'!$J$84)*'TS1'!$J$84</f>
        <v>0</v>
      </c>
      <c r="Q137" s="159">
        <f>-Q48*(1-Q$193)/(1+'TS1'!$J$84)*'TS1'!$J$84</f>
        <v>0</v>
      </c>
      <c r="R137" s="159">
        <f>-R48*(1-R$193)/(1+'TS1'!$J$84)*'TS1'!$J$84</f>
        <v>0</v>
      </c>
      <c r="S137" s="159">
        <f>-S48*(1-S$193)/(1+'TS1'!$J$84)*'TS1'!$J$84</f>
        <v>0</v>
      </c>
      <c r="T137" s="159">
        <f>-T48*(1-T$193)/(1+'TS1'!$J$84)*'TS1'!$J$84</f>
        <v>0</v>
      </c>
      <c r="U137" s="159">
        <f>-U48*(1-U$193)/(1+'TS1'!$J$84)*'TS1'!$J$84</f>
        <v>0</v>
      </c>
      <c r="V137" s="159">
        <f>-V48*(1-V$193)/(1+'TS1'!$J$84)*'TS1'!$J$84</f>
        <v>0</v>
      </c>
      <c r="W137" s="159">
        <f>-W48*(1-W$193)/(1+'TS1'!$J$84)*'TS1'!$J$84</f>
        <v>0</v>
      </c>
      <c r="X137" s="159">
        <f>-X48*(1-X$193)/(1+'TS1'!$J$84)*'TS1'!$J$84</f>
        <v>0</v>
      </c>
      <c r="Y137" s="159">
        <f>-Y48*(1-Y$193)/(1+'TS1'!$J$84)*'TS1'!$J$84</f>
        <v>0</v>
      </c>
      <c r="Z137" s="159">
        <f>-Z48*(1-Z$193)/(1+'TS1'!$J$84)*'TS1'!$J$84</f>
        <v>0</v>
      </c>
      <c r="AA137" s="159">
        <f>-AA48*(1-AA$193)/(1+'TS1'!$J$84)*'TS1'!$J$84</f>
        <v>0</v>
      </c>
      <c r="AB137" s="159">
        <f>-AB48*(1-AB$193)/(1+'TS1'!$J$84)*'TS1'!$J$84</f>
        <v>0</v>
      </c>
      <c r="AC137" s="159">
        <f>-AC48*(1-AC$193)/(1+'TS1'!$J$84)*'TS1'!$J$84</f>
        <v>0</v>
      </c>
      <c r="AD137" s="159">
        <f>-AD48*(1-AD$193)/(1+'TS1'!$J$84)*'TS1'!$J$84</f>
        <v>0</v>
      </c>
      <c r="AE137" s="159">
        <f>-AE48*(1-AE$193)/(1+'TS1'!$J$84)*'TS1'!$J$84</f>
        <v>0</v>
      </c>
      <c r="AF137" s="159">
        <f>-AF48*(1-AF$193)/(1+'TS1'!$J$84)*'TS1'!$J$84</f>
        <v>-45</v>
      </c>
      <c r="AG137" s="159">
        <f>-AG48*(1-AG$193)/(1+'TS1'!$J$84)*'TS1'!$J$84</f>
        <v>-45</v>
      </c>
      <c r="AH137" s="159">
        <f>-AH48*(1-AH$193)/(1+'TS1'!$J$84)*'TS1'!$J$84</f>
        <v>-45</v>
      </c>
      <c r="AI137" s="159">
        <f>-AI48*(1-AI$193)/(1+'TS1'!$J$84)*'TS1'!$J$84</f>
        <v>-45</v>
      </c>
      <c r="AJ137" s="159">
        <f>-AJ48*(1-AJ$193)/(1+'TS1'!$J$84)*'TS1'!$J$84</f>
        <v>-45</v>
      </c>
      <c r="AK137" s="159">
        <f>-AK48*(1-AK$193)/(1+'TS1'!$J$84)*'TS1'!$J$84</f>
        <v>-45</v>
      </c>
      <c r="AL137" s="159">
        <f>-AL48*(1-AL$193)/(1+'TS1'!$J$84)*'TS1'!$J$84</f>
        <v>-45</v>
      </c>
      <c r="AM137" s="159">
        <f>-AM48*(1-AM$193)/(1+'TS1'!$J$84)*'TS1'!$J$84</f>
        <v>-44.25</v>
      </c>
      <c r="AN137" s="159">
        <f>-AN48*(1-AN$193)/(1+'TS1'!$J$84)*'TS1'!$J$84</f>
        <v>-24.75</v>
      </c>
      <c r="AO137" s="159">
        <f>-AO48*(1-AO$193)/(1+'TS1'!$J$84)*'TS1'!$J$84</f>
        <v>0</v>
      </c>
      <c r="AP137" s="159">
        <f>-AP48*(1-AP$193)/(1+'TS1'!$J$84)*'TS1'!$J$84</f>
        <v>0</v>
      </c>
      <c r="AQ137" s="159">
        <f>-AQ48*(1-AQ$193)/(1+'TS1'!$J$84)*'TS1'!$J$84</f>
        <v>0</v>
      </c>
      <c r="AR137" s="159">
        <f>-AR48*(1-AR$193)/(1+'TS1'!$J$84)*'TS1'!$J$84</f>
        <v>0</v>
      </c>
      <c r="AS137" s="159">
        <f>-AS48*(1-AS$193)/(1+'TS1'!$J$84)*'TS1'!$J$84</f>
        <v>0</v>
      </c>
      <c r="AT137" s="159">
        <f>-AT48*(1-AT$193)/(1+'TS1'!$J$84)*'TS1'!$J$84</f>
        <v>0</v>
      </c>
      <c r="AU137" s="159">
        <f>-AU48*(1-AU$193)/(1+'TS1'!$J$84)*'TS1'!$J$84</f>
        <v>0</v>
      </c>
      <c r="AV137" s="159">
        <f>-AV48*(1-AV$193)/(1+'TS1'!$J$84)*'TS1'!$J$84</f>
        <v>0</v>
      </c>
      <c r="AW137" s="159">
        <f>-AW48*(1-AW$193)/(1+'TS1'!$J$84)*'TS1'!$J$84</f>
        <v>0</v>
      </c>
      <c r="AX137" s="159">
        <f>-AX48*(1-AX$193)/(1+'TS1'!$J$84)*'TS1'!$J$84</f>
        <v>0</v>
      </c>
      <c r="AY137" s="159">
        <f>-AY48*(1-AY$193)/(1+'TS1'!$J$84)*'TS1'!$J$84</f>
        <v>0</v>
      </c>
      <c r="AZ137" s="159">
        <f>-AZ48*(1-AZ$193)/(1+'TS1'!$J$84)*'TS1'!$J$84</f>
        <v>0</v>
      </c>
      <c r="BA137" s="159">
        <f>-BA48*(1-BA$193)/(1+'TS1'!$J$84)*'TS1'!$J$84</f>
        <v>0</v>
      </c>
      <c r="BB137" s="159">
        <f>-BB48*(1-BB$193)/(1+'TS1'!$J$84)*'TS1'!$J$84</f>
        <v>0</v>
      </c>
      <c r="BC137" s="159">
        <f>-BC48*(1-BC$193)/(1+'TS1'!$J$84)*'TS1'!$J$84</f>
        <v>0</v>
      </c>
      <c r="BD137" s="159">
        <f>-BD48*(1-BD$193)/(1+'TS1'!$J$84)*'TS1'!$J$84</f>
        <v>0</v>
      </c>
      <c r="BE137" s="159">
        <f>-BE48*(1-BE$193)/(1+'TS1'!$J$84)*'TS1'!$J$84</f>
        <v>0</v>
      </c>
      <c r="BF137" s="159">
        <f>-BF48*(1-BF$193)/(1+'TS1'!$J$84)*'TS1'!$J$84</f>
        <v>0</v>
      </c>
      <c r="BG137" s="159">
        <f>-BG48*(1-BG$193)/(1+'TS1'!$J$84)*'TS1'!$J$84</f>
        <v>0</v>
      </c>
      <c r="BH137" s="159">
        <f>-BH48*(1-BH$193)/(1+'TS1'!$J$84)*'TS1'!$J$84</f>
        <v>0</v>
      </c>
      <c r="BI137" s="159">
        <f>-BI48*(1-BI$193)/(1+'TS1'!$J$84)*'TS1'!$J$84</f>
        <v>0</v>
      </c>
      <c r="BJ137" s="159">
        <f>-BJ48*(1-BJ$193)/(1+'TS1'!$J$84)*'TS1'!$J$84</f>
        <v>0</v>
      </c>
      <c r="BK137" s="159">
        <f>-BK48*(1-BK$193)/(1+'TS1'!$J$84)*'TS1'!$J$84</f>
        <v>0</v>
      </c>
      <c r="BL137" s="159">
        <f>-BL48*(1-BL$193)/(1+'TS1'!$J$84)*'TS1'!$J$84</f>
        <v>0</v>
      </c>
      <c r="BM137" s="159">
        <f>-BM48*(1-BM$193)/(1+'TS1'!$J$84)*'TS1'!$J$84</f>
        <v>0</v>
      </c>
    </row>
    <row r="138" spans="1:65" s="134" customFormat="1" hidden="1" outlineLevel="1">
      <c r="A138" s="156">
        <f t="shared" si="217"/>
        <v>0</v>
      </c>
      <c r="B138" s="157"/>
      <c r="C138" s="157"/>
      <c r="D138" s="158" t="str">
        <f>'DB1'!B17</f>
        <v>ПАРКИНГ ОФИС</v>
      </c>
      <c r="E138" s="154">
        <f t="shared" si="215"/>
        <v>0</v>
      </c>
      <c r="F138" s="565"/>
      <c r="G138" s="565">
        <f>-SUM($F$51:G51)*(1-G$193)/(1+'TS1'!$J$84)*'TS1'!$J$84-SUM($F$138:F138)</f>
        <v>0</v>
      </c>
      <c r="H138" s="565">
        <f>-SUM($F$51:H51)*(1-H$193)/(1+'TS1'!$J$84)*'TS1'!$J$84-SUM($F$138:G138)</f>
        <v>0</v>
      </c>
      <c r="I138" s="565">
        <f>-SUM($F$51:I51)*(1-I$193)/(1+'TS1'!$J$84)*'TS1'!$J$84-SUM($F$138:H138)</f>
        <v>0</v>
      </c>
      <c r="J138" s="565">
        <f>-SUM($F$51:J51)*(1-J$193)/(1+'TS1'!$J$84)*'TS1'!$J$84-SUM($F$138:I138)</f>
        <v>0</v>
      </c>
      <c r="K138" s="565">
        <f>-SUM($F$51:K51)*(1-K$193)/(1+'TS1'!$J$84)*'TS1'!$J$84-SUM($F$138:J138)</f>
        <v>0</v>
      </c>
      <c r="L138" s="565">
        <f>-SUM($F$51:L51)*(1-L$193)/(1+'TS1'!$J$84)*'TS1'!$J$84-SUM($F$138:K138)</f>
        <v>0</v>
      </c>
      <c r="M138" s="565">
        <f>-SUM($F$51:M51)*(1-M$193)/(1+'TS1'!$J$84)*'TS1'!$J$84-SUM($F$138:L138)</f>
        <v>0</v>
      </c>
      <c r="N138" s="159">
        <f>-SUM($F$51:N51)*(1-N$193)/(1+'TS1'!$J$84)*'TS1'!$J$84-SUM($F$138:M138)</f>
        <v>0</v>
      </c>
      <c r="O138" s="159">
        <f>-SUM($F$51:O51)*(1-O$193)/(1+'TS1'!$J$84)*'TS1'!$J$84-SUM($F$138:N138)</f>
        <v>0</v>
      </c>
      <c r="P138" s="159">
        <f>-SUM($F$51:P51)*(1-P$193)/(1+'TS1'!$J$84)*'TS1'!$J$84-SUM($F$138:O138)</f>
        <v>0</v>
      </c>
      <c r="Q138" s="159">
        <f>-SUM($F$51:Q51)*(1-Q$193)/(1+'TS1'!$J$84)*'TS1'!$J$84-SUM($F$138:P138)</f>
        <v>0</v>
      </c>
      <c r="R138" s="159">
        <f>-SUM($F$51:R51)*(1-R$193)/(1+'TS1'!$J$84)*'TS1'!$J$84-SUM($F$138:Q138)</f>
        <v>0</v>
      </c>
      <c r="S138" s="159">
        <f>-SUM($F$51:S51)*(1-S$193)/(1+'TS1'!$J$84)*'TS1'!$J$84-SUM($F$138:R138)</f>
        <v>0</v>
      </c>
      <c r="T138" s="159">
        <f>-SUM($F$51:T51)*(1-T$193)/(1+'TS1'!$J$84)*'TS1'!$J$84-SUM($F$138:S138)</f>
        <v>0</v>
      </c>
      <c r="U138" s="159">
        <f>-SUM($F$51:U51)*(1-U$193)/(1+'TS1'!$J$84)*'TS1'!$J$84-SUM($F$138:T138)</f>
        <v>0</v>
      </c>
      <c r="V138" s="159">
        <f>-SUM($F$51:V51)*(1-V$193)/(1+'TS1'!$J$84)*'TS1'!$J$84-SUM($F$138:U138)</f>
        <v>0</v>
      </c>
      <c r="W138" s="159">
        <f>-SUM($F$51:W51)*(1-W$193)/(1+'TS1'!$J$84)*'TS1'!$J$84-SUM($F$138:V138)</f>
        <v>0</v>
      </c>
      <c r="X138" s="159">
        <f>-SUM($F$51:X51)*(1-X$193)/(1+'TS1'!$J$84)*'TS1'!$J$84-SUM($F$138:W138)</f>
        <v>0</v>
      </c>
      <c r="Y138" s="159">
        <f>-SUM($F$51:Y51)*(1-Y$193)/(1+'TS1'!$J$84)*'TS1'!$J$84-SUM($F$138:X138)</f>
        <v>0</v>
      </c>
      <c r="Z138" s="159">
        <f>-SUM($F$51:Z51)*(1-Z$193)/(1+'TS1'!$J$84)*'TS1'!$J$84-SUM($F$138:Y138)</f>
        <v>0</v>
      </c>
      <c r="AA138" s="159">
        <f>-SUM($F$51:AA51)*(1-AA$193)/(1+'TS1'!$J$84)*'TS1'!$J$84-SUM($F$138:Z138)</f>
        <v>0</v>
      </c>
      <c r="AB138" s="159">
        <f>-SUM($F$51:AB51)*(1-AB$193)/(1+'TS1'!$J$84)*'TS1'!$J$84-SUM($F$138:AA138)</f>
        <v>0</v>
      </c>
      <c r="AC138" s="159">
        <f>-SUM($F$51:AC51)*(1-AC$193)/(1+'TS1'!$J$84)*'TS1'!$J$84-SUM($F$138:AB138)</f>
        <v>0</v>
      </c>
      <c r="AD138" s="159">
        <f>-SUM($F$51:AD51)*(1-AD$193)/(1+'TS1'!$J$84)*'TS1'!$J$84-SUM($F$138:AC138)</f>
        <v>0</v>
      </c>
      <c r="AE138" s="159">
        <f>-SUM($F$51:AE51)*(1-AE$193)/(1+'TS1'!$J$84)*'TS1'!$J$84-SUM($F$138:AD138)</f>
        <v>0</v>
      </c>
      <c r="AF138" s="159">
        <f>-SUM($F$51:AF51)*(1-AF$193)/(1+'TS1'!$J$84)*'TS1'!$J$84-SUM($F$138:AE138)</f>
        <v>0</v>
      </c>
      <c r="AG138" s="159">
        <f>-SUM($F$51:AG51)*(1-AG$193)/(1+'TS1'!$J$84)*'TS1'!$J$84-SUM($F$138:AF138)</f>
        <v>0</v>
      </c>
      <c r="AH138" s="159">
        <f>-SUM($F$51:AH51)*(1-AH$193)/(1+'TS1'!$J$84)*'TS1'!$J$84-SUM($F$138:AG138)</f>
        <v>0</v>
      </c>
      <c r="AI138" s="159">
        <f>-SUM($F$51:AI51)*(1-AI$193)/(1+'TS1'!$J$84)*'TS1'!$J$84-SUM($F$138:AH138)</f>
        <v>0</v>
      </c>
      <c r="AJ138" s="159">
        <f>-SUM($F$51:AJ51)*(1-AJ$193)/(1+'TS1'!$J$84)*'TS1'!$J$84-SUM($F$138:AI138)</f>
        <v>0</v>
      </c>
      <c r="AK138" s="159">
        <f>-SUM($F$51:AK51)*(1-AK$193)/(1+'TS1'!$J$84)*'TS1'!$J$84-SUM($F$138:AJ138)</f>
        <v>0</v>
      </c>
      <c r="AL138" s="159">
        <f>-SUM($F$51:AL51)*(1-AL$193)/(1+'TS1'!$J$84)*'TS1'!$J$84-SUM($F$138:AK138)</f>
        <v>0</v>
      </c>
      <c r="AM138" s="159">
        <f>-SUM($F$51:AM51)*(1-AM$193)/(1+'TS1'!$J$84)*'TS1'!$J$84-SUM($F$138:AL138)</f>
        <v>0</v>
      </c>
      <c r="AN138" s="159">
        <f>-SUM($F$51:AN51)*(1-AN$193)/(1+'TS1'!$J$84)*'TS1'!$J$84-SUM($F$138:AM138)</f>
        <v>0</v>
      </c>
      <c r="AO138" s="159">
        <f>-SUM($F$51:AO51)*(1-AO$193)/(1+'TS1'!$J$84)*'TS1'!$J$84-SUM($F$138:AN138)</f>
        <v>0</v>
      </c>
      <c r="AP138" s="159">
        <f>-SUM($F$51:AP51)*(1-AP$193)/(1+'TS1'!$J$84)*'TS1'!$J$84-SUM($F$138:AO138)</f>
        <v>0</v>
      </c>
      <c r="AQ138" s="159">
        <f>-SUM($F$51:AQ51)*(1-AQ$193)/(1+'TS1'!$J$84)*'TS1'!$J$84-SUM($F$138:AP138)</f>
        <v>0</v>
      </c>
      <c r="AR138" s="159">
        <f>-SUM($F$51:AR51)*(1-AR$193)/(1+'TS1'!$J$84)*'TS1'!$J$84-SUM($F$138:AQ138)</f>
        <v>0</v>
      </c>
      <c r="AS138" s="159">
        <f>-SUM($F$51:AS51)*(1-AS$193)/(1+'TS1'!$J$84)*'TS1'!$J$84-SUM($F$138:AR138)</f>
        <v>0</v>
      </c>
      <c r="AT138" s="159">
        <f>-SUM($F$51:AT51)*(1-AT$193)/(1+'TS1'!$J$84)*'TS1'!$J$84-SUM($F$138:AS138)</f>
        <v>0</v>
      </c>
      <c r="AU138" s="159">
        <f>-SUM($F$51:AU51)*(1-AU$193)/(1+'TS1'!$J$84)*'TS1'!$J$84-SUM($F$138:AT138)</f>
        <v>0</v>
      </c>
      <c r="AV138" s="159">
        <f>-SUM($F$51:AV51)*(1-AV$193)/(1+'TS1'!$J$84)*'TS1'!$J$84-SUM($F$138:AU138)</f>
        <v>0</v>
      </c>
      <c r="AW138" s="159">
        <f>-SUM($F$51:AW51)*(1-AW$193)/(1+'TS1'!$J$84)*'TS1'!$J$84-SUM($F$138:AV138)</f>
        <v>0</v>
      </c>
      <c r="AX138" s="159">
        <f>-SUM($F$51:AX51)*(1-AX$193)/(1+'TS1'!$J$84)*'TS1'!$J$84-SUM($F$138:AW138)</f>
        <v>0</v>
      </c>
      <c r="AY138" s="159">
        <f>-SUM($F$51:AY51)*(1-AY$193)/(1+'TS1'!$J$84)*'TS1'!$J$84-SUM($F$138:AX138)</f>
        <v>0</v>
      </c>
      <c r="AZ138" s="159">
        <f>-SUM($F$51:AZ51)*(1-AZ$193)/(1+'TS1'!$J$84)*'TS1'!$J$84-SUM($F$138:AY138)</f>
        <v>0</v>
      </c>
      <c r="BA138" s="159">
        <f>-SUM($F$51:BA51)*(1-BA$193)/(1+'TS1'!$J$84)*'TS1'!$J$84-SUM($F$138:AZ138)</f>
        <v>0</v>
      </c>
      <c r="BB138" s="159">
        <f>-SUM($F$51:BB51)*(1-BB$193)/(1+'TS1'!$J$84)*'TS1'!$J$84-SUM($F$138:BA138)</f>
        <v>0</v>
      </c>
      <c r="BC138" s="159">
        <f>-SUM($F$51:BC51)*(1-BC$193)/(1+'TS1'!$J$84)*'TS1'!$J$84-SUM($F$138:BB138)</f>
        <v>0</v>
      </c>
      <c r="BD138" s="159">
        <f>-SUM($F$51:BD51)*(1-BD$193)/(1+'TS1'!$J$84)*'TS1'!$J$84-SUM($F$138:BC138)</f>
        <v>0</v>
      </c>
      <c r="BE138" s="159">
        <f>-SUM($F$51:BE51)*(1-BE$193)/(1+'TS1'!$J$84)*'TS1'!$J$84-SUM($F$138:BD138)</f>
        <v>0</v>
      </c>
      <c r="BF138" s="159">
        <f>-SUM($F$51:BF51)*(1-BF$193)/(1+'TS1'!$J$84)*'TS1'!$J$84-SUM($F$138:BE138)</f>
        <v>0</v>
      </c>
      <c r="BG138" s="159">
        <f>-SUM($F$51:BG51)*(1-BG$193)/(1+'TS1'!$J$84)*'TS1'!$J$84-SUM($F$138:BF138)</f>
        <v>0</v>
      </c>
      <c r="BH138" s="159">
        <f>-SUM($F$51:BH51)*(1-BH$193)/(1+'TS1'!$J$84)*'TS1'!$J$84-SUM($F$138:BG138)</f>
        <v>0</v>
      </c>
      <c r="BI138" s="159">
        <f>-SUM($F$51:BI51)*(1-BI$193)/(1+'TS1'!$J$84)*'TS1'!$J$84-SUM($F$138:BH138)</f>
        <v>0</v>
      </c>
      <c r="BJ138" s="159">
        <f>-SUM($F$51:BJ51)*(1-BJ$193)/(1+'TS1'!$J$84)*'TS1'!$J$84-SUM($F$138:BI138)</f>
        <v>0</v>
      </c>
      <c r="BK138" s="159">
        <f>-SUM($F$51:BK51)*(1-BK$193)/(1+'TS1'!$J$84)*'TS1'!$J$84-SUM($F$138:BJ138)</f>
        <v>0</v>
      </c>
      <c r="BL138" s="159">
        <f>-SUM($F$51:BL51)*(1-BL$193)/(1+'TS1'!$J$84)*'TS1'!$J$84-SUM($F$138:BK138)</f>
        <v>0</v>
      </c>
      <c r="BM138" s="159">
        <f>-SUM($F$51:BM51)*(1-BM$193)/(1+'TS1'!$J$84)*'TS1'!$J$84-SUM($F$138:BL138)</f>
        <v>0</v>
      </c>
    </row>
    <row r="139" spans="1:65" s="151" customFormat="1" hidden="1" outlineLevel="1">
      <c r="B139" s="152"/>
      <c r="C139" s="152" t="s">
        <v>86</v>
      </c>
      <c r="D139" s="153"/>
      <c r="E139" s="154">
        <f t="shared" si="215"/>
        <v>330.93290926241087</v>
      </c>
      <c r="F139" s="564">
        <f>SUM(F140:F145)</f>
        <v>0</v>
      </c>
      <c r="G139" s="564">
        <f t="shared" ref="G139:BM139" si="218">SUM(G140:G145)</f>
        <v>0</v>
      </c>
      <c r="H139" s="564">
        <f t="shared" si="218"/>
        <v>0</v>
      </c>
      <c r="I139" s="564">
        <f t="shared" si="218"/>
        <v>0</v>
      </c>
      <c r="J139" s="564">
        <f t="shared" si="218"/>
        <v>0</v>
      </c>
      <c r="K139" s="564">
        <f t="shared" si="218"/>
        <v>0</v>
      </c>
      <c r="L139" s="564">
        <f t="shared" si="218"/>
        <v>0</v>
      </c>
      <c r="M139" s="564">
        <f t="shared" si="218"/>
        <v>0</v>
      </c>
      <c r="N139" s="155">
        <f t="shared" si="218"/>
        <v>0</v>
      </c>
      <c r="O139" s="155">
        <f t="shared" si="218"/>
        <v>0</v>
      </c>
      <c r="P139" s="155">
        <f t="shared" si="218"/>
        <v>0</v>
      </c>
      <c r="Q139" s="155">
        <f t="shared" si="218"/>
        <v>0</v>
      </c>
      <c r="R139" s="155">
        <f t="shared" si="218"/>
        <v>0</v>
      </c>
      <c r="S139" s="155">
        <f t="shared" si="218"/>
        <v>0</v>
      </c>
      <c r="T139" s="155">
        <f t="shared" si="218"/>
        <v>0</v>
      </c>
      <c r="U139" s="155">
        <f t="shared" si="218"/>
        <v>0</v>
      </c>
      <c r="V139" s="155">
        <f t="shared" si="218"/>
        <v>0</v>
      </c>
      <c r="W139" s="155">
        <f t="shared" si="218"/>
        <v>0</v>
      </c>
      <c r="X139" s="155">
        <f t="shared" si="218"/>
        <v>0</v>
      </c>
      <c r="Y139" s="155">
        <f t="shared" si="218"/>
        <v>0</v>
      </c>
      <c r="Z139" s="155">
        <f t="shared" si="218"/>
        <v>0</v>
      </c>
      <c r="AA139" s="155">
        <f t="shared" si="218"/>
        <v>0</v>
      </c>
      <c r="AB139" s="155">
        <f t="shared" si="218"/>
        <v>0</v>
      </c>
      <c r="AC139" s="155">
        <f t="shared" si="218"/>
        <v>0</v>
      </c>
      <c r="AD139" s="155">
        <f t="shared" si="218"/>
        <v>0</v>
      </c>
      <c r="AE139" s="155">
        <f t="shared" si="218"/>
        <v>0</v>
      </c>
      <c r="AF139" s="155">
        <f t="shared" si="218"/>
        <v>21.005859375</v>
      </c>
      <c r="AG139" s="155">
        <f t="shared" si="218"/>
        <v>64.928647740556059</v>
      </c>
      <c r="AH139" s="155">
        <f t="shared" si="218"/>
        <v>64.928647740556059</v>
      </c>
      <c r="AI139" s="155">
        <f t="shared" si="218"/>
        <v>21.005859375</v>
      </c>
      <c r="AJ139" s="155">
        <f t="shared" si="218"/>
        <v>21.005859375</v>
      </c>
      <c r="AK139" s="155">
        <f t="shared" si="218"/>
        <v>52.924525640649371</v>
      </c>
      <c r="AL139" s="155">
        <f t="shared" si="218"/>
        <v>52.924525640649371</v>
      </c>
      <c r="AM139" s="155">
        <f t="shared" si="218"/>
        <v>20.65576171875</v>
      </c>
      <c r="AN139" s="155">
        <f t="shared" si="218"/>
        <v>11.55322265625</v>
      </c>
      <c r="AO139" s="155">
        <f t="shared" si="218"/>
        <v>0</v>
      </c>
      <c r="AP139" s="155">
        <f t="shared" si="218"/>
        <v>0</v>
      </c>
      <c r="AQ139" s="155">
        <f t="shared" si="218"/>
        <v>0</v>
      </c>
      <c r="AR139" s="155">
        <f t="shared" si="218"/>
        <v>0</v>
      </c>
      <c r="AS139" s="155">
        <f t="shared" si="218"/>
        <v>0</v>
      </c>
      <c r="AT139" s="155">
        <f t="shared" si="218"/>
        <v>0</v>
      </c>
      <c r="AU139" s="155">
        <f t="shared" si="218"/>
        <v>0</v>
      </c>
      <c r="AV139" s="155">
        <f t="shared" si="218"/>
        <v>0</v>
      </c>
      <c r="AW139" s="155">
        <f t="shared" si="218"/>
        <v>0</v>
      </c>
      <c r="AX139" s="155">
        <f t="shared" si="218"/>
        <v>0</v>
      </c>
      <c r="AY139" s="155">
        <f t="shared" si="218"/>
        <v>0</v>
      </c>
      <c r="AZ139" s="155">
        <f t="shared" si="218"/>
        <v>0</v>
      </c>
      <c r="BA139" s="155">
        <f t="shared" si="218"/>
        <v>0</v>
      </c>
      <c r="BB139" s="155">
        <f t="shared" si="218"/>
        <v>0</v>
      </c>
      <c r="BC139" s="155">
        <f t="shared" si="218"/>
        <v>0</v>
      </c>
      <c r="BD139" s="155">
        <f t="shared" si="218"/>
        <v>0</v>
      </c>
      <c r="BE139" s="155">
        <f t="shared" si="218"/>
        <v>0</v>
      </c>
      <c r="BF139" s="155">
        <f t="shared" si="218"/>
        <v>0</v>
      </c>
      <c r="BG139" s="155">
        <f t="shared" si="218"/>
        <v>0</v>
      </c>
      <c r="BH139" s="155">
        <f t="shared" si="218"/>
        <v>0</v>
      </c>
      <c r="BI139" s="155">
        <f t="shared" si="218"/>
        <v>0</v>
      </c>
      <c r="BJ139" s="155">
        <f t="shared" si="218"/>
        <v>0</v>
      </c>
      <c r="BK139" s="155">
        <f t="shared" si="218"/>
        <v>0</v>
      </c>
      <c r="BL139" s="155">
        <f t="shared" si="218"/>
        <v>0</v>
      </c>
      <c r="BM139" s="155">
        <f t="shared" si="218"/>
        <v>0</v>
      </c>
    </row>
    <row r="140" spans="1:65" s="134" customFormat="1" hidden="1" outlineLevel="1">
      <c r="B140" s="157"/>
      <c r="C140" s="157"/>
      <c r="D140" s="158" t="str">
        <f t="shared" ref="D140:D145" si="219">D133</f>
        <v>АПАРТАМЕНТЫ</v>
      </c>
      <c r="E140" s="154">
        <f t="shared" si="215"/>
        <v>0</v>
      </c>
      <c r="F140" s="565">
        <f>IFERROR('TS1'!$AT$88/CF!$E$133*CF!F133,0)</f>
        <v>0</v>
      </c>
      <c r="G140" s="565">
        <f>IFERROR('TS1'!$AT$88/CF!$E$133*CF!G133,0)</f>
        <v>0</v>
      </c>
      <c r="H140" s="565">
        <f>IFERROR('TS1'!$AT$88/CF!$E$133*CF!H133,0)</f>
        <v>0</v>
      </c>
      <c r="I140" s="565">
        <f>IFERROR('TS1'!$AT$88/CF!$E$133*CF!I133,0)</f>
        <v>0</v>
      </c>
      <c r="J140" s="565">
        <f>IFERROR('TS1'!$AT$88/CF!$E$133*CF!J133,0)</f>
        <v>0</v>
      </c>
      <c r="K140" s="565">
        <f>IFERROR('TS1'!$AT$88/CF!$E$133*CF!K133,0)</f>
        <v>0</v>
      </c>
      <c r="L140" s="565">
        <f>IFERROR('TS1'!$AT$88/CF!$E$133*CF!L133,0)</f>
        <v>0</v>
      </c>
      <c r="M140" s="565">
        <f>IFERROR('TS1'!$AT$88/CF!$E$133*CF!M133,0)</f>
        <v>0</v>
      </c>
      <c r="N140" s="159">
        <f>IFERROR('TS1'!$AT$88/CF!$E$133*CF!N133,0)</f>
        <v>0</v>
      </c>
      <c r="O140" s="159">
        <f>IFERROR('TS1'!$AT$88/CF!$E$133*CF!O133,0)</f>
        <v>0</v>
      </c>
      <c r="P140" s="159">
        <f>IFERROR('TS1'!$AT$88/CF!$E$133*CF!P133,0)</f>
        <v>0</v>
      </c>
      <c r="Q140" s="159">
        <f>IFERROR('TS1'!$AT$88/CF!$E$133*CF!Q133,0)</f>
        <v>0</v>
      </c>
      <c r="R140" s="159">
        <f>IFERROR('TS1'!$AT$88/CF!$E$133*CF!R133,0)</f>
        <v>0</v>
      </c>
      <c r="S140" s="159">
        <f>IFERROR('TS1'!$AT$88/CF!$E$133*CF!S133,0)</f>
        <v>0</v>
      </c>
      <c r="T140" s="159">
        <f>IFERROR('TS1'!$AT$88/CF!$E$133*CF!T133,0)</f>
        <v>0</v>
      </c>
      <c r="U140" s="159">
        <f>IFERROR('TS1'!$AT$88/CF!$E$133*CF!U133,0)</f>
        <v>0</v>
      </c>
      <c r="V140" s="159">
        <f>IFERROR('TS1'!$AT$88/CF!$E$133*CF!V133,0)</f>
        <v>0</v>
      </c>
      <c r="W140" s="159">
        <f>IFERROR('TS1'!$AT$88/CF!$E$133*CF!W133,0)</f>
        <v>0</v>
      </c>
      <c r="X140" s="159">
        <f>IFERROR('TS1'!$AT$88/CF!$E$133*CF!X133,0)</f>
        <v>0</v>
      </c>
      <c r="Y140" s="159">
        <f>IFERROR('TS1'!$AT$88/CF!$E$133*CF!Y133,0)</f>
        <v>0</v>
      </c>
      <c r="Z140" s="159">
        <f>IFERROR('TS1'!$AT$88/CF!$E$133*CF!Z133,0)</f>
        <v>0</v>
      </c>
      <c r="AA140" s="159">
        <f>IFERROR('TS1'!$AT$88/CF!$E$133*CF!AA133,0)</f>
        <v>0</v>
      </c>
      <c r="AB140" s="159">
        <f>IFERROR('TS1'!$AT$88/CF!$E$133*CF!AB133,0)</f>
        <v>0</v>
      </c>
      <c r="AC140" s="159">
        <f>IFERROR('TS1'!$AT$88/CF!$E$133*CF!AC133,0)</f>
        <v>0</v>
      </c>
      <c r="AD140" s="159">
        <f>IFERROR('TS1'!$AT$88/CF!$E$133*CF!AD133,0)</f>
        <v>0</v>
      </c>
      <c r="AE140" s="159">
        <f>IFERROR('TS1'!$AT$88/CF!$E$133*CF!AE133,0)</f>
        <v>0</v>
      </c>
      <c r="AF140" s="159">
        <f>IFERROR('TS1'!$AT$88/CF!$E$133*CF!AF133,0)</f>
        <v>0</v>
      </c>
      <c r="AG140" s="159">
        <f>IFERROR('TS1'!$AT$88/CF!$E$133*CF!AG133,0)</f>
        <v>0</v>
      </c>
      <c r="AH140" s="159">
        <f>IFERROR('TS1'!$AT$88/CF!$E$133*CF!AH133,0)</f>
        <v>0</v>
      </c>
      <c r="AI140" s="159">
        <f>IFERROR('TS1'!$AT$88/CF!$E$133*CF!AI133,0)</f>
        <v>0</v>
      </c>
      <c r="AJ140" s="159">
        <f>IFERROR('TS1'!$AT$88/CF!$E$133*CF!AJ133,0)</f>
        <v>0</v>
      </c>
      <c r="AK140" s="159">
        <f>IFERROR('TS1'!$AT$88/CF!$E$133*CF!AK133,0)</f>
        <v>0</v>
      </c>
      <c r="AL140" s="159">
        <f>IFERROR('TS1'!$AT$88/CF!$E$133*CF!AL133,0)</f>
        <v>0</v>
      </c>
      <c r="AM140" s="159">
        <f>IFERROR('TS1'!$AT$88/CF!$E$133*CF!AM133,0)</f>
        <v>0</v>
      </c>
      <c r="AN140" s="159">
        <f>IFERROR('TS1'!$AT$88/CF!$E$133*CF!AN133,0)</f>
        <v>0</v>
      </c>
      <c r="AO140" s="159">
        <f>IFERROR('TS1'!$AT$88/CF!$E$133*CF!AO133,0)</f>
        <v>0</v>
      </c>
      <c r="AP140" s="159">
        <f>IFERROR('TS1'!$AT$88/CF!$E$133*CF!AP133,0)</f>
        <v>0</v>
      </c>
      <c r="AQ140" s="159">
        <f>IFERROR('TS1'!$AT$88/CF!$E$133*CF!AQ133,0)</f>
        <v>0</v>
      </c>
      <c r="AR140" s="159">
        <f>IFERROR('TS1'!$AT$88/CF!$E$133*CF!AR133,0)</f>
        <v>0</v>
      </c>
      <c r="AS140" s="159">
        <f>IFERROR('TS1'!$AT$88/CF!$E$133*CF!AS133,0)</f>
        <v>0</v>
      </c>
      <c r="AT140" s="159">
        <f>IFERROR('TS1'!$AT$88/CF!$E$133*CF!AT133,0)</f>
        <v>0</v>
      </c>
      <c r="AU140" s="159">
        <f>IFERROR('TS1'!$AT$88/CF!$E$133*CF!AU133,0)</f>
        <v>0</v>
      </c>
      <c r="AV140" s="159">
        <f>IFERROR('TS1'!$AT$88/CF!$E$133*CF!AV133,0)</f>
        <v>0</v>
      </c>
      <c r="AW140" s="159">
        <f>IFERROR('TS1'!$AT$88/CF!$E$133*CF!AW133,0)</f>
        <v>0</v>
      </c>
      <c r="AX140" s="159">
        <f>IFERROR('TS1'!$AT$88/CF!$E$133*CF!AX133,0)</f>
        <v>0</v>
      </c>
      <c r="AY140" s="159">
        <f>IFERROR('TS1'!$AT$88/CF!$E$133*CF!AY133,0)</f>
        <v>0</v>
      </c>
      <c r="AZ140" s="159">
        <f>IFERROR('TS1'!$AT$88/CF!$E$133*CF!AZ133,0)</f>
        <v>0</v>
      </c>
      <c r="BA140" s="159">
        <f>IFERROR('TS1'!$AT$88/CF!$E$133*CF!BA133,0)</f>
        <v>0</v>
      </c>
      <c r="BB140" s="159">
        <f>IFERROR('TS1'!$AT$88/CF!$E$133*CF!BB133,0)</f>
        <v>0</v>
      </c>
      <c r="BC140" s="159">
        <f>IFERROR('TS1'!$AT$88/CF!$E$133*CF!BC133,0)</f>
        <v>0</v>
      </c>
      <c r="BD140" s="159">
        <f>IFERROR('TS1'!$AT$88/CF!$E$133*CF!BD133,0)</f>
        <v>0</v>
      </c>
      <c r="BE140" s="159">
        <f>IFERROR('TS1'!$AT$88/CF!$E$133*CF!BE133,0)</f>
        <v>0</v>
      </c>
      <c r="BF140" s="159">
        <f>IFERROR('TS1'!$AT$88/CF!$E$133*CF!BF133,0)</f>
        <v>0</v>
      </c>
      <c r="BG140" s="159">
        <f>IFERROR('TS1'!$AT$88/CF!$E$133*CF!BG133,0)</f>
        <v>0</v>
      </c>
      <c r="BH140" s="159">
        <f>IFERROR('TS1'!$AT$88/CF!$E$133*CF!BH133,0)</f>
        <v>0</v>
      </c>
      <c r="BI140" s="159">
        <f>IFERROR('TS1'!$AT$88/CF!$E$133*CF!BI133,0)</f>
        <v>0</v>
      </c>
      <c r="BJ140" s="159">
        <f>IFERROR('TS1'!$AT$88/CF!$E$133*CF!BJ133,0)</f>
        <v>0</v>
      </c>
      <c r="BK140" s="159">
        <f>IFERROR('TS1'!$AT$88/CF!$E$133*CF!BK133,0)</f>
        <v>0</v>
      </c>
      <c r="BL140" s="159">
        <f>IFERROR('TS1'!$AT$88/CF!$E$133*CF!BL133,0)</f>
        <v>0</v>
      </c>
      <c r="BM140" s="159">
        <f>IFERROR('TS1'!$AT$88/CF!$E$133*CF!BM133,0)</f>
        <v>0</v>
      </c>
    </row>
    <row r="141" spans="1:65" s="134" customFormat="1" hidden="1" outlineLevel="1">
      <c r="B141" s="157"/>
      <c r="C141" s="157"/>
      <c r="D141" s="158" t="str">
        <f t="shared" si="219"/>
        <v>ОФИСЫ</v>
      </c>
      <c r="E141" s="154">
        <f t="shared" si="215"/>
        <v>0</v>
      </c>
      <c r="F141" s="565">
        <f>IFERROR(('TS1'!$AT$89+'TS1'!$AS$89)/CF!$E$134*CF!F134,0)</f>
        <v>0</v>
      </c>
      <c r="G141" s="565">
        <f>IFERROR(('TS1'!$AT$89+'TS1'!$AS$89)/CF!$E$134*CF!G134,0)</f>
        <v>0</v>
      </c>
      <c r="H141" s="565">
        <f>IFERROR(('TS1'!$AT$89+'TS1'!$AS$89)/CF!$E$134*CF!H134,0)</f>
        <v>0</v>
      </c>
      <c r="I141" s="565">
        <f>IFERROR(('TS1'!$AT$89+'TS1'!$AS$89)/CF!$E$134*CF!I134,0)</f>
        <v>0</v>
      </c>
      <c r="J141" s="565">
        <f>IFERROR(('TS1'!$AT$89+'TS1'!$AS$89)/CF!$E$134*CF!J134,0)</f>
        <v>0</v>
      </c>
      <c r="K141" s="565">
        <f>IFERROR(('TS1'!$AT$89+'TS1'!$AS$89)/CF!$E$134*CF!K134,0)</f>
        <v>0</v>
      </c>
      <c r="L141" s="565">
        <f>IFERROR(('TS1'!$AT$89+'TS1'!$AS$89)/CF!$E$134*CF!L134,0)</f>
        <v>0</v>
      </c>
      <c r="M141" s="565">
        <f>IFERROR(('TS1'!$AT$89+'TS1'!$AS$89)/CF!$E$134*CF!M134,0)</f>
        <v>0</v>
      </c>
      <c r="N141" s="159">
        <f>IFERROR(('TS1'!$AT$89+'TS1'!$AS$89)/CF!$E$134*CF!N134,0)</f>
        <v>0</v>
      </c>
      <c r="O141" s="159">
        <f>IFERROR(('TS1'!$AT$89+'TS1'!$AS$89)/CF!$E$134*CF!O134,0)</f>
        <v>0</v>
      </c>
      <c r="P141" s="159">
        <f>IFERROR(('TS1'!$AT$89+'TS1'!$AS$89)/CF!$E$134*CF!P134,0)</f>
        <v>0</v>
      </c>
      <c r="Q141" s="159">
        <f>IFERROR(('TS1'!$AT$89+'TS1'!$AS$89)/CF!$E$134*CF!Q134,0)</f>
        <v>0</v>
      </c>
      <c r="R141" s="159">
        <f>IFERROR(('TS1'!$AT$89+'TS1'!$AS$89)/CF!$E$134*CF!R134,0)</f>
        <v>0</v>
      </c>
      <c r="S141" s="159">
        <f>IFERROR(('TS1'!$AT$89+'TS1'!$AS$89)/CF!$E$134*CF!S134,0)</f>
        <v>0</v>
      </c>
      <c r="T141" s="159">
        <f>IFERROR(('TS1'!$AT$89+'TS1'!$AS$89)/CF!$E$134*CF!T134,0)</f>
        <v>0</v>
      </c>
      <c r="U141" s="159">
        <f>IFERROR(('TS1'!$AT$89+'TS1'!$AS$89)/CF!$E$134*CF!U134,0)</f>
        <v>0</v>
      </c>
      <c r="V141" s="159">
        <f>IFERROR(('TS1'!$AT$89+'TS1'!$AS$89)/CF!$E$134*CF!V134,0)</f>
        <v>0</v>
      </c>
      <c r="W141" s="159">
        <f>IFERROR(('TS1'!$AT$89+'TS1'!$AS$89)/CF!$E$134*CF!W134,0)</f>
        <v>0</v>
      </c>
      <c r="X141" s="159">
        <f>IFERROR(('TS1'!$AT$89+'TS1'!$AS$89)/CF!$E$134*CF!X134,0)</f>
        <v>0</v>
      </c>
      <c r="Y141" s="159">
        <f>IFERROR(('TS1'!$AT$89+'TS1'!$AS$89)/CF!$E$134*CF!Y134,0)</f>
        <v>0</v>
      </c>
      <c r="Z141" s="159">
        <f>IFERROR(('TS1'!$AT$89+'TS1'!$AS$89)/CF!$E$134*CF!Z134,0)</f>
        <v>0</v>
      </c>
      <c r="AA141" s="159">
        <f>IFERROR(('TS1'!$AT$89+'TS1'!$AS$89)/CF!$E$134*CF!AA134,0)</f>
        <v>0</v>
      </c>
      <c r="AB141" s="159">
        <f>IFERROR(('TS1'!$AT$89+'TS1'!$AS$89)/CF!$E$134*CF!AB134,0)</f>
        <v>0</v>
      </c>
      <c r="AC141" s="159">
        <f>IFERROR(('TS1'!$AT$89+'TS1'!$AS$89)/CF!$E$134*CF!AC134,0)</f>
        <v>0</v>
      </c>
      <c r="AD141" s="159">
        <f>IFERROR(('TS1'!$AT$89+'TS1'!$AS$89)/CF!$E$134*CF!AD134,0)</f>
        <v>0</v>
      </c>
      <c r="AE141" s="159">
        <f>IFERROR(('TS1'!$AT$89+'TS1'!$AS$89)/CF!$E$134*CF!AE134,0)</f>
        <v>0</v>
      </c>
      <c r="AF141" s="159">
        <f>IFERROR(('TS1'!$AT$89+'TS1'!$AS$89)/CF!$E$134*CF!AF134,0)</f>
        <v>0</v>
      </c>
      <c r="AG141" s="159">
        <f>IFERROR(('TS1'!$AT$89+'TS1'!$AS$89)/CF!$E$134*CF!AG134,0)</f>
        <v>0</v>
      </c>
      <c r="AH141" s="159">
        <f>IFERROR(('TS1'!$AT$89+'TS1'!$AS$89)/CF!$E$134*CF!AH134,0)</f>
        <v>0</v>
      </c>
      <c r="AI141" s="159">
        <f>IFERROR(('TS1'!$AT$89+'TS1'!$AS$89)/CF!$E$134*CF!AI134,0)</f>
        <v>0</v>
      </c>
      <c r="AJ141" s="159">
        <f>IFERROR(('TS1'!$AT$89+'TS1'!$AS$89)/CF!$E$134*CF!AJ134,0)</f>
        <v>0</v>
      </c>
      <c r="AK141" s="159">
        <f>IFERROR(('TS1'!$AT$89+'TS1'!$AS$89)/CF!$E$134*CF!AK134,0)</f>
        <v>0</v>
      </c>
      <c r="AL141" s="159">
        <f>IFERROR(('TS1'!$AT$89+'TS1'!$AS$89)/CF!$E$134*CF!AL134,0)</f>
        <v>0</v>
      </c>
      <c r="AM141" s="159">
        <f>IFERROR(('TS1'!$AT$89+'TS1'!$AS$89)/CF!$E$134*CF!AM134,0)</f>
        <v>0</v>
      </c>
      <c r="AN141" s="159">
        <f>IFERROR(('TS1'!$AT$89+'TS1'!$AS$89)/CF!$E$134*CF!AN134,0)</f>
        <v>0</v>
      </c>
      <c r="AO141" s="159">
        <f>IFERROR(('TS1'!$AT$89+'TS1'!$AS$89)/CF!$E$134*CF!AO134,0)</f>
        <v>0</v>
      </c>
      <c r="AP141" s="159">
        <f>IFERROR(('TS1'!$AT$89+'TS1'!$AS$89)/CF!$E$134*CF!AP134,0)</f>
        <v>0</v>
      </c>
      <c r="AQ141" s="159">
        <f>IFERROR(('TS1'!$AT$89+'TS1'!$AS$89)/CF!$E$134*CF!AQ134,0)</f>
        <v>0</v>
      </c>
      <c r="AR141" s="159">
        <f>IFERROR(('TS1'!$AT$89+'TS1'!$AS$89)/CF!$E$134*CF!AR134,0)</f>
        <v>0</v>
      </c>
      <c r="AS141" s="159">
        <f>IFERROR(('TS1'!$AT$89+'TS1'!$AS$89)/CF!$E$134*CF!AS134,0)</f>
        <v>0</v>
      </c>
      <c r="AT141" s="159">
        <f>IFERROR(('TS1'!$AT$89+'TS1'!$AS$89)/CF!$E$134*CF!AT134,0)</f>
        <v>0</v>
      </c>
      <c r="AU141" s="159">
        <f>IFERROR(('TS1'!$AT$89+'TS1'!$AS$89)/CF!$E$134*CF!AU134,0)</f>
        <v>0</v>
      </c>
      <c r="AV141" s="159">
        <f>IFERROR(('TS1'!$AT$89+'TS1'!$AS$89)/CF!$E$134*CF!AV134,0)</f>
        <v>0</v>
      </c>
      <c r="AW141" s="159">
        <f>IFERROR(('TS1'!$AT$89+'TS1'!$AS$89)/CF!$E$134*CF!AW134,0)</f>
        <v>0</v>
      </c>
      <c r="AX141" s="159">
        <f>IFERROR(('TS1'!$AT$89+'TS1'!$AS$89)/CF!$E$134*CF!AX134,0)</f>
        <v>0</v>
      </c>
      <c r="AY141" s="159">
        <f>IFERROR(('TS1'!$AT$89+'TS1'!$AS$89)/CF!$E$134*CF!AY134,0)</f>
        <v>0</v>
      </c>
      <c r="AZ141" s="159">
        <f>IFERROR(('TS1'!$AT$89+'TS1'!$AS$89)/CF!$E$134*CF!AZ134,0)</f>
        <v>0</v>
      </c>
      <c r="BA141" s="159">
        <f>IFERROR(('TS1'!$AT$89+'TS1'!$AS$89)/CF!$E$134*CF!BA134,0)</f>
        <v>0</v>
      </c>
      <c r="BB141" s="159">
        <f>IFERROR(('TS1'!$AT$89+'TS1'!$AS$89)/CF!$E$134*CF!BB134,0)</f>
        <v>0</v>
      </c>
      <c r="BC141" s="159">
        <f>IFERROR(('TS1'!$AT$89+'TS1'!$AS$89)/CF!$E$134*CF!BC134,0)</f>
        <v>0</v>
      </c>
      <c r="BD141" s="159">
        <f>IFERROR(('TS1'!$AT$89+'TS1'!$AS$89)/CF!$E$134*CF!BD134,0)</f>
        <v>0</v>
      </c>
      <c r="BE141" s="159">
        <f>IFERROR(('TS1'!$AT$89+'TS1'!$AS$89)/CF!$E$134*CF!BE134,0)</f>
        <v>0</v>
      </c>
      <c r="BF141" s="159">
        <f>IFERROR(('TS1'!$AT$89+'TS1'!$AS$89)/CF!$E$134*CF!BF134,0)</f>
        <v>0</v>
      </c>
      <c r="BG141" s="159">
        <f>IFERROR(('TS1'!$AT$89+'TS1'!$AS$89)/CF!$E$134*CF!BG134,0)</f>
        <v>0</v>
      </c>
      <c r="BH141" s="159">
        <f>IFERROR(('TS1'!$AT$89+'TS1'!$AS$89)/CF!$E$134*CF!BH134,0)</f>
        <v>0</v>
      </c>
      <c r="BI141" s="159">
        <f>IFERROR(('TS1'!$AT$89+'TS1'!$AS$89)/CF!$E$134*CF!BI134,0)</f>
        <v>0</v>
      </c>
      <c r="BJ141" s="159">
        <f>IFERROR(('TS1'!$AT$89+'TS1'!$AS$89)/CF!$E$134*CF!BJ134,0)</f>
        <v>0</v>
      </c>
      <c r="BK141" s="159">
        <f>IFERROR(('TS1'!$AT$89+'TS1'!$AS$89)/CF!$E$134*CF!BK134,0)</f>
        <v>0</v>
      </c>
      <c r="BL141" s="159">
        <f>IFERROR(('TS1'!$AT$89+'TS1'!$AS$89)/CF!$E$134*CF!BL134,0)</f>
        <v>0</v>
      </c>
      <c r="BM141" s="159">
        <f>IFERROR(('TS1'!$AT$89+'TS1'!$AS$89)/CF!$E$134*CF!BM134,0)</f>
        <v>0</v>
      </c>
    </row>
    <row r="142" spans="1:65" s="134" customFormat="1" hidden="1" outlineLevel="1">
      <c r="B142" s="157"/>
      <c r="C142" s="157"/>
      <c r="D142" s="158" t="str">
        <f t="shared" si="219"/>
        <v>РИТЕЙЛ</v>
      </c>
      <c r="E142" s="154">
        <f t="shared" si="215"/>
        <v>151.68290926241085</v>
      </c>
      <c r="F142" s="565">
        <f>IFERROR('TS1'!$AT$90/CF!$E$135*CF!F135,0)</f>
        <v>0</v>
      </c>
      <c r="G142" s="565">
        <f>IFERROR('TS1'!$AT$90/CF!$E$135*CF!G135,0)</f>
        <v>0</v>
      </c>
      <c r="H142" s="565">
        <f>IFERROR('TS1'!$AT$90/CF!$E$135*CF!H135,0)</f>
        <v>0</v>
      </c>
      <c r="I142" s="565">
        <f>IFERROR('TS1'!$AT$90/CF!$E$135*CF!I135,0)</f>
        <v>0</v>
      </c>
      <c r="J142" s="565">
        <f>IFERROR('TS1'!$AT$90/CF!$E$135*CF!J135,0)</f>
        <v>0</v>
      </c>
      <c r="K142" s="565">
        <f>IFERROR('TS1'!$AT$90/CF!$E$135*CF!K135,0)</f>
        <v>0</v>
      </c>
      <c r="L142" s="565">
        <f>IFERROR('TS1'!$AT$90/CF!$E$135*CF!L135,0)</f>
        <v>0</v>
      </c>
      <c r="M142" s="565">
        <f>IFERROR('TS1'!$AT$90/CF!$E$135*CF!M135,0)</f>
        <v>0</v>
      </c>
      <c r="N142" s="159">
        <f>IFERROR('TS1'!$AT$90/CF!$E$135*CF!N135,0)</f>
        <v>0</v>
      </c>
      <c r="O142" s="159">
        <f>IFERROR('TS1'!$AT$90/CF!$E$135*CF!O135,0)</f>
        <v>0</v>
      </c>
      <c r="P142" s="159">
        <f>IFERROR('TS1'!$AT$90/CF!$E$135*CF!P135,0)</f>
        <v>0</v>
      </c>
      <c r="Q142" s="159">
        <f>IFERROR('TS1'!$AT$90/CF!$E$135*CF!Q135,0)</f>
        <v>0</v>
      </c>
      <c r="R142" s="159">
        <f>IFERROR('TS1'!$AT$90/CF!$E$135*CF!R135,0)</f>
        <v>0</v>
      </c>
      <c r="S142" s="159">
        <f>IFERROR('TS1'!$AT$90/CF!$E$135*CF!S135,0)</f>
        <v>0</v>
      </c>
      <c r="T142" s="159">
        <f>IFERROR('TS1'!$AT$90/CF!$E$135*CF!T135,0)</f>
        <v>0</v>
      </c>
      <c r="U142" s="159">
        <f>IFERROR('TS1'!$AT$90/CF!$E$135*CF!U135,0)</f>
        <v>0</v>
      </c>
      <c r="V142" s="159">
        <f>IFERROR('TS1'!$AT$90/CF!$E$135*CF!V135,0)</f>
        <v>0</v>
      </c>
      <c r="W142" s="159">
        <f>IFERROR('TS1'!$AT$90/CF!$E$135*CF!W135,0)</f>
        <v>0</v>
      </c>
      <c r="X142" s="159">
        <f>IFERROR('TS1'!$AT$90/CF!$E$135*CF!X135,0)</f>
        <v>0</v>
      </c>
      <c r="Y142" s="159">
        <f>IFERROR('TS1'!$AT$90/CF!$E$135*CF!Y135,0)</f>
        <v>0</v>
      </c>
      <c r="Z142" s="159">
        <f>IFERROR('TS1'!$AT$90/CF!$E$135*CF!Z135,0)</f>
        <v>0</v>
      </c>
      <c r="AA142" s="159">
        <f>IFERROR('TS1'!$AT$90/CF!$E$135*CF!AA135,0)</f>
        <v>0</v>
      </c>
      <c r="AB142" s="159">
        <f>IFERROR('TS1'!$AT$90/CF!$E$135*CF!AB135,0)</f>
        <v>0</v>
      </c>
      <c r="AC142" s="159">
        <f>IFERROR('TS1'!$AT$90/CF!$E$135*CF!AC135,0)</f>
        <v>0</v>
      </c>
      <c r="AD142" s="159">
        <f>IFERROR('TS1'!$AT$90/CF!$E$135*CF!AD135,0)</f>
        <v>0</v>
      </c>
      <c r="AE142" s="159">
        <f>IFERROR('TS1'!$AT$90/CF!$E$135*CF!AE135,0)</f>
        <v>0</v>
      </c>
      <c r="AF142" s="159">
        <f>IFERROR('TS1'!$AT$90/CF!$E$135*CF!AF135,0)</f>
        <v>0</v>
      </c>
      <c r="AG142" s="159">
        <f>IFERROR('TS1'!$AT$90/CF!$E$135*CF!AG135,0)</f>
        <v>43.922788365556059</v>
      </c>
      <c r="AH142" s="159">
        <f>IFERROR('TS1'!$AT$90/CF!$E$135*CF!AH135,0)</f>
        <v>43.922788365556059</v>
      </c>
      <c r="AI142" s="159">
        <f>IFERROR('TS1'!$AT$90/CF!$E$135*CF!AI135,0)</f>
        <v>0</v>
      </c>
      <c r="AJ142" s="159">
        <f>IFERROR('TS1'!$AT$90/CF!$E$135*CF!AJ135,0)</f>
        <v>0</v>
      </c>
      <c r="AK142" s="159">
        <f>IFERROR('TS1'!$AT$90/CF!$E$135*CF!AK135,0)</f>
        <v>31.918666265649371</v>
      </c>
      <c r="AL142" s="159">
        <f>IFERROR('TS1'!$AT$90/CF!$E$135*CF!AL135,0)</f>
        <v>31.918666265649371</v>
      </c>
      <c r="AM142" s="159">
        <f>IFERROR('TS1'!$AT$90/CF!$E$135*CF!AM135,0)</f>
        <v>0</v>
      </c>
      <c r="AN142" s="159">
        <f>IFERROR('TS1'!$AT$90/CF!$E$135*CF!AN135,0)</f>
        <v>0</v>
      </c>
      <c r="AO142" s="159">
        <f>IFERROR('TS1'!$AT$90/CF!$E$135*CF!AO135,0)</f>
        <v>0</v>
      </c>
      <c r="AP142" s="159">
        <f>IFERROR('TS1'!$AT$90/CF!$E$135*CF!AP135,0)</f>
        <v>0</v>
      </c>
      <c r="AQ142" s="159">
        <f>IFERROR('TS1'!$AT$90/CF!$E$135*CF!AQ135,0)</f>
        <v>0</v>
      </c>
      <c r="AR142" s="159">
        <f>IFERROR('TS1'!$AT$90/CF!$E$135*CF!AR135,0)</f>
        <v>0</v>
      </c>
      <c r="AS142" s="159">
        <f>IFERROR('TS1'!$AT$90/CF!$E$135*CF!AS135,0)</f>
        <v>0</v>
      </c>
      <c r="AT142" s="159">
        <f>IFERROR('TS1'!$AT$90/CF!$E$135*CF!AT135,0)</f>
        <v>0</v>
      </c>
      <c r="AU142" s="159">
        <f>IFERROR('TS1'!$AT$90/CF!$E$135*CF!AU135,0)</f>
        <v>0</v>
      </c>
      <c r="AV142" s="159">
        <f>IFERROR('TS1'!$AT$90/CF!$E$135*CF!AV135,0)</f>
        <v>0</v>
      </c>
      <c r="AW142" s="159">
        <f>IFERROR('TS1'!$AT$90/CF!$E$135*CF!AW135,0)</f>
        <v>0</v>
      </c>
      <c r="AX142" s="159">
        <f>IFERROR('TS1'!$AT$90/CF!$E$135*CF!AX135,0)</f>
        <v>0</v>
      </c>
      <c r="AY142" s="159">
        <f>IFERROR('TS1'!$AT$90/CF!$E$135*CF!AY135,0)</f>
        <v>0</v>
      </c>
      <c r="AZ142" s="159">
        <f>IFERROR('TS1'!$AT$90/CF!$E$135*CF!AZ135,0)</f>
        <v>0</v>
      </c>
      <c r="BA142" s="159">
        <f>IFERROR('TS1'!$AT$90/CF!$E$135*CF!BA135,0)</f>
        <v>0</v>
      </c>
      <c r="BB142" s="159">
        <f>IFERROR('TS1'!$AT$90/CF!$E$135*CF!BB135,0)</f>
        <v>0</v>
      </c>
      <c r="BC142" s="159">
        <f>IFERROR('TS1'!$AT$90/CF!$E$135*CF!BC135,0)</f>
        <v>0</v>
      </c>
      <c r="BD142" s="159">
        <f>IFERROR('TS1'!$AT$90/CF!$E$135*CF!BD135,0)</f>
        <v>0</v>
      </c>
      <c r="BE142" s="159">
        <f>IFERROR('TS1'!$AT$90/CF!$E$135*CF!BE135,0)</f>
        <v>0</v>
      </c>
      <c r="BF142" s="159">
        <f>IFERROR('TS1'!$AT$90/CF!$E$135*CF!BF135,0)</f>
        <v>0</v>
      </c>
      <c r="BG142" s="159">
        <f>IFERROR('TS1'!$AT$90/CF!$E$135*CF!BG135,0)</f>
        <v>0</v>
      </c>
      <c r="BH142" s="159">
        <f>IFERROR('TS1'!$AT$90/CF!$E$135*CF!BH135,0)</f>
        <v>0</v>
      </c>
      <c r="BI142" s="159">
        <f>IFERROR('TS1'!$AT$90/CF!$E$135*CF!BI135,0)</f>
        <v>0</v>
      </c>
      <c r="BJ142" s="159">
        <f>IFERROR('TS1'!$AT$90/CF!$E$135*CF!BJ135,0)</f>
        <v>0</v>
      </c>
      <c r="BK142" s="159">
        <f>IFERROR('TS1'!$AT$90/CF!$E$135*CF!BK135,0)</f>
        <v>0</v>
      </c>
      <c r="BL142" s="159">
        <f>IFERROR('TS1'!$AT$90/CF!$E$135*CF!BL135,0)</f>
        <v>0</v>
      </c>
      <c r="BM142" s="159">
        <f>IFERROR('TS1'!$AT$90/CF!$E$135*CF!BM135,0)</f>
        <v>0</v>
      </c>
    </row>
    <row r="143" spans="1:65" s="134" customFormat="1" hidden="1" outlineLevel="1">
      <c r="B143" s="157"/>
      <c r="C143" s="157"/>
      <c r="D143" s="158" t="str">
        <f t="shared" si="219"/>
        <v>ТЦ</v>
      </c>
      <c r="E143" s="154">
        <f t="shared" si="215"/>
        <v>0</v>
      </c>
      <c r="F143" s="565">
        <f>IFERROR(('TS1'!$AT$91+'TS1'!$AS$91)/CF!$E$136*CF!F136,0)</f>
        <v>0</v>
      </c>
      <c r="G143" s="565">
        <f>IFERROR(('TS1'!$AT$91+'TS1'!$AS$91)/CF!$E$136*CF!G136,0)</f>
        <v>0</v>
      </c>
      <c r="H143" s="565">
        <f>IFERROR(('TS1'!$AT$91+'TS1'!$AS$91)/CF!$E$136*CF!H136,0)</f>
        <v>0</v>
      </c>
      <c r="I143" s="565">
        <f>IFERROR(('TS1'!$AT$91+'TS1'!$AS$91)/CF!$E$136*CF!I136,0)</f>
        <v>0</v>
      </c>
      <c r="J143" s="565">
        <f>IFERROR(('TS1'!$AT$91+'TS1'!$AS$91)/CF!$E$136*CF!J136,0)</f>
        <v>0</v>
      </c>
      <c r="K143" s="565">
        <f>IFERROR(('TS1'!$AT$91+'TS1'!$AS$91)/CF!$E$136*CF!K136,0)</f>
        <v>0</v>
      </c>
      <c r="L143" s="565">
        <f>IFERROR(('TS1'!$AT$91+'TS1'!$AS$91)/CF!$E$136*CF!L136,0)</f>
        <v>0</v>
      </c>
      <c r="M143" s="565">
        <f>IFERROR(('TS1'!$AT$91+'TS1'!$AS$91)/CF!$E$136*CF!M136,0)</f>
        <v>0</v>
      </c>
      <c r="N143" s="159">
        <f>IFERROR(('TS1'!$AT$91+'TS1'!$AS$91)/CF!$E$136*CF!N136,0)</f>
        <v>0</v>
      </c>
      <c r="O143" s="159">
        <f>IFERROR(('TS1'!$AT$91+'TS1'!$AS$91)/CF!$E$136*CF!O136,0)</f>
        <v>0</v>
      </c>
      <c r="P143" s="159">
        <f>IFERROR(('TS1'!$AT$91+'TS1'!$AS$91)/CF!$E$136*CF!P136,0)</f>
        <v>0</v>
      </c>
      <c r="Q143" s="159">
        <f>IFERROR(('TS1'!$AT$91+'TS1'!$AS$91)/CF!$E$136*CF!Q136,0)</f>
        <v>0</v>
      </c>
      <c r="R143" s="159">
        <f>IFERROR(('TS1'!$AT$91+'TS1'!$AS$91)/CF!$E$136*CF!R136,0)</f>
        <v>0</v>
      </c>
      <c r="S143" s="159">
        <f>IFERROR(('TS1'!$AT$91+'TS1'!$AS$91)/CF!$E$136*CF!S136,0)</f>
        <v>0</v>
      </c>
      <c r="T143" s="159">
        <f>IFERROR(('TS1'!$AT$91+'TS1'!$AS$91)/CF!$E$136*CF!T136,0)</f>
        <v>0</v>
      </c>
      <c r="U143" s="159">
        <f>IFERROR(('TS1'!$AT$91+'TS1'!$AS$91)/CF!$E$136*CF!U136,0)</f>
        <v>0</v>
      </c>
      <c r="V143" s="159">
        <f>IFERROR(('TS1'!$AT$91+'TS1'!$AS$91)/CF!$E$136*CF!V136,0)</f>
        <v>0</v>
      </c>
      <c r="W143" s="159">
        <f>IFERROR(('TS1'!$AT$91+'TS1'!$AS$91)/CF!$E$136*CF!W136,0)</f>
        <v>0</v>
      </c>
      <c r="X143" s="159">
        <f>IFERROR(('TS1'!$AT$91+'TS1'!$AS$91)/CF!$E$136*CF!X136,0)</f>
        <v>0</v>
      </c>
      <c r="Y143" s="159">
        <f>IFERROR(('TS1'!$AT$91+'TS1'!$AS$91)/CF!$E$136*CF!Y136,0)</f>
        <v>0</v>
      </c>
      <c r="Z143" s="159">
        <f>IFERROR(('TS1'!$AT$91+'TS1'!$AS$91)/CF!$E$136*CF!Z136,0)</f>
        <v>0</v>
      </c>
      <c r="AA143" s="159">
        <f>IFERROR(('TS1'!$AT$91+'TS1'!$AS$91)/CF!$E$136*CF!AA136,0)</f>
        <v>0</v>
      </c>
      <c r="AB143" s="159">
        <f>IFERROR(('TS1'!$AT$91+'TS1'!$AS$91)/CF!$E$136*CF!AB136,0)</f>
        <v>0</v>
      </c>
      <c r="AC143" s="159">
        <f>IFERROR(('TS1'!$AT$91+'TS1'!$AS$91)/CF!$E$136*CF!AC136,0)</f>
        <v>0</v>
      </c>
      <c r="AD143" s="159">
        <f>IFERROR(('TS1'!$AT$91+'TS1'!$AS$91)/CF!$E$136*CF!AD136,0)</f>
        <v>0</v>
      </c>
      <c r="AE143" s="159">
        <f>IFERROR(('TS1'!$AT$91+'TS1'!$AS$91)/CF!$E$136*CF!AE136,0)</f>
        <v>0</v>
      </c>
      <c r="AF143" s="159">
        <f>IFERROR(('TS1'!$AT$91+'TS1'!$AS$91)/CF!$E$136*CF!AF136,0)</f>
        <v>0</v>
      </c>
      <c r="AG143" s="159">
        <f>IFERROR(('TS1'!$AT$91+'TS1'!$AS$91)/CF!$E$136*CF!AG136,0)</f>
        <v>0</v>
      </c>
      <c r="AH143" s="159">
        <f>IFERROR(('TS1'!$AT$91+'TS1'!$AS$91)/CF!$E$136*CF!AH136,0)</f>
        <v>0</v>
      </c>
      <c r="AI143" s="159">
        <f>IFERROR(('TS1'!$AT$91+'TS1'!$AS$91)/CF!$E$136*CF!AI136,0)</f>
        <v>0</v>
      </c>
      <c r="AJ143" s="159">
        <f>IFERROR(('TS1'!$AT$91+'TS1'!$AS$91)/CF!$E$136*CF!AJ136,0)</f>
        <v>0</v>
      </c>
      <c r="AK143" s="159">
        <f>IFERROR(('TS1'!$AT$91+'TS1'!$AS$91)/CF!$E$136*CF!AK136,0)</f>
        <v>0</v>
      </c>
      <c r="AL143" s="159">
        <f>IFERROR(('TS1'!$AT$91+'TS1'!$AS$91)/CF!$E$136*CF!AL136,0)</f>
        <v>0</v>
      </c>
      <c r="AM143" s="159">
        <f>IFERROR(('TS1'!$AT$91+'TS1'!$AS$91)/CF!$E$136*CF!AM136,0)</f>
        <v>0</v>
      </c>
      <c r="AN143" s="159">
        <f>IFERROR(('TS1'!$AT$91+'TS1'!$AS$91)/CF!$E$136*CF!AN136,0)</f>
        <v>0</v>
      </c>
      <c r="AO143" s="159">
        <f>IFERROR(('TS1'!$AT$91+'TS1'!$AS$91)/CF!$E$136*CF!AO136,0)</f>
        <v>0</v>
      </c>
      <c r="AP143" s="159">
        <f>IFERROR(('TS1'!$AT$91+'TS1'!$AS$91)/CF!$E$136*CF!AP136,0)</f>
        <v>0</v>
      </c>
      <c r="AQ143" s="159">
        <f>IFERROR(('TS1'!$AT$91+'TS1'!$AS$91)/CF!$E$136*CF!AQ136,0)</f>
        <v>0</v>
      </c>
      <c r="AR143" s="159">
        <f>IFERROR(('TS1'!$AT$91+'TS1'!$AS$91)/CF!$E$136*CF!AR136,0)</f>
        <v>0</v>
      </c>
      <c r="AS143" s="159">
        <f>IFERROR(('TS1'!$AT$91+'TS1'!$AS$91)/CF!$E$136*CF!AS136,0)</f>
        <v>0</v>
      </c>
      <c r="AT143" s="159">
        <f>IFERROR(('TS1'!$AT$91+'TS1'!$AS$91)/CF!$E$136*CF!AT136,0)</f>
        <v>0</v>
      </c>
      <c r="AU143" s="159">
        <f>IFERROR(('TS1'!$AT$91+'TS1'!$AS$91)/CF!$E$136*CF!AU136,0)</f>
        <v>0</v>
      </c>
      <c r="AV143" s="159">
        <f>IFERROR(('TS1'!$AT$91+'TS1'!$AS$91)/CF!$E$136*CF!AV136,0)</f>
        <v>0</v>
      </c>
      <c r="AW143" s="159">
        <f>IFERROR(('TS1'!$AT$91+'TS1'!$AS$91)/CF!$E$136*CF!AW136,0)</f>
        <v>0</v>
      </c>
      <c r="AX143" s="159">
        <f>IFERROR(('TS1'!$AT$91+'TS1'!$AS$91)/CF!$E$136*CF!AX136,0)</f>
        <v>0</v>
      </c>
      <c r="AY143" s="159">
        <f>IFERROR(('TS1'!$AT$91+'TS1'!$AS$91)/CF!$E$136*CF!AY136,0)</f>
        <v>0</v>
      </c>
      <c r="AZ143" s="159">
        <f>IFERROR(('TS1'!$AT$91+'TS1'!$AS$91)/CF!$E$136*CF!AZ136,0)</f>
        <v>0</v>
      </c>
      <c r="BA143" s="159">
        <f>IFERROR(('TS1'!$AT$91+'TS1'!$AS$91)/CF!$E$136*CF!BA136,0)</f>
        <v>0</v>
      </c>
      <c r="BB143" s="159">
        <f>IFERROR(('TS1'!$AT$91+'TS1'!$AS$91)/CF!$E$136*CF!BB136,0)</f>
        <v>0</v>
      </c>
      <c r="BC143" s="159">
        <f>IFERROR(('TS1'!$AT$91+'TS1'!$AS$91)/CF!$E$136*CF!BC136,0)</f>
        <v>0</v>
      </c>
      <c r="BD143" s="159">
        <f>IFERROR(('TS1'!$AT$91+'TS1'!$AS$91)/CF!$E$136*CF!BD136,0)</f>
        <v>0</v>
      </c>
      <c r="BE143" s="159">
        <f>IFERROR(('TS1'!$AT$91+'TS1'!$AS$91)/CF!$E$136*CF!BE136,0)</f>
        <v>0</v>
      </c>
      <c r="BF143" s="159">
        <f>IFERROR(('TS1'!$AT$91+'TS1'!$AS$91)/CF!$E$136*CF!BF136,0)</f>
        <v>0</v>
      </c>
      <c r="BG143" s="159">
        <f>IFERROR(('TS1'!$AT$91+'TS1'!$AS$91)/CF!$E$136*CF!BG136,0)</f>
        <v>0</v>
      </c>
      <c r="BH143" s="159">
        <f>IFERROR(('TS1'!$AT$91+'TS1'!$AS$91)/CF!$E$136*CF!BH136,0)</f>
        <v>0</v>
      </c>
      <c r="BI143" s="159">
        <f>IFERROR(('TS1'!$AT$91+'TS1'!$AS$91)/CF!$E$136*CF!BI136,0)</f>
        <v>0</v>
      </c>
      <c r="BJ143" s="159">
        <f>IFERROR(('TS1'!$AT$91+'TS1'!$AS$91)/CF!$E$136*CF!BJ136,0)</f>
        <v>0</v>
      </c>
      <c r="BK143" s="159">
        <f>IFERROR(('TS1'!$AT$91+'TS1'!$AS$91)/CF!$E$136*CF!BK136,0)</f>
        <v>0</v>
      </c>
      <c r="BL143" s="159">
        <f>IFERROR(('TS1'!$AT$91+'TS1'!$AS$91)/CF!$E$136*CF!BL136,0)</f>
        <v>0</v>
      </c>
      <c r="BM143" s="159">
        <f>IFERROR(('TS1'!$AT$91+'TS1'!$AS$91)/CF!$E$136*CF!BM136,0)</f>
        <v>0</v>
      </c>
    </row>
    <row r="144" spans="1:65" s="134" customFormat="1" hidden="1" outlineLevel="1">
      <c r="B144" s="157"/>
      <c r="C144" s="157"/>
      <c r="D144" s="158" t="str">
        <f t="shared" si="219"/>
        <v>ПАРКИНГ ЖИЛЬЕ</v>
      </c>
      <c r="E144" s="154">
        <f t="shared" si="215"/>
        <v>179.25</v>
      </c>
      <c r="F144" s="565">
        <f>IFERROR('TS1'!$AT$92/CF!$E$137*CF!F137,0)</f>
        <v>0</v>
      </c>
      <c r="G144" s="565">
        <f>IFERROR('TS1'!$AT$92/CF!$E$137*CF!G137,0)</f>
        <v>0</v>
      </c>
      <c r="H144" s="565">
        <f>IFERROR('TS1'!$AT$92/CF!$E$137*CF!H137,0)</f>
        <v>0</v>
      </c>
      <c r="I144" s="565">
        <f>IFERROR('TS1'!$AT$92/CF!$E$137*CF!I137,0)</f>
        <v>0</v>
      </c>
      <c r="J144" s="565">
        <f>IFERROR('TS1'!$AT$92/CF!$E$137*CF!J137,0)</f>
        <v>0</v>
      </c>
      <c r="K144" s="565">
        <f>IFERROR('TS1'!$AT$92/CF!$E$137*CF!K137,0)</f>
        <v>0</v>
      </c>
      <c r="L144" s="565">
        <f>IFERROR('TS1'!$AT$92/CF!$E$137*CF!L137,0)</f>
        <v>0</v>
      </c>
      <c r="M144" s="565">
        <f>IFERROR('TS1'!$AT$92/CF!$E$137*CF!M137,0)</f>
        <v>0</v>
      </c>
      <c r="N144" s="159">
        <f>IFERROR('TS1'!$AT$92/CF!$E$137*CF!N137,0)</f>
        <v>0</v>
      </c>
      <c r="O144" s="159">
        <f>IFERROR('TS1'!$AT$92/CF!$E$137*CF!O137,0)</f>
        <v>0</v>
      </c>
      <c r="P144" s="159">
        <f>IFERROR('TS1'!$AT$92/CF!$E$137*CF!P137,0)</f>
        <v>0</v>
      </c>
      <c r="Q144" s="159">
        <f>IFERROR('TS1'!$AT$92/CF!$E$137*CF!Q137,0)</f>
        <v>0</v>
      </c>
      <c r="R144" s="159">
        <f>IFERROR('TS1'!$AT$92/CF!$E$137*CF!R137,0)</f>
        <v>0</v>
      </c>
      <c r="S144" s="159">
        <f>IFERROR('TS1'!$AT$92/CF!$E$137*CF!S137,0)</f>
        <v>0</v>
      </c>
      <c r="T144" s="159">
        <f>IFERROR('TS1'!$AT$92/CF!$E$137*CF!T137,0)</f>
        <v>0</v>
      </c>
      <c r="U144" s="159">
        <f>IFERROR('TS1'!$AT$92/CF!$E$137*CF!U137,0)</f>
        <v>0</v>
      </c>
      <c r="V144" s="159">
        <f>IFERROR('TS1'!$AT$92/CF!$E$137*CF!V137,0)</f>
        <v>0</v>
      </c>
      <c r="W144" s="159">
        <f>IFERROR('TS1'!$AT$92/CF!$E$137*CF!W137,0)</f>
        <v>0</v>
      </c>
      <c r="X144" s="159">
        <f>IFERROR('TS1'!$AT$92/CF!$E$137*CF!X137,0)</f>
        <v>0</v>
      </c>
      <c r="Y144" s="159">
        <f>IFERROR('TS1'!$AT$92/CF!$E$137*CF!Y137,0)</f>
        <v>0</v>
      </c>
      <c r="Z144" s="159">
        <f>IFERROR('TS1'!$AT$92/CF!$E$137*CF!Z137,0)</f>
        <v>0</v>
      </c>
      <c r="AA144" s="159">
        <f>IFERROR('TS1'!$AT$92/CF!$E$137*CF!AA137,0)</f>
        <v>0</v>
      </c>
      <c r="AB144" s="159">
        <f>IFERROR('TS1'!$AT$92/CF!$E$137*CF!AB137,0)</f>
        <v>0</v>
      </c>
      <c r="AC144" s="159">
        <f>IFERROR('TS1'!$AT$92/CF!$E$137*CF!AC137,0)</f>
        <v>0</v>
      </c>
      <c r="AD144" s="159">
        <f>IFERROR('TS1'!$AT$92/CF!$E$137*CF!AD137,0)</f>
        <v>0</v>
      </c>
      <c r="AE144" s="159">
        <f>IFERROR('TS1'!$AT$92/CF!$E$137*CF!AE137,0)</f>
        <v>0</v>
      </c>
      <c r="AF144" s="159">
        <f>IFERROR('TS1'!$AT$92/CF!$E$137*CF!AF137,0)</f>
        <v>21.005859375</v>
      </c>
      <c r="AG144" s="159">
        <f>IFERROR('TS1'!$AT$92/CF!$E$137*CF!AG137,0)</f>
        <v>21.005859375</v>
      </c>
      <c r="AH144" s="159">
        <f>IFERROR('TS1'!$AT$92/CF!$E$137*CF!AH137,0)</f>
        <v>21.005859375</v>
      </c>
      <c r="AI144" s="159">
        <f>IFERROR('TS1'!$AT$92/CF!$E$137*CF!AI137,0)</f>
        <v>21.005859375</v>
      </c>
      <c r="AJ144" s="159">
        <f>IFERROR('TS1'!$AT$92/CF!$E$137*CF!AJ137,0)</f>
        <v>21.005859375</v>
      </c>
      <c r="AK144" s="159">
        <f>IFERROR('TS1'!$AT$92/CF!$E$137*CF!AK137,0)</f>
        <v>21.005859375</v>
      </c>
      <c r="AL144" s="159">
        <f>IFERROR('TS1'!$AT$92/CF!$E$137*CF!AL137,0)</f>
        <v>21.005859375</v>
      </c>
      <c r="AM144" s="159">
        <f>IFERROR('TS1'!$AT$92/CF!$E$137*CF!AM137,0)</f>
        <v>20.65576171875</v>
      </c>
      <c r="AN144" s="159">
        <f>IFERROR('TS1'!$AT$92/CF!$E$137*CF!AN137,0)</f>
        <v>11.55322265625</v>
      </c>
      <c r="AO144" s="159">
        <f>IFERROR('TS1'!$AT$92/CF!$E$137*CF!AO137,0)</f>
        <v>0</v>
      </c>
      <c r="AP144" s="159">
        <f>IFERROR('TS1'!$AT$92/CF!$E$137*CF!AP137,0)</f>
        <v>0</v>
      </c>
      <c r="AQ144" s="159">
        <f>IFERROR('TS1'!$AT$92/CF!$E$137*CF!AQ137,0)</f>
        <v>0</v>
      </c>
      <c r="AR144" s="159">
        <f>IFERROR('TS1'!$AT$92/CF!$E$137*CF!AR137,0)</f>
        <v>0</v>
      </c>
      <c r="AS144" s="159">
        <f>IFERROR('TS1'!$AT$92/CF!$E$137*CF!AS137,0)</f>
        <v>0</v>
      </c>
      <c r="AT144" s="159">
        <f>IFERROR('TS1'!$AT$92/CF!$E$137*CF!AT137,0)</f>
        <v>0</v>
      </c>
      <c r="AU144" s="159">
        <f>IFERROR('TS1'!$AT$92/CF!$E$137*CF!AU137,0)</f>
        <v>0</v>
      </c>
      <c r="AV144" s="159">
        <f>IFERROR('TS1'!$AT$92/CF!$E$137*CF!AV137,0)</f>
        <v>0</v>
      </c>
      <c r="AW144" s="159">
        <f>IFERROR('TS1'!$AT$92/CF!$E$137*CF!AW137,0)</f>
        <v>0</v>
      </c>
      <c r="AX144" s="159">
        <f>IFERROR('TS1'!$AT$92/CF!$E$137*CF!AX137,0)</f>
        <v>0</v>
      </c>
      <c r="AY144" s="159">
        <f>IFERROR('TS1'!$AT$92/CF!$E$137*CF!AY137,0)</f>
        <v>0</v>
      </c>
      <c r="AZ144" s="159">
        <f>IFERROR('TS1'!$AT$92/CF!$E$137*CF!AZ137,0)</f>
        <v>0</v>
      </c>
      <c r="BA144" s="159">
        <f>IFERROR('TS1'!$AT$92/CF!$E$137*CF!BA137,0)</f>
        <v>0</v>
      </c>
      <c r="BB144" s="159">
        <f>IFERROR('TS1'!$AT$92/CF!$E$137*CF!BB137,0)</f>
        <v>0</v>
      </c>
      <c r="BC144" s="159">
        <f>IFERROR('TS1'!$AT$92/CF!$E$137*CF!BC137,0)</f>
        <v>0</v>
      </c>
      <c r="BD144" s="159">
        <f>IFERROR('TS1'!$AT$92/CF!$E$137*CF!BD137,0)</f>
        <v>0</v>
      </c>
      <c r="BE144" s="159">
        <f>IFERROR('TS1'!$AT$92/CF!$E$137*CF!BE137,0)</f>
        <v>0</v>
      </c>
      <c r="BF144" s="159">
        <f>IFERROR('TS1'!$AT$92/CF!$E$137*CF!BF137,0)</f>
        <v>0</v>
      </c>
      <c r="BG144" s="159">
        <f>IFERROR('TS1'!$AT$92/CF!$E$137*CF!BG137,0)</f>
        <v>0</v>
      </c>
      <c r="BH144" s="159">
        <f>IFERROR('TS1'!$AT$92/CF!$E$137*CF!BH137,0)</f>
        <v>0</v>
      </c>
      <c r="BI144" s="159">
        <f>IFERROR('TS1'!$AT$92/CF!$E$137*CF!BI137,0)</f>
        <v>0</v>
      </c>
      <c r="BJ144" s="159">
        <f>IFERROR('TS1'!$AT$92/CF!$E$137*CF!BJ137,0)</f>
        <v>0</v>
      </c>
      <c r="BK144" s="159">
        <f>IFERROR('TS1'!$AT$92/CF!$E$137*CF!BK137,0)</f>
        <v>0</v>
      </c>
      <c r="BL144" s="159">
        <f>IFERROR('TS1'!$AT$92/CF!$E$137*CF!BL137,0)</f>
        <v>0</v>
      </c>
      <c r="BM144" s="159">
        <f>IFERROR('TS1'!$AT$92/CF!$E$137*CF!BM137,0)</f>
        <v>0</v>
      </c>
    </row>
    <row r="145" spans="2:65" s="134" customFormat="1" hidden="1" outlineLevel="1">
      <c r="B145" s="157"/>
      <c r="C145" s="157"/>
      <c r="D145" s="158" t="str">
        <f t="shared" si="219"/>
        <v>ПАРКИНГ ОФИС</v>
      </c>
      <c r="E145" s="154">
        <f t="shared" si="215"/>
        <v>0</v>
      </c>
      <c r="F145" s="565">
        <f>IFERROR(('TS1'!$AT$93+'TS1'!$AS$93)/CF!$E$138*CF!F138,0)</f>
        <v>0</v>
      </c>
      <c r="G145" s="565">
        <f>IFERROR(('TS1'!$AT$93+'TS1'!$AS$93)/CF!$E$138*CF!G138,0)</f>
        <v>0</v>
      </c>
      <c r="H145" s="565">
        <f>IFERROR(('TS1'!$AT$93+'TS1'!$AS$93)/CF!$E$138*CF!H138,0)</f>
        <v>0</v>
      </c>
      <c r="I145" s="565">
        <f>IFERROR(('TS1'!$AT$93+'TS1'!$AS$93)/CF!$E$138*CF!I138,0)</f>
        <v>0</v>
      </c>
      <c r="J145" s="565">
        <f>IFERROR(('TS1'!$AT$93+'TS1'!$AS$93)/CF!$E$138*CF!J138,0)</f>
        <v>0</v>
      </c>
      <c r="K145" s="565">
        <f>IFERROR(('TS1'!$AT$93+'TS1'!$AS$93)/CF!$E$138*CF!K138,0)</f>
        <v>0</v>
      </c>
      <c r="L145" s="565">
        <f>IFERROR(('TS1'!$AT$93+'TS1'!$AS$93)/CF!$E$138*CF!L138,0)</f>
        <v>0</v>
      </c>
      <c r="M145" s="565">
        <f>IFERROR(('TS1'!$AT$93+'TS1'!$AS$93)/CF!$E$138*CF!M138,0)</f>
        <v>0</v>
      </c>
      <c r="N145" s="159">
        <f>IFERROR(('TS1'!$AT$93+'TS1'!$AS$93)/CF!$E$138*CF!N138,0)</f>
        <v>0</v>
      </c>
      <c r="O145" s="159">
        <f>IFERROR(('TS1'!$AT$93+'TS1'!$AS$93)/CF!$E$138*CF!O138,0)</f>
        <v>0</v>
      </c>
      <c r="P145" s="159">
        <f>IFERROR(('TS1'!$AT$93+'TS1'!$AS$93)/CF!$E$138*CF!P138,0)</f>
        <v>0</v>
      </c>
      <c r="Q145" s="159">
        <f>IFERROR(('TS1'!$AT$93+'TS1'!$AS$93)/CF!$E$138*CF!Q138,0)</f>
        <v>0</v>
      </c>
      <c r="R145" s="159">
        <f>IFERROR(('TS1'!$AT$93+'TS1'!$AS$93)/CF!$E$138*CF!R138,0)</f>
        <v>0</v>
      </c>
      <c r="S145" s="159">
        <f>IFERROR(('TS1'!$AT$93+'TS1'!$AS$93)/CF!$E$138*CF!S138,0)</f>
        <v>0</v>
      </c>
      <c r="T145" s="159">
        <f>IFERROR(('TS1'!$AT$93+'TS1'!$AS$93)/CF!$E$138*CF!T138,0)</f>
        <v>0</v>
      </c>
      <c r="U145" s="159">
        <f>IFERROR(('TS1'!$AT$93+'TS1'!$AS$93)/CF!$E$138*CF!U138,0)</f>
        <v>0</v>
      </c>
      <c r="V145" s="159">
        <f>IFERROR(('TS1'!$AT$93+'TS1'!$AS$93)/CF!$E$138*CF!V138,0)</f>
        <v>0</v>
      </c>
      <c r="W145" s="159">
        <f>IFERROR(('TS1'!$AT$93+'TS1'!$AS$93)/CF!$E$138*CF!W138,0)</f>
        <v>0</v>
      </c>
      <c r="X145" s="159">
        <f>IFERROR(('TS1'!$AT$93+'TS1'!$AS$93)/CF!$E$138*CF!X138,0)</f>
        <v>0</v>
      </c>
      <c r="Y145" s="159">
        <f>IFERROR(('TS1'!$AT$93+'TS1'!$AS$93)/CF!$E$138*CF!Y138,0)</f>
        <v>0</v>
      </c>
      <c r="Z145" s="159">
        <f>IFERROR(('TS1'!$AT$93+'TS1'!$AS$93)/CF!$E$138*CF!Z138,0)</f>
        <v>0</v>
      </c>
      <c r="AA145" s="159">
        <f>IFERROR(('TS1'!$AT$93+'TS1'!$AS$93)/CF!$E$138*CF!AA138,0)</f>
        <v>0</v>
      </c>
      <c r="AB145" s="159">
        <f>IFERROR(('TS1'!$AT$93+'TS1'!$AS$93)/CF!$E$138*CF!AB138,0)</f>
        <v>0</v>
      </c>
      <c r="AC145" s="159">
        <f>IFERROR(('TS1'!$AT$93+'TS1'!$AS$93)/CF!$E$138*CF!AC138,0)</f>
        <v>0</v>
      </c>
      <c r="AD145" s="159">
        <f>IFERROR(('TS1'!$AT$93+'TS1'!$AS$93)/CF!$E$138*CF!AD138,0)</f>
        <v>0</v>
      </c>
      <c r="AE145" s="159">
        <f>IFERROR(('TS1'!$AT$93+'TS1'!$AS$93)/CF!$E$138*CF!AE138,0)</f>
        <v>0</v>
      </c>
      <c r="AF145" s="159">
        <f>IFERROR(('TS1'!$AT$93+'TS1'!$AS$93)/CF!$E$138*CF!AF138,0)</f>
        <v>0</v>
      </c>
      <c r="AG145" s="159">
        <f>IFERROR(('TS1'!$AT$93+'TS1'!$AS$93)/CF!$E$138*CF!AG138,0)</f>
        <v>0</v>
      </c>
      <c r="AH145" s="159">
        <f>IFERROR(('TS1'!$AT$93+'TS1'!$AS$93)/CF!$E$138*CF!AH138,0)</f>
        <v>0</v>
      </c>
      <c r="AI145" s="159">
        <f>IFERROR(('TS1'!$AT$93+'TS1'!$AS$93)/CF!$E$138*CF!AI138,0)</f>
        <v>0</v>
      </c>
      <c r="AJ145" s="159">
        <f>IFERROR(('TS1'!$AT$93+'TS1'!$AS$93)/CF!$E$138*CF!AJ138,0)</f>
        <v>0</v>
      </c>
      <c r="AK145" s="159">
        <f>IFERROR(('TS1'!$AT$93+'TS1'!$AS$93)/CF!$E$138*CF!AK138,0)</f>
        <v>0</v>
      </c>
      <c r="AL145" s="159">
        <f>IFERROR(('TS1'!$AT$93+'TS1'!$AS$93)/CF!$E$138*CF!AL138,0)</f>
        <v>0</v>
      </c>
      <c r="AM145" s="159">
        <f>IFERROR(('TS1'!$AT$93+'TS1'!$AS$93)/CF!$E$138*CF!AM138,0)</f>
        <v>0</v>
      </c>
      <c r="AN145" s="159">
        <f>IFERROR(('TS1'!$AT$93+'TS1'!$AS$93)/CF!$E$138*CF!AN138,0)</f>
        <v>0</v>
      </c>
      <c r="AO145" s="159">
        <f>IFERROR(('TS1'!$AT$93+'TS1'!$AS$93)/CF!$E$138*CF!AO138,0)</f>
        <v>0</v>
      </c>
      <c r="AP145" s="159">
        <f>IFERROR(('TS1'!$AT$93+'TS1'!$AS$93)/CF!$E$138*CF!AP138,0)</f>
        <v>0</v>
      </c>
      <c r="AQ145" s="159">
        <f>IFERROR(('TS1'!$AT$93+'TS1'!$AS$93)/CF!$E$138*CF!AQ138,0)</f>
        <v>0</v>
      </c>
      <c r="AR145" s="159">
        <f>IFERROR(('TS1'!$AT$93+'TS1'!$AS$93)/CF!$E$138*CF!AR138,0)</f>
        <v>0</v>
      </c>
      <c r="AS145" s="159">
        <f>IFERROR(('TS1'!$AT$93+'TS1'!$AS$93)/CF!$E$138*CF!AS138,0)</f>
        <v>0</v>
      </c>
      <c r="AT145" s="159">
        <f>IFERROR(('TS1'!$AT$93+'TS1'!$AS$93)/CF!$E$138*CF!AT138,0)</f>
        <v>0</v>
      </c>
      <c r="AU145" s="159">
        <f>IFERROR(('TS1'!$AT$93+'TS1'!$AS$93)/CF!$E$138*CF!AU138,0)</f>
        <v>0</v>
      </c>
      <c r="AV145" s="159">
        <f>IFERROR(('TS1'!$AT$93+'TS1'!$AS$93)/CF!$E$138*CF!AV138,0)</f>
        <v>0</v>
      </c>
      <c r="AW145" s="159">
        <f>IFERROR(('TS1'!$AT$93+'TS1'!$AS$93)/CF!$E$138*CF!AW138,0)</f>
        <v>0</v>
      </c>
      <c r="AX145" s="159">
        <f>IFERROR(('TS1'!$AT$93+'TS1'!$AS$93)/CF!$E$138*CF!AX138,0)</f>
        <v>0</v>
      </c>
      <c r="AY145" s="159">
        <f>IFERROR(('TS1'!$AT$93+'TS1'!$AS$93)/CF!$E$138*CF!AY138,0)</f>
        <v>0</v>
      </c>
      <c r="AZ145" s="159">
        <f>IFERROR(('TS1'!$AT$93+'TS1'!$AS$93)/CF!$E$138*CF!AZ138,0)</f>
        <v>0</v>
      </c>
      <c r="BA145" s="159">
        <f>IFERROR(('TS1'!$AT$93+'TS1'!$AS$93)/CF!$E$138*CF!BA138,0)</f>
        <v>0</v>
      </c>
      <c r="BB145" s="159">
        <f>IFERROR(('TS1'!$AT$93+'TS1'!$AS$93)/CF!$E$138*CF!BB138,0)</f>
        <v>0</v>
      </c>
      <c r="BC145" s="159">
        <f>IFERROR(('TS1'!$AT$93+'TS1'!$AS$93)/CF!$E$138*CF!BC138,0)</f>
        <v>0</v>
      </c>
      <c r="BD145" s="159">
        <f>IFERROR(('TS1'!$AT$93+'TS1'!$AS$93)/CF!$E$138*CF!BD138,0)</f>
        <v>0</v>
      </c>
      <c r="BE145" s="159">
        <f>IFERROR(('TS1'!$AT$93+'TS1'!$AS$93)/CF!$E$138*CF!BE138,0)</f>
        <v>0</v>
      </c>
      <c r="BF145" s="159">
        <f>IFERROR(('TS1'!$AT$93+'TS1'!$AS$93)/CF!$E$138*CF!BF138,0)</f>
        <v>0</v>
      </c>
      <c r="BG145" s="159">
        <f>IFERROR(('TS1'!$AT$93+'TS1'!$AS$93)/CF!$E$138*CF!BG138,0)</f>
        <v>0</v>
      </c>
      <c r="BH145" s="159">
        <f>IFERROR(('TS1'!$AT$93+'TS1'!$AS$93)/CF!$E$138*CF!BH138,0)</f>
        <v>0</v>
      </c>
      <c r="BI145" s="159">
        <f>IFERROR(('TS1'!$AT$93+'TS1'!$AS$93)/CF!$E$138*CF!BI138,0)</f>
        <v>0</v>
      </c>
      <c r="BJ145" s="159">
        <f>IFERROR(('TS1'!$AT$93+'TS1'!$AS$93)/CF!$E$138*CF!BJ138,0)</f>
        <v>0</v>
      </c>
      <c r="BK145" s="159">
        <f>IFERROR(('TS1'!$AT$93+'TS1'!$AS$93)/CF!$E$138*CF!BK138,0)</f>
        <v>0</v>
      </c>
      <c r="BL145" s="159">
        <f>IFERROR(('TS1'!$AT$93+'TS1'!$AS$93)/CF!$E$138*CF!BL138,0)</f>
        <v>0</v>
      </c>
      <c r="BM145" s="159">
        <f>IFERROR(('TS1'!$AT$93+'TS1'!$AS$93)/CF!$E$138*CF!BM138,0)</f>
        <v>0</v>
      </c>
    </row>
    <row r="146" spans="2:65" collapsed="1">
      <c r="B146" s="145" t="s">
        <v>61</v>
      </c>
      <c r="C146" s="27"/>
      <c r="D146" s="150"/>
      <c r="E146" s="141">
        <f>SUM(F146:BM146)</f>
        <v>-4462.5130031794597</v>
      </c>
      <c r="F146" s="202">
        <f>'CF1'!F127+'CF2'!P127</f>
        <v>0</v>
      </c>
      <c r="G146" s="202">
        <f>'CF1'!G127+'CF2'!Q127</f>
        <v>0</v>
      </c>
      <c r="H146" s="202">
        <f>'CF1'!H127+'CF2'!R127</f>
        <v>0</v>
      </c>
      <c r="I146" s="202">
        <f>'CF1'!I127+'CF2'!S127</f>
        <v>0</v>
      </c>
      <c r="J146" s="202">
        <f>'CF1'!J127+'CF2'!T127</f>
        <v>0</v>
      </c>
      <c r="K146" s="202">
        <f>'CF1'!K127+'CF2'!U127</f>
        <v>0</v>
      </c>
      <c r="L146" s="202">
        <f>'CF1'!L127+'CF2'!V127</f>
        <v>0</v>
      </c>
      <c r="M146" s="202">
        <f>'CF1'!M127+'CF2'!W127</f>
        <v>0</v>
      </c>
      <c r="N146" s="142">
        <f>'CF1'!N127+'CF2'!X127</f>
        <v>0</v>
      </c>
      <c r="O146" s="142">
        <f>'CF1'!O127+'CF2'!Y127</f>
        <v>0</v>
      </c>
      <c r="P146" s="142">
        <f>'CF1'!P127+'CF2'!Z127</f>
        <v>0</v>
      </c>
      <c r="Q146" s="142">
        <f>'CF1'!Q127+'CF2'!AA127</f>
        <v>0</v>
      </c>
      <c r="R146" s="142">
        <f>'CF1'!R127+'CF2'!AB127</f>
        <v>0</v>
      </c>
      <c r="S146" s="142">
        <f>'CF1'!S127+'CF2'!AC127</f>
        <v>0</v>
      </c>
      <c r="T146" s="142">
        <f>'CF1'!T127+'CF2'!AD127</f>
        <v>0</v>
      </c>
      <c r="U146" s="142">
        <f>'CF1'!U127+'CF2'!AE127</f>
        <v>0</v>
      </c>
      <c r="V146" s="142">
        <f>'CF1'!V127+'CF2'!AF127</f>
        <v>0</v>
      </c>
      <c r="W146" s="142">
        <f>'CF1'!W127+'CF2'!AG127</f>
        <v>0</v>
      </c>
      <c r="X146" s="142">
        <f>'CF1'!X127+'CF2'!AH127</f>
        <v>0</v>
      </c>
      <c r="Y146" s="142">
        <f>'CF1'!Y127+'CF2'!AI127</f>
        <v>0</v>
      </c>
      <c r="Z146" s="142">
        <f>'CF1'!Z127+'CF2'!AJ127</f>
        <v>-1353.2476856667822</v>
      </c>
      <c r="AA146" s="142">
        <f>'CF1'!AA127+'CF2'!AK127</f>
        <v>-317.20846347828086</v>
      </c>
      <c r="AB146" s="142">
        <f>'CF1'!AB127+'CF2'!AL127</f>
        <v>-330.63353711648989</v>
      </c>
      <c r="AC146" s="142">
        <f>'CF1'!AC127+'CF2'!AM127</f>
        <v>-239.12056928532638</v>
      </c>
      <c r="AD146" s="142">
        <f>'CF1'!AD127+'CF2'!AN127</f>
        <v>-236.66586320159735</v>
      </c>
      <c r="AE146" s="142">
        <f>'CF1'!AE127+'CF2'!AO127</f>
        <v>0</v>
      </c>
      <c r="AF146" s="142">
        <f>'CF1'!AF127+'CF2'!AP127</f>
        <v>-307.27129862156744</v>
      </c>
      <c r="AG146" s="142">
        <f>'CF1'!AG127+'CF2'!AQ127</f>
        <v>-311.3168559715113</v>
      </c>
      <c r="AH146" s="142">
        <f>'CF1'!AH127+'CF2'!AR127</f>
        <v>-317.00163051905622</v>
      </c>
      <c r="AI146" s="142">
        <f>'CF1'!AI127+'CF2'!AS127</f>
        <v>-202.92081969927509</v>
      </c>
      <c r="AJ146" s="142">
        <f>'CF1'!AJ127+'CF2'!AT127</f>
        <v>-220.80456464883468</v>
      </c>
      <c r="AK146" s="142">
        <f>'CF1'!AK127+'CF2'!AU127</f>
        <v>-224.15115172305812</v>
      </c>
      <c r="AL146" s="142">
        <f>'CF1'!AL127+'CF2'!AV127</f>
        <v>-226.58608982343279</v>
      </c>
      <c r="AM146" s="142">
        <f>'CF1'!AM127+'CF2'!AW127</f>
        <v>-175.58447342424688</v>
      </c>
      <c r="AN146" s="142">
        <f>'CF1'!AN127+'CF2'!AX127</f>
        <v>0</v>
      </c>
      <c r="AO146" s="142">
        <f>'CF1'!AO127+'CF2'!AY127</f>
        <v>0</v>
      </c>
      <c r="AP146" s="142">
        <f>'CF1'!AP127+'CF2'!AZ127</f>
        <v>0</v>
      </c>
      <c r="AQ146" s="142">
        <f>'CF1'!AQ127+'CF2'!BA127</f>
        <v>0</v>
      </c>
      <c r="AR146" s="142">
        <f>'CF1'!AR127+'CF2'!BB127</f>
        <v>0</v>
      </c>
      <c r="AS146" s="142">
        <f>'CF1'!AS127+'CF2'!BC127</f>
        <v>0</v>
      </c>
      <c r="AT146" s="142">
        <f>'CF1'!AT127+'CF2'!BD127</f>
        <v>0</v>
      </c>
      <c r="AU146" s="142">
        <f>'CF1'!AU127+'CF2'!BE127</f>
        <v>0</v>
      </c>
      <c r="AV146" s="142">
        <f>'CF1'!AV127+'CF2'!BF127</f>
        <v>0</v>
      </c>
      <c r="AW146" s="142">
        <f>'CF1'!AW127+'CF2'!BG127</f>
        <v>0</v>
      </c>
      <c r="AX146" s="142">
        <f>'CF1'!AX127+'CF2'!BH127</f>
        <v>0</v>
      </c>
      <c r="AY146" s="142">
        <f>'CF1'!AY127+'CF2'!BI127</f>
        <v>0</v>
      </c>
      <c r="AZ146" s="142">
        <f>'CF1'!AZ127+'CF2'!BJ127</f>
        <v>0</v>
      </c>
      <c r="BA146" s="142">
        <f>'CF1'!BA127+'CF2'!BK127</f>
        <v>0</v>
      </c>
      <c r="BB146" s="142">
        <f>'CF1'!BB127+'CF2'!BL127</f>
        <v>0</v>
      </c>
      <c r="BC146" s="142">
        <f>'CF1'!BC127+'CF2'!BM127</f>
        <v>0</v>
      </c>
      <c r="BD146" s="142">
        <f>'CF1'!BD127+'CF2'!BN127</f>
        <v>0</v>
      </c>
      <c r="BE146" s="142">
        <f>'CF1'!BE127+'CF2'!BO127</f>
        <v>0</v>
      </c>
      <c r="BF146" s="142">
        <f>'CF1'!BF127+'CF2'!BP127</f>
        <v>0</v>
      </c>
      <c r="BG146" s="142">
        <f>'CF1'!BG127+'CF2'!BQ127</f>
        <v>0</v>
      </c>
      <c r="BH146" s="142">
        <f>'CF1'!BH127+'CF2'!BR127</f>
        <v>0</v>
      </c>
      <c r="BI146" s="142">
        <f>'CF1'!BI127+'CF2'!BS127</f>
        <v>0</v>
      </c>
      <c r="BJ146" s="142">
        <f>'CF1'!BJ127+'CF2'!BT127</f>
        <v>0</v>
      </c>
      <c r="BK146" s="142">
        <f>'CF1'!BK127+'CF2'!BU127</f>
        <v>0</v>
      </c>
      <c r="BL146" s="142">
        <f>'CF1'!BL127+'CF2'!BV127</f>
        <v>0</v>
      </c>
      <c r="BM146" s="142">
        <f>'CF1'!BM127+'CF2'!BW127</f>
        <v>0</v>
      </c>
    </row>
    <row r="147" spans="2:65" s="151" customFormat="1" hidden="1" outlineLevel="1">
      <c r="B147" s="152"/>
      <c r="C147" s="152" t="s">
        <v>99</v>
      </c>
      <c r="D147" s="153"/>
      <c r="E147" s="154">
        <f t="shared" si="215"/>
        <v>0</v>
      </c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  <c r="AH147" s="155"/>
      <c r="AI147" s="155"/>
      <c r="AJ147" s="155"/>
      <c r="AK147" s="155"/>
      <c r="AL147" s="155"/>
      <c r="AM147" s="155"/>
      <c r="AN147" s="155"/>
      <c r="AO147" s="155"/>
      <c r="AP147" s="155"/>
      <c r="AQ147" s="155"/>
      <c r="AR147" s="155"/>
      <c r="AS147" s="155"/>
      <c r="AT147" s="155"/>
      <c r="AU147" s="155"/>
      <c r="AV147" s="155"/>
      <c r="AW147" s="155"/>
      <c r="AX147" s="155"/>
      <c r="AY147" s="155"/>
      <c r="AZ147" s="155"/>
      <c r="BA147" s="155"/>
      <c r="BB147" s="155"/>
      <c r="BC147" s="155"/>
      <c r="BD147" s="155"/>
      <c r="BE147" s="155"/>
      <c r="BF147" s="155"/>
      <c r="BG147" s="155"/>
      <c r="BH147" s="155"/>
      <c r="BI147" s="155"/>
      <c r="BJ147" s="155"/>
      <c r="BK147" s="155"/>
      <c r="BL147" s="155"/>
      <c r="BM147" s="155"/>
    </row>
    <row r="148" spans="2:65" hidden="1" outlineLevel="1">
      <c r="B148" s="27"/>
      <c r="C148" s="27"/>
      <c r="D148" s="158" t="str">
        <f>B54</f>
        <v>КВАРТИРЫ</v>
      </c>
      <c r="E148" s="154">
        <f t="shared" si="215"/>
        <v>60000</v>
      </c>
      <c r="F148" s="142"/>
      <c r="G148" s="142">
        <f>SUMPRODUCT($F9:$AS9,$F$193:$AS$193)*(1-G$193)-SUM($F148:F148)</f>
        <v>0</v>
      </c>
      <c r="H148" s="142">
        <f>SUMPRODUCT($F9:$AS9,$F$193:$AS$193)*(1-H$193)-SUM($F148:G148)</f>
        <v>0</v>
      </c>
      <c r="I148" s="142">
        <f>SUMPRODUCT($F9:$AS9,$F$193:$AS$193)*(1-I$193)-SUM($F148:H148)</f>
        <v>0</v>
      </c>
      <c r="J148" s="142">
        <f>SUMPRODUCT($F9:$AS9,$F$193:$AS$193)*(1-J$193)-SUM($F148:I148)</f>
        <v>0</v>
      </c>
      <c r="K148" s="142">
        <f>SUMPRODUCT($F9:$AS9,$F$193:$AS$193)*(1-K$193)-SUM($F148:J148)</f>
        <v>0</v>
      </c>
      <c r="L148" s="142">
        <f>SUMPRODUCT($F9:$AS9,$F$193:$AS$193)*(1-L$193)-SUM($F148:K148)</f>
        <v>0</v>
      </c>
      <c r="M148" s="142">
        <f>SUMPRODUCT($F9:$AS9,$F$193:$AS$193)*(1-M$193)-SUM($F148:L148)</f>
        <v>0</v>
      </c>
      <c r="N148" s="142">
        <f>SUMPRODUCT($F9:$AS9,$F$193:$AS$193)*(1-N$193)-SUM($F148:M148)</f>
        <v>0</v>
      </c>
      <c r="O148" s="142">
        <f>SUMPRODUCT($F9:$AS9,$F$193:$AS$193)*(1-O$193)-SUM($F148:N148)</f>
        <v>0</v>
      </c>
      <c r="P148" s="142">
        <f>SUMPRODUCT($F9:$AS9,$F$193:$AS$193)*(1-P$193)-SUM($F148:O148)</f>
        <v>0</v>
      </c>
      <c r="Q148" s="142">
        <f>SUMPRODUCT($F9:$AS9,$F$193:$AS$193)*(1-Q$193)-SUM($F148:P148)</f>
        <v>0</v>
      </c>
      <c r="R148" s="142">
        <f>SUMPRODUCT($F9:$AS9,$F$193:$AS$193)*(1-R$193)-SUM($F148:Q148)</f>
        <v>0</v>
      </c>
      <c r="S148" s="142">
        <f>SUMPRODUCT($F9:$AS9,$F$193:$AS$193)*(1-S$193)-SUM($F148:R148)</f>
        <v>0</v>
      </c>
      <c r="T148" s="142">
        <f>SUMPRODUCT($F9:$AS9,$F$193:$AS$193)*(1-T$193)-SUM($F148:S148)</f>
        <v>0</v>
      </c>
      <c r="U148" s="142">
        <f>SUMPRODUCT($F9:$AS9,$F$193:$AS$193)*(1-U$193)-SUM($F148:T148)</f>
        <v>0</v>
      </c>
      <c r="V148" s="142">
        <f>SUMPRODUCT($F9:$AS9,$F$193:$AS$193)*(1-V$193)-SUM($F148:U148)</f>
        <v>0</v>
      </c>
      <c r="W148" s="142">
        <f>SUMPRODUCT($F9:$AS9,$F$193:$AS$193)*(1-W$193)-SUM($F148:V148)</f>
        <v>0</v>
      </c>
      <c r="X148" s="142">
        <f>SUMPRODUCT($F9:$AS9,$F$193:$AS$193)*(1-X$193)-SUM($F148:W148)</f>
        <v>0</v>
      </c>
      <c r="Y148" s="142">
        <f>SUMPRODUCT($F9:$AS9,$F$193:$AS$193)*(1-Y$193)-SUM($F148:X148)</f>
        <v>0</v>
      </c>
      <c r="Z148" s="142">
        <f>SUMPRODUCT($F9:$AS9,$F$193:$AS$193)*(1-Z$193)-SUM($F148:Y148)</f>
        <v>0</v>
      </c>
      <c r="AA148" s="142">
        <f>SUMPRODUCT($F9:$AS9,$F$193:$AS$193)*(1-AA$193)-SUM($F148:Z148)</f>
        <v>0</v>
      </c>
      <c r="AB148" s="142">
        <f>SUMPRODUCT($F9:$AS9,$F$193:$AS$193)*(1-AB$193)-SUM($F148:AA148)</f>
        <v>0</v>
      </c>
      <c r="AC148" s="142">
        <f>SUMPRODUCT($F9:$AS9,$F$193:$AS$193)*(1-AC$193)-SUM($F148:AB148)</f>
        <v>0</v>
      </c>
      <c r="AD148" s="142">
        <f>SUMPRODUCT($F9:$AS9,$F$193:$AS$193)*(1-AD$193)-SUM($F148:AC148)</f>
        <v>0</v>
      </c>
      <c r="AE148" s="142">
        <f>SUMPRODUCT($F9:$AS9,$F$193:$AS$193)*(1-AE$193)-SUM($F148:AD148)</f>
        <v>0</v>
      </c>
      <c r="AF148" s="142">
        <f>SUMPRODUCT($F9:$AS9,$F$193:$AS$193)*(1-AF$193)-SUM($F148:AE148)</f>
        <v>60000</v>
      </c>
      <c r="AG148" s="142">
        <f>SUMPRODUCT($F9:$AS9,$F$193:$AS$193)*(1-AG$193)-SUM($F148:AF148)</f>
        <v>0</v>
      </c>
      <c r="AH148" s="142">
        <f>SUMPRODUCT($F9:$AS9,$F$193:$AS$193)*(1-AH$193)-SUM($F148:AG148)</f>
        <v>0</v>
      </c>
      <c r="AI148" s="142">
        <f>SUMPRODUCT($F9:$AS9,$F$193:$AS$193)*(1-AI$193)-SUM($F148:AH148)</f>
        <v>0</v>
      </c>
      <c r="AJ148" s="142">
        <f>SUMPRODUCT($F9:$AS9,$F$193:$AS$193)*(1-AJ$193)-SUM($F148:AI148)</f>
        <v>0</v>
      </c>
      <c r="AK148" s="142">
        <f>SUMPRODUCT($F9:$AS9,$F$193:$AS$193)*(1-AK$193)-SUM($F148:AJ148)</f>
        <v>0</v>
      </c>
      <c r="AL148" s="142">
        <f>SUMPRODUCT($F9:$AS9,$F$193:$AS$193)*(1-AL$193)-SUM($F148:AK148)</f>
        <v>0</v>
      </c>
      <c r="AM148" s="142">
        <f>SUMPRODUCT($F9:$AS9,$F$193:$AS$193)*(1-AM$193)-SUM($F148:AL148)</f>
        <v>0</v>
      </c>
      <c r="AN148" s="142">
        <f>SUMPRODUCT($F9:$AS9,$F$193:$AS$193)*(1-AN$193)-SUM($F148:AM148)</f>
        <v>0</v>
      </c>
      <c r="AO148" s="142">
        <f>SUMPRODUCT($F9:$AS9,$F$193:$AS$193)*(1-AO$193)-SUM($F148:AN148)</f>
        <v>0</v>
      </c>
      <c r="AP148" s="142">
        <f>SUMPRODUCT($F9:$AS9,$F$193:$AS$193)*(1-AP$193)-SUM($F148:AO148)</f>
        <v>0</v>
      </c>
      <c r="AQ148" s="142">
        <f>SUMPRODUCT($F9:$AS9,$F$193:$AS$193)*(1-AQ$193)-SUM($F148:AP148)</f>
        <v>0</v>
      </c>
      <c r="AR148" s="142">
        <f>SUMPRODUCT($F9:$AS9,$F$193:$AS$193)*(1-AR$193)-SUM($F148:AQ148)</f>
        <v>0</v>
      </c>
      <c r="AS148" s="142">
        <f>SUMPRODUCT($F9:$AS9,$F$193:$AS$193)*(1-AS$193)-SUM($F148:AR148)</f>
        <v>0</v>
      </c>
      <c r="AT148" s="142">
        <f>SUMPRODUCT($F9:$AS9,$F$193:$AS$193)*(1-AT$193)-SUM($F148:AS148)</f>
        <v>0</v>
      </c>
      <c r="AU148" s="142">
        <f>SUMPRODUCT($F9:$AS9,$F$193:$AS$193)*(1-AU$193)-SUM($F148:AT148)</f>
        <v>0</v>
      </c>
      <c r="AV148" s="142">
        <f>SUMPRODUCT($F9:$AS9,$F$193:$AS$193)*(1-AV$193)-SUM($F148:AU148)</f>
        <v>0</v>
      </c>
      <c r="AW148" s="142">
        <f>SUMPRODUCT($F9:$AS9,$F$193:$AS$193)*(1-AW$193)-SUM($F148:AV148)</f>
        <v>0</v>
      </c>
      <c r="AX148" s="142">
        <f>SUMPRODUCT($F9:$AS9,$F$193:$AS$193)*(1-AX$193)-SUM($F148:AW148)</f>
        <v>0</v>
      </c>
      <c r="AY148" s="142">
        <f>SUMPRODUCT($F9:$AS9,$F$193:$AS$193)*(1-AY$193)-SUM($F148:AX148)</f>
        <v>0</v>
      </c>
      <c r="AZ148" s="142">
        <f>SUMPRODUCT($F9:$AS9,$F$193:$AS$193)*(1-AZ$193)-SUM($F148:AY148)</f>
        <v>0</v>
      </c>
      <c r="BA148" s="142">
        <f>SUMPRODUCT($F9:$AS9,$F$193:$AS$193)*(1-BA$193)-SUM($F148:AZ148)</f>
        <v>0</v>
      </c>
      <c r="BB148" s="142">
        <f>SUMPRODUCT($F9:$AS9,$F$193:$AS$193)*(1-BB$193)-SUM($F148:BA148)</f>
        <v>0</v>
      </c>
      <c r="BC148" s="142">
        <f>SUMPRODUCT($F9:$AS9,$F$193:$AS$193)*(1-BC$193)-SUM($F148:BB148)</f>
        <v>0</v>
      </c>
      <c r="BD148" s="142">
        <f>SUMPRODUCT($F9:$AS9,$F$193:$AS$193)*(1-BD$193)-SUM($F148:BC148)</f>
        <v>0</v>
      </c>
      <c r="BE148" s="142">
        <f>SUMPRODUCT($F9:$AS9,$F$193:$AS$193)*(1-BE$193)-SUM($F148:BD148)</f>
        <v>0</v>
      </c>
      <c r="BF148" s="142">
        <f>SUMPRODUCT($F9:$AS9,$F$193:$AS$193)*(1-BF$193)-SUM($F148:BE148)</f>
        <v>0</v>
      </c>
      <c r="BG148" s="142">
        <f>SUMPRODUCT($F9:$AS9,$F$193:$AS$193)*(1-BG$193)-SUM($F148:BF148)</f>
        <v>0</v>
      </c>
      <c r="BH148" s="142">
        <f>SUMPRODUCT($F9:$AS9,$F$193:$AS$193)*(1-BH$193)-SUM($F148:BG148)</f>
        <v>0</v>
      </c>
      <c r="BI148" s="142">
        <f>SUMPRODUCT($F9:$AS9,$F$193:$AS$193)*(1-BI$193)-SUM($F148:BH148)</f>
        <v>0</v>
      </c>
      <c r="BJ148" s="142">
        <f>SUMPRODUCT($F9:$AS9,$F$193:$AS$193)*(1-BJ$193)-SUM($F148:BI148)</f>
        <v>0</v>
      </c>
      <c r="BK148" s="142">
        <f>SUMPRODUCT($F9:$AS9,$F$193:$AS$193)*(1-BK$193)-SUM($F148:BJ148)</f>
        <v>0</v>
      </c>
      <c r="BL148" s="142">
        <f>SUMPRODUCT($F9:$AS9,$F$193:$AS$193)*(1-BL$193)-SUM($F148:BK148)</f>
        <v>0</v>
      </c>
      <c r="BM148" s="142">
        <f>SUMPRODUCT($F9:$AS9,$F$193:$AS$193)*(1-BM$193)-SUM($F148:BL148)</f>
        <v>0</v>
      </c>
    </row>
    <row r="149" spans="2:65" hidden="1" outlineLevel="1">
      <c r="B149" s="27"/>
      <c r="C149" s="27"/>
      <c r="D149" s="158" t="str">
        <f>B57</f>
        <v>АПАРТАМЕНТЫ</v>
      </c>
      <c r="E149" s="154">
        <f t="shared" si="215"/>
        <v>0</v>
      </c>
      <c r="F149" s="142"/>
      <c r="G149" s="142">
        <f>SUMPRODUCT($F12:$AS12,$F$193:$AS$193)*(1-G$193)-SUM($F149:F149)</f>
        <v>0</v>
      </c>
      <c r="H149" s="142">
        <f>SUMPRODUCT($F12:$AS12,$F$193:$AS$193)*(1-H$193)-SUM($F149:G149)</f>
        <v>0</v>
      </c>
      <c r="I149" s="142">
        <f>SUMPRODUCT($F12:$AS12,$F$193:$AS$193)*(1-I$193)-SUM($F149:H149)</f>
        <v>0</v>
      </c>
      <c r="J149" s="142">
        <f>SUMPRODUCT($F12:$AS12,$F$193:$AS$193)*(1-J$193)-SUM($F149:I149)</f>
        <v>0</v>
      </c>
      <c r="K149" s="142">
        <f>SUMPRODUCT($F12:$AS12,$F$193:$AS$193)*(1-K$193)-SUM($F149:J149)</f>
        <v>0</v>
      </c>
      <c r="L149" s="142">
        <f>SUMPRODUCT($F12:$AS12,$F$193:$AS$193)*(1-L$193)-SUM($F149:K149)</f>
        <v>0</v>
      </c>
      <c r="M149" s="142">
        <f>SUMPRODUCT($F12:$AS12,$F$193:$AS$193)*(1-M$193)-SUM($F149:L149)</f>
        <v>0</v>
      </c>
      <c r="N149" s="142">
        <f>SUMPRODUCT($F12:$AS12,$F$193:$AS$193)*(1-N$193)-SUM($F149:M149)</f>
        <v>0</v>
      </c>
      <c r="O149" s="142">
        <f>SUMPRODUCT($F12:$AS12,$F$193:$AS$193)*(1-O$193)-SUM($F149:N149)</f>
        <v>0</v>
      </c>
      <c r="P149" s="142">
        <f>SUMPRODUCT($F12:$AS12,$F$193:$AS$193)*(1-P$193)-SUM($F149:O149)</f>
        <v>0</v>
      </c>
      <c r="Q149" s="142">
        <f>SUMPRODUCT($F12:$AS12,$F$193:$AS$193)*(1-Q$193)-SUM($F149:P149)</f>
        <v>0</v>
      </c>
      <c r="R149" s="142">
        <f>SUMPRODUCT($F12:$AS12,$F$193:$AS$193)*(1-R$193)-SUM($F149:Q149)</f>
        <v>0</v>
      </c>
      <c r="S149" s="142">
        <f>SUMPRODUCT($F12:$AS12,$F$193:$AS$193)*(1-S$193)-SUM($F149:R149)</f>
        <v>0</v>
      </c>
      <c r="T149" s="142">
        <f>SUMPRODUCT($F12:$AS12,$F$193:$AS$193)*(1-T$193)-SUM($F149:S149)</f>
        <v>0</v>
      </c>
      <c r="U149" s="142">
        <f>SUMPRODUCT($F12:$AS12,$F$193:$AS$193)*(1-U$193)-SUM($F149:T149)</f>
        <v>0</v>
      </c>
      <c r="V149" s="142">
        <f>SUMPRODUCT($F12:$AS12,$F$193:$AS$193)*(1-V$193)-SUM($F149:U149)</f>
        <v>0</v>
      </c>
      <c r="W149" s="142">
        <f>SUMPRODUCT($F12:$AS12,$F$193:$AS$193)*(1-W$193)-SUM($F149:V149)</f>
        <v>0</v>
      </c>
      <c r="X149" s="142">
        <f>SUMPRODUCT($F12:$AS12,$F$193:$AS$193)*(1-X$193)-SUM($F149:W149)</f>
        <v>0</v>
      </c>
      <c r="Y149" s="142">
        <f>SUMPRODUCT($F12:$AS12,$F$193:$AS$193)*(1-Y$193)-SUM($F149:X149)</f>
        <v>0</v>
      </c>
      <c r="Z149" s="142">
        <f>SUMPRODUCT($F12:$AS12,$F$193:$AS$193)*(1-Z$193)-SUM($F149:Y149)</f>
        <v>0</v>
      </c>
      <c r="AA149" s="142">
        <f>SUMPRODUCT($F12:$AS12,$F$193:$AS$193)*(1-AA$193)-SUM($F149:Z149)</f>
        <v>0</v>
      </c>
      <c r="AB149" s="142">
        <f>SUMPRODUCT($F12:$AS12,$F$193:$AS$193)*(1-AB$193)-SUM($F149:AA149)</f>
        <v>0</v>
      </c>
      <c r="AC149" s="142">
        <f>SUMPRODUCT($F12:$AS12,$F$193:$AS$193)*(1-AC$193)-SUM($F149:AB149)</f>
        <v>0</v>
      </c>
      <c r="AD149" s="142">
        <f>SUMPRODUCT($F12:$AS12,$F$193:$AS$193)*(1-AD$193)-SUM($F149:AC149)</f>
        <v>0</v>
      </c>
      <c r="AE149" s="142">
        <f>SUMPRODUCT($F12:$AS12,$F$193:$AS$193)*(1-AE$193)-SUM($F149:AD149)</f>
        <v>0</v>
      </c>
      <c r="AF149" s="142">
        <f>SUMPRODUCT($F12:$AS12,$F$193:$AS$193)*(1-AF$193)-SUM($F149:AE149)</f>
        <v>0</v>
      </c>
      <c r="AG149" s="142">
        <f>SUMPRODUCT($F12:$AS12,$F$193:$AS$193)*(1-AG$193)-SUM($F149:AF149)</f>
        <v>0</v>
      </c>
      <c r="AH149" s="142">
        <f>SUMPRODUCT($F12:$AS12,$F$193:$AS$193)*(1-AH$193)-SUM($F149:AG149)</f>
        <v>0</v>
      </c>
      <c r="AI149" s="142">
        <f>SUMPRODUCT($F12:$AS12,$F$193:$AS$193)*(1-AI$193)-SUM($F149:AH149)</f>
        <v>0</v>
      </c>
      <c r="AJ149" s="142">
        <f>SUMPRODUCT($F12:$AS12,$F$193:$AS$193)*(1-AJ$193)-SUM($F149:AI149)</f>
        <v>0</v>
      </c>
      <c r="AK149" s="142">
        <f>SUMPRODUCT($F12:$AS12,$F$193:$AS$193)*(1-AK$193)-SUM($F149:AJ149)</f>
        <v>0</v>
      </c>
      <c r="AL149" s="142">
        <f>SUMPRODUCT($F12:$AS12,$F$193:$AS$193)*(1-AL$193)-SUM($F149:AK149)</f>
        <v>0</v>
      </c>
      <c r="AM149" s="142">
        <f>SUMPRODUCT($F12:$AS12,$F$193:$AS$193)*(1-AM$193)-SUM($F149:AL149)</f>
        <v>0</v>
      </c>
      <c r="AN149" s="142">
        <f>SUMPRODUCT($F12:$AS12,$F$193:$AS$193)*(1-AN$193)-SUM($F149:AM149)</f>
        <v>0</v>
      </c>
      <c r="AO149" s="142">
        <f>SUMPRODUCT($F12:$AS12,$F$193:$AS$193)*(1-AO$193)-SUM($F149:AN149)</f>
        <v>0</v>
      </c>
      <c r="AP149" s="142">
        <f>SUMPRODUCT($F12:$AS12,$F$193:$AS$193)*(1-AP$193)-SUM($F149:AO149)</f>
        <v>0</v>
      </c>
      <c r="AQ149" s="142">
        <f>SUMPRODUCT($F12:$AS12,$F$193:$AS$193)*(1-AQ$193)-SUM($F149:AP149)</f>
        <v>0</v>
      </c>
      <c r="AR149" s="142">
        <f>SUMPRODUCT($F12:$AS12,$F$193:$AS$193)*(1-AR$193)-SUM($F149:AQ149)</f>
        <v>0</v>
      </c>
      <c r="AS149" s="142">
        <f>SUMPRODUCT($F12:$AS12,$F$193:$AS$193)*(1-AS$193)-SUM($F149:AR149)</f>
        <v>0</v>
      </c>
      <c r="AT149" s="142">
        <f>SUMPRODUCT($F12:$AS12,$F$193:$AS$193)*(1-AT$193)-SUM($F149:AS149)</f>
        <v>0</v>
      </c>
      <c r="AU149" s="142">
        <f>SUMPRODUCT($F12:$AS12,$F$193:$AS$193)*(1-AU$193)-SUM($F149:AT149)</f>
        <v>0</v>
      </c>
      <c r="AV149" s="142">
        <f>SUMPRODUCT($F12:$AS12,$F$193:$AS$193)*(1-AV$193)-SUM($F149:AU149)</f>
        <v>0</v>
      </c>
      <c r="AW149" s="142">
        <f>SUMPRODUCT($F12:$AS12,$F$193:$AS$193)*(1-AW$193)-SUM($F149:AV149)</f>
        <v>0</v>
      </c>
      <c r="AX149" s="142">
        <f>SUMPRODUCT($F12:$AS12,$F$193:$AS$193)*(1-AX$193)-SUM($F149:AW149)</f>
        <v>0</v>
      </c>
      <c r="AY149" s="142">
        <f>SUMPRODUCT($F12:$AS12,$F$193:$AS$193)*(1-AY$193)-SUM($F149:AX149)</f>
        <v>0</v>
      </c>
      <c r="AZ149" s="142">
        <f>SUMPRODUCT($F12:$AS12,$F$193:$AS$193)*(1-AZ$193)-SUM($F149:AY149)</f>
        <v>0</v>
      </c>
      <c r="BA149" s="142">
        <f>SUMPRODUCT($F12:$AS12,$F$193:$AS$193)*(1-BA$193)-SUM($F149:AZ149)</f>
        <v>0</v>
      </c>
      <c r="BB149" s="142">
        <f>SUMPRODUCT($F12:$AS12,$F$193:$AS$193)*(1-BB$193)-SUM($F149:BA149)</f>
        <v>0</v>
      </c>
      <c r="BC149" s="142">
        <f>SUMPRODUCT($F12:$AS12,$F$193:$AS$193)*(1-BC$193)-SUM($F149:BB149)</f>
        <v>0</v>
      </c>
      <c r="BD149" s="142">
        <f>SUMPRODUCT($F12:$AS12,$F$193:$AS$193)*(1-BD$193)-SUM($F149:BC149)</f>
        <v>0</v>
      </c>
      <c r="BE149" s="142">
        <f>SUMPRODUCT($F12:$AS12,$F$193:$AS$193)*(1-BE$193)-SUM($F149:BD149)</f>
        <v>0</v>
      </c>
      <c r="BF149" s="142">
        <f>SUMPRODUCT($F12:$AS12,$F$193:$AS$193)*(1-BF$193)-SUM($F149:BE149)</f>
        <v>0</v>
      </c>
      <c r="BG149" s="142">
        <f>SUMPRODUCT($F12:$AS12,$F$193:$AS$193)*(1-BG$193)-SUM($F149:BF149)</f>
        <v>0</v>
      </c>
      <c r="BH149" s="142">
        <f>SUMPRODUCT($F12:$AS12,$F$193:$AS$193)*(1-BH$193)-SUM($F149:BG149)</f>
        <v>0</v>
      </c>
      <c r="BI149" s="142">
        <f>SUMPRODUCT($F12:$AS12,$F$193:$AS$193)*(1-BI$193)-SUM($F149:BH149)</f>
        <v>0</v>
      </c>
      <c r="BJ149" s="142">
        <f>SUMPRODUCT($F12:$AS12,$F$193:$AS$193)*(1-BJ$193)-SUM($F149:BI149)</f>
        <v>0</v>
      </c>
      <c r="BK149" s="142">
        <f>SUMPRODUCT($F12:$AS12,$F$193:$AS$193)*(1-BK$193)-SUM($F149:BJ149)</f>
        <v>0</v>
      </c>
      <c r="BL149" s="142">
        <f>SUMPRODUCT($F12:$AS12,$F$193:$AS$193)*(1-BL$193)-SUM($F149:BK149)</f>
        <v>0</v>
      </c>
      <c r="BM149" s="142">
        <f>SUMPRODUCT($F12:$AS12,$F$193:$AS$193)*(1-BM$193)-SUM($F149:BL149)</f>
        <v>0</v>
      </c>
    </row>
    <row r="150" spans="2:65" hidden="1" outlineLevel="1">
      <c r="B150" s="27"/>
      <c r="C150" s="27"/>
      <c r="D150" s="158" t="str">
        <f>B58</f>
        <v>ОФИСЫ</v>
      </c>
      <c r="E150" s="154">
        <f t="shared" si="215"/>
        <v>0</v>
      </c>
      <c r="F150" s="142"/>
      <c r="G150" s="142">
        <f>SUMPRODUCT($F13:$AS13,$F$193:$AS$193)*(1-G$193)-SUM($F150:F150)</f>
        <v>0</v>
      </c>
      <c r="H150" s="142">
        <f>SUMPRODUCT($F13:$AS13,$F$193:$AS$193)*(1-H$193)-SUM($F150:G150)</f>
        <v>0</v>
      </c>
      <c r="I150" s="142">
        <f>SUMPRODUCT($F13:$AS13,$F$193:$AS$193)*(1-I$193)-SUM($F150:H150)</f>
        <v>0</v>
      </c>
      <c r="J150" s="142">
        <f>SUMPRODUCT($F13:$AS13,$F$193:$AS$193)*(1-J$193)-SUM($F150:I150)</f>
        <v>0</v>
      </c>
      <c r="K150" s="142">
        <f>SUMPRODUCT($F13:$AS13,$F$193:$AS$193)*(1-K$193)-SUM($F150:J150)</f>
        <v>0</v>
      </c>
      <c r="L150" s="142">
        <f>SUMPRODUCT($F13:$AS13,$F$193:$AS$193)*(1-L$193)-SUM($F150:K150)</f>
        <v>0</v>
      </c>
      <c r="M150" s="142">
        <f>SUMPRODUCT($F13:$AS13,$F$193:$AS$193)*(1-M$193)-SUM($F150:L150)</f>
        <v>0</v>
      </c>
      <c r="N150" s="142">
        <f>SUMPRODUCT($F13:$AS13,$F$193:$AS$193)*(1-N$193)-SUM($F150:M150)</f>
        <v>0</v>
      </c>
      <c r="O150" s="142">
        <f>SUMPRODUCT($F13:$AS13,$F$193:$AS$193)*(1-O$193)-SUM($F150:N150)</f>
        <v>0</v>
      </c>
      <c r="P150" s="142">
        <f>SUMPRODUCT($F13:$AS13,$F$193:$AS$193)*(1-P$193)-SUM($F150:O150)</f>
        <v>0</v>
      </c>
      <c r="Q150" s="142">
        <f>SUMPRODUCT($F13:$AS13,$F$193:$AS$193)*(1-Q$193)-SUM($F150:P150)</f>
        <v>0</v>
      </c>
      <c r="R150" s="142">
        <f>SUMPRODUCT($F13:$AS13,$F$193:$AS$193)*(1-R$193)-SUM($F150:Q150)</f>
        <v>0</v>
      </c>
      <c r="S150" s="142">
        <f>SUMPRODUCT($F13:$AS13,$F$193:$AS$193)*(1-S$193)-SUM($F150:R150)</f>
        <v>0</v>
      </c>
      <c r="T150" s="142">
        <f>SUMPRODUCT($F13:$AS13,$F$193:$AS$193)*(1-T$193)-SUM($F150:S150)</f>
        <v>0</v>
      </c>
      <c r="U150" s="142">
        <f>SUMPRODUCT($F13:$AS13,$F$193:$AS$193)*(1-U$193)-SUM($F150:T150)</f>
        <v>0</v>
      </c>
      <c r="V150" s="142">
        <f>SUMPRODUCT($F13:$AS13,$F$193:$AS$193)*(1-V$193)-SUM($F150:U150)</f>
        <v>0</v>
      </c>
      <c r="W150" s="142">
        <f>SUMPRODUCT($F13:$AS13,$F$193:$AS$193)*(1-W$193)-SUM($F150:V150)</f>
        <v>0</v>
      </c>
      <c r="X150" s="142">
        <f>SUMPRODUCT($F13:$AS13,$F$193:$AS$193)*(1-X$193)-SUM($F150:W150)</f>
        <v>0</v>
      </c>
      <c r="Y150" s="142">
        <f>SUMPRODUCT($F13:$AS13,$F$193:$AS$193)*(1-Y$193)-SUM($F150:X150)</f>
        <v>0</v>
      </c>
      <c r="Z150" s="142">
        <f>SUMPRODUCT($F13:$AS13,$F$193:$AS$193)*(1-Z$193)-SUM($F150:Y150)</f>
        <v>0</v>
      </c>
      <c r="AA150" s="142">
        <f>SUMPRODUCT($F13:$AS13,$F$193:$AS$193)*(1-AA$193)-SUM($F150:Z150)</f>
        <v>0</v>
      </c>
      <c r="AB150" s="142">
        <f>SUMPRODUCT($F13:$AS13,$F$193:$AS$193)*(1-AB$193)-SUM($F150:AA150)</f>
        <v>0</v>
      </c>
      <c r="AC150" s="142">
        <f>SUMPRODUCT($F13:$AS13,$F$193:$AS$193)*(1-AC$193)-SUM($F150:AB150)</f>
        <v>0</v>
      </c>
      <c r="AD150" s="142">
        <f>SUMPRODUCT($F13:$AS13,$F$193:$AS$193)*(1-AD$193)-SUM($F150:AC150)</f>
        <v>0</v>
      </c>
      <c r="AE150" s="142">
        <f>SUMPRODUCT($F13:$AS13,$F$193:$AS$193)*(1-AE$193)-SUM($F150:AD150)</f>
        <v>0</v>
      </c>
      <c r="AF150" s="142">
        <f>SUMPRODUCT($F13:$AS13,$F$193:$AS$193)*(1-AF$193)-SUM($F150:AE150)</f>
        <v>0</v>
      </c>
      <c r="AG150" s="142">
        <f>SUMPRODUCT($F13:$AS13,$F$193:$AS$193)*(1-AG$193)-SUM($F150:AF150)</f>
        <v>0</v>
      </c>
      <c r="AH150" s="142">
        <f>SUMPRODUCT($F13:$AS13,$F$193:$AS$193)*(1-AH$193)-SUM($F150:AG150)</f>
        <v>0</v>
      </c>
      <c r="AI150" s="142">
        <f>SUMPRODUCT($F13:$AS13,$F$193:$AS$193)*(1-AI$193)-SUM($F150:AH150)</f>
        <v>0</v>
      </c>
      <c r="AJ150" s="142">
        <f>SUMPRODUCT($F13:$AS13,$F$193:$AS$193)*(1-AJ$193)-SUM($F150:AI150)</f>
        <v>0</v>
      </c>
      <c r="AK150" s="142">
        <f>SUMPRODUCT($F13:$AS13,$F$193:$AS$193)*(1-AK$193)-SUM($F150:AJ150)</f>
        <v>0</v>
      </c>
      <c r="AL150" s="142">
        <f>SUMPRODUCT($F13:$AS13,$F$193:$AS$193)*(1-AL$193)-SUM($F150:AK150)</f>
        <v>0</v>
      </c>
      <c r="AM150" s="142">
        <f>SUMPRODUCT($F13:$AS13,$F$193:$AS$193)*(1-AM$193)-SUM($F150:AL150)</f>
        <v>0</v>
      </c>
      <c r="AN150" s="142">
        <f>SUMPRODUCT($F13:$AS13,$F$193:$AS$193)*(1-AN$193)-SUM($F150:AM150)</f>
        <v>0</v>
      </c>
      <c r="AO150" s="142">
        <f>SUMPRODUCT($F13:$AS13,$F$193:$AS$193)*(1-AO$193)-SUM($F150:AN150)</f>
        <v>0</v>
      </c>
      <c r="AP150" s="142">
        <f>SUMPRODUCT($F13:$AS13,$F$193:$AS$193)*(1-AP$193)-SUM($F150:AO150)</f>
        <v>0</v>
      </c>
      <c r="AQ150" s="142">
        <f>SUMPRODUCT($F13:$AS13,$F$193:$AS$193)*(1-AQ$193)-SUM($F150:AP150)</f>
        <v>0</v>
      </c>
      <c r="AR150" s="142">
        <f>SUMPRODUCT($F13:$AS13,$F$193:$AS$193)*(1-AR$193)-SUM($F150:AQ150)</f>
        <v>0</v>
      </c>
      <c r="AS150" s="142">
        <f>SUMPRODUCT($F13:$AS13,$F$193:$AS$193)*(1-AS$193)-SUM($F150:AR150)</f>
        <v>0</v>
      </c>
      <c r="AT150" s="142">
        <f>SUMPRODUCT($F13:$AS13,$F$193:$AS$193)*(1-AT$193)-SUM($F150:AS150)</f>
        <v>0</v>
      </c>
      <c r="AU150" s="142">
        <f>SUMPRODUCT($F13:$AS13,$F$193:$AS$193)*(1-AU$193)-SUM($F150:AT150)</f>
        <v>0</v>
      </c>
      <c r="AV150" s="142">
        <f>SUMPRODUCT($F13:$AS13,$F$193:$AS$193)*(1-AV$193)-SUM($F150:AU150)</f>
        <v>0</v>
      </c>
      <c r="AW150" s="142">
        <f>SUMPRODUCT($F13:$AS13,$F$193:$AS$193)*(1-AW$193)-SUM($F150:AV150)</f>
        <v>0</v>
      </c>
      <c r="AX150" s="142">
        <f>SUMPRODUCT($F13:$AS13,$F$193:$AS$193)*(1-AX$193)-SUM($F150:AW150)</f>
        <v>0</v>
      </c>
      <c r="AY150" s="142">
        <f>SUMPRODUCT($F13:$AS13,$F$193:$AS$193)*(1-AY$193)-SUM($F150:AX150)</f>
        <v>0</v>
      </c>
      <c r="AZ150" s="142">
        <f>SUMPRODUCT($F13:$AS13,$F$193:$AS$193)*(1-AZ$193)-SUM($F150:AY150)</f>
        <v>0</v>
      </c>
      <c r="BA150" s="142">
        <f>SUMPRODUCT($F13:$AS13,$F$193:$AS$193)*(1-BA$193)-SUM($F150:AZ150)</f>
        <v>0</v>
      </c>
      <c r="BB150" s="142">
        <f>SUMPRODUCT($F13:$AS13,$F$193:$AS$193)*(1-BB$193)-SUM($F150:BA150)</f>
        <v>0</v>
      </c>
      <c r="BC150" s="142">
        <f>SUMPRODUCT($F13:$AS13,$F$193:$AS$193)*(1-BC$193)-SUM($F150:BB150)</f>
        <v>0</v>
      </c>
      <c r="BD150" s="142">
        <f>SUMPRODUCT($F13:$AS13,$F$193:$AS$193)*(1-BD$193)-SUM($F150:BC150)</f>
        <v>0</v>
      </c>
      <c r="BE150" s="142">
        <f>SUMPRODUCT($F13:$AS13,$F$193:$AS$193)*(1-BE$193)-SUM($F150:BD150)</f>
        <v>0</v>
      </c>
      <c r="BF150" s="142">
        <f>SUMPRODUCT($F13:$AS13,$F$193:$AS$193)*(1-BF$193)-SUM($F150:BE150)</f>
        <v>0</v>
      </c>
      <c r="BG150" s="142">
        <f>SUMPRODUCT($F13:$AS13,$F$193:$AS$193)*(1-BG$193)-SUM($F150:BF150)</f>
        <v>0</v>
      </c>
      <c r="BH150" s="142">
        <f>SUMPRODUCT($F13:$AS13,$F$193:$AS$193)*(1-BH$193)-SUM($F150:BG150)</f>
        <v>0</v>
      </c>
      <c r="BI150" s="142">
        <f>SUMPRODUCT($F13:$AS13,$F$193:$AS$193)*(1-BI$193)-SUM($F150:BH150)</f>
        <v>0</v>
      </c>
      <c r="BJ150" s="142">
        <f>SUMPRODUCT($F13:$AS13,$F$193:$AS$193)*(1-BJ$193)-SUM($F150:BI150)</f>
        <v>0</v>
      </c>
      <c r="BK150" s="142">
        <f>SUMPRODUCT($F13:$AS13,$F$193:$AS$193)*(1-BK$193)-SUM($F150:BJ150)</f>
        <v>0</v>
      </c>
      <c r="BL150" s="142">
        <f>SUMPRODUCT($F13:$AS13,$F$193:$AS$193)*(1-BL$193)-SUM($F150:BK150)</f>
        <v>0</v>
      </c>
      <c r="BM150" s="142">
        <f>SUMPRODUCT($F13:$AS13,$F$193:$AS$193)*(1-BM$193)-SUM($F150:BL150)</f>
        <v>0</v>
      </c>
    </row>
    <row r="151" spans="2:65" hidden="1" outlineLevel="1">
      <c r="B151" s="27"/>
      <c r="C151" s="27"/>
      <c r="D151" s="158" t="str">
        <f>B59</f>
        <v>РИТЕЙЛ</v>
      </c>
      <c r="E151" s="154">
        <f t="shared" si="215"/>
        <v>0</v>
      </c>
      <c r="F151" s="142"/>
      <c r="G151" s="142">
        <f>SUMPRODUCT($F14:$AS14,$F$193:$AS$193)*(1-G$193)-SUM($F151:F151)</f>
        <v>0</v>
      </c>
      <c r="H151" s="142">
        <f>SUMPRODUCT($F14:$AS14,$F$193:$AS$193)*(1-H$193)-SUM($F151:G151)</f>
        <v>0</v>
      </c>
      <c r="I151" s="142">
        <f>SUMPRODUCT($F14:$AS14,$F$193:$AS$193)*(1-I$193)-SUM($F151:H151)</f>
        <v>0</v>
      </c>
      <c r="J151" s="142">
        <f>SUMPRODUCT($F14:$AS14,$F$193:$AS$193)*(1-J$193)-SUM($F151:I151)</f>
        <v>0</v>
      </c>
      <c r="K151" s="142">
        <f>SUMPRODUCT($F14:$AS14,$F$193:$AS$193)*(1-K$193)-SUM($F151:J151)</f>
        <v>0</v>
      </c>
      <c r="L151" s="142">
        <f>SUMPRODUCT($F14:$AS14,$F$193:$AS$193)*(1-L$193)-SUM($F151:K151)</f>
        <v>0</v>
      </c>
      <c r="M151" s="142">
        <f>SUMPRODUCT($F14:$AS14,$F$193:$AS$193)*(1-M$193)-SUM($F151:L151)</f>
        <v>0</v>
      </c>
      <c r="N151" s="142">
        <f>SUMPRODUCT($F14:$AS14,$F$193:$AS$193)*(1-N$193)-SUM($F151:M151)</f>
        <v>0</v>
      </c>
      <c r="O151" s="142">
        <f>SUMPRODUCT($F14:$AS14,$F$193:$AS$193)*(1-O$193)-SUM($F151:N151)</f>
        <v>0</v>
      </c>
      <c r="P151" s="142">
        <f>SUMPRODUCT($F14:$AS14,$F$193:$AS$193)*(1-P$193)-SUM($F151:O151)</f>
        <v>0</v>
      </c>
      <c r="Q151" s="142">
        <f>SUMPRODUCT($F14:$AS14,$F$193:$AS$193)*(1-Q$193)-SUM($F151:P151)</f>
        <v>0</v>
      </c>
      <c r="R151" s="142">
        <f>SUMPRODUCT($F14:$AS14,$F$193:$AS$193)*(1-R$193)-SUM($F151:Q151)</f>
        <v>0</v>
      </c>
      <c r="S151" s="142">
        <f>SUMPRODUCT($F14:$AS14,$F$193:$AS$193)*(1-S$193)-SUM($F151:R151)</f>
        <v>0</v>
      </c>
      <c r="T151" s="142">
        <f>SUMPRODUCT($F14:$AS14,$F$193:$AS$193)*(1-T$193)-SUM($F151:S151)</f>
        <v>0</v>
      </c>
      <c r="U151" s="142">
        <f>SUMPRODUCT($F14:$AS14,$F$193:$AS$193)*(1-U$193)-SUM($F151:T151)</f>
        <v>0</v>
      </c>
      <c r="V151" s="142">
        <f>SUMPRODUCT($F14:$AS14,$F$193:$AS$193)*(1-V$193)-SUM($F151:U151)</f>
        <v>0</v>
      </c>
      <c r="W151" s="142">
        <f>SUMPRODUCT($F14:$AS14,$F$193:$AS$193)*(1-W$193)-SUM($F151:V151)</f>
        <v>0</v>
      </c>
      <c r="X151" s="142">
        <f>SUMPRODUCT($F14:$AS14,$F$193:$AS$193)*(1-X$193)-SUM($F151:W151)</f>
        <v>0</v>
      </c>
      <c r="Y151" s="142">
        <f>SUMPRODUCT($F14:$AS14,$F$193:$AS$193)*(1-Y$193)-SUM($F151:X151)</f>
        <v>0</v>
      </c>
      <c r="Z151" s="142">
        <f>SUMPRODUCT($F14:$AS14,$F$193:$AS$193)*(1-Z$193)-SUM($F151:Y151)</f>
        <v>0</v>
      </c>
      <c r="AA151" s="142">
        <f>SUMPRODUCT($F14:$AS14,$F$193:$AS$193)*(1-AA$193)-SUM($F151:Z151)</f>
        <v>0</v>
      </c>
      <c r="AB151" s="142">
        <f>SUMPRODUCT($F14:$AS14,$F$193:$AS$193)*(1-AB$193)-SUM($F151:AA151)</f>
        <v>0</v>
      </c>
      <c r="AC151" s="142">
        <f>SUMPRODUCT($F14:$AS14,$F$193:$AS$193)*(1-AC$193)-SUM($F151:AB151)</f>
        <v>0</v>
      </c>
      <c r="AD151" s="142">
        <f>SUMPRODUCT($F14:$AS14,$F$193:$AS$193)*(1-AD$193)-SUM($F151:AC151)</f>
        <v>0</v>
      </c>
      <c r="AE151" s="142">
        <f>SUMPRODUCT($F14:$AS14,$F$193:$AS$193)*(1-AE$193)-SUM($F151:AD151)</f>
        <v>0</v>
      </c>
      <c r="AF151" s="142">
        <f>SUMPRODUCT($F14:$AS14,$F$193:$AS$193)*(1-AF$193)-SUM($F151:AE151)</f>
        <v>0</v>
      </c>
      <c r="AG151" s="142">
        <f>SUMPRODUCT($F14:$AS14,$F$193:$AS$193)*(1-AG$193)-SUM($F151:AF151)</f>
        <v>0</v>
      </c>
      <c r="AH151" s="142">
        <f>SUMPRODUCT($F14:$AS14,$F$193:$AS$193)*(1-AH$193)-SUM($F151:AG151)</f>
        <v>0</v>
      </c>
      <c r="AI151" s="142">
        <f>SUMPRODUCT($F14:$AS14,$F$193:$AS$193)*(1-AI$193)-SUM($F151:AH151)</f>
        <v>0</v>
      </c>
      <c r="AJ151" s="142">
        <f>SUMPRODUCT($F14:$AS14,$F$193:$AS$193)*(1-AJ$193)-SUM($F151:AI151)</f>
        <v>0</v>
      </c>
      <c r="AK151" s="142">
        <f>SUMPRODUCT($F14:$AS14,$F$193:$AS$193)*(1-AK$193)-SUM($F151:AJ151)</f>
        <v>0</v>
      </c>
      <c r="AL151" s="142">
        <f>SUMPRODUCT($F14:$AS14,$F$193:$AS$193)*(1-AL$193)-SUM($F151:AK151)</f>
        <v>0</v>
      </c>
      <c r="AM151" s="142">
        <f>SUMPRODUCT($F14:$AS14,$F$193:$AS$193)*(1-AM$193)-SUM($F151:AL151)</f>
        <v>0</v>
      </c>
      <c r="AN151" s="142">
        <f>SUMPRODUCT($F14:$AS14,$F$193:$AS$193)*(1-AN$193)-SUM($F151:AM151)</f>
        <v>0</v>
      </c>
      <c r="AO151" s="142">
        <f>SUMPRODUCT($F14:$AS14,$F$193:$AS$193)*(1-AO$193)-SUM($F151:AN151)</f>
        <v>0</v>
      </c>
      <c r="AP151" s="142">
        <f>SUMPRODUCT($F14:$AS14,$F$193:$AS$193)*(1-AP$193)-SUM($F151:AO151)</f>
        <v>0</v>
      </c>
      <c r="AQ151" s="142">
        <f>SUMPRODUCT($F14:$AS14,$F$193:$AS$193)*(1-AQ$193)-SUM($F151:AP151)</f>
        <v>0</v>
      </c>
      <c r="AR151" s="142">
        <f>SUMPRODUCT($F14:$AS14,$F$193:$AS$193)*(1-AR$193)-SUM($F151:AQ151)</f>
        <v>0</v>
      </c>
      <c r="AS151" s="142">
        <f>SUMPRODUCT($F14:$AS14,$F$193:$AS$193)*(1-AS$193)-SUM($F151:AR151)</f>
        <v>0</v>
      </c>
      <c r="AT151" s="142">
        <f>SUMPRODUCT($F14:$AS14,$F$193:$AS$193)*(1-AT$193)-SUM($F151:AS151)</f>
        <v>0</v>
      </c>
      <c r="AU151" s="142">
        <f>SUMPRODUCT($F14:$AS14,$F$193:$AS$193)*(1-AU$193)-SUM($F151:AT151)</f>
        <v>0</v>
      </c>
      <c r="AV151" s="142">
        <f>SUMPRODUCT($F14:$AS14,$F$193:$AS$193)*(1-AV$193)-SUM($F151:AU151)</f>
        <v>0</v>
      </c>
      <c r="AW151" s="142">
        <f>SUMPRODUCT($F14:$AS14,$F$193:$AS$193)*(1-AW$193)-SUM($F151:AV151)</f>
        <v>0</v>
      </c>
      <c r="AX151" s="142">
        <f>SUMPRODUCT($F14:$AS14,$F$193:$AS$193)*(1-AX$193)-SUM($F151:AW151)</f>
        <v>0</v>
      </c>
      <c r="AY151" s="142">
        <f>SUMPRODUCT($F14:$AS14,$F$193:$AS$193)*(1-AY$193)-SUM($F151:AX151)</f>
        <v>0</v>
      </c>
      <c r="AZ151" s="142">
        <f>SUMPRODUCT($F14:$AS14,$F$193:$AS$193)*(1-AZ$193)-SUM($F151:AY151)</f>
        <v>0</v>
      </c>
      <c r="BA151" s="142">
        <f>SUMPRODUCT($F14:$AS14,$F$193:$AS$193)*(1-BA$193)-SUM($F151:AZ151)</f>
        <v>0</v>
      </c>
      <c r="BB151" s="142">
        <f>SUMPRODUCT($F14:$AS14,$F$193:$AS$193)*(1-BB$193)-SUM($F151:BA151)</f>
        <v>0</v>
      </c>
      <c r="BC151" s="142">
        <f>SUMPRODUCT($F14:$AS14,$F$193:$AS$193)*(1-BC$193)-SUM($F151:BB151)</f>
        <v>0</v>
      </c>
      <c r="BD151" s="142">
        <f>SUMPRODUCT($F14:$AS14,$F$193:$AS$193)*(1-BD$193)-SUM($F151:BC151)</f>
        <v>0</v>
      </c>
      <c r="BE151" s="142">
        <f>SUMPRODUCT($F14:$AS14,$F$193:$AS$193)*(1-BE$193)-SUM($F151:BD151)</f>
        <v>0</v>
      </c>
      <c r="BF151" s="142">
        <f>SUMPRODUCT($F14:$AS14,$F$193:$AS$193)*(1-BF$193)-SUM($F151:BE151)</f>
        <v>0</v>
      </c>
      <c r="BG151" s="142">
        <f>SUMPRODUCT($F14:$AS14,$F$193:$AS$193)*(1-BG$193)-SUM($F151:BF151)</f>
        <v>0</v>
      </c>
      <c r="BH151" s="142">
        <f>SUMPRODUCT($F14:$AS14,$F$193:$AS$193)*(1-BH$193)-SUM($F151:BG151)</f>
        <v>0</v>
      </c>
      <c r="BI151" s="142">
        <f>SUMPRODUCT($F14:$AS14,$F$193:$AS$193)*(1-BI$193)-SUM($F151:BH151)</f>
        <v>0</v>
      </c>
      <c r="BJ151" s="142">
        <f>SUMPRODUCT($F14:$AS14,$F$193:$AS$193)*(1-BJ$193)-SUM($F151:BI151)</f>
        <v>0</v>
      </c>
      <c r="BK151" s="142">
        <f>SUMPRODUCT($F14:$AS14,$F$193:$AS$193)*(1-BK$193)-SUM($F151:BJ151)</f>
        <v>0</v>
      </c>
      <c r="BL151" s="142">
        <f>SUMPRODUCT($F14:$AS14,$F$193:$AS$193)*(1-BL$193)-SUM($F151:BK151)</f>
        <v>0</v>
      </c>
      <c r="BM151" s="142">
        <f>SUMPRODUCT($F14:$AS14,$F$193:$AS$193)*(1-BM$193)-SUM($F151:BL151)</f>
        <v>0</v>
      </c>
    </row>
    <row r="152" spans="2:65" hidden="1" outlineLevel="1">
      <c r="B152" s="27"/>
      <c r="C152" s="27"/>
      <c r="D152" s="158" t="str">
        <f>B62</f>
        <v>ТЦ</v>
      </c>
      <c r="E152" s="154">
        <f t="shared" si="215"/>
        <v>0</v>
      </c>
      <c r="F152" s="142"/>
      <c r="G152" s="142">
        <f>SUMPRODUCT($F17:$AS17,$F$193:$AS$193)*(1-G$193)-SUM($F152:F152)</f>
        <v>0</v>
      </c>
      <c r="H152" s="142">
        <f>SUMPRODUCT($F17:$AS17,$F$193:$AS$193)*(1-H$193)-SUM($F152:G152)</f>
        <v>0</v>
      </c>
      <c r="I152" s="142">
        <f>SUMPRODUCT($F17:$AS17,$F$193:$AS$193)*(1-I$193)-SUM($F152:H152)</f>
        <v>0</v>
      </c>
      <c r="J152" s="142">
        <f>SUMPRODUCT($F17:$AS17,$F$193:$AS$193)*(1-J$193)-SUM($F152:I152)</f>
        <v>0</v>
      </c>
      <c r="K152" s="142">
        <f>SUMPRODUCT($F17:$AS17,$F$193:$AS$193)*(1-K$193)-SUM($F152:J152)</f>
        <v>0</v>
      </c>
      <c r="L152" s="142">
        <f>SUMPRODUCT($F17:$AS17,$F$193:$AS$193)*(1-L$193)-SUM($F152:K152)</f>
        <v>0</v>
      </c>
      <c r="M152" s="142">
        <f>SUMPRODUCT($F17:$AS17,$F$193:$AS$193)*(1-M$193)-SUM($F152:L152)</f>
        <v>0</v>
      </c>
      <c r="N152" s="142">
        <f>SUMPRODUCT($F17:$AS17,$F$193:$AS$193)*(1-N$193)-SUM($F152:M152)</f>
        <v>0</v>
      </c>
      <c r="O152" s="142">
        <f>SUMPRODUCT($F17:$AS17,$F$193:$AS$193)*(1-O$193)-SUM($F152:N152)</f>
        <v>0</v>
      </c>
      <c r="P152" s="142">
        <f>SUMPRODUCT($F17:$AS17,$F$193:$AS$193)*(1-P$193)-SUM($F152:O152)</f>
        <v>0</v>
      </c>
      <c r="Q152" s="142">
        <f>SUMPRODUCT($F17:$AS17,$F$193:$AS$193)*(1-Q$193)-SUM($F152:P152)</f>
        <v>0</v>
      </c>
      <c r="R152" s="142">
        <f>SUMPRODUCT($F17:$AS17,$F$193:$AS$193)*(1-R$193)-SUM($F152:Q152)</f>
        <v>0</v>
      </c>
      <c r="S152" s="142">
        <f>SUMPRODUCT($F17:$AS17,$F$193:$AS$193)*(1-S$193)-SUM($F152:R152)</f>
        <v>0</v>
      </c>
      <c r="T152" s="142">
        <f>SUMPRODUCT($F17:$AS17,$F$193:$AS$193)*(1-T$193)-SUM($F152:S152)</f>
        <v>0</v>
      </c>
      <c r="U152" s="142">
        <f>SUMPRODUCT($F17:$AS17,$F$193:$AS$193)*(1-U$193)-SUM($F152:T152)</f>
        <v>0</v>
      </c>
      <c r="V152" s="142">
        <f>SUMPRODUCT($F17:$AS17,$F$193:$AS$193)*(1-V$193)-SUM($F152:U152)</f>
        <v>0</v>
      </c>
      <c r="W152" s="142">
        <f>SUMPRODUCT($F17:$AS17,$F$193:$AS$193)*(1-W$193)-SUM($F152:V152)</f>
        <v>0</v>
      </c>
      <c r="X152" s="142">
        <f>SUMPRODUCT($F17:$AS17,$F$193:$AS$193)*(1-X$193)-SUM($F152:W152)</f>
        <v>0</v>
      </c>
      <c r="Y152" s="142">
        <f>SUMPRODUCT($F17:$AS17,$F$193:$AS$193)*(1-Y$193)-SUM($F152:X152)</f>
        <v>0</v>
      </c>
      <c r="Z152" s="142">
        <f>SUMPRODUCT($F17:$AS17,$F$193:$AS$193)*(1-Z$193)-SUM($F152:Y152)</f>
        <v>0</v>
      </c>
      <c r="AA152" s="142">
        <f>SUMPRODUCT($F17:$AS17,$F$193:$AS$193)*(1-AA$193)-SUM($F152:Z152)</f>
        <v>0</v>
      </c>
      <c r="AB152" s="142">
        <f>SUMPRODUCT($F17:$AS17,$F$193:$AS$193)*(1-AB$193)-SUM($F152:AA152)</f>
        <v>0</v>
      </c>
      <c r="AC152" s="142">
        <f>SUMPRODUCT($F17:$AS17,$F$193:$AS$193)*(1-AC$193)-SUM($F152:AB152)</f>
        <v>0</v>
      </c>
      <c r="AD152" s="142">
        <f>SUMPRODUCT($F17:$AS17,$F$193:$AS$193)*(1-AD$193)-SUM($F152:AC152)</f>
        <v>0</v>
      </c>
      <c r="AE152" s="142">
        <f>SUMPRODUCT($F17:$AS17,$F$193:$AS$193)*(1-AE$193)-SUM($F152:AD152)</f>
        <v>0</v>
      </c>
      <c r="AF152" s="142">
        <f>SUMPRODUCT($F17:$AS17,$F$193:$AS$193)*(1-AF$193)-SUM($F152:AE152)</f>
        <v>0</v>
      </c>
      <c r="AG152" s="142">
        <f>SUMPRODUCT($F17:$AS17,$F$193:$AS$193)*(1-AG$193)-SUM($F152:AF152)</f>
        <v>0</v>
      </c>
      <c r="AH152" s="142">
        <f>SUMPRODUCT($F17:$AS17,$F$193:$AS$193)*(1-AH$193)-SUM($F152:AG152)</f>
        <v>0</v>
      </c>
      <c r="AI152" s="142">
        <f>SUMPRODUCT($F17:$AS17,$F$193:$AS$193)*(1-AI$193)-SUM($F152:AH152)</f>
        <v>0</v>
      </c>
      <c r="AJ152" s="142">
        <f>SUMPRODUCT($F17:$AS17,$F$193:$AS$193)*(1-AJ$193)-SUM($F152:AI152)</f>
        <v>0</v>
      </c>
      <c r="AK152" s="142">
        <f>SUMPRODUCT($F17:$AS17,$F$193:$AS$193)*(1-AK$193)-SUM($F152:AJ152)</f>
        <v>0</v>
      </c>
      <c r="AL152" s="142">
        <f>SUMPRODUCT($F17:$AS17,$F$193:$AS$193)*(1-AL$193)-SUM($F152:AK152)</f>
        <v>0</v>
      </c>
      <c r="AM152" s="142">
        <f>SUMPRODUCT($F17:$AS17,$F$193:$AS$193)*(1-AM$193)-SUM($F152:AL152)</f>
        <v>0</v>
      </c>
      <c r="AN152" s="142">
        <f>SUMPRODUCT($F17:$AS17,$F$193:$AS$193)*(1-AN$193)-SUM($F152:AM152)</f>
        <v>0</v>
      </c>
      <c r="AO152" s="142">
        <f>SUMPRODUCT($F17:$AS17,$F$193:$AS$193)*(1-AO$193)-SUM($F152:AN152)</f>
        <v>0</v>
      </c>
      <c r="AP152" s="142">
        <f>SUMPRODUCT($F17:$AS17,$F$193:$AS$193)*(1-AP$193)-SUM($F152:AO152)</f>
        <v>0</v>
      </c>
      <c r="AQ152" s="142">
        <f>SUMPRODUCT($F17:$AS17,$F$193:$AS$193)*(1-AQ$193)-SUM($F152:AP152)</f>
        <v>0</v>
      </c>
      <c r="AR152" s="142">
        <f>SUMPRODUCT($F17:$AS17,$F$193:$AS$193)*(1-AR$193)-SUM($F152:AQ152)</f>
        <v>0</v>
      </c>
      <c r="AS152" s="142">
        <f>SUMPRODUCT($F17:$AS17,$F$193:$AS$193)*(1-AS$193)-SUM($F152:AR152)</f>
        <v>0</v>
      </c>
      <c r="AT152" s="142">
        <f>SUMPRODUCT($F17:$AS17,$F$193:$AS$193)*(1-AT$193)-SUM($F152:AS152)</f>
        <v>0</v>
      </c>
      <c r="AU152" s="142">
        <f>SUMPRODUCT($F17:$AS17,$F$193:$AS$193)*(1-AU$193)-SUM($F152:AT152)</f>
        <v>0</v>
      </c>
      <c r="AV152" s="142">
        <f>SUMPRODUCT($F17:$AS17,$F$193:$AS$193)*(1-AV$193)-SUM($F152:AU152)</f>
        <v>0</v>
      </c>
      <c r="AW152" s="142">
        <f>SUMPRODUCT($F17:$AS17,$F$193:$AS$193)*(1-AW$193)-SUM($F152:AV152)</f>
        <v>0</v>
      </c>
      <c r="AX152" s="142">
        <f>SUMPRODUCT($F17:$AS17,$F$193:$AS$193)*(1-AX$193)-SUM($F152:AW152)</f>
        <v>0</v>
      </c>
      <c r="AY152" s="142">
        <f>SUMPRODUCT($F17:$AS17,$F$193:$AS$193)*(1-AY$193)-SUM($F152:AX152)</f>
        <v>0</v>
      </c>
      <c r="AZ152" s="142">
        <f>SUMPRODUCT($F17:$AS17,$F$193:$AS$193)*(1-AZ$193)-SUM($F152:AY152)</f>
        <v>0</v>
      </c>
      <c r="BA152" s="142">
        <f>SUMPRODUCT($F17:$AS17,$F$193:$AS$193)*(1-BA$193)-SUM($F152:AZ152)</f>
        <v>0</v>
      </c>
      <c r="BB152" s="142">
        <f>SUMPRODUCT($F17:$AS17,$F$193:$AS$193)*(1-BB$193)-SUM($F152:BA152)</f>
        <v>0</v>
      </c>
      <c r="BC152" s="142">
        <f>SUMPRODUCT($F17:$AS17,$F$193:$AS$193)*(1-BC$193)-SUM($F152:BB152)</f>
        <v>0</v>
      </c>
      <c r="BD152" s="142">
        <f>SUMPRODUCT($F17:$AS17,$F$193:$AS$193)*(1-BD$193)-SUM($F152:BC152)</f>
        <v>0</v>
      </c>
      <c r="BE152" s="142">
        <f>SUMPRODUCT($F17:$AS17,$F$193:$AS$193)*(1-BE$193)-SUM($F152:BD152)</f>
        <v>0</v>
      </c>
      <c r="BF152" s="142">
        <f>SUMPRODUCT($F17:$AS17,$F$193:$AS$193)*(1-BF$193)-SUM($F152:BE152)</f>
        <v>0</v>
      </c>
      <c r="BG152" s="142">
        <f>SUMPRODUCT($F17:$AS17,$F$193:$AS$193)*(1-BG$193)-SUM($F152:BF152)</f>
        <v>0</v>
      </c>
      <c r="BH152" s="142">
        <f>SUMPRODUCT($F17:$AS17,$F$193:$AS$193)*(1-BH$193)-SUM($F152:BG152)</f>
        <v>0</v>
      </c>
      <c r="BI152" s="142">
        <f>SUMPRODUCT($F17:$AS17,$F$193:$AS$193)*(1-BI$193)-SUM($F152:BH152)</f>
        <v>0</v>
      </c>
      <c r="BJ152" s="142">
        <f>SUMPRODUCT($F17:$AS17,$F$193:$AS$193)*(1-BJ$193)-SUM($F152:BI152)</f>
        <v>0</v>
      </c>
      <c r="BK152" s="142">
        <f>SUMPRODUCT($F17:$AS17,$F$193:$AS$193)*(1-BK$193)-SUM($F152:BJ152)</f>
        <v>0</v>
      </c>
      <c r="BL152" s="142">
        <f>SUMPRODUCT($F17:$AS17,$F$193:$AS$193)*(1-BL$193)-SUM($F152:BK152)</f>
        <v>0</v>
      </c>
      <c r="BM152" s="142">
        <f>SUMPRODUCT($F17:$AS17,$F$193:$AS$193)*(1-BM$193)-SUM($F152:BL152)</f>
        <v>0</v>
      </c>
    </row>
    <row r="153" spans="2:65" hidden="1" outlineLevel="1">
      <c r="B153" s="27"/>
      <c r="C153" s="27"/>
      <c r="D153" s="158" t="str">
        <f>B63</f>
        <v>ПАРКИНГ ЖИЛЬЕ</v>
      </c>
      <c r="E153" s="154">
        <f t="shared" si="215"/>
        <v>600</v>
      </c>
      <c r="F153" s="142"/>
      <c r="G153" s="142">
        <f>SUMPRODUCT($F18:$AS18,$F$193:$AS$193)*(1-G$193)-SUM($F153:F153)</f>
        <v>0</v>
      </c>
      <c r="H153" s="142">
        <f>SUMPRODUCT($F18:$AS18,$F$193:$AS$193)*(1-H$193)-SUM($F153:G153)</f>
        <v>0</v>
      </c>
      <c r="I153" s="142">
        <f>SUMPRODUCT($F18:$AS18,$F$193:$AS$193)*(1-I$193)-SUM($F153:H153)</f>
        <v>0</v>
      </c>
      <c r="J153" s="142">
        <f>SUMPRODUCT($F18:$AS18,$F$193:$AS$193)*(1-J$193)-SUM($F153:I153)</f>
        <v>0</v>
      </c>
      <c r="K153" s="142">
        <f>SUMPRODUCT($F18:$AS18,$F$193:$AS$193)*(1-K$193)-SUM($F153:J153)</f>
        <v>0</v>
      </c>
      <c r="L153" s="142">
        <f>SUMPRODUCT($F18:$AS18,$F$193:$AS$193)*(1-L$193)-SUM($F153:K153)</f>
        <v>0</v>
      </c>
      <c r="M153" s="142">
        <f>SUMPRODUCT($F18:$AS18,$F$193:$AS$193)*(1-M$193)-SUM($F153:L153)</f>
        <v>0</v>
      </c>
      <c r="N153" s="142">
        <f>SUMPRODUCT($F18:$AS18,$F$193:$AS$193)*(1-N$193)-SUM($F153:M153)</f>
        <v>0</v>
      </c>
      <c r="O153" s="142">
        <f>SUMPRODUCT($F18:$AS18,$F$193:$AS$193)*(1-O$193)-SUM($F153:N153)</f>
        <v>0</v>
      </c>
      <c r="P153" s="142">
        <f>SUMPRODUCT($F18:$AS18,$F$193:$AS$193)*(1-P$193)-SUM($F153:O153)</f>
        <v>0</v>
      </c>
      <c r="Q153" s="142">
        <f>SUMPRODUCT($F18:$AS18,$F$193:$AS$193)*(1-Q$193)-SUM($F153:P153)</f>
        <v>0</v>
      </c>
      <c r="R153" s="142">
        <f>SUMPRODUCT($F18:$AS18,$F$193:$AS$193)*(1-R$193)-SUM($F153:Q153)</f>
        <v>0</v>
      </c>
      <c r="S153" s="142">
        <f>SUMPRODUCT($F18:$AS18,$F$193:$AS$193)*(1-S$193)-SUM($F153:R153)</f>
        <v>0</v>
      </c>
      <c r="T153" s="142">
        <f>SUMPRODUCT($F18:$AS18,$F$193:$AS$193)*(1-T$193)-SUM($F153:S153)</f>
        <v>0</v>
      </c>
      <c r="U153" s="142">
        <f>SUMPRODUCT($F18:$AS18,$F$193:$AS$193)*(1-U$193)-SUM($F153:T153)</f>
        <v>0</v>
      </c>
      <c r="V153" s="142">
        <f>SUMPRODUCT($F18:$AS18,$F$193:$AS$193)*(1-V$193)-SUM($F153:U153)</f>
        <v>0</v>
      </c>
      <c r="W153" s="142">
        <f>SUMPRODUCT($F18:$AS18,$F$193:$AS$193)*(1-W$193)-SUM($F153:V153)</f>
        <v>0</v>
      </c>
      <c r="X153" s="142">
        <f>SUMPRODUCT($F18:$AS18,$F$193:$AS$193)*(1-X$193)-SUM($F153:W153)</f>
        <v>0</v>
      </c>
      <c r="Y153" s="142">
        <f>SUMPRODUCT($F18:$AS18,$F$193:$AS$193)*(1-Y$193)-SUM($F153:X153)</f>
        <v>0</v>
      </c>
      <c r="Z153" s="142">
        <f>SUMPRODUCT($F18:$AS18,$F$193:$AS$193)*(1-Z$193)-SUM($F153:Y153)</f>
        <v>0</v>
      </c>
      <c r="AA153" s="142">
        <f>SUMPRODUCT($F18:$AS18,$F$193:$AS$193)*(1-AA$193)-SUM($F153:Z153)</f>
        <v>0</v>
      </c>
      <c r="AB153" s="142">
        <f>SUMPRODUCT($F18:$AS18,$F$193:$AS$193)*(1-AB$193)-SUM($F153:AA153)</f>
        <v>0</v>
      </c>
      <c r="AC153" s="142">
        <f>SUMPRODUCT($F18:$AS18,$F$193:$AS$193)*(1-AC$193)-SUM($F153:AB153)</f>
        <v>0</v>
      </c>
      <c r="AD153" s="142">
        <f>SUMPRODUCT($F18:$AS18,$F$193:$AS$193)*(1-AD$193)-SUM($F153:AC153)</f>
        <v>0</v>
      </c>
      <c r="AE153" s="142">
        <f>SUMPRODUCT($F18:$AS18,$F$193:$AS$193)*(1-AE$193)-SUM($F153:AD153)</f>
        <v>0</v>
      </c>
      <c r="AF153" s="142">
        <f>SUMPRODUCT($F18:$AS18,$F$193:$AS$193)*(1-AF$193)-SUM($F153:AE153)</f>
        <v>600</v>
      </c>
      <c r="AG153" s="142">
        <f>SUMPRODUCT($F18:$AS18,$F$193:$AS$193)*(1-AG$193)-SUM($F153:AF153)</f>
        <v>0</v>
      </c>
      <c r="AH153" s="142">
        <f>SUMPRODUCT($F18:$AS18,$F$193:$AS$193)*(1-AH$193)-SUM($F153:AG153)</f>
        <v>0</v>
      </c>
      <c r="AI153" s="142">
        <f>SUMPRODUCT($F18:$AS18,$F$193:$AS$193)*(1-AI$193)-SUM($F153:AH153)</f>
        <v>0</v>
      </c>
      <c r="AJ153" s="142">
        <f>SUMPRODUCT($F18:$AS18,$F$193:$AS$193)*(1-AJ$193)-SUM($F153:AI153)</f>
        <v>0</v>
      </c>
      <c r="AK153" s="142">
        <f>SUMPRODUCT($F18:$AS18,$F$193:$AS$193)*(1-AK$193)-SUM($F153:AJ153)</f>
        <v>0</v>
      </c>
      <c r="AL153" s="142">
        <f>SUMPRODUCT($F18:$AS18,$F$193:$AS$193)*(1-AL$193)-SUM($F153:AK153)</f>
        <v>0</v>
      </c>
      <c r="AM153" s="142">
        <f>SUMPRODUCT($F18:$AS18,$F$193:$AS$193)*(1-AM$193)-SUM($F153:AL153)</f>
        <v>0</v>
      </c>
      <c r="AN153" s="142">
        <f>SUMPRODUCT($F18:$AS18,$F$193:$AS$193)*(1-AN$193)-SUM($F153:AM153)</f>
        <v>0</v>
      </c>
      <c r="AO153" s="142">
        <f>SUMPRODUCT($F18:$AS18,$F$193:$AS$193)*(1-AO$193)-SUM($F153:AN153)</f>
        <v>0</v>
      </c>
      <c r="AP153" s="142">
        <f>SUMPRODUCT($F18:$AS18,$F$193:$AS$193)*(1-AP$193)-SUM($F153:AO153)</f>
        <v>0</v>
      </c>
      <c r="AQ153" s="142">
        <f>SUMPRODUCT($F18:$AS18,$F$193:$AS$193)*(1-AQ$193)-SUM($F153:AP153)</f>
        <v>0</v>
      </c>
      <c r="AR153" s="142">
        <f>SUMPRODUCT($F18:$AS18,$F$193:$AS$193)*(1-AR$193)-SUM($F153:AQ153)</f>
        <v>0</v>
      </c>
      <c r="AS153" s="142">
        <f>SUMPRODUCT($F18:$AS18,$F$193:$AS$193)*(1-AS$193)-SUM($F153:AR153)</f>
        <v>0</v>
      </c>
      <c r="AT153" s="142">
        <f>SUMPRODUCT($F18:$AS18,$F$193:$AS$193)*(1-AT$193)-SUM($F153:AS153)</f>
        <v>0</v>
      </c>
      <c r="AU153" s="142">
        <f>SUMPRODUCT($F18:$AS18,$F$193:$AS$193)*(1-AU$193)-SUM($F153:AT153)</f>
        <v>0</v>
      </c>
      <c r="AV153" s="142">
        <f>SUMPRODUCT($F18:$AS18,$F$193:$AS$193)*(1-AV$193)-SUM($F153:AU153)</f>
        <v>0</v>
      </c>
      <c r="AW153" s="142">
        <f>SUMPRODUCT($F18:$AS18,$F$193:$AS$193)*(1-AW$193)-SUM($F153:AV153)</f>
        <v>0</v>
      </c>
      <c r="AX153" s="142">
        <f>SUMPRODUCT($F18:$AS18,$F$193:$AS$193)*(1-AX$193)-SUM($F153:AW153)</f>
        <v>0</v>
      </c>
      <c r="AY153" s="142">
        <f>SUMPRODUCT($F18:$AS18,$F$193:$AS$193)*(1-AY$193)-SUM($F153:AX153)</f>
        <v>0</v>
      </c>
      <c r="AZ153" s="142">
        <f>SUMPRODUCT($F18:$AS18,$F$193:$AS$193)*(1-AZ$193)-SUM($F153:AY153)</f>
        <v>0</v>
      </c>
      <c r="BA153" s="142">
        <f>SUMPRODUCT($F18:$AS18,$F$193:$AS$193)*(1-BA$193)-SUM($F153:AZ153)</f>
        <v>0</v>
      </c>
      <c r="BB153" s="142">
        <f>SUMPRODUCT($F18:$AS18,$F$193:$AS$193)*(1-BB$193)-SUM($F153:BA153)</f>
        <v>0</v>
      </c>
      <c r="BC153" s="142">
        <f>SUMPRODUCT($F18:$AS18,$F$193:$AS$193)*(1-BC$193)-SUM($F153:BB153)</f>
        <v>0</v>
      </c>
      <c r="BD153" s="142">
        <f>SUMPRODUCT($F18:$AS18,$F$193:$AS$193)*(1-BD$193)-SUM($F153:BC153)</f>
        <v>0</v>
      </c>
      <c r="BE153" s="142">
        <f>SUMPRODUCT($F18:$AS18,$F$193:$AS$193)*(1-BE$193)-SUM($F153:BD153)</f>
        <v>0</v>
      </c>
      <c r="BF153" s="142">
        <f>SUMPRODUCT($F18:$AS18,$F$193:$AS$193)*(1-BF$193)-SUM($F153:BE153)</f>
        <v>0</v>
      </c>
      <c r="BG153" s="142">
        <f>SUMPRODUCT($F18:$AS18,$F$193:$AS$193)*(1-BG$193)-SUM($F153:BF153)</f>
        <v>0</v>
      </c>
      <c r="BH153" s="142">
        <f>SUMPRODUCT($F18:$AS18,$F$193:$AS$193)*(1-BH$193)-SUM($F153:BG153)</f>
        <v>0</v>
      </c>
      <c r="BI153" s="142">
        <f>SUMPRODUCT($F18:$AS18,$F$193:$AS$193)*(1-BI$193)-SUM($F153:BH153)</f>
        <v>0</v>
      </c>
      <c r="BJ153" s="142">
        <f>SUMPRODUCT($F18:$AS18,$F$193:$AS$193)*(1-BJ$193)-SUM($F153:BI153)</f>
        <v>0</v>
      </c>
      <c r="BK153" s="142">
        <f>SUMPRODUCT($F18:$AS18,$F$193:$AS$193)*(1-BK$193)-SUM($F153:BJ153)</f>
        <v>0</v>
      </c>
      <c r="BL153" s="142">
        <f>SUMPRODUCT($F18:$AS18,$F$193:$AS$193)*(1-BL$193)-SUM($F153:BK153)</f>
        <v>0</v>
      </c>
      <c r="BM153" s="142">
        <f>SUMPRODUCT($F18:$AS18,$F$193:$AS$193)*(1-BM$193)-SUM($F153:BL153)</f>
        <v>0</v>
      </c>
    </row>
    <row r="154" spans="2:65" hidden="1" outlineLevel="1">
      <c r="B154" s="27"/>
      <c r="C154" s="27"/>
      <c r="D154" s="158" t="str">
        <f>B66</f>
        <v>ПАРКИНГ ОФИС</v>
      </c>
      <c r="E154" s="154">
        <f t="shared" si="215"/>
        <v>0</v>
      </c>
      <c r="F154" s="142"/>
      <c r="G154" s="142">
        <f>SUMPRODUCT($F21:$AS21,$F$193:$AS$193)*(1-G$193)-SUM($F154:F154)</f>
        <v>0</v>
      </c>
      <c r="H154" s="142">
        <f>SUMPRODUCT($F21:$AS21,$F$193:$AS$193)*(1-H$193)-SUM($F154:G154)</f>
        <v>0</v>
      </c>
      <c r="I154" s="142">
        <f>SUMPRODUCT($F21:$AS21,$F$193:$AS$193)*(1-I$193)-SUM($F154:H154)</f>
        <v>0</v>
      </c>
      <c r="J154" s="142">
        <f>SUMPRODUCT($F21:$AS21,$F$193:$AS$193)*(1-J$193)-SUM($F154:I154)</f>
        <v>0</v>
      </c>
      <c r="K154" s="142">
        <f>SUMPRODUCT($F21:$AS21,$F$193:$AS$193)*(1-K$193)-SUM($F154:J154)</f>
        <v>0</v>
      </c>
      <c r="L154" s="142">
        <f>SUMPRODUCT($F21:$AS21,$F$193:$AS$193)*(1-L$193)-SUM($F154:K154)</f>
        <v>0</v>
      </c>
      <c r="M154" s="142">
        <f>SUMPRODUCT($F21:$AS21,$F$193:$AS$193)*(1-M$193)-SUM($F154:L154)</f>
        <v>0</v>
      </c>
      <c r="N154" s="142">
        <f>SUMPRODUCT($F21:$AS21,$F$193:$AS$193)*(1-N$193)-SUM($F154:M154)</f>
        <v>0</v>
      </c>
      <c r="O154" s="142">
        <f>SUMPRODUCT($F21:$AS21,$F$193:$AS$193)*(1-O$193)-SUM($F154:N154)</f>
        <v>0</v>
      </c>
      <c r="P154" s="142">
        <f>SUMPRODUCT($F21:$AS21,$F$193:$AS$193)*(1-P$193)-SUM($F154:O154)</f>
        <v>0</v>
      </c>
      <c r="Q154" s="142">
        <f>SUMPRODUCT($F21:$AS21,$F$193:$AS$193)*(1-Q$193)-SUM($F154:P154)</f>
        <v>0</v>
      </c>
      <c r="R154" s="142">
        <f>SUMPRODUCT($F21:$AS21,$F$193:$AS$193)*(1-R$193)-SUM($F154:Q154)</f>
        <v>0</v>
      </c>
      <c r="S154" s="142">
        <f>SUMPRODUCT($F21:$AS21,$F$193:$AS$193)*(1-S$193)-SUM($F154:R154)</f>
        <v>0</v>
      </c>
      <c r="T154" s="142">
        <f>SUMPRODUCT($F21:$AS21,$F$193:$AS$193)*(1-T$193)-SUM($F154:S154)</f>
        <v>0</v>
      </c>
      <c r="U154" s="142">
        <f>SUMPRODUCT($F21:$AS21,$F$193:$AS$193)*(1-U$193)-SUM($F154:T154)</f>
        <v>0</v>
      </c>
      <c r="V154" s="142">
        <f>SUMPRODUCT($F21:$AS21,$F$193:$AS$193)*(1-V$193)-SUM($F154:U154)</f>
        <v>0</v>
      </c>
      <c r="W154" s="142">
        <f>SUMPRODUCT($F21:$AS21,$F$193:$AS$193)*(1-W$193)-SUM($F154:V154)</f>
        <v>0</v>
      </c>
      <c r="X154" s="142">
        <f>SUMPRODUCT($F21:$AS21,$F$193:$AS$193)*(1-X$193)-SUM($F154:W154)</f>
        <v>0</v>
      </c>
      <c r="Y154" s="142">
        <f>SUMPRODUCT($F21:$AS21,$F$193:$AS$193)*(1-Y$193)-SUM($F154:X154)</f>
        <v>0</v>
      </c>
      <c r="Z154" s="142">
        <f>SUMPRODUCT($F21:$AS21,$F$193:$AS$193)*(1-Z$193)-SUM($F154:Y154)</f>
        <v>0</v>
      </c>
      <c r="AA154" s="142">
        <f>SUMPRODUCT($F21:$AS21,$F$193:$AS$193)*(1-AA$193)-SUM($F154:Z154)</f>
        <v>0</v>
      </c>
      <c r="AB154" s="142">
        <f>SUMPRODUCT($F21:$AS21,$F$193:$AS$193)*(1-AB$193)-SUM($F154:AA154)</f>
        <v>0</v>
      </c>
      <c r="AC154" s="142">
        <f>SUMPRODUCT($F21:$AS21,$F$193:$AS$193)*(1-AC$193)-SUM($F154:AB154)</f>
        <v>0</v>
      </c>
      <c r="AD154" s="142">
        <f>SUMPRODUCT($F21:$AS21,$F$193:$AS$193)*(1-AD$193)-SUM($F154:AC154)</f>
        <v>0</v>
      </c>
      <c r="AE154" s="142">
        <f>SUMPRODUCT($F21:$AS21,$F$193:$AS$193)*(1-AE$193)-SUM($F154:AD154)</f>
        <v>0</v>
      </c>
      <c r="AF154" s="142">
        <f>SUMPRODUCT($F21:$AS21,$F$193:$AS$193)*(1-AF$193)-SUM($F154:AE154)</f>
        <v>0</v>
      </c>
      <c r="AG154" s="142">
        <f>SUMPRODUCT($F21:$AS21,$F$193:$AS$193)*(1-AG$193)-SUM($F154:AF154)</f>
        <v>0</v>
      </c>
      <c r="AH154" s="142">
        <f>SUMPRODUCT($F21:$AS21,$F$193:$AS$193)*(1-AH$193)-SUM($F154:AG154)</f>
        <v>0</v>
      </c>
      <c r="AI154" s="142">
        <f>SUMPRODUCT($F21:$AS21,$F$193:$AS$193)*(1-AI$193)-SUM($F154:AH154)</f>
        <v>0</v>
      </c>
      <c r="AJ154" s="142">
        <f>SUMPRODUCT($F21:$AS21,$F$193:$AS$193)*(1-AJ$193)-SUM($F154:AI154)</f>
        <v>0</v>
      </c>
      <c r="AK154" s="142">
        <f>SUMPRODUCT($F21:$AS21,$F$193:$AS$193)*(1-AK$193)-SUM($F154:AJ154)</f>
        <v>0</v>
      </c>
      <c r="AL154" s="142">
        <f>SUMPRODUCT($F21:$AS21,$F$193:$AS$193)*(1-AL$193)-SUM($F154:AK154)</f>
        <v>0</v>
      </c>
      <c r="AM154" s="142">
        <f>SUMPRODUCT($F21:$AS21,$F$193:$AS$193)*(1-AM$193)-SUM($F154:AL154)</f>
        <v>0</v>
      </c>
      <c r="AN154" s="142">
        <f>SUMPRODUCT($F21:$AS21,$F$193:$AS$193)*(1-AN$193)-SUM($F154:AM154)</f>
        <v>0</v>
      </c>
      <c r="AO154" s="142">
        <f>SUMPRODUCT($F21:$AS21,$F$193:$AS$193)*(1-AO$193)-SUM($F154:AN154)</f>
        <v>0</v>
      </c>
      <c r="AP154" s="142">
        <f>SUMPRODUCT($F21:$AS21,$F$193:$AS$193)*(1-AP$193)-SUM($F154:AO154)</f>
        <v>0</v>
      </c>
      <c r="AQ154" s="142">
        <f>SUMPRODUCT($F21:$AS21,$F$193:$AS$193)*(1-AQ$193)-SUM($F154:AP154)</f>
        <v>0</v>
      </c>
      <c r="AR154" s="142">
        <f>SUMPRODUCT($F21:$AS21,$F$193:$AS$193)*(1-AR$193)-SUM($F154:AQ154)</f>
        <v>0</v>
      </c>
      <c r="AS154" s="142">
        <f>SUMPRODUCT($F21:$AS21,$F$193:$AS$193)*(1-AS$193)-SUM($F154:AR154)</f>
        <v>0</v>
      </c>
      <c r="AT154" s="142">
        <f>SUMPRODUCT($F21:$AS21,$F$193:$AS$193)*(1-AT$193)-SUM($F154:AS154)</f>
        <v>0</v>
      </c>
      <c r="AU154" s="142">
        <f>SUMPRODUCT($F21:$AS21,$F$193:$AS$193)*(1-AU$193)-SUM($F154:AT154)</f>
        <v>0</v>
      </c>
      <c r="AV154" s="142">
        <f>SUMPRODUCT($F21:$AS21,$F$193:$AS$193)*(1-AV$193)-SUM($F154:AU154)</f>
        <v>0</v>
      </c>
      <c r="AW154" s="142">
        <f>SUMPRODUCT($F21:$AS21,$F$193:$AS$193)*(1-AW$193)-SUM($F154:AV154)</f>
        <v>0</v>
      </c>
      <c r="AX154" s="142">
        <f>SUMPRODUCT($F21:$AS21,$F$193:$AS$193)*(1-AX$193)-SUM($F154:AW154)</f>
        <v>0</v>
      </c>
      <c r="AY154" s="142">
        <f>SUMPRODUCT($F21:$AS21,$F$193:$AS$193)*(1-AY$193)-SUM($F154:AX154)</f>
        <v>0</v>
      </c>
      <c r="AZ154" s="142">
        <f>SUMPRODUCT($F21:$AS21,$F$193:$AS$193)*(1-AZ$193)-SUM($F154:AY154)</f>
        <v>0</v>
      </c>
      <c r="BA154" s="142">
        <f>SUMPRODUCT($F21:$AS21,$F$193:$AS$193)*(1-BA$193)-SUM($F154:AZ154)</f>
        <v>0</v>
      </c>
      <c r="BB154" s="142">
        <f>SUMPRODUCT($F21:$AS21,$F$193:$AS$193)*(1-BB$193)-SUM($F154:BA154)</f>
        <v>0</v>
      </c>
      <c r="BC154" s="142">
        <f>SUMPRODUCT($F21:$AS21,$F$193:$AS$193)*(1-BC$193)-SUM($F154:BB154)</f>
        <v>0</v>
      </c>
      <c r="BD154" s="142">
        <f>SUMPRODUCT($F21:$AS21,$F$193:$AS$193)*(1-BD$193)-SUM($F154:BC154)</f>
        <v>0</v>
      </c>
      <c r="BE154" s="142">
        <f>SUMPRODUCT($F21:$AS21,$F$193:$AS$193)*(1-BE$193)-SUM($F154:BD154)</f>
        <v>0</v>
      </c>
      <c r="BF154" s="142">
        <f>SUMPRODUCT($F21:$AS21,$F$193:$AS$193)*(1-BF$193)-SUM($F154:BE154)</f>
        <v>0</v>
      </c>
      <c r="BG154" s="142">
        <f>SUMPRODUCT($F21:$AS21,$F$193:$AS$193)*(1-BG$193)-SUM($F154:BF154)</f>
        <v>0</v>
      </c>
      <c r="BH154" s="142">
        <f>SUMPRODUCT($F21:$AS21,$F$193:$AS$193)*(1-BH$193)-SUM($F154:BG154)</f>
        <v>0</v>
      </c>
      <c r="BI154" s="142">
        <f>SUMPRODUCT($F21:$AS21,$F$193:$AS$193)*(1-BI$193)-SUM($F154:BH154)</f>
        <v>0</v>
      </c>
      <c r="BJ154" s="142">
        <f>SUMPRODUCT($F21:$AS21,$F$193:$AS$193)*(1-BJ$193)-SUM($F154:BI154)</f>
        <v>0</v>
      </c>
      <c r="BK154" s="142">
        <f>SUMPRODUCT($F21:$AS21,$F$193:$AS$193)*(1-BK$193)-SUM($F154:BJ154)</f>
        <v>0</v>
      </c>
      <c r="BL154" s="142">
        <f>SUMPRODUCT($F21:$AS21,$F$193:$AS$193)*(1-BL$193)-SUM($F154:BK154)</f>
        <v>0</v>
      </c>
      <c r="BM154" s="142">
        <f>SUMPRODUCT($F21:$AS21,$F$193:$AS$193)*(1-BM$193)-SUM($F154:BL154)</f>
        <v>0</v>
      </c>
    </row>
    <row r="155" spans="2:65" s="151" customFormat="1" hidden="1" outlineLevel="1">
      <c r="B155" s="152"/>
      <c r="C155" s="152" t="s">
        <v>100</v>
      </c>
      <c r="D155" s="153"/>
      <c r="E155" s="154">
        <f t="shared" si="215"/>
        <v>0</v>
      </c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155"/>
      <c r="AI155" s="155"/>
      <c r="AJ155" s="155"/>
      <c r="AK155" s="155"/>
      <c r="AL155" s="155"/>
      <c r="AM155" s="155"/>
      <c r="AN155" s="155"/>
      <c r="AO155" s="155"/>
      <c r="AP155" s="155"/>
      <c r="AQ155" s="155"/>
      <c r="AR155" s="155"/>
      <c r="AS155" s="155"/>
      <c r="AT155" s="155"/>
      <c r="AU155" s="155"/>
      <c r="AV155" s="155"/>
      <c r="AW155" s="155"/>
      <c r="AX155" s="155"/>
      <c r="AY155" s="155"/>
      <c r="AZ155" s="155"/>
      <c r="BA155" s="155"/>
      <c r="BB155" s="155"/>
      <c r="BC155" s="155"/>
      <c r="BD155" s="155"/>
      <c r="BE155" s="155"/>
      <c r="BF155" s="155"/>
      <c r="BG155" s="155"/>
      <c r="BH155" s="155"/>
      <c r="BI155" s="155"/>
      <c r="BJ155" s="155"/>
      <c r="BK155" s="155"/>
      <c r="BL155" s="155"/>
      <c r="BM155" s="155"/>
    </row>
    <row r="156" spans="2:65" hidden="1" outlineLevel="1">
      <c r="B156" s="27"/>
      <c r="C156" s="157"/>
      <c r="D156" s="158" t="str">
        <f>D148</f>
        <v>КВАРТИРЫ</v>
      </c>
      <c r="E156" s="154">
        <f t="shared" si="215"/>
        <v>50302.705799999989</v>
      </c>
      <c r="F156" s="142"/>
      <c r="G156" s="142">
        <f t="shared" ref="G156:AL156" si="220">G9*(1-G$193)</f>
        <v>0</v>
      </c>
      <c r="H156" s="142">
        <f t="shared" si="220"/>
        <v>0</v>
      </c>
      <c r="I156" s="142">
        <f t="shared" si="220"/>
        <v>0</v>
      </c>
      <c r="J156" s="142">
        <f t="shared" si="220"/>
        <v>0</v>
      </c>
      <c r="K156" s="142">
        <f t="shared" si="220"/>
        <v>0</v>
      </c>
      <c r="L156" s="142">
        <f t="shared" si="220"/>
        <v>0</v>
      </c>
      <c r="M156" s="142">
        <f t="shared" si="220"/>
        <v>0</v>
      </c>
      <c r="N156" s="142">
        <f t="shared" si="220"/>
        <v>0</v>
      </c>
      <c r="O156" s="142">
        <f t="shared" si="220"/>
        <v>0</v>
      </c>
      <c r="P156" s="142">
        <f t="shared" si="220"/>
        <v>0</v>
      </c>
      <c r="Q156" s="142">
        <f t="shared" si="220"/>
        <v>0</v>
      </c>
      <c r="R156" s="142">
        <f t="shared" si="220"/>
        <v>0</v>
      </c>
      <c r="S156" s="142">
        <f t="shared" si="220"/>
        <v>0</v>
      </c>
      <c r="T156" s="142">
        <f t="shared" si="220"/>
        <v>0</v>
      </c>
      <c r="U156" s="142">
        <f t="shared" si="220"/>
        <v>0</v>
      </c>
      <c r="V156" s="142">
        <f t="shared" si="220"/>
        <v>0</v>
      </c>
      <c r="W156" s="142">
        <f t="shared" si="220"/>
        <v>0</v>
      </c>
      <c r="X156" s="142">
        <f t="shared" si="220"/>
        <v>0</v>
      </c>
      <c r="Y156" s="142">
        <f t="shared" si="220"/>
        <v>0</v>
      </c>
      <c r="Z156" s="142">
        <f t="shared" si="220"/>
        <v>0</v>
      </c>
      <c r="AA156" s="142">
        <f t="shared" si="220"/>
        <v>0</v>
      </c>
      <c r="AB156" s="142">
        <f t="shared" si="220"/>
        <v>0</v>
      </c>
      <c r="AC156" s="142">
        <f t="shared" si="220"/>
        <v>0</v>
      </c>
      <c r="AD156" s="142">
        <f t="shared" si="220"/>
        <v>0</v>
      </c>
      <c r="AE156" s="142">
        <f t="shared" si="220"/>
        <v>0</v>
      </c>
      <c r="AF156" s="142">
        <f t="shared" si="220"/>
        <v>6000</v>
      </c>
      <c r="AG156" s="142">
        <f t="shared" si="220"/>
        <v>6000</v>
      </c>
      <c r="AH156" s="142">
        <f t="shared" si="220"/>
        <v>6000</v>
      </c>
      <c r="AI156" s="142">
        <f t="shared" si="220"/>
        <v>6000</v>
      </c>
      <c r="AJ156" s="142">
        <f t="shared" si="220"/>
        <v>6000</v>
      </c>
      <c r="AK156" s="142">
        <f t="shared" si="220"/>
        <v>6000</v>
      </c>
      <c r="AL156" s="142">
        <f t="shared" si="220"/>
        <v>6000</v>
      </c>
      <c r="AM156" s="142">
        <f t="shared" ref="AM156:BM156" si="221">AM9*(1-AM$193)</f>
        <v>5425.3631999999852</v>
      </c>
      <c r="AN156" s="142">
        <f t="shared" si="221"/>
        <v>2877.3426000000036</v>
      </c>
      <c r="AO156" s="142">
        <f t="shared" si="221"/>
        <v>0</v>
      </c>
      <c r="AP156" s="142">
        <f t="shared" si="221"/>
        <v>0</v>
      </c>
      <c r="AQ156" s="142">
        <f t="shared" si="221"/>
        <v>0</v>
      </c>
      <c r="AR156" s="142">
        <f t="shared" si="221"/>
        <v>0</v>
      </c>
      <c r="AS156" s="142">
        <f t="shared" si="221"/>
        <v>0</v>
      </c>
      <c r="AT156" s="142">
        <f t="shared" si="221"/>
        <v>0</v>
      </c>
      <c r="AU156" s="142">
        <f t="shared" si="221"/>
        <v>0</v>
      </c>
      <c r="AV156" s="142">
        <f t="shared" si="221"/>
        <v>0</v>
      </c>
      <c r="AW156" s="142">
        <f t="shared" si="221"/>
        <v>0</v>
      </c>
      <c r="AX156" s="142">
        <f t="shared" si="221"/>
        <v>0</v>
      </c>
      <c r="AY156" s="142">
        <f t="shared" si="221"/>
        <v>0</v>
      </c>
      <c r="AZ156" s="142">
        <f t="shared" si="221"/>
        <v>0</v>
      </c>
      <c r="BA156" s="142">
        <f t="shared" si="221"/>
        <v>0</v>
      </c>
      <c r="BB156" s="142">
        <f t="shared" si="221"/>
        <v>0</v>
      </c>
      <c r="BC156" s="142">
        <f t="shared" si="221"/>
        <v>0</v>
      </c>
      <c r="BD156" s="142">
        <f t="shared" si="221"/>
        <v>0</v>
      </c>
      <c r="BE156" s="142">
        <f t="shared" si="221"/>
        <v>0</v>
      </c>
      <c r="BF156" s="142">
        <f t="shared" si="221"/>
        <v>0</v>
      </c>
      <c r="BG156" s="142">
        <f t="shared" si="221"/>
        <v>0</v>
      </c>
      <c r="BH156" s="142">
        <f t="shared" si="221"/>
        <v>0</v>
      </c>
      <c r="BI156" s="142">
        <f t="shared" si="221"/>
        <v>0</v>
      </c>
      <c r="BJ156" s="142">
        <f t="shared" si="221"/>
        <v>0</v>
      </c>
      <c r="BK156" s="142">
        <f t="shared" si="221"/>
        <v>0</v>
      </c>
      <c r="BL156" s="142">
        <f t="shared" si="221"/>
        <v>0</v>
      </c>
      <c r="BM156" s="142">
        <f t="shared" si="221"/>
        <v>0</v>
      </c>
    </row>
    <row r="157" spans="2:65" hidden="1" outlineLevel="1">
      <c r="B157" s="27"/>
      <c r="C157" s="157"/>
      <c r="D157" s="158" t="str">
        <f t="shared" ref="D157:D162" si="222">D149</f>
        <v>АПАРТАМЕНТЫ</v>
      </c>
      <c r="E157" s="154">
        <f t="shared" si="215"/>
        <v>0</v>
      </c>
      <c r="F157" s="142"/>
      <c r="G157" s="142">
        <f t="shared" ref="G157:AL157" si="223">G12*(1-G$193)</f>
        <v>0</v>
      </c>
      <c r="H157" s="142">
        <f t="shared" si="223"/>
        <v>0</v>
      </c>
      <c r="I157" s="142">
        <f t="shared" si="223"/>
        <v>0</v>
      </c>
      <c r="J157" s="142">
        <f t="shared" si="223"/>
        <v>0</v>
      </c>
      <c r="K157" s="142">
        <f t="shared" si="223"/>
        <v>0</v>
      </c>
      <c r="L157" s="142">
        <f t="shared" si="223"/>
        <v>0</v>
      </c>
      <c r="M157" s="142">
        <f t="shared" si="223"/>
        <v>0</v>
      </c>
      <c r="N157" s="142">
        <f t="shared" si="223"/>
        <v>0</v>
      </c>
      <c r="O157" s="142">
        <f t="shared" si="223"/>
        <v>0</v>
      </c>
      <c r="P157" s="142">
        <f t="shared" si="223"/>
        <v>0</v>
      </c>
      <c r="Q157" s="142">
        <f t="shared" si="223"/>
        <v>0</v>
      </c>
      <c r="R157" s="142">
        <f t="shared" si="223"/>
        <v>0</v>
      </c>
      <c r="S157" s="142">
        <f t="shared" si="223"/>
        <v>0</v>
      </c>
      <c r="T157" s="142">
        <f t="shared" si="223"/>
        <v>0</v>
      </c>
      <c r="U157" s="142">
        <f t="shared" si="223"/>
        <v>0</v>
      </c>
      <c r="V157" s="142">
        <f t="shared" si="223"/>
        <v>0</v>
      </c>
      <c r="W157" s="142">
        <f t="shared" si="223"/>
        <v>0</v>
      </c>
      <c r="X157" s="142">
        <f t="shared" si="223"/>
        <v>0</v>
      </c>
      <c r="Y157" s="142">
        <f t="shared" si="223"/>
        <v>0</v>
      </c>
      <c r="Z157" s="142">
        <f t="shared" si="223"/>
        <v>0</v>
      </c>
      <c r="AA157" s="142">
        <f t="shared" si="223"/>
        <v>0</v>
      </c>
      <c r="AB157" s="142">
        <f t="shared" si="223"/>
        <v>0</v>
      </c>
      <c r="AC157" s="142">
        <f t="shared" si="223"/>
        <v>0</v>
      </c>
      <c r="AD157" s="142">
        <f t="shared" si="223"/>
        <v>0</v>
      </c>
      <c r="AE157" s="142">
        <f t="shared" si="223"/>
        <v>0</v>
      </c>
      <c r="AF157" s="142">
        <f t="shared" si="223"/>
        <v>0</v>
      </c>
      <c r="AG157" s="142">
        <f t="shared" si="223"/>
        <v>0</v>
      </c>
      <c r="AH157" s="142">
        <f t="shared" si="223"/>
        <v>0</v>
      </c>
      <c r="AI157" s="142">
        <f t="shared" si="223"/>
        <v>0</v>
      </c>
      <c r="AJ157" s="142">
        <f t="shared" si="223"/>
        <v>0</v>
      </c>
      <c r="AK157" s="142">
        <f t="shared" si="223"/>
        <v>0</v>
      </c>
      <c r="AL157" s="142">
        <f t="shared" si="223"/>
        <v>0</v>
      </c>
      <c r="AM157" s="142">
        <f t="shared" ref="AM157:BM157" si="224">AM12*(1-AM$193)</f>
        <v>0</v>
      </c>
      <c r="AN157" s="142">
        <f t="shared" si="224"/>
        <v>0</v>
      </c>
      <c r="AO157" s="142">
        <f t="shared" si="224"/>
        <v>0</v>
      </c>
      <c r="AP157" s="142">
        <f t="shared" si="224"/>
        <v>0</v>
      </c>
      <c r="AQ157" s="142">
        <f t="shared" si="224"/>
        <v>0</v>
      </c>
      <c r="AR157" s="142">
        <f t="shared" si="224"/>
        <v>0</v>
      </c>
      <c r="AS157" s="142">
        <f t="shared" si="224"/>
        <v>0</v>
      </c>
      <c r="AT157" s="142">
        <f t="shared" si="224"/>
        <v>0</v>
      </c>
      <c r="AU157" s="142">
        <f t="shared" si="224"/>
        <v>0</v>
      </c>
      <c r="AV157" s="142">
        <f t="shared" si="224"/>
        <v>0</v>
      </c>
      <c r="AW157" s="142">
        <f t="shared" si="224"/>
        <v>0</v>
      </c>
      <c r="AX157" s="142">
        <f t="shared" si="224"/>
        <v>0</v>
      </c>
      <c r="AY157" s="142">
        <f t="shared" si="224"/>
        <v>0</v>
      </c>
      <c r="AZ157" s="142">
        <f t="shared" si="224"/>
        <v>0</v>
      </c>
      <c r="BA157" s="142">
        <f t="shared" si="224"/>
        <v>0</v>
      </c>
      <c r="BB157" s="142">
        <f t="shared" si="224"/>
        <v>0</v>
      </c>
      <c r="BC157" s="142">
        <f t="shared" si="224"/>
        <v>0</v>
      </c>
      <c r="BD157" s="142">
        <f t="shared" si="224"/>
        <v>0</v>
      </c>
      <c r="BE157" s="142">
        <f t="shared" si="224"/>
        <v>0</v>
      </c>
      <c r="BF157" s="142">
        <f t="shared" si="224"/>
        <v>0</v>
      </c>
      <c r="BG157" s="142">
        <f t="shared" si="224"/>
        <v>0</v>
      </c>
      <c r="BH157" s="142">
        <f t="shared" si="224"/>
        <v>0</v>
      </c>
      <c r="BI157" s="142">
        <f t="shared" si="224"/>
        <v>0</v>
      </c>
      <c r="BJ157" s="142">
        <f t="shared" si="224"/>
        <v>0</v>
      </c>
      <c r="BK157" s="142">
        <f t="shared" si="224"/>
        <v>0</v>
      </c>
      <c r="BL157" s="142">
        <f t="shared" si="224"/>
        <v>0</v>
      </c>
      <c r="BM157" s="142">
        <f t="shared" si="224"/>
        <v>0</v>
      </c>
    </row>
    <row r="158" spans="2:65" hidden="1" outlineLevel="1">
      <c r="B158" s="27"/>
      <c r="C158" s="157"/>
      <c r="D158" s="158" t="str">
        <f t="shared" si="222"/>
        <v>ОФИСЫ</v>
      </c>
      <c r="E158" s="154">
        <f t="shared" si="215"/>
        <v>0</v>
      </c>
      <c r="F158" s="142"/>
      <c r="G158" s="142">
        <f t="shared" ref="G158:AL158" si="225">G13*(1-G$193)</f>
        <v>0</v>
      </c>
      <c r="H158" s="142">
        <f t="shared" si="225"/>
        <v>0</v>
      </c>
      <c r="I158" s="142">
        <f t="shared" si="225"/>
        <v>0</v>
      </c>
      <c r="J158" s="142">
        <f t="shared" si="225"/>
        <v>0</v>
      </c>
      <c r="K158" s="142">
        <f t="shared" si="225"/>
        <v>0</v>
      </c>
      <c r="L158" s="142">
        <f t="shared" si="225"/>
        <v>0</v>
      </c>
      <c r="M158" s="142">
        <f t="shared" si="225"/>
        <v>0</v>
      </c>
      <c r="N158" s="142">
        <f t="shared" si="225"/>
        <v>0</v>
      </c>
      <c r="O158" s="142">
        <f t="shared" si="225"/>
        <v>0</v>
      </c>
      <c r="P158" s="142">
        <f t="shared" si="225"/>
        <v>0</v>
      </c>
      <c r="Q158" s="142">
        <f t="shared" si="225"/>
        <v>0</v>
      </c>
      <c r="R158" s="142">
        <f t="shared" si="225"/>
        <v>0</v>
      </c>
      <c r="S158" s="142">
        <f t="shared" si="225"/>
        <v>0</v>
      </c>
      <c r="T158" s="142">
        <f t="shared" si="225"/>
        <v>0</v>
      </c>
      <c r="U158" s="142">
        <f t="shared" si="225"/>
        <v>0</v>
      </c>
      <c r="V158" s="142">
        <f t="shared" si="225"/>
        <v>0</v>
      </c>
      <c r="W158" s="142">
        <f t="shared" si="225"/>
        <v>0</v>
      </c>
      <c r="X158" s="142">
        <f t="shared" si="225"/>
        <v>0</v>
      </c>
      <c r="Y158" s="142">
        <f t="shared" si="225"/>
        <v>0</v>
      </c>
      <c r="Z158" s="142">
        <f t="shared" si="225"/>
        <v>0</v>
      </c>
      <c r="AA158" s="142">
        <f t="shared" si="225"/>
        <v>0</v>
      </c>
      <c r="AB158" s="142">
        <f t="shared" si="225"/>
        <v>0</v>
      </c>
      <c r="AC158" s="142">
        <f t="shared" si="225"/>
        <v>0</v>
      </c>
      <c r="AD158" s="142">
        <f t="shared" si="225"/>
        <v>0</v>
      </c>
      <c r="AE158" s="142">
        <f t="shared" si="225"/>
        <v>0</v>
      </c>
      <c r="AF158" s="142">
        <f t="shared" si="225"/>
        <v>0</v>
      </c>
      <c r="AG158" s="142">
        <f t="shared" si="225"/>
        <v>0</v>
      </c>
      <c r="AH158" s="142">
        <f t="shared" si="225"/>
        <v>0</v>
      </c>
      <c r="AI158" s="142">
        <f t="shared" si="225"/>
        <v>0</v>
      </c>
      <c r="AJ158" s="142">
        <f t="shared" si="225"/>
        <v>0</v>
      </c>
      <c r="AK158" s="142">
        <f t="shared" si="225"/>
        <v>0</v>
      </c>
      <c r="AL158" s="142">
        <f t="shared" si="225"/>
        <v>0</v>
      </c>
      <c r="AM158" s="142">
        <f t="shared" ref="AM158:BM158" si="226">AM13*(1-AM$193)</f>
        <v>0</v>
      </c>
      <c r="AN158" s="142">
        <f t="shared" si="226"/>
        <v>0</v>
      </c>
      <c r="AO158" s="142">
        <f t="shared" si="226"/>
        <v>0</v>
      </c>
      <c r="AP158" s="142">
        <f t="shared" si="226"/>
        <v>0</v>
      </c>
      <c r="AQ158" s="142">
        <f t="shared" si="226"/>
        <v>0</v>
      </c>
      <c r="AR158" s="142">
        <f t="shared" si="226"/>
        <v>0</v>
      </c>
      <c r="AS158" s="142">
        <f t="shared" si="226"/>
        <v>0</v>
      </c>
      <c r="AT158" s="142">
        <f t="shared" si="226"/>
        <v>0</v>
      </c>
      <c r="AU158" s="142">
        <f t="shared" si="226"/>
        <v>0</v>
      </c>
      <c r="AV158" s="142">
        <f t="shared" si="226"/>
        <v>0</v>
      </c>
      <c r="AW158" s="142">
        <f t="shared" si="226"/>
        <v>0</v>
      </c>
      <c r="AX158" s="142">
        <f t="shared" si="226"/>
        <v>0</v>
      </c>
      <c r="AY158" s="142">
        <f t="shared" si="226"/>
        <v>0</v>
      </c>
      <c r="AZ158" s="142">
        <f t="shared" si="226"/>
        <v>0</v>
      </c>
      <c r="BA158" s="142">
        <f t="shared" si="226"/>
        <v>0</v>
      </c>
      <c r="BB158" s="142">
        <f t="shared" si="226"/>
        <v>0</v>
      </c>
      <c r="BC158" s="142">
        <f t="shared" si="226"/>
        <v>0</v>
      </c>
      <c r="BD158" s="142">
        <f t="shared" si="226"/>
        <v>0</v>
      </c>
      <c r="BE158" s="142">
        <f t="shared" si="226"/>
        <v>0</v>
      </c>
      <c r="BF158" s="142">
        <f t="shared" si="226"/>
        <v>0</v>
      </c>
      <c r="BG158" s="142">
        <f t="shared" si="226"/>
        <v>0</v>
      </c>
      <c r="BH158" s="142">
        <f t="shared" si="226"/>
        <v>0</v>
      </c>
      <c r="BI158" s="142">
        <f t="shared" si="226"/>
        <v>0</v>
      </c>
      <c r="BJ158" s="142">
        <f t="shared" si="226"/>
        <v>0</v>
      </c>
      <c r="BK158" s="142">
        <f t="shared" si="226"/>
        <v>0</v>
      </c>
      <c r="BL158" s="142">
        <f t="shared" si="226"/>
        <v>0</v>
      </c>
      <c r="BM158" s="142">
        <f t="shared" si="226"/>
        <v>0</v>
      </c>
    </row>
    <row r="159" spans="2:65" hidden="1" outlineLevel="1">
      <c r="B159" s="27"/>
      <c r="C159" s="157"/>
      <c r="D159" s="158" t="str">
        <f t="shared" si="222"/>
        <v>РИТЕЙЛ</v>
      </c>
      <c r="E159" s="154">
        <f t="shared" si="215"/>
        <v>6073.4114999999993</v>
      </c>
      <c r="F159" s="142"/>
      <c r="G159" s="142">
        <f t="shared" ref="G159:AL159" si="227">G14*(1-G$193)</f>
        <v>0</v>
      </c>
      <c r="H159" s="142">
        <f t="shared" si="227"/>
        <v>0</v>
      </c>
      <c r="I159" s="142">
        <f t="shared" si="227"/>
        <v>0</v>
      </c>
      <c r="J159" s="142">
        <f t="shared" si="227"/>
        <v>0</v>
      </c>
      <c r="K159" s="142">
        <f t="shared" si="227"/>
        <v>0</v>
      </c>
      <c r="L159" s="142">
        <f t="shared" si="227"/>
        <v>0</v>
      </c>
      <c r="M159" s="142">
        <f t="shared" si="227"/>
        <v>0</v>
      </c>
      <c r="N159" s="142">
        <f t="shared" si="227"/>
        <v>0</v>
      </c>
      <c r="O159" s="142">
        <f t="shared" si="227"/>
        <v>0</v>
      </c>
      <c r="P159" s="142">
        <f t="shared" si="227"/>
        <v>0</v>
      </c>
      <c r="Q159" s="142">
        <f t="shared" si="227"/>
        <v>0</v>
      </c>
      <c r="R159" s="142">
        <f t="shared" si="227"/>
        <v>0</v>
      </c>
      <c r="S159" s="142">
        <f t="shared" si="227"/>
        <v>0</v>
      </c>
      <c r="T159" s="142">
        <f t="shared" si="227"/>
        <v>0</v>
      </c>
      <c r="U159" s="142">
        <f t="shared" si="227"/>
        <v>0</v>
      </c>
      <c r="V159" s="142">
        <f t="shared" si="227"/>
        <v>0</v>
      </c>
      <c r="W159" s="142">
        <f t="shared" si="227"/>
        <v>0</v>
      </c>
      <c r="X159" s="142">
        <f t="shared" si="227"/>
        <v>0</v>
      </c>
      <c r="Y159" s="142">
        <f t="shared" si="227"/>
        <v>0</v>
      </c>
      <c r="Z159" s="142">
        <f t="shared" si="227"/>
        <v>0</v>
      </c>
      <c r="AA159" s="142">
        <f t="shared" si="227"/>
        <v>0</v>
      </c>
      <c r="AB159" s="142">
        <f t="shared" si="227"/>
        <v>0</v>
      </c>
      <c r="AC159" s="142">
        <f t="shared" si="227"/>
        <v>0</v>
      </c>
      <c r="AD159" s="142">
        <f t="shared" si="227"/>
        <v>0</v>
      </c>
      <c r="AE159" s="142">
        <f t="shared" si="227"/>
        <v>0</v>
      </c>
      <c r="AF159" s="142">
        <f t="shared" si="227"/>
        <v>0</v>
      </c>
      <c r="AG159" s="142">
        <f t="shared" si="227"/>
        <v>1758.6765</v>
      </c>
      <c r="AH159" s="142">
        <f t="shared" si="227"/>
        <v>1758.6765</v>
      </c>
      <c r="AI159" s="142">
        <f t="shared" si="227"/>
        <v>0</v>
      </c>
      <c r="AJ159" s="142">
        <f t="shared" si="227"/>
        <v>0</v>
      </c>
      <c r="AK159" s="142">
        <f t="shared" si="227"/>
        <v>1278.0292499999998</v>
      </c>
      <c r="AL159" s="142">
        <f t="shared" si="227"/>
        <v>1278.0292499999998</v>
      </c>
      <c r="AM159" s="142">
        <f t="shared" ref="AM159:BM159" si="228">AM14*(1-AM$193)</f>
        <v>0</v>
      </c>
      <c r="AN159" s="142">
        <f t="shared" si="228"/>
        <v>0</v>
      </c>
      <c r="AO159" s="142">
        <f t="shared" si="228"/>
        <v>0</v>
      </c>
      <c r="AP159" s="142">
        <f t="shared" si="228"/>
        <v>0</v>
      </c>
      <c r="AQ159" s="142">
        <f t="shared" si="228"/>
        <v>0</v>
      </c>
      <c r="AR159" s="142">
        <f t="shared" si="228"/>
        <v>0</v>
      </c>
      <c r="AS159" s="142">
        <f t="shared" si="228"/>
        <v>0</v>
      </c>
      <c r="AT159" s="142">
        <f t="shared" si="228"/>
        <v>0</v>
      </c>
      <c r="AU159" s="142">
        <f t="shared" si="228"/>
        <v>0</v>
      </c>
      <c r="AV159" s="142">
        <f t="shared" si="228"/>
        <v>0</v>
      </c>
      <c r="AW159" s="142">
        <f t="shared" si="228"/>
        <v>0</v>
      </c>
      <c r="AX159" s="142">
        <f t="shared" si="228"/>
        <v>0</v>
      </c>
      <c r="AY159" s="142">
        <f t="shared" si="228"/>
        <v>0</v>
      </c>
      <c r="AZ159" s="142">
        <f t="shared" si="228"/>
        <v>0</v>
      </c>
      <c r="BA159" s="142">
        <f t="shared" si="228"/>
        <v>0</v>
      </c>
      <c r="BB159" s="142">
        <f t="shared" si="228"/>
        <v>0</v>
      </c>
      <c r="BC159" s="142">
        <f t="shared" si="228"/>
        <v>0</v>
      </c>
      <c r="BD159" s="142">
        <f t="shared" si="228"/>
        <v>0</v>
      </c>
      <c r="BE159" s="142">
        <f t="shared" si="228"/>
        <v>0</v>
      </c>
      <c r="BF159" s="142">
        <f t="shared" si="228"/>
        <v>0</v>
      </c>
      <c r="BG159" s="142">
        <f t="shared" si="228"/>
        <v>0</v>
      </c>
      <c r="BH159" s="142">
        <f t="shared" si="228"/>
        <v>0</v>
      </c>
      <c r="BI159" s="142">
        <f t="shared" si="228"/>
        <v>0</v>
      </c>
      <c r="BJ159" s="142">
        <f t="shared" si="228"/>
        <v>0</v>
      </c>
      <c r="BK159" s="142">
        <f t="shared" si="228"/>
        <v>0</v>
      </c>
      <c r="BL159" s="142">
        <f t="shared" si="228"/>
        <v>0</v>
      </c>
      <c r="BM159" s="142">
        <f t="shared" si="228"/>
        <v>0</v>
      </c>
    </row>
    <row r="160" spans="2:65" hidden="1" outlineLevel="1">
      <c r="B160" s="27"/>
      <c r="C160" s="157"/>
      <c r="D160" s="158" t="str">
        <f t="shared" si="222"/>
        <v>ТЦ</v>
      </c>
      <c r="E160" s="154">
        <f t="shared" si="215"/>
        <v>0</v>
      </c>
      <c r="F160" s="142"/>
      <c r="G160" s="142">
        <f t="shared" ref="G160:AL160" si="229">G17*(1-G$193)</f>
        <v>0</v>
      </c>
      <c r="H160" s="142">
        <f t="shared" si="229"/>
        <v>0</v>
      </c>
      <c r="I160" s="142">
        <f t="shared" si="229"/>
        <v>0</v>
      </c>
      <c r="J160" s="142">
        <f t="shared" si="229"/>
        <v>0</v>
      </c>
      <c r="K160" s="142">
        <f t="shared" si="229"/>
        <v>0</v>
      </c>
      <c r="L160" s="142">
        <f t="shared" si="229"/>
        <v>0</v>
      </c>
      <c r="M160" s="142">
        <f t="shared" si="229"/>
        <v>0</v>
      </c>
      <c r="N160" s="142">
        <f t="shared" si="229"/>
        <v>0</v>
      </c>
      <c r="O160" s="142">
        <f t="shared" si="229"/>
        <v>0</v>
      </c>
      <c r="P160" s="142">
        <f t="shared" si="229"/>
        <v>0</v>
      </c>
      <c r="Q160" s="142">
        <f t="shared" si="229"/>
        <v>0</v>
      </c>
      <c r="R160" s="142">
        <f t="shared" si="229"/>
        <v>0</v>
      </c>
      <c r="S160" s="142">
        <f t="shared" si="229"/>
        <v>0</v>
      </c>
      <c r="T160" s="142">
        <f t="shared" si="229"/>
        <v>0</v>
      </c>
      <c r="U160" s="142">
        <f t="shared" si="229"/>
        <v>0</v>
      </c>
      <c r="V160" s="142">
        <f t="shared" si="229"/>
        <v>0</v>
      </c>
      <c r="W160" s="142">
        <f t="shared" si="229"/>
        <v>0</v>
      </c>
      <c r="X160" s="142">
        <f t="shared" si="229"/>
        <v>0</v>
      </c>
      <c r="Y160" s="142">
        <f t="shared" si="229"/>
        <v>0</v>
      </c>
      <c r="Z160" s="142">
        <f t="shared" si="229"/>
        <v>0</v>
      </c>
      <c r="AA160" s="142">
        <f t="shared" si="229"/>
        <v>0</v>
      </c>
      <c r="AB160" s="142">
        <f t="shared" si="229"/>
        <v>0</v>
      </c>
      <c r="AC160" s="142">
        <f t="shared" si="229"/>
        <v>0</v>
      </c>
      <c r="AD160" s="142">
        <f t="shared" si="229"/>
        <v>0</v>
      </c>
      <c r="AE160" s="142">
        <f t="shared" si="229"/>
        <v>0</v>
      </c>
      <c r="AF160" s="142">
        <f t="shared" si="229"/>
        <v>0</v>
      </c>
      <c r="AG160" s="142">
        <f t="shared" si="229"/>
        <v>0</v>
      </c>
      <c r="AH160" s="142">
        <f t="shared" si="229"/>
        <v>0</v>
      </c>
      <c r="AI160" s="142">
        <f t="shared" si="229"/>
        <v>0</v>
      </c>
      <c r="AJ160" s="142">
        <f t="shared" si="229"/>
        <v>0</v>
      </c>
      <c r="AK160" s="142">
        <f t="shared" si="229"/>
        <v>0</v>
      </c>
      <c r="AL160" s="142">
        <f t="shared" si="229"/>
        <v>0</v>
      </c>
      <c r="AM160" s="142">
        <f t="shared" ref="AM160:BM160" si="230">AM17*(1-AM$193)</f>
        <v>0</v>
      </c>
      <c r="AN160" s="142">
        <f t="shared" si="230"/>
        <v>0</v>
      </c>
      <c r="AO160" s="142">
        <f t="shared" si="230"/>
        <v>0</v>
      </c>
      <c r="AP160" s="142">
        <f t="shared" si="230"/>
        <v>0</v>
      </c>
      <c r="AQ160" s="142">
        <f t="shared" si="230"/>
        <v>0</v>
      </c>
      <c r="AR160" s="142">
        <f t="shared" si="230"/>
        <v>0</v>
      </c>
      <c r="AS160" s="142">
        <f t="shared" si="230"/>
        <v>0</v>
      </c>
      <c r="AT160" s="142">
        <f t="shared" si="230"/>
        <v>0</v>
      </c>
      <c r="AU160" s="142">
        <f t="shared" si="230"/>
        <v>0</v>
      </c>
      <c r="AV160" s="142">
        <f t="shared" si="230"/>
        <v>0</v>
      </c>
      <c r="AW160" s="142">
        <f t="shared" si="230"/>
        <v>0</v>
      </c>
      <c r="AX160" s="142">
        <f t="shared" si="230"/>
        <v>0</v>
      </c>
      <c r="AY160" s="142">
        <f t="shared" si="230"/>
        <v>0</v>
      </c>
      <c r="AZ160" s="142">
        <f t="shared" si="230"/>
        <v>0</v>
      </c>
      <c r="BA160" s="142">
        <f t="shared" si="230"/>
        <v>0</v>
      </c>
      <c r="BB160" s="142">
        <f t="shared" si="230"/>
        <v>0</v>
      </c>
      <c r="BC160" s="142">
        <f t="shared" si="230"/>
        <v>0</v>
      </c>
      <c r="BD160" s="142">
        <f t="shared" si="230"/>
        <v>0</v>
      </c>
      <c r="BE160" s="142">
        <f t="shared" si="230"/>
        <v>0</v>
      </c>
      <c r="BF160" s="142">
        <f t="shared" si="230"/>
        <v>0</v>
      </c>
      <c r="BG160" s="142">
        <f t="shared" si="230"/>
        <v>0</v>
      </c>
      <c r="BH160" s="142">
        <f t="shared" si="230"/>
        <v>0</v>
      </c>
      <c r="BI160" s="142">
        <f t="shared" si="230"/>
        <v>0</v>
      </c>
      <c r="BJ160" s="142">
        <f t="shared" si="230"/>
        <v>0</v>
      </c>
      <c r="BK160" s="142">
        <f t="shared" si="230"/>
        <v>0</v>
      </c>
      <c r="BL160" s="142">
        <f t="shared" si="230"/>
        <v>0</v>
      </c>
      <c r="BM160" s="142">
        <f t="shared" si="230"/>
        <v>0</v>
      </c>
    </row>
    <row r="161" spans="1:65" hidden="1" outlineLevel="1">
      <c r="B161" s="27"/>
      <c r="C161" s="157"/>
      <c r="D161" s="158" t="str">
        <f t="shared" si="222"/>
        <v>ПАРКИНГ ЖИЛЬЕ</v>
      </c>
      <c r="E161" s="154">
        <f t="shared" si="215"/>
        <v>512</v>
      </c>
      <c r="F161" s="142"/>
      <c r="G161" s="142">
        <f t="shared" ref="G161:AL161" si="231">G18*(1-G$193)</f>
        <v>0</v>
      </c>
      <c r="H161" s="142">
        <f t="shared" si="231"/>
        <v>0</v>
      </c>
      <c r="I161" s="142">
        <f t="shared" si="231"/>
        <v>0</v>
      </c>
      <c r="J161" s="142">
        <f t="shared" si="231"/>
        <v>0</v>
      </c>
      <c r="K161" s="142">
        <f t="shared" si="231"/>
        <v>0</v>
      </c>
      <c r="L161" s="142">
        <f t="shared" si="231"/>
        <v>0</v>
      </c>
      <c r="M161" s="142">
        <f t="shared" si="231"/>
        <v>0</v>
      </c>
      <c r="N161" s="142">
        <f t="shared" si="231"/>
        <v>0</v>
      </c>
      <c r="O161" s="142">
        <f t="shared" si="231"/>
        <v>0</v>
      </c>
      <c r="P161" s="142">
        <f t="shared" si="231"/>
        <v>0</v>
      </c>
      <c r="Q161" s="142">
        <f t="shared" si="231"/>
        <v>0</v>
      </c>
      <c r="R161" s="142">
        <f t="shared" si="231"/>
        <v>0</v>
      </c>
      <c r="S161" s="142">
        <f t="shared" si="231"/>
        <v>0</v>
      </c>
      <c r="T161" s="142">
        <f t="shared" si="231"/>
        <v>0</v>
      </c>
      <c r="U161" s="142">
        <f t="shared" si="231"/>
        <v>0</v>
      </c>
      <c r="V161" s="142">
        <f t="shared" si="231"/>
        <v>0</v>
      </c>
      <c r="W161" s="142">
        <f t="shared" si="231"/>
        <v>0</v>
      </c>
      <c r="X161" s="142">
        <f t="shared" si="231"/>
        <v>0</v>
      </c>
      <c r="Y161" s="142">
        <f t="shared" si="231"/>
        <v>0</v>
      </c>
      <c r="Z161" s="142">
        <f t="shared" si="231"/>
        <v>0</v>
      </c>
      <c r="AA161" s="142">
        <f t="shared" si="231"/>
        <v>0</v>
      </c>
      <c r="AB161" s="142">
        <f t="shared" si="231"/>
        <v>0</v>
      </c>
      <c r="AC161" s="142">
        <f t="shared" si="231"/>
        <v>0</v>
      </c>
      <c r="AD161" s="142">
        <f t="shared" si="231"/>
        <v>0</v>
      </c>
      <c r="AE161" s="142">
        <f t="shared" si="231"/>
        <v>0</v>
      </c>
      <c r="AF161" s="142">
        <f t="shared" si="231"/>
        <v>60</v>
      </c>
      <c r="AG161" s="142">
        <f t="shared" si="231"/>
        <v>60</v>
      </c>
      <c r="AH161" s="142">
        <f t="shared" si="231"/>
        <v>60</v>
      </c>
      <c r="AI161" s="142">
        <f t="shared" si="231"/>
        <v>60</v>
      </c>
      <c r="AJ161" s="142">
        <f t="shared" si="231"/>
        <v>60</v>
      </c>
      <c r="AK161" s="142">
        <f t="shared" si="231"/>
        <v>60</v>
      </c>
      <c r="AL161" s="142">
        <f t="shared" si="231"/>
        <v>60</v>
      </c>
      <c r="AM161" s="142">
        <f t="shared" ref="AM161:BM161" si="232">AM18*(1-AM$193)</f>
        <v>59</v>
      </c>
      <c r="AN161" s="142">
        <f t="shared" si="232"/>
        <v>33</v>
      </c>
      <c r="AO161" s="142">
        <f t="shared" si="232"/>
        <v>0</v>
      </c>
      <c r="AP161" s="142">
        <f t="shared" si="232"/>
        <v>0</v>
      </c>
      <c r="AQ161" s="142">
        <f t="shared" si="232"/>
        <v>0</v>
      </c>
      <c r="AR161" s="142">
        <f t="shared" si="232"/>
        <v>0</v>
      </c>
      <c r="AS161" s="142">
        <f t="shared" si="232"/>
        <v>0</v>
      </c>
      <c r="AT161" s="142">
        <f t="shared" si="232"/>
        <v>0</v>
      </c>
      <c r="AU161" s="142">
        <f t="shared" si="232"/>
        <v>0</v>
      </c>
      <c r="AV161" s="142">
        <f t="shared" si="232"/>
        <v>0</v>
      </c>
      <c r="AW161" s="142">
        <f t="shared" si="232"/>
        <v>0</v>
      </c>
      <c r="AX161" s="142">
        <f t="shared" si="232"/>
        <v>0</v>
      </c>
      <c r="AY161" s="142">
        <f t="shared" si="232"/>
        <v>0</v>
      </c>
      <c r="AZ161" s="142">
        <f t="shared" si="232"/>
        <v>0</v>
      </c>
      <c r="BA161" s="142">
        <f t="shared" si="232"/>
        <v>0</v>
      </c>
      <c r="BB161" s="142">
        <f t="shared" si="232"/>
        <v>0</v>
      </c>
      <c r="BC161" s="142">
        <f t="shared" si="232"/>
        <v>0</v>
      </c>
      <c r="BD161" s="142">
        <f t="shared" si="232"/>
        <v>0</v>
      </c>
      <c r="BE161" s="142">
        <f t="shared" si="232"/>
        <v>0</v>
      </c>
      <c r="BF161" s="142">
        <f t="shared" si="232"/>
        <v>0</v>
      </c>
      <c r="BG161" s="142">
        <f t="shared" si="232"/>
        <v>0</v>
      </c>
      <c r="BH161" s="142">
        <f t="shared" si="232"/>
        <v>0</v>
      </c>
      <c r="BI161" s="142">
        <f t="shared" si="232"/>
        <v>0</v>
      </c>
      <c r="BJ161" s="142">
        <f t="shared" si="232"/>
        <v>0</v>
      </c>
      <c r="BK161" s="142">
        <f t="shared" si="232"/>
        <v>0</v>
      </c>
      <c r="BL161" s="142">
        <f t="shared" si="232"/>
        <v>0</v>
      </c>
      <c r="BM161" s="142">
        <f t="shared" si="232"/>
        <v>0</v>
      </c>
    </row>
    <row r="162" spans="1:65" hidden="1" outlineLevel="1">
      <c r="B162" s="27"/>
      <c r="C162" s="157"/>
      <c r="D162" s="158" t="str">
        <f t="shared" si="222"/>
        <v>ПАРКИНГ ОФИС</v>
      </c>
      <c r="E162" s="154">
        <f t="shared" si="215"/>
        <v>0</v>
      </c>
      <c r="F162" s="142"/>
      <c r="G162" s="142">
        <f t="shared" ref="G162:AL162" si="233">G21*(1-G$193)</f>
        <v>0</v>
      </c>
      <c r="H162" s="142">
        <f t="shared" si="233"/>
        <v>0</v>
      </c>
      <c r="I162" s="142">
        <f t="shared" si="233"/>
        <v>0</v>
      </c>
      <c r="J162" s="142">
        <f t="shared" si="233"/>
        <v>0</v>
      </c>
      <c r="K162" s="142">
        <f t="shared" si="233"/>
        <v>0</v>
      </c>
      <c r="L162" s="142">
        <f t="shared" si="233"/>
        <v>0</v>
      </c>
      <c r="M162" s="142">
        <f t="shared" si="233"/>
        <v>0</v>
      </c>
      <c r="N162" s="142">
        <f t="shared" si="233"/>
        <v>0</v>
      </c>
      <c r="O162" s="142">
        <f t="shared" si="233"/>
        <v>0</v>
      </c>
      <c r="P162" s="142">
        <f t="shared" si="233"/>
        <v>0</v>
      </c>
      <c r="Q162" s="142">
        <f t="shared" si="233"/>
        <v>0</v>
      </c>
      <c r="R162" s="142">
        <f t="shared" si="233"/>
        <v>0</v>
      </c>
      <c r="S162" s="142">
        <f t="shared" si="233"/>
        <v>0</v>
      </c>
      <c r="T162" s="142">
        <f t="shared" si="233"/>
        <v>0</v>
      </c>
      <c r="U162" s="142">
        <f t="shared" si="233"/>
        <v>0</v>
      </c>
      <c r="V162" s="142">
        <f t="shared" si="233"/>
        <v>0</v>
      </c>
      <c r="W162" s="142">
        <f t="shared" si="233"/>
        <v>0</v>
      </c>
      <c r="X162" s="142">
        <f t="shared" si="233"/>
        <v>0</v>
      </c>
      <c r="Y162" s="142">
        <f t="shared" si="233"/>
        <v>0</v>
      </c>
      <c r="Z162" s="142">
        <f t="shared" si="233"/>
        <v>0</v>
      </c>
      <c r="AA162" s="142">
        <f t="shared" si="233"/>
        <v>0</v>
      </c>
      <c r="AB162" s="142">
        <f t="shared" si="233"/>
        <v>0</v>
      </c>
      <c r="AC162" s="142">
        <f t="shared" si="233"/>
        <v>0</v>
      </c>
      <c r="AD162" s="142">
        <f t="shared" si="233"/>
        <v>0</v>
      </c>
      <c r="AE162" s="142">
        <f t="shared" si="233"/>
        <v>0</v>
      </c>
      <c r="AF162" s="142">
        <f t="shared" si="233"/>
        <v>0</v>
      </c>
      <c r="AG162" s="142">
        <f t="shared" si="233"/>
        <v>0</v>
      </c>
      <c r="AH162" s="142">
        <f t="shared" si="233"/>
        <v>0</v>
      </c>
      <c r="AI162" s="142">
        <f t="shared" si="233"/>
        <v>0</v>
      </c>
      <c r="AJ162" s="142">
        <f t="shared" si="233"/>
        <v>0</v>
      </c>
      <c r="AK162" s="142">
        <f t="shared" si="233"/>
        <v>0</v>
      </c>
      <c r="AL162" s="142">
        <f t="shared" si="233"/>
        <v>0</v>
      </c>
      <c r="AM162" s="142">
        <f t="shared" ref="AM162:BM162" si="234">AM21*(1-AM$193)</f>
        <v>0</v>
      </c>
      <c r="AN162" s="142">
        <f t="shared" si="234"/>
        <v>0</v>
      </c>
      <c r="AO162" s="142">
        <f t="shared" si="234"/>
        <v>0</v>
      </c>
      <c r="AP162" s="142">
        <f t="shared" si="234"/>
        <v>0</v>
      </c>
      <c r="AQ162" s="142">
        <f t="shared" si="234"/>
        <v>0</v>
      </c>
      <c r="AR162" s="142">
        <f t="shared" si="234"/>
        <v>0</v>
      </c>
      <c r="AS162" s="142">
        <f t="shared" si="234"/>
        <v>0</v>
      </c>
      <c r="AT162" s="142">
        <f t="shared" si="234"/>
        <v>0</v>
      </c>
      <c r="AU162" s="142">
        <f t="shared" si="234"/>
        <v>0</v>
      </c>
      <c r="AV162" s="142">
        <f t="shared" si="234"/>
        <v>0</v>
      </c>
      <c r="AW162" s="142">
        <f t="shared" si="234"/>
        <v>0</v>
      </c>
      <c r="AX162" s="142">
        <f t="shared" si="234"/>
        <v>0</v>
      </c>
      <c r="AY162" s="142">
        <f t="shared" si="234"/>
        <v>0</v>
      </c>
      <c r="AZ162" s="142">
        <f t="shared" si="234"/>
        <v>0</v>
      </c>
      <c r="BA162" s="142">
        <f t="shared" si="234"/>
        <v>0</v>
      </c>
      <c r="BB162" s="142">
        <f t="shared" si="234"/>
        <v>0</v>
      </c>
      <c r="BC162" s="142">
        <f t="shared" si="234"/>
        <v>0</v>
      </c>
      <c r="BD162" s="142">
        <f t="shared" si="234"/>
        <v>0</v>
      </c>
      <c r="BE162" s="142">
        <f t="shared" si="234"/>
        <v>0</v>
      </c>
      <c r="BF162" s="142">
        <f t="shared" si="234"/>
        <v>0</v>
      </c>
      <c r="BG162" s="142">
        <f t="shared" si="234"/>
        <v>0</v>
      </c>
      <c r="BH162" s="142">
        <f t="shared" si="234"/>
        <v>0</v>
      </c>
      <c r="BI162" s="142">
        <f t="shared" si="234"/>
        <v>0</v>
      </c>
      <c r="BJ162" s="142">
        <f t="shared" si="234"/>
        <v>0</v>
      </c>
      <c r="BK162" s="142">
        <f t="shared" si="234"/>
        <v>0</v>
      </c>
      <c r="BL162" s="142">
        <f t="shared" si="234"/>
        <v>0</v>
      </c>
      <c r="BM162" s="142">
        <f t="shared" si="234"/>
        <v>0</v>
      </c>
    </row>
    <row r="163" spans="1:65" s="151" customFormat="1" hidden="1" outlineLevel="1">
      <c r="A163" s="160"/>
      <c r="B163" s="152"/>
      <c r="C163" s="152" t="s">
        <v>96</v>
      </c>
      <c r="D163" s="153"/>
      <c r="E163" s="154">
        <f t="shared" si="215"/>
        <v>0</v>
      </c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155"/>
      <c r="AI163" s="155"/>
      <c r="AJ163" s="155"/>
      <c r="AK163" s="155"/>
      <c r="AL163" s="155"/>
      <c r="AM163" s="155"/>
      <c r="AN163" s="155"/>
      <c r="AO163" s="155"/>
      <c r="AP163" s="155"/>
      <c r="AQ163" s="155"/>
      <c r="AR163" s="155"/>
      <c r="AS163" s="155"/>
      <c r="AT163" s="155"/>
      <c r="AU163" s="155"/>
      <c r="AV163" s="155"/>
      <c r="AW163" s="155"/>
      <c r="AX163" s="155"/>
      <c r="AY163" s="155"/>
      <c r="AZ163" s="155"/>
      <c r="BA163" s="155"/>
      <c r="BB163" s="155"/>
      <c r="BC163" s="155"/>
      <c r="BD163" s="155"/>
      <c r="BE163" s="155"/>
      <c r="BF163" s="155"/>
      <c r="BG163" s="155"/>
      <c r="BH163" s="155"/>
      <c r="BI163" s="155"/>
      <c r="BJ163" s="155"/>
      <c r="BK163" s="155"/>
      <c r="BL163" s="155"/>
      <c r="BM163" s="155"/>
    </row>
    <row r="164" spans="1:65" hidden="1" outlineLevel="1">
      <c r="A164" s="149"/>
      <c r="B164" s="27"/>
      <c r="C164" s="27"/>
      <c r="D164" s="158" t="str">
        <f>D156</f>
        <v>КВАРТИРЫ</v>
      </c>
      <c r="E164" s="154">
        <f t="shared" si="215"/>
        <v>34755.252934008742</v>
      </c>
      <c r="F164" s="142"/>
      <c r="G164" s="142">
        <f>SUMPRODUCT($F39:$AS39,$F$193:$AS$193)*(1-G$193)-SUM($F164:F164)</f>
        <v>0</v>
      </c>
      <c r="H164" s="142">
        <f>SUMPRODUCT($F39:$AS39,$F$193:$AS$193)*(1-H$193)-SUM($F164:G164)</f>
        <v>0</v>
      </c>
      <c r="I164" s="142">
        <f>SUMPRODUCT($F39:$AS39,$F$193:$AS$193)*(1-I$193)-SUM($F164:H164)</f>
        <v>0</v>
      </c>
      <c r="J164" s="142">
        <f>SUMPRODUCT($F39:$AS39,$F$193:$AS$193)*(1-J$193)-SUM($F164:I164)</f>
        <v>0</v>
      </c>
      <c r="K164" s="142">
        <f>SUMPRODUCT($F39:$AS39,$F$193:$AS$193)*(1-K$193)-SUM($F164:J164)</f>
        <v>0</v>
      </c>
      <c r="L164" s="142">
        <f>SUMPRODUCT($F39:$AS39,$F$193:$AS$193)*(1-L$193)-SUM($F164:K164)</f>
        <v>0</v>
      </c>
      <c r="M164" s="142">
        <f>SUMPRODUCT($F39:$AS39,$F$193:$AS$193)*(1-M$193)-SUM($F164:L164)</f>
        <v>0</v>
      </c>
      <c r="N164" s="142">
        <f>SUMPRODUCT($F39:$AS39,$F$193:$AS$193)*(1-N$193)-SUM($F164:M164)</f>
        <v>0</v>
      </c>
      <c r="O164" s="142">
        <f>SUMPRODUCT($F39:$AS39,$F$193:$AS$193)*(1-O$193)-SUM($F164:N164)</f>
        <v>0</v>
      </c>
      <c r="P164" s="142">
        <f>SUMPRODUCT($F39:$AS39,$F$193:$AS$193)*(1-P$193)-SUM($F164:O164)</f>
        <v>0</v>
      </c>
      <c r="Q164" s="142">
        <f>SUMPRODUCT($F39:$AS39,$F$193:$AS$193)*(1-Q$193)-SUM($F164:P164)</f>
        <v>0</v>
      </c>
      <c r="R164" s="142">
        <f>SUMPRODUCT($F39:$AS39,$F$193:$AS$193)*(1-R$193)-SUM($F164:Q164)</f>
        <v>0</v>
      </c>
      <c r="S164" s="142">
        <f>SUMPRODUCT($F39:$AS39,$F$193:$AS$193)*(1-S$193)-SUM($F164:R164)</f>
        <v>0</v>
      </c>
      <c r="T164" s="142">
        <f>SUMPRODUCT($F39:$AS39,$F$193:$AS$193)*(1-T$193)-SUM($F164:S164)</f>
        <v>0</v>
      </c>
      <c r="U164" s="142">
        <f>SUMPRODUCT($F39:$AS39,$F$193:$AS$193)*(1-U$193)-SUM($F164:T164)</f>
        <v>0</v>
      </c>
      <c r="V164" s="142">
        <f>SUMPRODUCT($F39:$AS39,$F$193:$AS$193)*(1-V$193)-SUM($F164:U164)</f>
        <v>0</v>
      </c>
      <c r="W164" s="142">
        <f>SUMPRODUCT($F39:$AS39,$F$193:$AS$193)*(1-W$193)-SUM($F164:V164)</f>
        <v>0</v>
      </c>
      <c r="X164" s="142">
        <f>SUMPRODUCT($F39:$AS39,$F$193:$AS$193)*(1-X$193)-SUM($F164:W164)</f>
        <v>0</v>
      </c>
      <c r="Y164" s="142">
        <f>SUMPRODUCT($F39:$AS39,$F$193:$AS$193)*(1-Y$193)-SUM($F164:X164)</f>
        <v>0</v>
      </c>
      <c r="Z164" s="142">
        <f>SUMPRODUCT($F39:$AS39,$F$193:$AS$193)*(1-Z$193)-SUM($F164:Y164)</f>
        <v>0</v>
      </c>
      <c r="AA164" s="142">
        <f>SUMPRODUCT($F39:$AS39,$F$193:$AS$193)*(1-AA$193)-SUM($F164:Z164)</f>
        <v>0</v>
      </c>
      <c r="AB164" s="142">
        <f>SUMPRODUCT($F39:$AS39,$F$193:$AS$193)*(1-AB$193)-SUM($F164:AA164)</f>
        <v>0</v>
      </c>
      <c r="AC164" s="142">
        <f>SUMPRODUCT($F39:$AS39,$F$193:$AS$193)*(1-AC$193)-SUM($F164:AB164)</f>
        <v>0</v>
      </c>
      <c r="AD164" s="142">
        <f>SUMPRODUCT($F39:$AS39,$F$193:$AS$193)*(1-AD$193)-SUM($F164:AC164)</f>
        <v>0</v>
      </c>
      <c r="AE164" s="142">
        <f>SUMPRODUCT($F39:$AS39,$F$193:$AS$193)*(1-AE$193)-SUM($F164:AD164)</f>
        <v>0</v>
      </c>
      <c r="AF164" s="142">
        <f>SUMPRODUCT($F39:$AS39,$F$193:$AS$193)*(1-AF$193)-SUM($F164:AE164)</f>
        <v>34755.252934008742</v>
      </c>
      <c r="AG164" s="142">
        <f>SUMPRODUCT($F39:$AS39,$F$193:$AS$193)*(1-AG$193)-SUM($F164:AF164)</f>
        <v>0</v>
      </c>
      <c r="AH164" s="142">
        <f>SUMPRODUCT($F39:$AS39,$F$193:$AS$193)*(1-AH$193)-SUM($F164:AG164)</f>
        <v>0</v>
      </c>
      <c r="AI164" s="142">
        <f>SUMPRODUCT($F39:$AS39,$F$193:$AS$193)*(1-AI$193)-SUM($F164:AH164)</f>
        <v>0</v>
      </c>
      <c r="AJ164" s="142">
        <f>SUMPRODUCT($F39:$AS39,$F$193:$AS$193)*(1-AJ$193)-SUM($F164:AI164)</f>
        <v>0</v>
      </c>
      <c r="AK164" s="142">
        <f>SUMPRODUCT($F39:$AS39,$F$193:$AS$193)*(1-AK$193)-SUM($F164:AJ164)</f>
        <v>0</v>
      </c>
      <c r="AL164" s="142">
        <f>SUMPRODUCT($F39:$AS39,$F$193:$AS$193)*(1-AL$193)-SUM($F164:AK164)</f>
        <v>0</v>
      </c>
      <c r="AM164" s="142">
        <f>SUMPRODUCT($F39:$AS39,$F$193:$AS$193)*(1-AM$193)-SUM($F164:AL164)</f>
        <v>0</v>
      </c>
      <c r="AN164" s="142">
        <f>SUMPRODUCT($F39:$AS39,$F$193:$AS$193)*(1-AN$193)-SUM($F164:AM164)</f>
        <v>0</v>
      </c>
      <c r="AO164" s="142">
        <f>SUMPRODUCT($F39:$AS39,$F$193:$AS$193)*(1-AO$193)-SUM($F164:AN164)</f>
        <v>0</v>
      </c>
      <c r="AP164" s="142">
        <f>SUMPRODUCT($F39:$AS39,$F$193:$AS$193)*(1-AP$193)-SUM($F164:AO164)</f>
        <v>0</v>
      </c>
      <c r="AQ164" s="142">
        <f>SUMPRODUCT($F39:$AS39,$F$193:$AS$193)*(1-AQ$193)-SUM($F164:AP164)</f>
        <v>0</v>
      </c>
      <c r="AR164" s="142">
        <f>SUMPRODUCT($F39:$AS39,$F$193:$AS$193)*(1-AR$193)-SUM($F164:AQ164)</f>
        <v>0</v>
      </c>
      <c r="AS164" s="142">
        <f>SUMPRODUCT($F39:$AS39,$F$193:$AS$193)*(1-AS$193)-SUM($F164:AR164)</f>
        <v>0</v>
      </c>
      <c r="AT164" s="142">
        <f>SUMPRODUCT($F39:$AS39,$F$193:$AS$193)*(1-AT$193)-SUM($F164:AS164)</f>
        <v>0</v>
      </c>
      <c r="AU164" s="142">
        <f>SUMPRODUCT($F39:$AS39,$F$193:$AS$193)*(1-AU$193)-SUM($F164:AT164)</f>
        <v>0</v>
      </c>
      <c r="AV164" s="142">
        <f>SUMPRODUCT($F39:$AS39,$F$193:$AS$193)*(1-AV$193)-SUM($F164:AU164)</f>
        <v>0</v>
      </c>
      <c r="AW164" s="142">
        <f>SUMPRODUCT($F39:$AS39,$F$193:$AS$193)*(1-AW$193)-SUM($F164:AV164)</f>
        <v>0</v>
      </c>
      <c r="AX164" s="142">
        <f>SUMPRODUCT($F39:$AS39,$F$193:$AS$193)*(1-AX$193)-SUM($F164:AW164)</f>
        <v>0</v>
      </c>
      <c r="AY164" s="142">
        <f>SUMPRODUCT($F39:$AS39,$F$193:$AS$193)*(1-AY$193)-SUM($F164:AX164)</f>
        <v>0</v>
      </c>
      <c r="AZ164" s="142">
        <f>SUMPRODUCT($F39:$AS39,$F$193:$AS$193)*(1-AZ$193)-SUM($F164:AY164)</f>
        <v>0</v>
      </c>
      <c r="BA164" s="142">
        <f>SUMPRODUCT($F39:$AS39,$F$193:$AS$193)*(1-BA$193)-SUM($F164:AZ164)</f>
        <v>0</v>
      </c>
      <c r="BB164" s="142">
        <f>SUMPRODUCT($F39:$AS39,$F$193:$AS$193)*(1-BB$193)-SUM($F164:BA164)</f>
        <v>0</v>
      </c>
      <c r="BC164" s="142">
        <f>SUMPRODUCT($F39:$AS39,$F$193:$AS$193)*(1-BC$193)-SUM($F164:BB164)</f>
        <v>0</v>
      </c>
      <c r="BD164" s="142">
        <f>SUMPRODUCT($F39:$AS39,$F$193:$AS$193)*(1-BD$193)-SUM($F164:BC164)</f>
        <v>0</v>
      </c>
      <c r="BE164" s="142">
        <f>SUMPRODUCT($F39:$AS39,$F$193:$AS$193)*(1-BE$193)-SUM($F164:BD164)</f>
        <v>0</v>
      </c>
      <c r="BF164" s="142">
        <f>SUMPRODUCT($F39:$AS39,$F$193:$AS$193)*(1-BF$193)-SUM($F164:BE164)</f>
        <v>0</v>
      </c>
      <c r="BG164" s="142">
        <f>SUMPRODUCT($F39:$AS39,$F$193:$AS$193)*(1-BG$193)-SUM($F164:BF164)</f>
        <v>0</v>
      </c>
      <c r="BH164" s="142">
        <f>SUMPRODUCT($F39:$AS39,$F$193:$AS$193)*(1-BH$193)-SUM($F164:BG164)</f>
        <v>0</v>
      </c>
      <c r="BI164" s="142">
        <f>SUMPRODUCT($F39:$AS39,$F$193:$AS$193)*(1-BI$193)-SUM($F164:BH164)</f>
        <v>0</v>
      </c>
      <c r="BJ164" s="142">
        <f>SUMPRODUCT($F39:$AS39,$F$193:$AS$193)*(1-BJ$193)-SUM($F164:BI164)</f>
        <v>0</v>
      </c>
      <c r="BK164" s="142">
        <f>SUMPRODUCT($F39:$AS39,$F$193:$AS$193)*(1-BK$193)-SUM($F164:BJ164)</f>
        <v>0</v>
      </c>
      <c r="BL164" s="142">
        <f>SUMPRODUCT($F39:$AS39,$F$193:$AS$193)*(1-BL$193)-SUM($F164:BK164)</f>
        <v>0</v>
      </c>
      <c r="BM164" s="142">
        <f>SUMPRODUCT($F39:$AS39,$F$193:$AS$193)*(1-BM$193)-SUM($F164:BL164)</f>
        <v>0</v>
      </c>
    </row>
    <row r="165" spans="1:65" hidden="1" outlineLevel="1">
      <c r="A165" s="149"/>
      <c r="B165" s="27"/>
      <c r="C165" s="27"/>
      <c r="D165" s="158" t="str">
        <f t="shared" ref="D165:D170" si="235">D157</f>
        <v>АПАРТАМЕНТЫ</v>
      </c>
      <c r="E165" s="154">
        <f t="shared" si="215"/>
        <v>0</v>
      </c>
      <c r="F165" s="142"/>
      <c r="G165" s="142">
        <f>SUMPRODUCT($F42:$AS42,$F$193:$AS$193)*(1-G$193)-SUM($F165:F165)</f>
        <v>0</v>
      </c>
      <c r="H165" s="142">
        <f>SUMPRODUCT($F42:$AS42,$F$193:$AS$193)*(1-H$193)-SUM($F165:G165)</f>
        <v>0</v>
      </c>
      <c r="I165" s="142">
        <f>SUMPRODUCT($F42:$AS42,$F$193:$AS$193)*(1-I$193)-SUM($F165:H165)</f>
        <v>0</v>
      </c>
      <c r="J165" s="142">
        <f>SUMPRODUCT($F42:$AS42,$F$193:$AS$193)*(1-J$193)-SUM($F165:I165)</f>
        <v>0</v>
      </c>
      <c r="K165" s="142">
        <f>SUMPRODUCT($F42:$AS42,$F$193:$AS$193)*(1-K$193)-SUM($F165:J165)</f>
        <v>0</v>
      </c>
      <c r="L165" s="142">
        <f>SUMPRODUCT($F42:$AS42,$F$193:$AS$193)*(1-L$193)-SUM($F165:K165)</f>
        <v>0</v>
      </c>
      <c r="M165" s="142">
        <f>SUMPRODUCT($F42:$AS42,$F$193:$AS$193)*(1-M$193)-SUM($F165:L165)</f>
        <v>0</v>
      </c>
      <c r="N165" s="142">
        <f>SUMPRODUCT($F42:$AS42,$F$193:$AS$193)*(1-N$193)-SUM($F165:M165)</f>
        <v>0</v>
      </c>
      <c r="O165" s="142">
        <f>SUMPRODUCT($F42:$AS42,$F$193:$AS$193)*(1-O$193)-SUM($F165:N165)</f>
        <v>0</v>
      </c>
      <c r="P165" s="142">
        <f>SUMPRODUCT($F42:$AS42,$F$193:$AS$193)*(1-P$193)-SUM($F165:O165)</f>
        <v>0</v>
      </c>
      <c r="Q165" s="142">
        <f>SUMPRODUCT($F42:$AS42,$F$193:$AS$193)*(1-Q$193)-SUM($F165:P165)</f>
        <v>0</v>
      </c>
      <c r="R165" s="142">
        <f>SUMPRODUCT($F42:$AS42,$F$193:$AS$193)*(1-R$193)-SUM($F165:Q165)</f>
        <v>0</v>
      </c>
      <c r="S165" s="142">
        <f>SUMPRODUCT($F42:$AS42,$F$193:$AS$193)*(1-S$193)-SUM($F165:R165)</f>
        <v>0</v>
      </c>
      <c r="T165" s="142">
        <f>SUMPRODUCT($F42:$AS42,$F$193:$AS$193)*(1-T$193)-SUM($F165:S165)</f>
        <v>0</v>
      </c>
      <c r="U165" s="142">
        <f>SUMPRODUCT($F42:$AS42,$F$193:$AS$193)*(1-U$193)-SUM($F165:T165)</f>
        <v>0</v>
      </c>
      <c r="V165" s="142">
        <f>SUMPRODUCT($F42:$AS42,$F$193:$AS$193)*(1-V$193)-SUM($F165:U165)</f>
        <v>0</v>
      </c>
      <c r="W165" s="142">
        <f>SUMPRODUCT($F42:$AS42,$F$193:$AS$193)*(1-W$193)-SUM($F165:V165)</f>
        <v>0</v>
      </c>
      <c r="X165" s="142">
        <f>SUMPRODUCT($F42:$AS42,$F$193:$AS$193)*(1-X$193)-SUM($F165:W165)</f>
        <v>0</v>
      </c>
      <c r="Y165" s="142">
        <f>SUMPRODUCT($F42:$AS42,$F$193:$AS$193)*(1-Y$193)-SUM($F165:X165)</f>
        <v>0</v>
      </c>
      <c r="Z165" s="142">
        <f>SUMPRODUCT($F42:$AS42,$F$193:$AS$193)*(1-Z$193)-SUM($F165:Y165)</f>
        <v>0</v>
      </c>
      <c r="AA165" s="142">
        <f>SUMPRODUCT($F42:$AS42,$F$193:$AS$193)*(1-AA$193)-SUM($F165:Z165)</f>
        <v>0</v>
      </c>
      <c r="AB165" s="142">
        <f>SUMPRODUCT($F42:$AS42,$F$193:$AS$193)*(1-AB$193)-SUM($F165:AA165)</f>
        <v>0</v>
      </c>
      <c r="AC165" s="142">
        <f>SUMPRODUCT($F42:$AS42,$F$193:$AS$193)*(1-AC$193)-SUM($F165:AB165)</f>
        <v>0</v>
      </c>
      <c r="AD165" s="142">
        <f>SUMPRODUCT($F42:$AS42,$F$193:$AS$193)*(1-AD$193)-SUM($F165:AC165)</f>
        <v>0</v>
      </c>
      <c r="AE165" s="142">
        <f>SUMPRODUCT($F42:$AS42,$F$193:$AS$193)*(1-AE$193)-SUM($F165:AD165)</f>
        <v>0</v>
      </c>
      <c r="AF165" s="142">
        <f>SUMPRODUCT($F42:$AS42,$F$193:$AS$193)*(1-AF$193)-SUM($F165:AE165)</f>
        <v>0</v>
      </c>
      <c r="AG165" s="142">
        <f>SUMPRODUCT($F42:$AS42,$F$193:$AS$193)*(1-AG$193)-SUM($F165:AF165)</f>
        <v>0</v>
      </c>
      <c r="AH165" s="142">
        <f>SUMPRODUCT($F42:$AS42,$F$193:$AS$193)*(1-AH$193)-SUM($F165:AG165)</f>
        <v>0</v>
      </c>
      <c r="AI165" s="142">
        <f>SUMPRODUCT($F42:$AS42,$F$193:$AS$193)*(1-AI$193)-SUM($F165:AH165)</f>
        <v>0</v>
      </c>
      <c r="AJ165" s="142">
        <f>SUMPRODUCT($F42:$AS42,$F$193:$AS$193)*(1-AJ$193)-SUM($F165:AI165)</f>
        <v>0</v>
      </c>
      <c r="AK165" s="142">
        <f>SUMPRODUCT($F42:$AS42,$F$193:$AS$193)*(1-AK$193)-SUM($F165:AJ165)</f>
        <v>0</v>
      </c>
      <c r="AL165" s="142">
        <f>SUMPRODUCT($F42:$AS42,$F$193:$AS$193)*(1-AL$193)-SUM($F165:AK165)</f>
        <v>0</v>
      </c>
      <c r="AM165" s="142">
        <f>SUMPRODUCT($F42:$AS42,$F$193:$AS$193)*(1-AM$193)-SUM($F165:AL165)</f>
        <v>0</v>
      </c>
      <c r="AN165" s="142">
        <f>SUMPRODUCT($F42:$AS42,$F$193:$AS$193)*(1-AN$193)-SUM($F165:AM165)</f>
        <v>0</v>
      </c>
      <c r="AO165" s="142">
        <f>SUMPRODUCT($F42:$AS42,$F$193:$AS$193)*(1-AO$193)-SUM($F165:AN165)</f>
        <v>0</v>
      </c>
      <c r="AP165" s="142">
        <f>SUMPRODUCT($F42:$AS42,$F$193:$AS$193)*(1-AP$193)-SUM($F165:AO165)</f>
        <v>0</v>
      </c>
      <c r="AQ165" s="142">
        <f>SUMPRODUCT($F42:$AS42,$F$193:$AS$193)*(1-AQ$193)-SUM($F165:AP165)</f>
        <v>0</v>
      </c>
      <c r="AR165" s="142">
        <f>SUMPRODUCT($F42:$AS42,$F$193:$AS$193)*(1-AR$193)-SUM($F165:AQ165)</f>
        <v>0</v>
      </c>
      <c r="AS165" s="142">
        <f>SUMPRODUCT($F42:$AS42,$F$193:$AS$193)*(1-AS$193)-SUM($F165:AR165)</f>
        <v>0</v>
      </c>
      <c r="AT165" s="142">
        <f>SUMPRODUCT($F42:$AS42,$F$193:$AS$193)*(1-AT$193)-SUM($F165:AS165)</f>
        <v>0</v>
      </c>
      <c r="AU165" s="142">
        <f>SUMPRODUCT($F42:$AS42,$F$193:$AS$193)*(1-AU$193)-SUM($F165:AT165)</f>
        <v>0</v>
      </c>
      <c r="AV165" s="142">
        <f>SUMPRODUCT($F42:$AS42,$F$193:$AS$193)*(1-AV$193)-SUM($F165:AU165)</f>
        <v>0</v>
      </c>
      <c r="AW165" s="142">
        <f>SUMPRODUCT($F42:$AS42,$F$193:$AS$193)*(1-AW$193)-SUM($F165:AV165)</f>
        <v>0</v>
      </c>
      <c r="AX165" s="142">
        <f>SUMPRODUCT($F42:$AS42,$F$193:$AS$193)*(1-AX$193)-SUM($F165:AW165)</f>
        <v>0</v>
      </c>
      <c r="AY165" s="142">
        <f>SUMPRODUCT($F42:$AS42,$F$193:$AS$193)*(1-AY$193)-SUM($F165:AX165)</f>
        <v>0</v>
      </c>
      <c r="AZ165" s="142">
        <f>SUMPRODUCT($F42:$AS42,$F$193:$AS$193)*(1-AZ$193)-SUM($F165:AY165)</f>
        <v>0</v>
      </c>
      <c r="BA165" s="142">
        <f>SUMPRODUCT($F42:$AS42,$F$193:$AS$193)*(1-BA$193)-SUM($F165:AZ165)</f>
        <v>0</v>
      </c>
      <c r="BB165" s="142">
        <f>SUMPRODUCT($F42:$AS42,$F$193:$AS$193)*(1-BB$193)-SUM($F165:BA165)</f>
        <v>0</v>
      </c>
      <c r="BC165" s="142">
        <f>SUMPRODUCT($F42:$AS42,$F$193:$AS$193)*(1-BC$193)-SUM($F165:BB165)</f>
        <v>0</v>
      </c>
      <c r="BD165" s="142">
        <f>SUMPRODUCT($F42:$AS42,$F$193:$AS$193)*(1-BD$193)-SUM($F165:BC165)</f>
        <v>0</v>
      </c>
      <c r="BE165" s="142">
        <f>SUMPRODUCT($F42:$AS42,$F$193:$AS$193)*(1-BE$193)-SUM($F165:BD165)</f>
        <v>0</v>
      </c>
      <c r="BF165" s="142">
        <f>SUMPRODUCT($F42:$AS42,$F$193:$AS$193)*(1-BF$193)-SUM($F165:BE165)</f>
        <v>0</v>
      </c>
      <c r="BG165" s="142">
        <f>SUMPRODUCT($F42:$AS42,$F$193:$AS$193)*(1-BG$193)-SUM($F165:BF165)</f>
        <v>0</v>
      </c>
      <c r="BH165" s="142">
        <f>SUMPRODUCT($F42:$AS42,$F$193:$AS$193)*(1-BH$193)-SUM($F165:BG165)</f>
        <v>0</v>
      </c>
      <c r="BI165" s="142">
        <f>SUMPRODUCT($F42:$AS42,$F$193:$AS$193)*(1-BI$193)-SUM($F165:BH165)</f>
        <v>0</v>
      </c>
      <c r="BJ165" s="142">
        <f>SUMPRODUCT($F42:$AS42,$F$193:$AS$193)*(1-BJ$193)-SUM($F165:BI165)</f>
        <v>0</v>
      </c>
      <c r="BK165" s="142">
        <f>SUMPRODUCT($F42:$AS42,$F$193:$AS$193)*(1-BK$193)-SUM($F165:BJ165)</f>
        <v>0</v>
      </c>
      <c r="BL165" s="142">
        <f>SUMPRODUCT($F42:$AS42,$F$193:$AS$193)*(1-BL$193)-SUM($F165:BK165)</f>
        <v>0</v>
      </c>
      <c r="BM165" s="142">
        <f>SUMPRODUCT($F42:$AS42,$F$193:$AS$193)*(1-BM$193)-SUM($F165:BL165)</f>
        <v>0</v>
      </c>
    </row>
    <row r="166" spans="1:65" hidden="1" outlineLevel="1">
      <c r="A166" s="149"/>
      <c r="B166" s="27"/>
      <c r="C166" s="27"/>
      <c r="D166" s="158" t="str">
        <f t="shared" si="235"/>
        <v>ОФИСЫ</v>
      </c>
      <c r="E166" s="154">
        <f t="shared" si="215"/>
        <v>0</v>
      </c>
      <c r="F166" s="142"/>
      <c r="G166" s="142">
        <f>(SUMPRODUCT($F43:$AS43,$F$193:$AS$193)*(1-G$193)/(1+'TS1'!$J$84)-SUM($F166:F166))</f>
        <v>0</v>
      </c>
      <c r="H166" s="142">
        <f>(SUMPRODUCT($F43:$AS43,$F$193:$AS$193)*(1-H$193)/(1+'TS1'!$J$84)-SUM($F166:G166))</f>
        <v>0</v>
      </c>
      <c r="I166" s="142">
        <f>(SUMPRODUCT($F43:$AS43,$F$193:$AS$193)*(1-I$193)/(1+'TS1'!$J$84)-SUM($F166:H166))</f>
        <v>0</v>
      </c>
      <c r="J166" s="142">
        <f>(SUMPRODUCT($F43:$AS43,$F$193:$AS$193)*(1-J$193)/(1+'TS1'!$J$84)-SUM($F166:I166))</f>
        <v>0</v>
      </c>
      <c r="K166" s="142">
        <f>(SUMPRODUCT($F43:$AS43,$F$193:$AS$193)*(1-K$193)/(1+'TS1'!$J$84)-SUM($F166:J166))</f>
        <v>0</v>
      </c>
      <c r="L166" s="142">
        <f>(SUMPRODUCT($F43:$AS43,$F$193:$AS$193)*(1-L$193)/(1+'TS1'!$J$84)-SUM($F166:K166))</f>
        <v>0</v>
      </c>
      <c r="M166" s="142">
        <f>(SUMPRODUCT($F43:$AS43,$F$193:$AS$193)*(1-M$193)/(1+'TS1'!$J$84)-SUM($F166:L166))</f>
        <v>0</v>
      </c>
      <c r="N166" s="142">
        <f>(SUMPRODUCT($F43:$AS43,$F$193:$AS$193)*(1-N$193)/(1+'TS1'!$J$84)-SUM($F166:M166))</f>
        <v>0</v>
      </c>
      <c r="O166" s="142">
        <f>(SUMPRODUCT($F43:$AS43,$F$193:$AS$193)*(1-O$193)/(1+'TS1'!$J$84)-SUM($F166:N166))</f>
        <v>0</v>
      </c>
      <c r="P166" s="142">
        <f>(SUMPRODUCT($F43:$AS43,$F$193:$AS$193)*(1-P$193)/(1+'TS1'!$J$84)-SUM($F166:O166))</f>
        <v>0</v>
      </c>
      <c r="Q166" s="142">
        <f>(SUMPRODUCT($F43:$AS43,$F$193:$AS$193)*(1-Q$193)/(1+'TS1'!$J$84)-SUM($F166:P166))</f>
        <v>0</v>
      </c>
      <c r="R166" s="142">
        <f>(SUMPRODUCT($F43:$AS43,$F$193:$AS$193)*(1-R$193)/(1+'TS1'!$J$84)-SUM($F166:Q166))</f>
        <v>0</v>
      </c>
      <c r="S166" s="142">
        <f>(SUMPRODUCT($F43:$AS43,$F$193:$AS$193)*(1-S$193)/(1+'TS1'!$J$84)-SUM($F166:R166))</f>
        <v>0</v>
      </c>
      <c r="T166" s="142">
        <f>(SUMPRODUCT($F43:$AS43,$F$193:$AS$193)*(1-T$193)/(1+'TS1'!$J$84)-SUM($F166:S166))</f>
        <v>0</v>
      </c>
      <c r="U166" s="142">
        <f>(SUMPRODUCT($F43:$AS43,$F$193:$AS$193)*(1-U$193)/(1+'TS1'!$J$84)-SUM($F166:T166))</f>
        <v>0</v>
      </c>
      <c r="V166" s="142">
        <f>(SUMPRODUCT($F43:$AS43,$F$193:$AS$193)*(1-V$193)/(1+'TS1'!$J$84)-SUM($F166:U166))</f>
        <v>0</v>
      </c>
      <c r="W166" s="142">
        <f>(SUMPRODUCT($F43:$AS43,$F$193:$AS$193)*(1-W$193)/(1+'TS1'!$J$84)-SUM($F166:V166))</f>
        <v>0</v>
      </c>
      <c r="X166" s="142">
        <f>(SUMPRODUCT($F43:$AS43,$F$193:$AS$193)*(1-X$193)/(1+'TS1'!$J$84)-SUM($F166:W166))</f>
        <v>0</v>
      </c>
      <c r="Y166" s="142">
        <f>(SUMPRODUCT($F43:$AS43,$F$193:$AS$193)*(1-Y$193)/(1+'TS1'!$J$84)-SUM($F166:X166))</f>
        <v>0</v>
      </c>
      <c r="Z166" s="142">
        <f>(SUMPRODUCT($F43:$AS43,$F$193:$AS$193)*(1-Z$193)/(1+'TS1'!$J$84)-SUM($F166:Y166))</f>
        <v>0</v>
      </c>
      <c r="AA166" s="142">
        <f>(SUMPRODUCT($F43:$AS43,$F$193:$AS$193)*(1-AA$193)/(1+'TS1'!$J$84)-SUM($F166:Z166))</f>
        <v>0</v>
      </c>
      <c r="AB166" s="142">
        <f>(SUMPRODUCT($F43:$AS43,$F$193:$AS$193)*(1-AB$193)/(1+'TS1'!$J$84)-SUM($F166:AA166))</f>
        <v>0</v>
      </c>
      <c r="AC166" s="142">
        <f>(SUMPRODUCT($F43:$AS43,$F$193:$AS$193)*(1-AC$193)/(1+'TS1'!$J$84)-SUM($F166:AB166))</f>
        <v>0</v>
      </c>
      <c r="AD166" s="142">
        <f>(SUMPRODUCT($F43:$AS43,$F$193:$AS$193)*(1-AD$193)/(1+'TS1'!$J$84)-SUM($F166:AC166))</f>
        <v>0</v>
      </c>
      <c r="AE166" s="142">
        <f>(SUMPRODUCT($F43:$AS43,$F$193:$AS$193)*(1-AE$193)/(1+'TS1'!$J$84)-SUM($F166:AD166))</f>
        <v>0</v>
      </c>
      <c r="AF166" s="142">
        <f>(SUMPRODUCT($F43:$AS43,$F$193:$AS$193)*(1-AF$193)/(1+'TS1'!$J$84)-SUM($F166:AE166))</f>
        <v>0</v>
      </c>
      <c r="AG166" s="142">
        <f>(SUMPRODUCT($F43:$AS43,$F$193:$AS$193)*(1-AG$193)/(1+'TS1'!$J$84)-SUM($F166:AF166))</f>
        <v>0</v>
      </c>
      <c r="AH166" s="142">
        <f>(SUMPRODUCT($F43:$AS43,$F$193:$AS$193)*(1-AH$193)/(1+'TS1'!$J$84)-SUM($F166:AG166))</f>
        <v>0</v>
      </c>
      <c r="AI166" s="142">
        <f>(SUMPRODUCT($F43:$AS43,$F$193:$AS$193)*(1-AI$193)/(1+'TS1'!$J$84)-SUM($F166:AH166))</f>
        <v>0</v>
      </c>
      <c r="AJ166" s="142">
        <f>(SUMPRODUCT($F43:$AS43,$F$193:$AS$193)*(1-AJ$193)/(1+'TS1'!$J$84)-SUM($F166:AI166))</f>
        <v>0</v>
      </c>
      <c r="AK166" s="142">
        <f>(SUMPRODUCT($F43:$AS43,$F$193:$AS$193)*(1-AK$193)/(1+'TS1'!$J$84)-SUM($F166:AJ166))</f>
        <v>0</v>
      </c>
      <c r="AL166" s="142">
        <f>(SUMPRODUCT($F43:$AS43,$F$193:$AS$193)*(1-AL$193)/(1+'TS1'!$J$84)-SUM($F166:AK166))</f>
        <v>0</v>
      </c>
      <c r="AM166" s="142">
        <f>(SUMPRODUCT($F43:$AS43,$F$193:$AS$193)*(1-AM$193)/(1+'TS1'!$J$84)-SUM($F166:AL166))</f>
        <v>0</v>
      </c>
      <c r="AN166" s="142">
        <f>(SUMPRODUCT($F43:$AS43,$F$193:$AS$193)*(1-AN$193)/(1+'TS1'!$J$84)-SUM($F166:AM166))</f>
        <v>0</v>
      </c>
      <c r="AO166" s="142">
        <f>(SUMPRODUCT($F43:$AS43,$F$193:$AS$193)*(1-AO$193)/(1+'TS1'!$J$84)-SUM($F166:AN166))</f>
        <v>0</v>
      </c>
      <c r="AP166" s="142">
        <f>(SUMPRODUCT($F43:$AS43,$F$193:$AS$193)*(1-AP$193)/(1+'TS1'!$J$84)-SUM($F166:AO166))</f>
        <v>0</v>
      </c>
      <c r="AQ166" s="142">
        <f>(SUMPRODUCT($F43:$AS43,$F$193:$AS$193)*(1-AQ$193)/(1+'TS1'!$J$84)-SUM($F166:AP166))</f>
        <v>0</v>
      </c>
      <c r="AR166" s="142">
        <f>(SUMPRODUCT($F43:$AS43,$F$193:$AS$193)*(1-AR$193)/(1+'TS1'!$J$84)-SUM($F166:AQ166))</f>
        <v>0</v>
      </c>
      <c r="AS166" s="142">
        <f>(SUMPRODUCT($F43:$AS43,$F$193:$AS$193)*(1-AS$193)/(1+'TS1'!$J$84)-SUM($F166:AR166))</f>
        <v>0</v>
      </c>
      <c r="AT166" s="142">
        <f>(SUMPRODUCT($F43:$AS43,$F$193:$AS$193)*(1-AT$193)/(1+'TS1'!$J$84)-SUM($F166:AS166))</f>
        <v>0</v>
      </c>
      <c r="AU166" s="142">
        <f>(SUMPRODUCT($F43:$AS43,$F$193:$AS$193)*(1-AU$193)/(1+'TS1'!$J$84)-SUM($F166:AT166))</f>
        <v>0</v>
      </c>
      <c r="AV166" s="142">
        <f>(SUMPRODUCT($F43:$AS43,$F$193:$AS$193)*(1-AV$193)/(1+'TS1'!$J$84)-SUM($F166:AU166))</f>
        <v>0</v>
      </c>
      <c r="AW166" s="142">
        <f>(SUMPRODUCT($F43:$AS43,$F$193:$AS$193)*(1-AW$193)/(1+'TS1'!$J$84)-SUM($F166:AV166))</f>
        <v>0</v>
      </c>
      <c r="AX166" s="142">
        <f>(SUMPRODUCT($F43:$AS43,$F$193:$AS$193)*(1-AX$193)/(1+'TS1'!$J$84)-SUM($F166:AW166))</f>
        <v>0</v>
      </c>
      <c r="AY166" s="142">
        <f>(SUMPRODUCT($F43:$AS43,$F$193:$AS$193)*(1-AY$193)/(1+'TS1'!$J$84)-SUM($F166:AX166))</f>
        <v>0</v>
      </c>
      <c r="AZ166" s="142">
        <f>(SUMPRODUCT($F43:$AS43,$F$193:$AS$193)*(1-AZ$193)/(1+'TS1'!$J$84)-SUM($F166:AY166))</f>
        <v>0</v>
      </c>
      <c r="BA166" s="142">
        <f>(SUMPRODUCT($F43:$AS43,$F$193:$AS$193)*(1-BA$193)/(1+'TS1'!$J$84)-SUM($F166:AZ166))</f>
        <v>0</v>
      </c>
      <c r="BB166" s="142">
        <f>(SUMPRODUCT($F43:$AS43,$F$193:$AS$193)*(1-BB$193)/(1+'TS1'!$J$84)-SUM($F166:BA166))</f>
        <v>0</v>
      </c>
      <c r="BC166" s="142">
        <f>(SUMPRODUCT($F43:$AS43,$F$193:$AS$193)*(1-BC$193)/(1+'TS1'!$J$84)-SUM($F166:BB166))</f>
        <v>0</v>
      </c>
      <c r="BD166" s="142">
        <f>(SUMPRODUCT($F43:$AS43,$F$193:$AS$193)*(1-BD$193)/(1+'TS1'!$J$84)-SUM($F166:BC166))</f>
        <v>0</v>
      </c>
      <c r="BE166" s="142">
        <f>(SUMPRODUCT($F43:$AS43,$F$193:$AS$193)*(1-BE$193)/(1+'TS1'!$J$84)-SUM($F166:BD166))</f>
        <v>0</v>
      </c>
      <c r="BF166" s="142">
        <f>(SUMPRODUCT($F43:$AS43,$F$193:$AS$193)*(1-BF$193)/(1+'TS1'!$J$84)-SUM($F166:BE166))</f>
        <v>0</v>
      </c>
      <c r="BG166" s="142">
        <f>(SUMPRODUCT($F43:$AS43,$F$193:$AS$193)*(1-BG$193)/(1+'TS1'!$J$84)-SUM($F166:BF166))</f>
        <v>0</v>
      </c>
      <c r="BH166" s="142">
        <f>(SUMPRODUCT($F43:$AS43,$F$193:$AS$193)*(1-BH$193)/(1+'TS1'!$J$84)-SUM($F166:BG166))</f>
        <v>0</v>
      </c>
      <c r="BI166" s="142">
        <f>(SUMPRODUCT($F43:$AS43,$F$193:$AS$193)*(1-BI$193)/(1+'TS1'!$J$84)-SUM($F166:BH166))</f>
        <v>0</v>
      </c>
      <c r="BJ166" s="142">
        <f>(SUMPRODUCT($F43:$AS43,$F$193:$AS$193)*(1-BJ$193)/(1+'TS1'!$J$84)-SUM($F166:BI166))</f>
        <v>0</v>
      </c>
      <c r="BK166" s="142">
        <f>(SUMPRODUCT($F43:$AS43,$F$193:$AS$193)*(1-BK$193)/(1+'TS1'!$J$84)-SUM($F166:BJ166))</f>
        <v>0</v>
      </c>
      <c r="BL166" s="142">
        <f>(SUMPRODUCT($F43:$AS43,$F$193:$AS$193)*(1-BL$193)/(1+'TS1'!$J$84)-SUM($F166:BK166))</f>
        <v>0</v>
      </c>
      <c r="BM166" s="142">
        <f>(SUMPRODUCT($F43:$AS43,$F$193:$AS$193)*(1-BM$193)/(1+'TS1'!$J$84)-SUM($F166:BL166))</f>
        <v>0</v>
      </c>
    </row>
    <row r="167" spans="1:65" hidden="1" outlineLevel="1">
      <c r="A167" s="149"/>
      <c r="B167" s="27"/>
      <c r="C167" s="27"/>
      <c r="D167" s="158" t="str">
        <f t="shared" si="235"/>
        <v>РИТЕЙЛ</v>
      </c>
      <c r="E167" s="154">
        <f t="shared" si="215"/>
        <v>0</v>
      </c>
      <c r="F167" s="142"/>
      <c r="G167" s="142">
        <f>SUMPRODUCT($F44:$AS44,$F$193:$AS$193)*(1-G$193)-SUM($F167:F167)</f>
        <v>0</v>
      </c>
      <c r="H167" s="142">
        <f>SUMPRODUCT($F44:$AS44,$F$193:$AS$193)*(1-H$193)-SUM($F167:G167)</f>
        <v>0</v>
      </c>
      <c r="I167" s="142">
        <f>SUMPRODUCT($F44:$AS44,$F$193:$AS$193)*(1-I$193)-SUM($F167:H167)</f>
        <v>0</v>
      </c>
      <c r="J167" s="142">
        <f>SUMPRODUCT($F44:$AS44,$F$193:$AS$193)*(1-J$193)-SUM($F167:I167)</f>
        <v>0</v>
      </c>
      <c r="K167" s="142">
        <f>SUMPRODUCT($F44:$AS44,$F$193:$AS$193)*(1-K$193)-SUM($F167:J167)</f>
        <v>0</v>
      </c>
      <c r="L167" s="142">
        <f>SUMPRODUCT($F44:$AS44,$F$193:$AS$193)*(1-L$193)-SUM($F167:K167)</f>
        <v>0</v>
      </c>
      <c r="M167" s="142">
        <f>SUMPRODUCT($F44:$AS44,$F$193:$AS$193)*(1-M$193)-SUM($F167:L167)</f>
        <v>0</v>
      </c>
      <c r="N167" s="142">
        <f>SUMPRODUCT($F44:$AS44,$F$193:$AS$193)*(1-N$193)-SUM($F167:M167)</f>
        <v>0</v>
      </c>
      <c r="O167" s="142">
        <f>SUMPRODUCT($F44:$AS44,$F$193:$AS$193)*(1-O$193)-SUM($F167:N167)</f>
        <v>0</v>
      </c>
      <c r="P167" s="142">
        <f>SUMPRODUCT($F44:$AS44,$F$193:$AS$193)*(1-P$193)-SUM($F167:O167)</f>
        <v>0</v>
      </c>
      <c r="Q167" s="142">
        <f>SUMPRODUCT($F44:$AS44,$F$193:$AS$193)*(1-Q$193)-SUM($F167:P167)</f>
        <v>0</v>
      </c>
      <c r="R167" s="142">
        <f>SUMPRODUCT($F44:$AS44,$F$193:$AS$193)*(1-R$193)-SUM($F167:Q167)</f>
        <v>0</v>
      </c>
      <c r="S167" s="142">
        <f>SUMPRODUCT($F44:$AS44,$F$193:$AS$193)*(1-S$193)-SUM($F167:R167)</f>
        <v>0</v>
      </c>
      <c r="T167" s="142">
        <f>SUMPRODUCT($F44:$AS44,$F$193:$AS$193)*(1-T$193)-SUM($F167:S167)</f>
        <v>0</v>
      </c>
      <c r="U167" s="142">
        <f>SUMPRODUCT($F44:$AS44,$F$193:$AS$193)*(1-U$193)-SUM($F167:T167)</f>
        <v>0</v>
      </c>
      <c r="V167" s="142">
        <f>SUMPRODUCT($F44:$AS44,$F$193:$AS$193)*(1-V$193)-SUM($F167:U167)</f>
        <v>0</v>
      </c>
      <c r="W167" s="142">
        <f>SUMPRODUCT($F44:$AS44,$F$193:$AS$193)*(1-W$193)-SUM($F167:V167)</f>
        <v>0</v>
      </c>
      <c r="X167" s="142">
        <f>SUMPRODUCT($F44:$AS44,$F$193:$AS$193)*(1-X$193)-SUM($F167:W167)</f>
        <v>0</v>
      </c>
      <c r="Y167" s="142">
        <f>SUMPRODUCT($F44:$AS44,$F$193:$AS$193)*(1-Y$193)-SUM($F167:X167)</f>
        <v>0</v>
      </c>
      <c r="Z167" s="142">
        <f>SUMPRODUCT($F44:$AS44,$F$193:$AS$193)*(1-Z$193)-SUM($F167:Y167)</f>
        <v>0</v>
      </c>
      <c r="AA167" s="142">
        <f>SUMPRODUCT($F44:$AS44,$F$193:$AS$193)*(1-AA$193)-SUM($F167:Z167)</f>
        <v>0</v>
      </c>
      <c r="AB167" s="142">
        <f>SUMPRODUCT($F44:$AS44,$F$193:$AS$193)*(1-AB$193)-SUM($F167:AA167)</f>
        <v>0</v>
      </c>
      <c r="AC167" s="142">
        <f>SUMPRODUCT($F44:$AS44,$F$193:$AS$193)*(1-AC$193)-SUM($F167:AB167)</f>
        <v>0</v>
      </c>
      <c r="AD167" s="142">
        <f>SUMPRODUCT($F44:$AS44,$F$193:$AS$193)*(1-AD$193)-SUM($F167:AC167)</f>
        <v>0</v>
      </c>
      <c r="AE167" s="142">
        <f>SUMPRODUCT($F44:$AS44,$F$193:$AS$193)*(1-AE$193)-SUM($F167:AD167)</f>
        <v>0</v>
      </c>
      <c r="AF167" s="142">
        <f>SUMPRODUCT($F44:$AS44,$F$193:$AS$193)*(1-AF$193)-SUM($F167:AE167)</f>
        <v>0</v>
      </c>
      <c r="AG167" s="142">
        <f>SUMPRODUCT($F44:$AS44,$F$193:$AS$193)*(1-AG$193)-SUM($F167:AF167)</f>
        <v>0</v>
      </c>
      <c r="AH167" s="142">
        <f>SUMPRODUCT($F44:$AS44,$F$193:$AS$193)*(1-AH$193)-SUM($F167:AG167)</f>
        <v>0</v>
      </c>
      <c r="AI167" s="142">
        <f>SUMPRODUCT($F44:$AS44,$F$193:$AS$193)*(1-AI$193)-SUM($F167:AH167)</f>
        <v>0</v>
      </c>
      <c r="AJ167" s="142">
        <f>SUMPRODUCT($F44:$AS44,$F$193:$AS$193)*(1-AJ$193)-SUM($F167:AI167)</f>
        <v>0</v>
      </c>
      <c r="AK167" s="142">
        <f>SUMPRODUCT($F44:$AS44,$F$193:$AS$193)*(1-AK$193)-SUM($F167:AJ167)</f>
        <v>0</v>
      </c>
      <c r="AL167" s="142">
        <f>SUMPRODUCT($F44:$AS44,$F$193:$AS$193)*(1-AL$193)-SUM($F167:AK167)</f>
        <v>0</v>
      </c>
      <c r="AM167" s="142">
        <f>SUMPRODUCT($F44:$AS44,$F$193:$AS$193)*(1-AM$193)-SUM($F167:AL167)</f>
        <v>0</v>
      </c>
      <c r="AN167" s="142">
        <f>SUMPRODUCT($F44:$AS44,$F$193:$AS$193)*(1-AN$193)-SUM($F167:AM167)</f>
        <v>0</v>
      </c>
      <c r="AO167" s="142">
        <f>SUMPRODUCT($F44:$AS44,$F$193:$AS$193)*(1-AO$193)-SUM($F167:AN167)</f>
        <v>0</v>
      </c>
      <c r="AP167" s="142">
        <f>SUMPRODUCT($F44:$AS44,$F$193:$AS$193)*(1-AP$193)-SUM($F167:AO167)</f>
        <v>0</v>
      </c>
      <c r="AQ167" s="142">
        <f>SUMPRODUCT($F44:$AS44,$F$193:$AS$193)*(1-AQ$193)-SUM($F167:AP167)</f>
        <v>0</v>
      </c>
      <c r="AR167" s="142">
        <f>SUMPRODUCT($F44:$AS44,$F$193:$AS$193)*(1-AR$193)-SUM($F167:AQ167)</f>
        <v>0</v>
      </c>
      <c r="AS167" s="142">
        <f>SUMPRODUCT($F44:$AS44,$F$193:$AS$193)*(1-AS$193)-SUM($F167:AR167)</f>
        <v>0</v>
      </c>
      <c r="AT167" s="142">
        <f>SUMPRODUCT($F44:$AS44,$F$193:$AS$193)*(1-AT$193)-SUM($F167:AS167)</f>
        <v>0</v>
      </c>
      <c r="AU167" s="142">
        <f>SUMPRODUCT($F44:$AS44,$F$193:$AS$193)*(1-AU$193)-SUM($F167:AT167)</f>
        <v>0</v>
      </c>
      <c r="AV167" s="142">
        <f>SUMPRODUCT($F44:$AS44,$F$193:$AS$193)*(1-AV$193)-SUM($F167:AU167)</f>
        <v>0</v>
      </c>
      <c r="AW167" s="142">
        <f>SUMPRODUCT($F44:$AS44,$F$193:$AS$193)*(1-AW$193)-SUM($F167:AV167)</f>
        <v>0</v>
      </c>
      <c r="AX167" s="142">
        <f>SUMPRODUCT($F44:$AS44,$F$193:$AS$193)*(1-AX$193)-SUM($F167:AW167)</f>
        <v>0</v>
      </c>
      <c r="AY167" s="142">
        <f>SUMPRODUCT($F44:$AS44,$F$193:$AS$193)*(1-AY$193)-SUM($F167:AX167)</f>
        <v>0</v>
      </c>
      <c r="AZ167" s="142">
        <f>SUMPRODUCT($F44:$AS44,$F$193:$AS$193)*(1-AZ$193)-SUM($F167:AY167)</f>
        <v>0</v>
      </c>
      <c r="BA167" s="142">
        <f>SUMPRODUCT($F44:$AS44,$F$193:$AS$193)*(1-BA$193)-SUM($F167:AZ167)</f>
        <v>0</v>
      </c>
      <c r="BB167" s="142">
        <f>SUMPRODUCT($F44:$AS44,$F$193:$AS$193)*(1-BB$193)-SUM($F167:BA167)</f>
        <v>0</v>
      </c>
      <c r="BC167" s="142">
        <f>SUMPRODUCT($F44:$AS44,$F$193:$AS$193)*(1-BC$193)-SUM($F167:BB167)</f>
        <v>0</v>
      </c>
      <c r="BD167" s="142">
        <f>SUMPRODUCT($F44:$AS44,$F$193:$AS$193)*(1-BD$193)-SUM($F167:BC167)</f>
        <v>0</v>
      </c>
      <c r="BE167" s="142">
        <f>SUMPRODUCT($F44:$AS44,$F$193:$AS$193)*(1-BE$193)-SUM($F167:BD167)</f>
        <v>0</v>
      </c>
      <c r="BF167" s="142">
        <f>SUMPRODUCT($F44:$AS44,$F$193:$AS$193)*(1-BF$193)-SUM($F167:BE167)</f>
        <v>0</v>
      </c>
      <c r="BG167" s="142">
        <f>SUMPRODUCT($F44:$AS44,$F$193:$AS$193)*(1-BG$193)-SUM($F167:BF167)</f>
        <v>0</v>
      </c>
      <c r="BH167" s="142">
        <f>SUMPRODUCT($F44:$AS44,$F$193:$AS$193)*(1-BH$193)-SUM($F167:BG167)</f>
        <v>0</v>
      </c>
      <c r="BI167" s="142">
        <f>SUMPRODUCT($F44:$AS44,$F$193:$AS$193)*(1-BI$193)-SUM($F167:BH167)</f>
        <v>0</v>
      </c>
      <c r="BJ167" s="142">
        <f>SUMPRODUCT($F44:$AS44,$F$193:$AS$193)*(1-BJ$193)-SUM($F167:BI167)</f>
        <v>0</v>
      </c>
      <c r="BK167" s="142">
        <f>SUMPRODUCT($F44:$AS44,$F$193:$AS$193)*(1-BK$193)-SUM($F167:BJ167)</f>
        <v>0</v>
      </c>
      <c r="BL167" s="142">
        <f>SUMPRODUCT($F44:$AS44,$F$193:$AS$193)*(1-BL$193)-SUM($F167:BK167)</f>
        <v>0</v>
      </c>
      <c r="BM167" s="142">
        <f>SUMPRODUCT($F44:$AS44,$F$193:$AS$193)*(1-BM$193)-SUM($F167:BL167)</f>
        <v>0</v>
      </c>
    </row>
    <row r="168" spans="1:65" hidden="1" outlineLevel="1">
      <c r="A168" s="149"/>
      <c r="B168" s="27"/>
      <c r="C168" s="27"/>
      <c r="D168" s="158" t="str">
        <f t="shared" si="235"/>
        <v>ТЦ</v>
      </c>
      <c r="E168" s="154">
        <f t="shared" si="215"/>
        <v>0</v>
      </c>
      <c r="F168" s="142"/>
      <c r="G168" s="142">
        <f>(SUMPRODUCT($F47:$AS47,$F$193:$AS$193)*(1-G$193)/(1+'TS1'!$J$84)-SUM($F168:F168))</f>
        <v>0</v>
      </c>
      <c r="H168" s="142">
        <f>(SUMPRODUCT($F47:$AS47,$F$193:$AS$193)*(1-H$193)/(1+'TS1'!$J$84)-SUM($F168:G168))</f>
        <v>0</v>
      </c>
      <c r="I168" s="142">
        <f>(SUMPRODUCT($F47:$AS47,$F$193:$AS$193)*(1-I$193)/(1+'TS1'!$J$84)-SUM($F168:H168))</f>
        <v>0</v>
      </c>
      <c r="J168" s="142">
        <f>(SUMPRODUCT($F47:$AS47,$F$193:$AS$193)*(1-J$193)/(1+'TS1'!$J$84)-SUM($F168:I168))</f>
        <v>0</v>
      </c>
      <c r="K168" s="142">
        <f>(SUMPRODUCT($F47:$AS47,$F$193:$AS$193)*(1-K$193)/(1+'TS1'!$J$84)-SUM($F168:J168))</f>
        <v>0</v>
      </c>
      <c r="L168" s="142">
        <f>(SUMPRODUCT($F47:$AS47,$F$193:$AS$193)*(1-L$193)/(1+'TS1'!$J$84)-SUM($F168:K168))</f>
        <v>0</v>
      </c>
      <c r="M168" s="142">
        <f>(SUMPRODUCT($F47:$AS47,$F$193:$AS$193)*(1-M$193)/(1+'TS1'!$J$84)-SUM($F168:L168))</f>
        <v>0</v>
      </c>
      <c r="N168" s="142">
        <f>(SUMPRODUCT($F47:$AS47,$F$193:$AS$193)*(1-N$193)/(1+'TS1'!$J$84)-SUM($F168:M168))</f>
        <v>0</v>
      </c>
      <c r="O168" s="142">
        <f>(SUMPRODUCT($F47:$AS47,$F$193:$AS$193)*(1-O$193)/(1+'TS1'!$J$84)-SUM($F168:N168))</f>
        <v>0</v>
      </c>
      <c r="P168" s="142">
        <f>(SUMPRODUCT($F47:$AS47,$F$193:$AS$193)*(1-P$193)/(1+'TS1'!$J$84)-SUM($F168:O168))</f>
        <v>0</v>
      </c>
      <c r="Q168" s="142">
        <f>(SUMPRODUCT($F47:$AS47,$F$193:$AS$193)*(1-Q$193)/(1+'TS1'!$J$84)-SUM($F168:P168))</f>
        <v>0</v>
      </c>
      <c r="R168" s="142">
        <f>(SUMPRODUCT($F47:$AS47,$F$193:$AS$193)*(1-R$193)/(1+'TS1'!$J$84)-SUM($F168:Q168))</f>
        <v>0</v>
      </c>
      <c r="S168" s="142">
        <f>(SUMPRODUCT($F47:$AS47,$F$193:$AS$193)*(1-S$193)/(1+'TS1'!$J$84)-SUM($F168:R168))</f>
        <v>0</v>
      </c>
      <c r="T168" s="142">
        <f>(SUMPRODUCT($F47:$AS47,$F$193:$AS$193)*(1-T$193)/(1+'TS1'!$J$84)-SUM($F168:S168))</f>
        <v>0</v>
      </c>
      <c r="U168" s="142">
        <f>(SUMPRODUCT($F47:$AS47,$F$193:$AS$193)*(1-U$193)/(1+'TS1'!$J$84)-SUM($F168:T168))</f>
        <v>0</v>
      </c>
      <c r="V168" s="142">
        <f>(SUMPRODUCT($F47:$AS47,$F$193:$AS$193)*(1-V$193)/(1+'TS1'!$J$84)-SUM($F168:U168))</f>
        <v>0</v>
      </c>
      <c r="W168" s="142">
        <f>(SUMPRODUCT($F47:$AS47,$F$193:$AS$193)*(1-W$193)/(1+'TS1'!$J$84)-SUM($F168:V168))</f>
        <v>0</v>
      </c>
      <c r="X168" s="142">
        <f>(SUMPRODUCT($F47:$AS47,$F$193:$AS$193)*(1-X$193)/(1+'TS1'!$J$84)-SUM($F168:W168))</f>
        <v>0</v>
      </c>
      <c r="Y168" s="142">
        <f>(SUMPRODUCT($F47:$AS47,$F$193:$AS$193)*(1-Y$193)/(1+'TS1'!$J$84)-SUM($F168:X168))</f>
        <v>0</v>
      </c>
      <c r="Z168" s="142">
        <f>(SUMPRODUCT($F47:$AS47,$F$193:$AS$193)*(1-Z$193)/(1+'TS1'!$J$84)-SUM($F168:Y168))</f>
        <v>0</v>
      </c>
      <c r="AA168" s="142">
        <f>(SUMPRODUCT($F47:$AS47,$F$193:$AS$193)*(1-AA$193)/(1+'TS1'!$J$84)-SUM($F168:Z168))</f>
        <v>0</v>
      </c>
      <c r="AB168" s="142">
        <f>(SUMPRODUCT($F47:$AS47,$F$193:$AS$193)*(1-AB$193)/(1+'TS1'!$J$84)-SUM($F168:AA168))</f>
        <v>0</v>
      </c>
      <c r="AC168" s="142">
        <f>(SUMPRODUCT($F47:$AS47,$F$193:$AS$193)*(1-AC$193)/(1+'TS1'!$J$84)-SUM($F168:AB168))</f>
        <v>0</v>
      </c>
      <c r="AD168" s="142">
        <f>(SUMPRODUCT($F47:$AS47,$F$193:$AS$193)*(1-AD$193)/(1+'TS1'!$J$84)-SUM($F168:AC168))</f>
        <v>0</v>
      </c>
      <c r="AE168" s="142">
        <f>(SUMPRODUCT($F47:$AS47,$F$193:$AS$193)*(1-AE$193)/(1+'TS1'!$J$84)-SUM($F168:AD168))</f>
        <v>0</v>
      </c>
      <c r="AF168" s="142">
        <f>(SUMPRODUCT($F47:$AS47,$F$193:$AS$193)*(1-AF$193)/(1+'TS1'!$J$84)-SUM($F168:AE168))</f>
        <v>0</v>
      </c>
      <c r="AG168" s="142">
        <f>(SUMPRODUCT($F47:$AS47,$F$193:$AS$193)*(1-AG$193)/(1+'TS1'!$J$84)-SUM($F168:AF168))</f>
        <v>0</v>
      </c>
      <c r="AH168" s="142">
        <f>(SUMPRODUCT($F47:$AS47,$F$193:$AS$193)*(1-AH$193)/(1+'TS1'!$J$84)-SUM($F168:AG168))</f>
        <v>0</v>
      </c>
      <c r="AI168" s="142">
        <f>(SUMPRODUCT($F47:$AS47,$F$193:$AS$193)*(1-AI$193)/(1+'TS1'!$J$84)-SUM($F168:AH168))</f>
        <v>0</v>
      </c>
      <c r="AJ168" s="142">
        <f>(SUMPRODUCT($F47:$AS47,$F$193:$AS$193)*(1-AJ$193)/(1+'TS1'!$J$84)-SUM($F168:AI168))</f>
        <v>0</v>
      </c>
      <c r="AK168" s="142">
        <f>(SUMPRODUCT($F47:$AS47,$F$193:$AS$193)*(1-AK$193)/(1+'TS1'!$J$84)-SUM($F168:AJ168))</f>
        <v>0</v>
      </c>
      <c r="AL168" s="142">
        <f>(SUMPRODUCT($F47:$AS47,$F$193:$AS$193)*(1-AL$193)/(1+'TS1'!$J$84)-SUM($F168:AK168))</f>
        <v>0</v>
      </c>
      <c r="AM168" s="142">
        <f>(SUMPRODUCT($F47:$AS47,$F$193:$AS$193)*(1-AM$193)/(1+'TS1'!$J$84)-SUM($F168:AL168))</f>
        <v>0</v>
      </c>
      <c r="AN168" s="142">
        <f>(SUMPRODUCT($F47:$AS47,$F$193:$AS$193)*(1-AN$193)/(1+'TS1'!$J$84)-SUM($F168:AM168))</f>
        <v>0</v>
      </c>
      <c r="AO168" s="142">
        <f>(SUMPRODUCT($F47:$AS47,$F$193:$AS$193)*(1-AO$193)/(1+'TS1'!$J$84)-SUM($F168:AN168))</f>
        <v>0</v>
      </c>
      <c r="AP168" s="142">
        <f>(SUMPRODUCT($F47:$AS47,$F$193:$AS$193)*(1-AP$193)/(1+'TS1'!$J$84)-SUM($F168:AO168))</f>
        <v>0</v>
      </c>
      <c r="AQ168" s="142">
        <f>(SUMPRODUCT($F47:$AS47,$F$193:$AS$193)*(1-AQ$193)/(1+'TS1'!$J$84)-SUM($F168:AP168))</f>
        <v>0</v>
      </c>
      <c r="AR168" s="142">
        <f>(SUMPRODUCT($F47:$AS47,$F$193:$AS$193)*(1-AR$193)/(1+'TS1'!$J$84)-SUM($F168:AQ168))</f>
        <v>0</v>
      </c>
      <c r="AS168" s="142">
        <f>(SUMPRODUCT($F47:$AS47,$F$193:$AS$193)*(1-AS$193)/(1+'TS1'!$J$84)-SUM($F168:AR168))</f>
        <v>0</v>
      </c>
      <c r="AT168" s="142">
        <f>(SUMPRODUCT($F47:$AS47,$F$193:$AS$193)*(1-AT$193)/(1+'TS1'!$J$84)-SUM($F168:AS168))</f>
        <v>0</v>
      </c>
      <c r="AU168" s="142">
        <f>(SUMPRODUCT($F47:$AS47,$F$193:$AS$193)*(1-AU$193)/(1+'TS1'!$J$84)-SUM($F168:AT168))</f>
        <v>0</v>
      </c>
      <c r="AV168" s="142">
        <f>(SUMPRODUCT($F47:$AS47,$F$193:$AS$193)*(1-AV$193)/(1+'TS1'!$J$84)-SUM($F168:AU168))</f>
        <v>0</v>
      </c>
      <c r="AW168" s="142">
        <f>(SUMPRODUCT($F47:$AS47,$F$193:$AS$193)*(1-AW$193)/(1+'TS1'!$J$84)-SUM($F168:AV168))</f>
        <v>0</v>
      </c>
      <c r="AX168" s="142">
        <f>(SUMPRODUCT($F47:$AS47,$F$193:$AS$193)*(1-AX$193)/(1+'TS1'!$J$84)-SUM($F168:AW168))</f>
        <v>0</v>
      </c>
      <c r="AY168" s="142">
        <f>(SUMPRODUCT($F47:$AS47,$F$193:$AS$193)*(1-AY$193)/(1+'TS1'!$J$84)-SUM($F168:AX168))</f>
        <v>0</v>
      </c>
      <c r="AZ168" s="142">
        <f>(SUMPRODUCT($F47:$AS47,$F$193:$AS$193)*(1-AZ$193)/(1+'TS1'!$J$84)-SUM($F168:AY168))</f>
        <v>0</v>
      </c>
      <c r="BA168" s="142">
        <f>(SUMPRODUCT($F47:$AS47,$F$193:$AS$193)*(1-BA$193)/(1+'TS1'!$J$84)-SUM($F168:AZ168))</f>
        <v>0</v>
      </c>
      <c r="BB168" s="142">
        <f>(SUMPRODUCT($F47:$AS47,$F$193:$AS$193)*(1-BB$193)/(1+'TS1'!$J$84)-SUM($F168:BA168))</f>
        <v>0</v>
      </c>
      <c r="BC168" s="142">
        <f>(SUMPRODUCT($F47:$AS47,$F$193:$AS$193)*(1-BC$193)/(1+'TS1'!$J$84)-SUM($F168:BB168))</f>
        <v>0</v>
      </c>
      <c r="BD168" s="142">
        <f>(SUMPRODUCT($F47:$AS47,$F$193:$AS$193)*(1-BD$193)/(1+'TS1'!$J$84)-SUM($F168:BC168))</f>
        <v>0</v>
      </c>
      <c r="BE168" s="142">
        <f>(SUMPRODUCT($F47:$AS47,$F$193:$AS$193)*(1-BE$193)/(1+'TS1'!$J$84)-SUM($F168:BD168))</f>
        <v>0</v>
      </c>
      <c r="BF168" s="142">
        <f>(SUMPRODUCT($F47:$AS47,$F$193:$AS$193)*(1-BF$193)/(1+'TS1'!$J$84)-SUM($F168:BE168))</f>
        <v>0</v>
      </c>
      <c r="BG168" s="142">
        <f>(SUMPRODUCT($F47:$AS47,$F$193:$AS$193)*(1-BG$193)/(1+'TS1'!$J$84)-SUM($F168:BF168))</f>
        <v>0</v>
      </c>
      <c r="BH168" s="142">
        <f>(SUMPRODUCT($F47:$AS47,$F$193:$AS$193)*(1-BH$193)/(1+'TS1'!$J$84)-SUM($F168:BG168))</f>
        <v>0</v>
      </c>
      <c r="BI168" s="142">
        <f>(SUMPRODUCT($F47:$AS47,$F$193:$AS$193)*(1-BI$193)/(1+'TS1'!$J$84)-SUM($F168:BH168))</f>
        <v>0</v>
      </c>
      <c r="BJ168" s="142">
        <f>(SUMPRODUCT($F47:$AS47,$F$193:$AS$193)*(1-BJ$193)/(1+'TS1'!$J$84)-SUM($F168:BI168))</f>
        <v>0</v>
      </c>
      <c r="BK168" s="142">
        <f>(SUMPRODUCT($F47:$AS47,$F$193:$AS$193)*(1-BK$193)/(1+'TS1'!$J$84)-SUM($F168:BJ168))</f>
        <v>0</v>
      </c>
      <c r="BL168" s="142">
        <f>(SUMPRODUCT($F47:$AS47,$F$193:$AS$193)*(1-BL$193)/(1+'TS1'!$J$84)-SUM($F168:BK168))</f>
        <v>0</v>
      </c>
      <c r="BM168" s="142">
        <f>(SUMPRODUCT($F47:$AS47,$F$193:$AS$193)*(1-BM$193)/(1+'TS1'!$J$84)-SUM($F168:BL168))</f>
        <v>0</v>
      </c>
    </row>
    <row r="169" spans="1:65" hidden="1" outlineLevel="1">
      <c r="A169" s="149"/>
      <c r="B169" s="27"/>
      <c r="C169" s="27"/>
      <c r="D169" s="158" t="str">
        <f t="shared" si="235"/>
        <v>ПАРКИНГ ЖИЛЬЕ</v>
      </c>
      <c r="E169" s="154">
        <f t="shared" si="215"/>
        <v>2700</v>
      </c>
      <c r="F169" s="142"/>
      <c r="G169" s="142">
        <f>SUMPRODUCT($F48:$AS48,$F$193:$AS$193)*(1-G$193)-SUM($F169:F169)</f>
        <v>0</v>
      </c>
      <c r="H169" s="142">
        <f>SUMPRODUCT($F48:$AS48,$F$193:$AS$193)*(1-H$193)-SUM($F169:G169)</f>
        <v>0</v>
      </c>
      <c r="I169" s="142">
        <f>SUMPRODUCT($F48:$AS48,$F$193:$AS$193)*(1-I$193)-SUM($F169:H169)</f>
        <v>0</v>
      </c>
      <c r="J169" s="142">
        <f>SUMPRODUCT($F48:$AS48,$F$193:$AS$193)*(1-J$193)-SUM($F169:I169)</f>
        <v>0</v>
      </c>
      <c r="K169" s="142">
        <f>SUMPRODUCT($F48:$AS48,$F$193:$AS$193)*(1-K$193)-SUM($F169:J169)</f>
        <v>0</v>
      </c>
      <c r="L169" s="142">
        <f>SUMPRODUCT($F48:$AS48,$F$193:$AS$193)*(1-L$193)-SUM($F169:K169)</f>
        <v>0</v>
      </c>
      <c r="M169" s="142">
        <f>SUMPRODUCT($F48:$AS48,$F$193:$AS$193)*(1-M$193)-SUM($F169:L169)</f>
        <v>0</v>
      </c>
      <c r="N169" s="142">
        <f>SUMPRODUCT($F48:$AS48,$F$193:$AS$193)*(1-N$193)-SUM($F169:M169)</f>
        <v>0</v>
      </c>
      <c r="O169" s="142">
        <f>SUMPRODUCT($F48:$AS48,$F$193:$AS$193)*(1-O$193)-SUM($F169:N169)</f>
        <v>0</v>
      </c>
      <c r="P169" s="142">
        <f>SUMPRODUCT($F48:$AS48,$F$193:$AS$193)*(1-P$193)-SUM($F169:O169)</f>
        <v>0</v>
      </c>
      <c r="Q169" s="142">
        <f>SUMPRODUCT($F48:$AS48,$F$193:$AS$193)*(1-Q$193)-SUM($F169:P169)</f>
        <v>0</v>
      </c>
      <c r="R169" s="142">
        <f>SUMPRODUCT($F48:$AS48,$F$193:$AS$193)*(1-R$193)-SUM($F169:Q169)</f>
        <v>0</v>
      </c>
      <c r="S169" s="142">
        <f>SUMPRODUCT($F48:$AS48,$F$193:$AS$193)*(1-S$193)-SUM($F169:R169)</f>
        <v>0</v>
      </c>
      <c r="T169" s="142">
        <f>SUMPRODUCT($F48:$AS48,$F$193:$AS$193)*(1-T$193)-SUM($F169:S169)</f>
        <v>0</v>
      </c>
      <c r="U169" s="142">
        <f>SUMPRODUCT($F48:$AS48,$F$193:$AS$193)*(1-U$193)-SUM($F169:T169)</f>
        <v>0</v>
      </c>
      <c r="V169" s="142">
        <f>SUMPRODUCT($F48:$AS48,$F$193:$AS$193)*(1-V$193)-SUM($F169:U169)</f>
        <v>0</v>
      </c>
      <c r="W169" s="142">
        <f>SUMPRODUCT($F48:$AS48,$F$193:$AS$193)*(1-W$193)-SUM($F169:V169)</f>
        <v>0</v>
      </c>
      <c r="X169" s="142">
        <f>SUMPRODUCT($F48:$AS48,$F$193:$AS$193)*(1-X$193)-SUM($F169:W169)</f>
        <v>0</v>
      </c>
      <c r="Y169" s="142">
        <f>SUMPRODUCT($F48:$AS48,$F$193:$AS$193)*(1-Y$193)-SUM($F169:X169)</f>
        <v>0</v>
      </c>
      <c r="Z169" s="142">
        <f>SUMPRODUCT($F48:$AS48,$F$193:$AS$193)*(1-Z$193)-SUM($F169:Y169)</f>
        <v>0</v>
      </c>
      <c r="AA169" s="142">
        <f>SUMPRODUCT($F48:$AS48,$F$193:$AS$193)*(1-AA$193)-SUM($F169:Z169)</f>
        <v>0</v>
      </c>
      <c r="AB169" s="142">
        <f>SUMPRODUCT($F48:$AS48,$F$193:$AS$193)*(1-AB$193)-SUM($F169:AA169)</f>
        <v>0</v>
      </c>
      <c r="AC169" s="142">
        <f>SUMPRODUCT($F48:$AS48,$F$193:$AS$193)*(1-AC$193)-SUM($F169:AB169)</f>
        <v>0</v>
      </c>
      <c r="AD169" s="142">
        <f>SUMPRODUCT($F48:$AS48,$F$193:$AS$193)*(1-AD$193)-SUM($F169:AC169)</f>
        <v>0</v>
      </c>
      <c r="AE169" s="142">
        <f>SUMPRODUCT($F48:$AS48,$F$193:$AS$193)*(1-AE$193)-SUM($F169:AD169)</f>
        <v>0</v>
      </c>
      <c r="AF169" s="142">
        <f>SUMPRODUCT($F48:$AS48,$F$193:$AS$193)*(1-AF$193)-SUM($F169:AE169)</f>
        <v>2700</v>
      </c>
      <c r="AG169" s="142">
        <f>SUMPRODUCT($F48:$AS48,$F$193:$AS$193)*(1-AG$193)-SUM($F169:AF169)</f>
        <v>0</v>
      </c>
      <c r="AH169" s="142">
        <f>SUMPRODUCT($F48:$AS48,$F$193:$AS$193)*(1-AH$193)-SUM($F169:AG169)</f>
        <v>0</v>
      </c>
      <c r="AI169" s="142">
        <f>SUMPRODUCT($F48:$AS48,$F$193:$AS$193)*(1-AI$193)-SUM($F169:AH169)</f>
        <v>0</v>
      </c>
      <c r="AJ169" s="142">
        <f>SUMPRODUCT($F48:$AS48,$F$193:$AS$193)*(1-AJ$193)-SUM($F169:AI169)</f>
        <v>0</v>
      </c>
      <c r="AK169" s="142">
        <f>SUMPRODUCT($F48:$AS48,$F$193:$AS$193)*(1-AK$193)-SUM($F169:AJ169)</f>
        <v>0</v>
      </c>
      <c r="AL169" s="142">
        <f>SUMPRODUCT($F48:$AS48,$F$193:$AS$193)*(1-AL$193)-SUM($F169:AK169)</f>
        <v>0</v>
      </c>
      <c r="AM169" s="142">
        <f>SUMPRODUCT($F48:$AS48,$F$193:$AS$193)*(1-AM$193)-SUM($F169:AL169)</f>
        <v>0</v>
      </c>
      <c r="AN169" s="142">
        <f>SUMPRODUCT($F48:$AS48,$F$193:$AS$193)*(1-AN$193)-SUM($F169:AM169)</f>
        <v>0</v>
      </c>
      <c r="AO169" s="142">
        <f>SUMPRODUCT($F48:$AS48,$F$193:$AS$193)*(1-AO$193)-SUM($F169:AN169)</f>
        <v>0</v>
      </c>
      <c r="AP169" s="142">
        <f>SUMPRODUCT($F48:$AS48,$F$193:$AS$193)*(1-AP$193)-SUM($F169:AO169)</f>
        <v>0</v>
      </c>
      <c r="AQ169" s="142">
        <f>SUMPRODUCT($F48:$AS48,$F$193:$AS$193)*(1-AQ$193)-SUM($F169:AP169)</f>
        <v>0</v>
      </c>
      <c r="AR169" s="142">
        <f>SUMPRODUCT($F48:$AS48,$F$193:$AS$193)*(1-AR$193)-SUM($F169:AQ169)</f>
        <v>0</v>
      </c>
      <c r="AS169" s="142">
        <f>SUMPRODUCT($F48:$AS48,$F$193:$AS$193)*(1-AS$193)-SUM($F169:AR169)</f>
        <v>0</v>
      </c>
      <c r="AT169" s="142">
        <f>SUMPRODUCT($F48:$AS48,$F$193:$AS$193)*(1-AT$193)-SUM($F169:AS169)</f>
        <v>0</v>
      </c>
      <c r="AU169" s="142">
        <f>SUMPRODUCT($F48:$AS48,$F$193:$AS$193)*(1-AU$193)-SUM($F169:AT169)</f>
        <v>0</v>
      </c>
      <c r="AV169" s="142">
        <f>SUMPRODUCT($F48:$AS48,$F$193:$AS$193)*(1-AV$193)-SUM($F169:AU169)</f>
        <v>0</v>
      </c>
      <c r="AW169" s="142">
        <f>SUMPRODUCT($F48:$AS48,$F$193:$AS$193)*(1-AW$193)-SUM($F169:AV169)</f>
        <v>0</v>
      </c>
      <c r="AX169" s="142">
        <f>SUMPRODUCT($F48:$AS48,$F$193:$AS$193)*(1-AX$193)-SUM($F169:AW169)</f>
        <v>0</v>
      </c>
      <c r="AY169" s="142">
        <f>SUMPRODUCT($F48:$AS48,$F$193:$AS$193)*(1-AY$193)-SUM($F169:AX169)</f>
        <v>0</v>
      </c>
      <c r="AZ169" s="142">
        <f>SUMPRODUCT($F48:$AS48,$F$193:$AS$193)*(1-AZ$193)-SUM($F169:AY169)</f>
        <v>0</v>
      </c>
      <c r="BA169" s="142">
        <f>SUMPRODUCT($F48:$AS48,$F$193:$AS$193)*(1-BA$193)-SUM($F169:AZ169)</f>
        <v>0</v>
      </c>
      <c r="BB169" s="142">
        <f>SUMPRODUCT($F48:$AS48,$F$193:$AS$193)*(1-BB$193)-SUM($F169:BA169)</f>
        <v>0</v>
      </c>
      <c r="BC169" s="142">
        <f>SUMPRODUCT($F48:$AS48,$F$193:$AS$193)*(1-BC$193)-SUM($F169:BB169)</f>
        <v>0</v>
      </c>
      <c r="BD169" s="142">
        <f>SUMPRODUCT($F48:$AS48,$F$193:$AS$193)*(1-BD$193)-SUM($F169:BC169)</f>
        <v>0</v>
      </c>
      <c r="BE169" s="142">
        <f>SUMPRODUCT($F48:$AS48,$F$193:$AS$193)*(1-BE$193)-SUM($F169:BD169)</f>
        <v>0</v>
      </c>
      <c r="BF169" s="142">
        <f>SUMPRODUCT($F48:$AS48,$F$193:$AS$193)*(1-BF$193)-SUM($F169:BE169)</f>
        <v>0</v>
      </c>
      <c r="BG169" s="142">
        <f>SUMPRODUCT($F48:$AS48,$F$193:$AS$193)*(1-BG$193)-SUM($F169:BF169)</f>
        <v>0</v>
      </c>
      <c r="BH169" s="142">
        <f>SUMPRODUCT($F48:$AS48,$F$193:$AS$193)*(1-BH$193)-SUM($F169:BG169)</f>
        <v>0</v>
      </c>
      <c r="BI169" s="142">
        <f>SUMPRODUCT($F48:$AS48,$F$193:$AS$193)*(1-BI$193)-SUM($F169:BH169)</f>
        <v>0</v>
      </c>
      <c r="BJ169" s="142">
        <f>SUMPRODUCT($F48:$AS48,$F$193:$AS$193)*(1-BJ$193)-SUM($F169:BI169)</f>
        <v>0</v>
      </c>
      <c r="BK169" s="142">
        <f>SUMPRODUCT($F48:$AS48,$F$193:$AS$193)*(1-BK$193)-SUM($F169:BJ169)</f>
        <v>0</v>
      </c>
      <c r="BL169" s="142">
        <f>SUMPRODUCT($F48:$AS48,$F$193:$AS$193)*(1-BL$193)-SUM($F169:BK169)</f>
        <v>0</v>
      </c>
      <c r="BM169" s="142">
        <f>SUMPRODUCT($F48:$AS48,$F$193:$AS$193)*(1-BM$193)-SUM($F169:BL169)</f>
        <v>0</v>
      </c>
    </row>
    <row r="170" spans="1:65" hidden="1" outlineLevel="1">
      <c r="A170" s="149"/>
      <c r="B170" s="27"/>
      <c r="C170" s="27"/>
      <c r="D170" s="158" t="str">
        <f t="shared" si="235"/>
        <v>ПАРКИНГ ОФИС</v>
      </c>
      <c r="E170" s="154">
        <f t="shared" si="215"/>
        <v>0</v>
      </c>
      <c r="F170" s="142"/>
      <c r="G170" s="142">
        <f>(SUMPRODUCT($F51:$AS51,$F$193:$AS$193)*(1-G$193)/(1+'TS1'!$J$84)-SUM($F170:F170))</f>
        <v>0</v>
      </c>
      <c r="H170" s="142">
        <f>(SUMPRODUCT($F51:$AS51,$F$193:$AS$193)*(1-H$193)/(1+'TS1'!$J$84)-SUM($F170:G170))</f>
        <v>0</v>
      </c>
      <c r="I170" s="142">
        <f>(SUMPRODUCT($F51:$AS51,$F$193:$AS$193)*(1-I$193)/(1+'TS1'!$J$84)-SUM($F170:H170))</f>
        <v>0</v>
      </c>
      <c r="J170" s="142">
        <f>(SUMPRODUCT($F51:$AS51,$F$193:$AS$193)*(1-J$193)/(1+'TS1'!$J$84)-SUM($F170:I170))</f>
        <v>0</v>
      </c>
      <c r="K170" s="142">
        <f>(SUMPRODUCT($F51:$AS51,$F$193:$AS$193)*(1-K$193)/(1+'TS1'!$J$84)-SUM($F170:J170))</f>
        <v>0</v>
      </c>
      <c r="L170" s="142">
        <f>(SUMPRODUCT($F51:$AS51,$F$193:$AS$193)*(1-L$193)/(1+'TS1'!$J$84)-SUM($F170:K170))</f>
        <v>0</v>
      </c>
      <c r="M170" s="142">
        <f>(SUMPRODUCT($F51:$AS51,$F$193:$AS$193)*(1-M$193)/(1+'TS1'!$J$84)-SUM($F170:L170))</f>
        <v>0</v>
      </c>
      <c r="N170" s="142">
        <f>(SUMPRODUCT($F51:$AS51,$F$193:$AS$193)*(1-N$193)/(1+'TS1'!$J$84)-SUM($F170:M170))</f>
        <v>0</v>
      </c>
      <c r="O170" s="142">
        <f>(SUMPRODUCT($F51:$AS51,$F$193:$AS$193)*(1-O$193)/(1+'TS1'!$J$84)-SUM($F170:N170))</f>
        <v>0</v>
      </c>
      <c r="P170" s="142">
        <f>(SUMPRODUCT($F51:$AS51,$F$193:$AS$193)*(1-P$193)/(1+'TS1'!$J$84)-SUM($F170:O170))</f>
        <v>0</v>
      </c>
      <c r="Q170" s="142">
        <f>(SUMPRODUCT($F51:$AS51,$F$193:$AS$193)*(1-Q$193)/(1+'TS1'!$J$84)-SUM($F170:P170))</f>
        <v>0</v>
      </c>
      <c r="R170" s="142">
        <f>(SUMPRODUCT($F51:$AS51,$F$193:$AS$193)*(1-R$193)/(1+'TS1'!$J$84)-SUM($F170:Q170))</f>
        <v>0</v>
      </c>
      <c r="S170" s="142">
        <f>(SUMPRODUCT($F51:$AS51,$F$193:$AS$193)*(1-S$193)/(1+'TS1'!$J$84)-SUM($F170:R170))</f>
        <v>0</v>
      </c>
      <c r="T170" s="142">
        <f>(SUMPRODUCT($F51:$AS51,$F$193:$AS$193)*(1-T$193)/(1+'TS1'!$J$84)-SUM($F170:S170))</f>
        <v>0</v>
      </c>
      <c r="U170" s="142">
        <f>(SUMPRODUCT($F51:$AS51,$F$193:$AS$193)*(1-U$193)/(1+'TS1'!$J$84)-SUM($F170:T170))</f>
        <v>0</v>
      </c>
      <c r="V170" s="142">
        <f>(SUMPRODUCT($F51:$AS51,$F$193:$AS$193)*(1-V$193)/(1+'TS1'!$J$84)-SUM($F170:U170))</f>
        <v>0</v>
      </c>
      <c r="W170" s="142">
        <f>(SUMPRODUCT($F51:$AS51,$F$193:$AS$193)*(1-W$193)/(1+'TS1'!$J$84)-SUM($F170:V170))</f>
        <v>0</v>
      </c>
      <c r="X170" s="142">
        <f>(SUMPRODUCT($F51:$AS51,$F$193:$AS$193)*(1-X$193)/(1+'TS1'!$J$84)-SUM($F170:W170))</f>
        <v>0</v>
      </c>
      <c r="Y170" s="142">
        <f>(SUMPRODUCT($F51:$AS51,$F$193:$AS$193)*(1-Y$193)/(1+'TS1'!$J$84)-SUM($F170:X170))</f>
        <v>0</v>
      </c>
      <c r="Z170" s="142">
        <f>(SUMPRODUCT($F51:$AS51,$F$193:$AS$193)*(1-Z$193)/(1+'TS1'!$J$84)-SUM($F170:Y170))</f>
        <v>0</v>
      </c>
      <c r="AA170" s="142">
        <f>(SUMPRODUCT($F51:$AS51,$F$193:$AS$193)*(1-AA$193)/(1+'TS1'!$J$84)-SUM($F170:Z170))</f>
        <v>0</v>
      </c>
      <c r="AB170" s="142">
        <f>(SUMPRODUCT($F51:$AS51,$F$193:$AS$193)*(1-AB$193)/(1+'TS1'!$J$84)-SUM($F170:AA170))</f>
        <v>0</v>
      </c>
      <c r="AC170" s="142">
        <f>(SUMPRODUCT($F51:$AS51,$F$193:$AS$193)*(1-AC$193)/(1+'TS1'!$J$84)-SUM($F170:AB170))</f>
        <v>0</v>
      </c>
      <c r="AD170" s="142">
        <f>(SUMPRODUCT($F51:$AS51,$F$193:$AS$193)*(1-AD$193)/(1+'TS1'!$J$84)-SUM($F170:AC170))</f>
        <v>0</v>
      </c>
      <c r="AE170" s="142">
        <f>(SUMPRODUCT($F51:$AS51,$F$193:$AS$193)*(1-AE$193)/(1+'TS1'!$J$84)-SUM($F170:AD170))</f>
        <v>0</v>
      </c>
      <c r="AF170" s="142">
        <f>(SUMPRODUCT($F51:$AS51,$F$193:$AS$193)*(1-AF$193)/(1+'TS1'!$J$84)-SUM($F170:AE170))</f>
        <v>0</v>
      </c>
      <c r="AG170" s="142">
        <f>(SUMPRODUCT($F51:$AS51,$F$193:$AS$193)*(1-AG$193)/(1+'TS1'!$J$84)-SUM($F170:AF170))</f>
        <v>0</v>
      </c>
      <c r="AH170" s="142">
        <f>(SUMPRODUCT($F51:$AS51,$F$193:$AS$193)*(1-AH$193)/(1+'TS1'!$J$84)-SUM($F170:AG170))</f>
        <v>0</v>
      </c>
      <c r="AI170" s="142">
        <f>(SUMPRODUCT($F51:$AS51,$F$193:$AS$193)*(1-AI$193)/(1+'TS1'!$J$84)-SUM($F170:AH170))</f>
        <v>0</v>
      </c>
      <c r="AJ170" s="142">
        <f>(SUMPRODUCT($F51:$AS51,$F$193:$AS$193)*(1-AJ$193)/(1+'TS1'!$J$84)-SUM($F170:AI170))</f>
        <v>0</v>
      </c>
      <c r="AK170" s="142">
        <f>(SUMPRODUCT($F51:$AS51,$F$193:$AS$193)*(1-AK$193)/(1+'TS1'!$J$84)-SUM($F170:AJ170))</f>
        <v>0</v>
      </c>
      <c r="AL170" s="142">
        <f>(SUMPRODUCT($F51:$AS51,$F$193:$AS$193)*(1-AL$193)/(1+'TS1'!$J$84)-SUM($F170:AK170))</f>
        <v>0</v>
      </c>
      <c r="AM170" s="142">
        <f>(SUMPRODUCT($F51:$AS51,$F$193:$AS$193)*(1-AM$193)/(1+'TS1'!$J$84)-SUM($F170:AL170))</f>
        <v>0</v>
      </c>
      <c r="AN170" s="142">
        <f>(SUMPRODUCT($F51:$AS51,$F$193:$AS$193)*(1-AN$193)/(1+'TS1'!$J$84)-SUM($F170:AM170))</f>
        <v>0</v>
      </c>
      <c r="AO170" s="142">
        <f>(SUMPRODUCT($F51:$AS51,$F$193:$AS$193)*(1-AO$193)/(1+'TS1'!$J$84)-SUM($F170:AN170))</f>
        <v>0</v>
      </c>
      <c r="AP170" s="142">
        <f>(SUMPRODUCT($F51:$AS51,$F$193:$AS$193)*(1-AP$193)/(1+'TS1'!$J$84)-SUM($F170:AO170))</f>
        <v>0</v>
      </c>
      <c r="AQ170" s="142">
        <f>(SUMPRODUCT($F51:$AS51,$F$193:$AS$193)*(1-AQ$193)/(1+'TS1'!$J$84)-SUM($F170:AP170))</f>
        <v>0</v>
      </c>
      <c r="AR170" s="142">
        <f>(SUMPRODUCT($F51:$AS51,$F$193:$AS$193)*(1-AR$193)/(1+'TS1'!$J$84)-SUM($F170:AQ170))</f>
        <v>0</v>
      </c>
      <c r="AS170" s="142">
        <f>(SUMPRODUCT($F51:$AS51,$F$193:$AS$193)*(1-AS$193)/(1+'TS1'!$J$84)-SUM($F170:AR170))</f>
        <v>0</v>
      </c>
      <c r="AT170" s="142">
        <f>(SUMPRODUCT($F51:$AS51,$F$193:$AS$193)*(1-AT$193)/(1+'TS1'!$J$84)-SUM($F170:AS170))</f>
        <v>0</v>
      </c>
      <c r="AU170" s="142">
        <f>(SUMPRODUCT($F51:$AS51,$F$193:$AS$193)*(1-AU$193)/(1+'TS1'!$J$84)-SUM($F170:AT170))</f>
        <v>0</v>
      </c>
      <c r="AV170" s="142">
        <f>(SUMPRODUCT($F51:$AS51,$F$193:$AS$193)*(1-AV$193)/(1+'TS1'!$J$84)-SUM($F170:AU170))</f>
        <v>0</v>
      </c>
      <c r="AW170" s="142">
        <f>(SUMPRODUCT($F51:$AS51,$F$193:$AS$193)*(1-AW$193)/(1+'TS1'!$J$84)-SUM($F170:AV170))</f>
        <v>0</v>
      </c>
      <c r="AX170" s="142">
        <f>(SUMPRODUCT($F51:$AS51,$F$193:$AS$193)*(1-AX$193)/(1+'TS1'!$J$84)-SUM($F170:AW170))</f>
        <v>0</v>
      </c>
      <c r="AY170" s="142">
        <f>(SUMPRODUCT($F51:$AS51,$F$193:$AS$193)*(1-AY$193)/(1+'TS1'!$J$84)-SUM($F170:AX170))</f>
        <v>0</v>
      </c>
      <c r="AZ170" s="142">
        <f>(SUMPRODUCT($F51:$AS51,$F$193:$AS$193)*(1-AZ$193)/(1+'TS1'!$J$84)-SUM($F170:AY170))</f>
        <v>0</v>
      </c>
      <c r="BA170" s="142">
        <f>(SUMPRODUCT($F51:$AS51,$F$193:$AS$193)*(1-BA$193)/(1+'TS1'!$J$84)-SUM($F170:AZ170))</f>
        <v>0</v>
      </c>
      <c r="BB170" s="142">
        <f>(SUMPRODUCT($F51:$AS51,$F$193:$AS$193)*(1-BB$193)/(1+'TS1'!$J$84)-SUM($F170:BA170))</f>
        <v>0</v>
      </c>
      <c r="BC170" s="142">
        <f>(SUMPRODUCT($F51:$AS51,$F$193:$AS$193)*(1-BC$193)/(1+'TS1'!$J$84)-SUM($F170:BB170))</f>
        <v>0</v>
      </c>
      <c r="BD170" s="142">
        <f>(SUMPRODUCT($F51:$AS51,$F$193:$AS$193)*(1-BD$193)/(1+'TS1'!$J$84)-SUM($F170:BC170))</f>
        <v>0</v>
      </c>
      <c r="BE170" s="142">
        <f>(SUMPRODUCT($F51:$AS51,$F$193:$AS$193)*(1-BE$193)/(1+'TS1'!$J$84)-SUM($F170:BD170))</f>
        <v>0</v>
      </c>
      <c r="BF170" s="142">
        <f>(SUMPRODUCT($F51:$AS51,$F$193:$AS$193)*(1-BF$193)/(1+'TS1'!$J$84)-SUM($F170:BE170))</f>
        <v>0</v>
      </c>
      <c r="BG170" s="142">
        <f>(SUMPRODUCT($F51:$AS51,$F$193:$AS$193)*(1-BG$193)/(1+'TS1'!$J$84)-SUM($F170:BF170))</f>
        <v>0</v>
      </c>
      <c r="BH170" s="142">
        <f>(SUMPRODUCT($F51:$AS51,$F$193:$AS$193)*(1-BH$193)/(1+'TS1'!$J$84)-SUM($F170:BG170))</f>
        <v>0</v>
      </c>
      <c r="BI170" s="142">
        <f>(SUMPRODUCT($F51:$AS51,$F$193:$AS$193)*(1-BI$193)/(1+'TS1'!$J$84)-SUM($F170:BH170))</f>
        <v>0</v>
      </c>
      <c r="BJ170" s="142">
        <f>(SUMPRODUCT($F51:$AS51,$F$193:$AS$193)*(1-BJ$193)/(1+'TS1'!$J$84)-SUM($F170:BI170))</f>
        <v>0</v>
      </c>
      <c r="BK170" s="142">
        <f>(SUMPRODUCT($F51:$AS51,$F$193:$AS$193)*(1-BK$193)/(1+'TS1'!$J$84)-SUM($F170:BJ170))</f>
        <v>0</v>
      </c>
      <c r="BL170" s="142">
        <f>(SUMPRODUCT($F51:$AS51,$F$193:$AS$193)*(1-BL$193)/(1+'TS1'!$J$84)-SUM($F170:BK170))</f>
        <v>0</v>
      </c>
      <c r="BM170" s="142">
        <f>(SUMPRODUCT($F51:$AS51,$F$193:$AS$193)*(1-BM$193)/(1+'TS1'!$J$84)-SUM($F170:BL170))</f>
        <v>0</v>
      </c>
    </row>
    <row r="171" spans="1:65" s="151" customFormat="1" hidden="1" outlineLevel="1">
      <c r="B171" s="152"/>
      <c r="C171" s="152" t="s">
        <v>97</v>
      </c>
      <c r="D171" s="153"/>
      <c r="E171" s="154">
        <f t="shared" si="215"/>
        <v>0</v>
      </c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  <c r="AC171" s="155"/>
      <c r="AD171" s="155"/>
      <c r="AE171" s="155"/>
      <c r="AF171" s="155"/>
      <c r="AG171" s="155"/>
      <c r="AH171" s="155"/>
      <c r="AI171" s="155"/>
      <c r="AJ171" s="155"/>
      <c r="AK171" s="155"/>
      <c r="AL171" s="155"/>
      <c r="AM171" s="155"/>
      <c r="AN171" s="155"/>
      <c r="AO171" s="155"/>
      <c r="AP171" s="155"/>
      <c r="AQ171" s="155"/>
      <c r="AR171" s="155"/>
      <c r="AS171" s="155"/>
      <c r="AT171" s="155"/>
      <c r="AU171" s="155"/>
      <c r="AV171" s="155"/>
      <c r="AW171" s="155"/>
      <c r="AX171" s="155"/>
      <c r="AY171" s="155"/>
      <c r="AZ171" s="155"/>
      <c r="BA171" s="155"/>
      <c r="BB171" s="155"/>
      <c r="BC171" s="155"/>
      <c r="BD171" s="155"/>
      <c r="BE171" s="155"/>
      <c r="BF171" s="155"/>
      <c r="BG171" s="155"/>
      <c r="BH171" s="155"/>
      <c r="BI171" s="155"/>
      <c r="BJ171" s="155"/>
      <c r="BK171" s="155"/>
      <c r="BL171" s="155"/>
      <c r="BM171" s="155"/>
    </row>
    <row r="172" spans="1:65" hidden="1" outlineLevel="1">
      <c r="A172" s="149"/>
      <c r="B172" s="27"/>
      <c r="C172" s="157"/>
      <c r="D172" s="158" t="str">
        <f t="shared" ref="D172:D178" si="236">D164</f>
        <v>КВАРТИРЫ</v>
      </c>
      <c r="E172" s="154">
        <f t="shared" si="215"/>
        <v>34735.451719991266</v>
      </c>
      <c r="F172" s="142"/>
      <c r="G172" s="142">
        <f t="shared" ref="G172:AL172" si="237">G39*(1-G$193)</f>
        <v>0</v>
      </c>
      <c r="H172" s="142">
        <f t="shared" si="237"/>
        <v>0</v>
      </c>
      <c r="I172" s="142">
        <f t="shared" si="237"/>
        <v>0</v>
      </c>
      <c r="J172" s="142">
        <f t="shared" si="237"/>
        <v>0</v>
      </c>
      <c r="K172" s="142">
        <f t="shared" si="237"/>
        <v>0</v>
      </c>
      <c r="L172" s="142">
        <f t="shared" si="237"/>
        <v>0</v>
      </c>
      <c r="M172" s="142">
        <f t="shared" si="237"/>
        <v>0</v>
      </c>
      <c r="N172" s="142">
        <f t="shared" si="237"/>
        <v>0</v>
      </c>
      <c r="O172" s="142">
        <f t="shared" si="237"/>
        <v>0</v>
      </c>
      <c r="P172" s="142">
        <f t="shared" si="237"/>
        <v>0</v>
      </c>
      <c r="Q172" s="142">
        <f t="shared" si="237"/>
        <v>0</v>
      </c>
      <c r="R172" s="142">
        <f t="shared" si="237"/>
        <v>0</v>
      </c>
      <c r="S172" s="142">
        <f t="shared" si="237"/>
        <v>0</v>
      </c>
      <c r="T172" s="142">
        <f t="shared" si="237"/>
        <v>0</v>
      </c>
      <c r="U172" s="142">
        <f t="shared" si="237"/>
        <v>0</v>
      </c>
      <c r="V172" s="142">
        <f t="shared" si="237"/>
        <v>0</v>
      </c>
      <c r="W172" s="142">
        <f t="shared" si="237"/>
        <v>0</v>
      </c>
      <c r="X172" s="142">
        <f t="shared" si="237"/>
        <v>0</v>
      </c>
      <c r="Y172" s="142">
        <f t="shared" si="237"/>
        <v>0</v>
      </c>
      <c r="Z172" s="142">
        <f t="shared" si="237"/>
        <v>0</v>
      </c>
      <c r="AA172" s="142">
        <f t="shared" si="237"/>
        <v>0</v>
      </c>
      <c r="AB172" s="142">
        <f t="shared" si="237"/>
        <v>0</v>
      </c>
      <c r="AC172" s="142">
        <f t="shared" si="237"/>
        <v>0</v>
      </c>
      <c r="AD172" s="142">
        <f t="shared" si="237"/>
        <v>0</v>
      </c>
      <c r="AE172" s="142">
        <f t="shared" si="237"/>
        <v>0</v>
      </c>
      <c r="AF172" s="142">
        <f t="shared" si="237"/>
        <v>3985.8893774926887</v>
      </c>
      <c r="AG172" s="142">
        <f t="shared" si="237"/>
        <v>4026.1489370608469</v>
      </c>
      <c r="AH172" s="142">
        <f t="shared" si="237"/>
        <v>4066.4084966290047</v>
      </c>
      <c r="AI172" s="142">
        <f t="shared" si="237"/>
        <v>4106.6680561971625</v>
      </c>
      <c r="AJ172" s="142">
        <f t="shared" si="237"/>
        <v>4226.7828888056583</v>
      </c>
      <c r="AK172" s="142">
        <f t="shared" si="237"/>
        <v>4226.7828888056583</v>
      </c>
      <c r="AL172" s="142">
        <f t="shared" si="237"/>
        <v>4226.7828888056583</v>
      </c>
      <c r="AM172" s="142">
        <f t="shared" ref="AM172:BM172" si="238">AM39*(1-AM$193)</f>
        <v>3825.4732311259331</v>
      </c>
      <c r="AN172" s="142">
        <f t="shared" si="238"/>
        <v>2044.5149550686615</v>
      </c>
      <c r="AO172" s="142">
        <f t="shared" si="238"/>
        <v>0</v>
      </c>
      <c r="AP172" s="142">
        <f t="shared" si="238"/>
        <v>0</v>
      </c>
      <c r="AQ172" s="142">
        <f t="shared" si="238"/>
        <v>0</v>
      </c>
      <c r="AR172" s="142">
        <f t="shared" si="238"/>
        <v>0</v>
      </c>
      <c r="AS172" s="142">
        <f t="shared" si="238"/>
        <v>0</v>
      </c>
      <c r="AT172" s="142">
        <f t="shared" si="238"/>
        <v>0</v>
      </c>
      <c r="AU172" s="142">
        <f t="shared" si="238"/>
        <v>0</v>
      </c>
      <c r="AV172" s="142">
        <f t="shared" si="238"/>
        <v>0</v>
      </c>
      <c r="AW172" s="142">
        <f t="shared" si="238"/>
        <v>0</v>
      </c>
      <c r="AX172" s="142">
        <f t="shared" si="238"/>
        <v>0</v>
      </c>
      <c r="AY172" s="142">
        <f t="shared" si="238"/>
        <v>0</v>
      </c>
      <c r="AZ172" s="142">
        <f t="shared" si="238"/>
        <v>0</v>
      </c>
      <c r="BA172" s="142">
        <f t="shared" si="238"/>
        <v>0</v>
      </c>
      <c r="BB172" s="142">
        <f t="shared" si="238"/>
        <v>0</v>
      </c>
      <c r="BC172" s="142">
        <f t="shared" si="238"/>
        <v>0</v>
      </c>
      <c r="BD172" s="142">
        <f t="shared" si="238"/>
        <v>0</v>
      </c>
      <c r="BE172" s="142">
        <f t="shared" si="238"/>
        <v>0</v>
      </c>
      <c r="BF172" s="142">
        <f t="shared" si="238"/>
        <v>0</v>
      </c>
      <c r="BG172" s="142">
        <f t="shared" si="238"/>
        <v>0</v>
      </c>
      <c r="BH172" s="142">
        <f t="shared" si="238"/>
        <v>0</v>
      </c>
      <c r="BI172" s="142">
        <f t="shared" si="238"/>
        <v>0</v>
      </c>
      <c r="BJ172" s="142">
        <f t="shared" si="238"/>
        <v>0</v>
      </c>
      <c r="BK172" s="142">
        <f t="shared" si="238"/>
        <v>0</v>
      </c>
      <c r="BL172" s="142">
        <f t="shared" si="238"/>
        <v>0</v>
      </c>
      <c r="BM172" s="142">
        <f t="shared" si="238"/>
        <v>0</v>
      </c>
    </row>
    <row r="173" spans="1:65" hidden="1" outlineLevel="1">
      <c r="A173" s="149"/>
      <c r="B173" s="27"/>
      <c r="C173" s="157"/>
      <c r="D173" s="158" t="str">
        <f t="shared" si="236"/>
        <v>АПАРТАМЕНТЫ</v>
      </c>
      <c r="E173" s="154">
        <f t="shared" si="215"/>
        <v>0</v>
      </c>
      <c r="F173" s="142"/>
      <c r="G173" s="161">
        <f>G42*(1-G$193)/(1+'TS1'!$J$84)</f>
        <v>0</v>
      </c>
      <c r="H173" s="161">
        <f>H42*(1-H$193)/(1+'TS1'!$J$84)</f>
        <v>0</v>
      </c>
      <c r="I173" s="161">
        <f>I42*(1-I$193)/(1+'TS1'!$J$84)</f>
        <v>0</v>
      </c>
      <c r="J173" s="161">
        <f>J42*(1-J$193)/(1+'TS1'!$J$84)</f>
        <v>0</v>
      </c>
      <c r="K173" s="161">
        <f>K42*(1-K$193)/(1+'TS1'!$J$84)</f>
        <v>0</v>
      </c>
      <c r="L173" s="161">
        <f>L42*(1-L$193)/(1+'TS1'!$J$84)</f>
        <v>0</v>
      </c>
      <c r="M173" s="161">
        <f>M42*(1-M$193)/(1+'TS1'!$J$84)</f>
        <v>0</v>
      </c>
      <c r="N173" s="161">
        <f>N42*(1-N$193)/(1+'TS1'!$J$84)</f>
        <v>0</v>
      </c>
      <c r="O173" s="161">
        <f>O42*(1-O$193)/(1+'TS1'!$J$84)</f>
        <v>0</v>
      </c>
      <c r="P173" s="161">
        <f>P42*(1-P$193)/(1+'TS1'!$J$84)</f>
        <v>0</v>
      </c>
      <c r="Q173" s="161">
        <f>Q42*(1-Q$193)/(1+'TS1'!$J$84)</f>
        <v>0</v>
      </c>
      <c r="R173" s="161">
        <f>R42*(1-R$193)/(1+'TS1'!$J$84)</f>
        <v>0</v>
      </c>
      <c r="S173" s="161">
        <f>S42*(1-S$193)/(1+'TS1'!$J$84)</f>
        <v>0</v>
      </c>
      <c r="T173" s="161">
        <f>T42*(1-T$193)/(1+'TS1'!$J$84)</f>
        <v>0</v>
      </c>
      <c r="U173" s="161">
        <f>U42*(1-U$193)/(1+'TS1'!$J$84)</f>
        <v>0</v>
      </c>
      <c r="V173" s="161">
        <f>V42*(1-V$193)/(1+'TS1'!$J$84)</f>
        <v>0</v>
      </c>
      <c r="W173" s="161">
        <f>W42*(1-W$193)/(1+'TS1'!$J$84)</f>
        <v>0</v>
      </c>
      <c r="X173" s="161">
        <f>X42*(1-X$193)/(1+'TS1'!$J$84)</f>
        <v>0</v>
      </c>
      <c r="Y173" s="161">
        <f>Y42*(1-Y$193)/(1+'TS1'!$J$84)</f>
        <v>0</v>
      </c>
      <c r="Z173" s="161">
        <f>Z42*(1-Z$193)/(1+'TS1'!$J$84)</f>
        <v>0</v>
      </c>
      <c r="AA173" s="161">
        <f>AA42*(1-AA$193)/(1+'TS1'!$J$84)</f>
        <v>0</v>
      </c>
      <c r="AB173" s="161">
        <f>AB42*(1-AB$193)/(1+'TS1'!$J$84)</f>
        <v>0</v>
      </c>
      <c r="AC173" s="161">
        <f>AC42*(1-AC$193)/(1+'TS1'!$J$84)</f>
        <v>0</v>
      </c>
      <c r="AD173" s="161">
        <f>AD42*(1-AD$193)/(1+'TS1'!$J$84)</f>
        <v>0</v>
      </c>
      <c r="AE173" s="161">
        <f>AE42*(1-AE$193)/(1+'TS1'!$J$84)</f>
        <v>0</v>
      </c>
      <c r="AF173" s="161">
        <f>AF42*(1-AF$193)/(1+'TS1'!$J$84)</f>
        <v>0</v>
      </c>
      <c r="AG173" s="161">
        <f>AG42*(1-AG$193)/(1+'TS1'!$J$84)</f>
        <v>0</v>
      </c>
      <c r="AH173" s="161">
        <f>AH42*(1-AH$193)/(1+'TS1'!$J$84)</f>
        <v>0</v>
      </c>
      <c r="AI173" s="161">
        <f>AI42*(1-AI$193)/(1+'TS1'!$J$84)</f>
        <v>0</v>
      </c>
      <c r="AJ173" s="161">
        <f>AJ42*(1-AJ$193)/(1+'TS1'!$J$84)</f>
        <v>0</v>
      </c>
      <c r="AK173" s="161">
        <f>AK42*(1-AK$193)/(1+'TS1'!$J$84)</f>
        <v>0</v>
      </c>
      <c r="AL173" s="161">
        <f>AL42*(1-AL$193)/(1+'TS1'!$J$84)</f>
        <v>0</v>
      </c>
      <c r="AM173" s="161">
        <f>AM42*(1-AM$193)/(1+'TS1'!$J$84)</f>
        <v>0</v>
      </c>
      <c r="AN173" s="161">
        <f>AN42*(1-AN$193)/(1+'TS1'!$J$84)</f>
        <v>0</v>
      </c>
      <c r="AO173" s="161">
        <f>AO42*(1-AO$193)/(1+'TS1'!$J$84)</f>
        <v>0</v>
      </c>
      <c r="AP173" s="161">
        <f>AP42*(1-AP$193)/(1+'TS1'!$J$84)</f>
        <v>0</v>
      </c>
      <c r="AQ173" s="161">
        <f>AQ42*(1-AQ$193)/(1+'TS1'!$J$84)</f>
        <v>0</v>
      </c>
      <c r="AR173" s="161">
        <f>AR42*(1-AR$193)/(1+'TS1'!$J$84)</f>
        <v>0</v>
      </c>
      <c r="AS173" s="161">
        <f>AS42*(1-AS$193)/(1+'TS1'!$J$84)</f>
        <v>0</v>
      </c>
      <c r="AT173" s="161">
        <f>AT42*(1-AT$193)/(1+'TS1'!$J$84)</f>
        <v>0</v>
      </c>
      <c r="AU173" s="161">
        <f>AU42*(1-AU$193)/(1+'TS1'!$J$84)</f>
        <v>0</v>
      </c>
      <c r="AV173" s="161">
        <f>AV42*(1-AV$193)/(1+'TS1'!$J$84)</f>
        <v>0</v>
      </c>
      <c r="AW173" s="161">
        <f>AW42*(1-AW$193)/(1+'TS1'!$J$84)</f>
        <v>0</v>
      </c>
      <c r="AX173" s="161">
        <f>AX42*(1-AX$193)/(1+'TS1'!$J$84)</f>
        <v>0</v>
      </c>
      <c r="AY173" s="161">
        <f>AY42*(1-AY$193)/(1+'TS1'!$J$84)</f>
        <v>0</v>
      </c>
      <c r="AZ173" s="161">
        <f>AZ42*(1-AZ$193)/(1+'TS1'!$J$84)</f>
        <v>0</v>
      </c>
      <c r="BA173" s="161">
        <f>BA42*(1-BA$193)/(1+'TS1'!$J$84)</f>
        <v>0</v>
      </c>
      <c r="BB173" s="161">
        <f>BB42*(1-BB$193)/(1+'TS1'!$J$84)</f>
        <v>0</v>
      </c>
      <c r="BC173" s="161">
        <f>BC42*(1-BC$193)/(1+'TS1'!$J$84)</f>
        <v>0</v>
      </c>
      <c r="BD173" s="161">
        <f>BD42*(1-BD$193)/(1+'TS1'!$J$84)</f>
        <v>0</v>
      </c>
      <c r="BE173" s="161">
        <f>BE42*(1-BE$193)/(1+'TS1'!$J$84)</f>
        <v>0</v>
      </c>
      <c r="BF173" s="161">
        <f>BF42*(1-BF$193)/(1+'TS1'!$J$84)</f>
        <v>0</v>
      </c>
      <c r="BG173" s="161">
        <f>BG42*(1-BG$193)/(1+'TS1'!$J$84)</f>
        <v>0</v>
      </c>
      <c r="BH173" s="161">
        <f>BH42*(1-BH$193)/(1+'TS1'!$J$84)</f>
        <v>0</v>
      </c>
      <c r="BI173" s="161">
        <f>BI42*(1-BI$193)/(1+'TS1'!$J$84)</f>
        <v>0</v>
      </c>
      <c r="BJ173" s="161">
        <f>BJ42*(1-BJ$193)/(1+'TS1'!$J$84)</f>
        <v>0</v>
      </c>
      <c r="BK173" s="161">
        <f>BK42*(1-BK$193)/(1+'TS1'!$J$84)</f>
        <v>0</v>
      </c>
      <c r="BL173" s="161">
        <f>BL42*(1-BL$193)/(1+'TS1'!$J$84)</f>
        <v>0</v>
      </c>
      <c r="BM173" s="161">
        <f>BM42*(1-BM$193)/(1+'TS1'!$J$84)</f>
        <v>0</v>
      </c>
    </row>
    <row r="174" spans="1:65" hidden="1" outlineLevel="1">
      <c r="A174" s="149"/>
      <c r="B174" s="27"/>
      <c r="C174" s="157"/>
      <c r="D174" s="158" t="str">
        <f t="shared" si="236"/>
        <v>ОФИСЫ</v>
      </c>
      <c r="E174" s="154">
        <f t="shared" si="215"/>
        <v>0</v>
      </c>
      <c r="F174" s="142"/>
      <c r="G174" s="161">
        <f>G43*(1-G$193)/(1+'TS1'!$J$84)</f>
        <v>0</v>
      </c>
      <c r="H174" s="161">
        <f>H43*(1-H$193)/(1+'TS1'!$J$84)</f>
        <v>0</v>
      </c>
      <c r="I174" s="161">
        <f>I43*(1-I$193)/(1+'TS1'!$J$84)</f>
        <v>0</v>
      </c>
      <c r="J174" s="161">
        <f>J43*(1-J$193)/(1+'TS1'!$J$84)</f>
        <v>0</v>
      </c>
      <c r="K174" s="161">
        <f>K43*(1-K$193)/(1+'TS1'!$J$84)</f>
        <v>0</v>
      </c>
      <c r="L174" s="161">
        <f>L43*(1-L$193)/(1+'TS1'!$J$84)</f>
        <v>0</v>
      </c>
      <c r="M174" s="161">
        <f>M43*(1-M$193)/(1+'TS1'!$J$84)</f>
        <v>0</v>
      </c>
      <c r="N174" s="161">
        <f>N43*(1-N$193)/(1+'TS1'!$J$84)</f>
        <v>0</v>
      </c>
      <c r="O174" s="161">
        <f>O43*(1-O$193)/(1+'TS1'!$J$84)</f>
        <v>0</v>
      </c>
      <c r="P174" s="161">
        <f>P43*(1-P$193)/(1+'TS1'!$J$84)</f>
        <v>0</v>
      </c>
      <c r="Q174" s="161">
        <f>Q43*(1-Q$193)/(1+'TS1'!$J$84)</f>
        <v>0</v>
      </c>
      <c r="R174" s="161">
        <f>R43*(1-R$193)/(1+'TS1'!$J$84)</f>
        <v>0</v>
      </c>
      <c r="S174" s="161">
        <f>S43*(1-S$193)/(1+'TS1'!$J$84)</f>
        <v>0</v>
      </c>
      <c r="T174" s="161">
        <f>T43*(1-T$193)/(1+'TS1'!$J$84)</f>
        <v>0</v>
      </c>
      <c r="U174" s="161">
        <f>U43*(1-U$193)/(1+'TS1'!$J$84)</f>
        <v>0</v>
      </c>
      <c r="V174" s="161">
        <f>V43*(1-V$193)/(1+'TS1'!$J$84)</f>
        <v>0</v>
      </c>
      <c r="W174" s="161">
        <f>W43*(1-W$193)/(1+'TS1'!$J$84)</f>
        <v>0</v>
      </c>
      <c r="X174" s="161">
        <f>X43*(1-X$193)/(1+'TS1'!$J$84)</f>
        <v>0</v>
      </c>
      <c r="Y174" s="161">
        <f>Y43*(1-Y$193)/(1+'TS1'!$J$84)</f>
        <v>0</v>
      </c>
      <c r="Z174" s="161">
        <f>Z43*(1-Z$193)/(1+'TS1'!$J$84)</f>
        <v>0</v>
      </c>
      <c r="AA174" s="161">
        <f>AA43*(1-AA$193)/(1+'TS1'!$J$84)</f>
        <v>0</v>
      </c>
      <c r="AB174" s="161">
        <f>AB43*(1-AB$193)/(1+'TS1'!$J$84)</f>
        <v>0</v>
      </c>
      <c r="AC174" s="161">
        <f>AC43*(1-AC$193)/(1+'TS1'!$J$84)</f>
        <v>0</v>
      </c>
      <c r="AD174" s="161">
        <f>AD43*(1-AD$193)/(1+'TS1'!$J$84)</f>
        <v>0</v>
      </c>
      <c r="AE174" s="161">
        <f>AE43*(1-AE$193)/(1+'TS1'!$J$84)</f>
        <v>0</v>
      </c>
      <c r="AF174" s="161">
        <f>AF43*(1-AF$193)/(1+'TS1'!$J$84)</f>
        <v>0</v>
      </c>
      <c r="AG174" s="161">
        <f>AG43*(1-AG$193)/(1+'TS1'!$J$84)</f>
        <v>0</v>
      </c>
      <c r="AH174" s="161">
        <f>AH43*(1-AH$193)/(1+'TS1'!$J$84)</f>
        <v>0</v>
      </c>
      <c r="AI174" s="161">
        <f>AI43*(1-AI$193)/(1+'TS1'!$J$84)</f>
        <v>0</v>
      </c>
      <c r="AJ174" s="161">
        <f>AJ43*(1-AJ$193)/(1+'TS1'!$J$84)</f>
        <v>0</v>
      </c>
      <c r="AK174" s="161">
        <f>AK43*(1-AK$193)/(1+'TS1'!$J$84)</f>
        <v>0</v>
      </c>
      <c r="AL174" s="161">
        <f>AL43*(1-AL$193)/(1+'TS1'!$J$84)</f>
        <v>0</v>
      </c>
      <c r="AM174" s="161">
        <f>AM43*(1-AM$193)/(1+'TS1'!$J$84)</f>
        <v>0</v>
      </c>
      <c r="AN174" s="161">
        <f>AN43*(1-AN$193)/(1+'TS1'!$J$84)</f>
        <v>0</v>
      </c>
      <c r="AO174" s="161">
        <f>AO43*(1-AO$193)/(1+'TS1'!$J$84)</f>
        <v>0</v>
      </c>
      <c r="AP174" s="161">
        <f>AP43*(1-AP$193)/(1+'TS1'!$J$84)</f>
        <v>0</v>
      </c>
      <c r="AQ174" s="161">
        <f>AQ43*(1-AQ$193)/(1+'TS1'!$J$84)</f>
        <v>0</v>
      </c>
      <c r="AR174" s="161">
        <f>AR43*(1-AR$193)/(1+'TS1'!$J$84)</f>
        <v>0</v>
      </c>
      <c r="AS174" s="161">
        <f>AS43*(1-AS$193)/(1+'TS1'!$J$84)</f>
        <v>0</v>
      </c>
      <c r="AT174" s="161">
        <f>AT43*(1-AT$193)/(1+'TS1'!$J$84)</f>
        <v>0</v>
      </c>
      <c r="AU174" s="161">
        <f>AU43*(1-AU$193)/(1+'TS1'!$J$84)</f>
        <v>0</v>
      </c>
      <c r="AV174" s="161">
        <f>AV43*(1-AV$193)/(1+'TS1'!$J$84)</f>
        <v>0</v>
      </c>
      <c r="AW174" s="161">
        <f>AW43*(1-AW$193)/(1+'TS1'!$J$84)</f>
        <v>0</v>
      </c>
      <c r="AX174" s="161">
        <f>AX43*(1-AX$193)/(1+'TS1'!$J$84)</f>
        <v>0</v>
      </c>
      <c r="AY174" s="161">
        <f>AY43*(1-AY$193)/(1+'TS1'!$J$84)</f>
        <v>0</v>
      </c>
      <c r="AZ174" s="161">
        <f>AZ43*(1-AZ$193)/(1+'TS1'!$J$84)</f>
        <v>0</v>
      </c>
      <c r="BA174" s="161">
        <f>BA43*(1-BA$193)/(1+'TS1'!$J$84)</f>
        <v>0</v>
      </c>
      <c r="BB174" s="161">
        <f>BB43*(1-BB$193)/(1+'TS1'!$J$84)</f>
        <v>0</v>
      </c>
      <c r="BC174" s="161">
        <f>BC43*(1-BC$193)/(1+'TS1'!$J$84)</f>
        <v>0</v>
      </c>
      <c r="BD174" s="161">
        <f>BD43*(1-BD$193)/(1+'TS1'!$J$84)</f>
        <v>0</v>
      </c>
      <c r="BE174" s="161">
        <f>BE43*(1-BE$193)/(1+'TS1'!$J$84)</f>
        <v>0</v>
      </c>
      <c r="BF174" s="161">
        <f>BF43*(1-BF$193)/(1+'TS1'!$J$84)</f>
        <v>0</v>
      </c>
      <c r="BG174" s="161">
        <f>BG43*(1-BG$193)/(1+'TS1'!$J$84)</f>
        <v>0</v>
      </c>
      <c r="BH174" s="161">
        <f>BH43*(1-BH$193)/(1+'TS1'!$J$84)</f>
        <v>0</v>
      </c>
      <c r="BI174" s="161">
        <f>BI43*(1-BI$193)/(1+'TS1'!$J$84)</f>
        <v>0</v>
      </c>
      <c r="BJ174" s="161">
        <f>BJ43*(1-BJ$193)/(1+'TS1'!$J$84)</f>
        <v>0</v>
      </c>
      <c r="BK174" s="161">
        <f>BK43*(1-BK$193)/(1+'TS1'!$J$84)</f>
        <v>0</v>
      </c>
      <c r="BL174" s="161">
        <f>BL43*(1-BL$193)/(1+'TS1'!$J$84)</f>
        <v>0</v>
      </c>
      <c r="BM174" s="161">
        <f>BM43*(1-BM$193)/(1+'TS1'!$J$84)</f>
        <v>0</v>
      </c>
    </row>
    <row r="175" spans="1:65" hidden="1" outlineLevel="1">
      <c r="A175" s="149"/>
      <c r="B175" s="27"/>
      <c r="C175" s="157"/>
      <c r="D175" s="158" t="str">
        <f t="shared" si="236"/>
        <v>РИТЕЙЛ</v>
      </c>
      <c r="E175" s="154">
        <f t="shared" si="215"/>
        <v>3542.8233749999999</v>
      </c>
      <c r="F175" s="142"/>
      <c r="G175" s="161">
        <f>G44*(1-G$193)/(1+'TS1'!$J$84)</f>
        <v>0</v>
      </c>
      <c r="H175" s="161">
        <f>H44*(1-H$193)/(1+'TS1'!$J$84)</f>
        <v>0</v>
      </c>
      <c r="I175" s="161">
        <f>I44*(1-I$193)/(1+'TS1'!$J$84)</f>
        <v>0</v>
      </c>
      <c r="J175" s="161">
        <f>J44*(1-J$193)/(1+'TS1'!$J$84)</f>
        <v>0</v>
      </c>
      <c r="K175" s="161">
        <f>K44*(1-K$193)/(1+'TS1'!$J$84)</f>
        <v>0</v>
      </c>
      <c r="L175" s="161">
        <f>L44*(1-L$193)/(1+'TS1'!$J$84)</f>
        <v>0</v>
      </c>
      <c r="M175" s="161">
        <f>M44*(1-M$193)/(1+'TS1'!$J$84)</f>
        <v>0</v>
      </c>
      <c r="N175" s="161">
        <f>N44*(1-N$193)/(1+'TS1'!$J$84)</f>
        <v>0</v>
      </c>
      <c r="O175" s="161">
        <f>O44*(1-O$193)/(1+'TS1'!$J$84)</f>
        <v>0</v>
      </c>
      <c r="P175" s="161">
        <f>P44*(1-P$193)/(1+'TS1'!$J$84)</f>
        <v>0</v>
      </c>
      <c r="Q175" s="161">
        <f>Q44*(1-Q$193)/(1+'TS1'!$J$84)</f>
        <v>0</v>
      </c>
      <c r="R175" s="161">
        <f>R44*(1-R$193)/(1+'TS1'!$J$84)</f>
        <v>0</v>
      </c>
      <c r="S175" s="161">
        <f>S44*(1-S$193)/(1+'TS1'!$J$84)</f>
        <v>0</v>
      </c>
      <c r="T175" s="161">
        <f>T44*(1-T$193)/(1+'TS1'!$J$84)</f>
        <v>0</v>
      </c>
      <c r="U175" s="161">
        <f>U44*(1-U$193)/(1+'TS1'!$J$84)</f>
        <v>0</v>
      </c>
      <c r="V175" s="161">
        <f>V44*(1-V$193)/(1+'TS1'!$J$84)</f>
        <v>0</v>
      </c>
      <c r="W175" s="161">
        <f>W44*(1-W$193)/(1+'TS1'!$J$84)</f>
        <v>0</v>
      </c>
      <c r="X175" s="161">
        <f>X44*(1-X$193)/(1+'TS1'!$J$84)</f>
        <v>0</v>
      </c>
      <c r="Y175" s="161">
        <f>Y44*(1-Y$193)/(1+'TS1'!$J$84)</f>
        <v>0</v>
      </c>
      <c r="Z175" s="161">
        <f>Z44*(1-Z$193)/(1+'TS1'!$J$84)</f>
        <v>0</v>
      </c>
      <c r="AA175" s="161">
        <f>AA44*(1-AA$193)/(1+'TS1'!$J$84)</f>
        <v>0</v>
      </c>
      <c r="AB175" s="161">
        <f>AB44*(1-AB$193)/(1+'TS1'!$J$84)</f>
        <v>0</v>
      </c>
      <c r="AC175" s="161">
        <f>AC44*(1-AC$193)/(1+'TS1'!$J$84)</f>
        <v>0</v>
      </c>
      <c r="AD175" s="161">
        <f>AD44*(1-AD$193)/(1+'TS1'!$J$84)</f>
        <v>0</v>
      </c>
      <c r="AE175" s="161">
        <f>AE44*(1-AE$193)/(1+'TS1'!$J$84)</f>
        <v>0</v>
      </c>
      <c r="AF175" s="161">
        <f>AF44*(1-AF$193)/(1+'TS1'!$J$84)</f>
        <v>0</v>
      </c>
      <c r="AG175" s="161">
        <f>AG44*(1-AG$193)/(1+'TS1'!$J$84)</f>
        <v>1025.8946250000001</v>
      </c>
      <c r="AH175" s="161">
        <f>AH44*(1-AH$193)/(1+'TS1'!$J$84)</f>
        <v>1025.8946250000001</v>
      </c>
      <c r="AI175" s="161">
        <f>AI44*(1-AI$193)/(1+'TS1'!$J$84)</f>
        <v>0</v>
      </c>
      <c r="AJ175" s="161">
        <f>AJ44*(1-AJ$193)/(1+'TS1'!$J$84)</f>
        <v>0</v>
      </c>
      <c r="AK175" s="161">
        <f>AK44*(1-AK$193)/(1+'TS1'!$J$84)</f>
        <v>745.51706249999984</v>
      </c>
      <c r="AL175" s="161">
        <f>AL44*(1-AL$193)/(1+'TS1'!$J$84)</f>
        <v>745.51706249999984</v>
      </c>
      <c r="AM175" s="161">
        <f>AM44*(1-AM$193)/(1+'TS1'!$J$84)</f>
        <v>0</v>
      </c>
      <c r="AN175" s="161">
        <f>AN44*(1-AN$193)/(1+'TS1'!$J$84)</f>
        <v>0</v>
      </c>
      <c r="AO175" s="161">
        <f>AO44*(1-AO$193)/(1+'TS1'!$J$84)</f>
        <v>0</v>
      </c>
      <c r="AP175" s="161">
        <f>AP44*(1-AP$193)/(1+'TS1'!$J$84)</f>
        <v>0</v>
      </c>
      <c r="AQ175" s="161">
        <f>AQ44*(1-AQ$193)/(1+'TS1'!$J$84)</f>
        <v>0</v>
      </c>
      <c r="AR175" s="161">
        <f>AR44*(1-AR$193)/(1+'TS1'!$J$84)</f>
        <v>0</v>
      </c>
      <c r="AS175" s="161">
        <f>AS44*(1-AS$193)/(1+'TS1'!$J$84)</f>
        <v>0</v>
      </c>
      <c r="AT175" s="161">
        <f>AT44*(1-AT$193)/(1+'TS1'!$J$84)</f>
        <v>0</v>
      </c>
      <c r="AU175" s="161">
        <f>AU44*(1-AU$193)/(1+'TS1'!$J$84)</f>
        <v>0</v>
      </c>
      <c r="AV175" s="161">
        <f>AV44*(1-AV$193)/(1+'TS1'!$J$84)</f>
        <v>0</v>
      </c>
      <c r="AW175" s="161">
        <f>AW44*(1-AW$193)/(1+'TS1'!$J$84)</f>
        <v>0</v>
      </c>
      <c r="AX175" s="161">
        <f>AX44*(1-AX$193)/(1+'TS1'!$J$84)</f>
        <v>0</v>
      </c>
      <c r="AY175" s="161">
        <f>AY44*(1-AY$193)/(1+'TS1'!$J$84)</f>
        <v>0</v>
      </c>
      <c r="AZ175" s="161">
        <f>AZ44*(1-AZ$193)/(1+'TS1'!$J$84)</f>
        <v>0</v>
      </c>
      <c r="BA175" s="161">
        <f>BA44*(1-BA$193)/(1+'TS1'!$J$84)</f>
        <v>0</v>
      </c>
      <c r="BB175" s="161">
        <f>BB44*(1-BB$193)/(1+'TS1'!$J$84)</f>
        <v>0</v>
      </c>
      <c r="BC175" s="161">
        <f>BC44*(1-BC$193)/(1+'TS1'!$J$84)</f>
        <v>0</v>
      </c>
      <c r="BD175" s="161">
        <f>BD44*(1-BD$193)/(1+'TS1'!$J$84)</f>
        <v>0</v>
      </c>
      <c r="BE175" s="161">
        <f>BE44*(1-BE$193)/(1+'TS1'!$J$84)</f>
        <v>0</v>
      </c>
      <c r="BF175" s="161">
        <f>BF44*(1-BF$193)/(1+'TS1'!$J$84)</f>
        <v>0</v>
      </c>
      <c r="BG175" s="161">
        <f>BG44*(1-BG$193)/(1+'TS1'!$J$84)</f>
        <v>0</v>
      </c>
      <c r="BH175" s="161">
        <f>BH44*(1-BH$193)/(1+'TS1'!$J$84)</f>
        <v>0</v>
      </c>
      <c r="BI175" s="161">
        <f>BI44*(1-BI$193)/(1+'TS1'!$J$84)</f>
        <v>0</v>
      </c>
      <c r="BJ175" s="161">
        <f>BJ44*(1-BJ$193)/(1+'TS1'!$J$84)</f>
        <v>0</v>
      </c>
      <c r="BK175" s="161">
        <f>BK44*(1-BK$193)/(1+'TS1'!$J$84)</f>
        <v>0</v>
      </c>
      <c r="BL175" s="161">
        <f>BL44*(1-BL$193)/(1+'TS1'!$J$84)</f>
        <v>0</v>
      </c>
      <c r="BM175" s="161">
        <f>BM44*(1-BM$193)/(1+'TS1'!$J$84)</f>
        <v>0</v>
      </c>
    </row>
    <row r="176" spans="1:65" hidden="1" outlineLevel="1">
      <c r="A176" s="149"/>
      <c r="B176" s="27"/>
      <c r="C176" s="157"/>
      <c r="D176" s="158" t="str">
        <f t="shared" si="236"/>
        <v>ТЦ</v>
      </c>
      <c r="E176" s="154">
        <f t="shared" si="215"/>
        <v>0</v>
      </c>
      <c r="F176" s="142"/>
      <c r="G176" s="161">
        <f>G47*(1-G$193)/(1+'TS1'!$J$84)</f>
        <v>0</v>
      </c>
      <c r="H176" s="161">
        <f>H47*(1-H$193)/(1+'TS1'!$J$84)</f>
        <v>0</v>
      </c>
      <c r="I176" s="161">
        <f>I47*(1-I$193)/(1+'TS1'!$J$84)</f>
        <v>0</v>
      </c>
      <c r="J176" s="161">
        <f>J47*(1-J$193)/(1+'TS1'!$J$84)</f>
        <v>0</v>
      </c>
      <c r="K176" s="161">
        <f>K47*(1-K$193)/(1+'TS1'!$J$84)</f>
        <v>0</v>
      </c>
      <c r="L176" s="161">
        <f>L47*(1-L$193)/(1+'TS1'!$J$84)</f>
        <v>0</v>
      </c>
      <c r="M176" s="161">
        <f>M47*(1-M$193)/(1+'TS1'!$J$84)</f>
        <v>0</v>
      </c>
      <c r="N176" s="161">
        <f>N47*(1-N$193)/(1+'TS1'!$J$84)</f>
        <v>0</v>
      </c>
      <c r="O176" s="161">
        <f>O47*(1-O$193)/(1+'TS1'!$J$84)</f>
        <v>0</v>
      </c>
      <c r="P176" s="161">
        <f>P47*(1-P$193)/(1+'TS1'!$J$84)</f>
        <v>0</v>
      </c>
      <c r="Q176" s="161">
        <f>Q47*(1-Q$193)/(1+'TS1'!$J$84)</f>
        <v>0</v>
      </c>
      <c r="R176" s="161">
        <f>R47*(1-R$193)/(1+'TS1'!$J$84)</f>
        <v>0</v>
      </c>
      <c r="S176" s="161">
        <f>S47*(1-S$193)/(1+'TS1'!$J$84)</f>
        <v>0</v>
      </c>
      <c r="T176" s="161">
        <f>T47*(1-T$193)/(1+'TS1'!$J$84)</f>
        <v>0</v>
      </c>
      <c r="U176" s="161">
        <f>U47*(1-U$193)/(1+'TS1'!$J$84)</f>
        <v>0</v>
      </c>
      <c r="V176" s="161">
        <f>V47*(1-V$193)/(1+'TS1'!$J$84)</f>
        <v>0</v>
      </c>
      <c r="W176" s="161">
        <f>W47*(1-W$193)/(1+'TS1'!$J$84)</f>
        <v>0</v>
      </c>
      <c r="X176" s="161">
        <f>X47*(1-X$193)/(1+'TS1'!$J$84)</f>
        <v>0</v>
      </c>
      <c r="Y176" s="161">
        <f>Y47*(1-Y$193)/(1+'TS1'!$J$84)</f>
        <v>0</v>
      </c>
      <c r="Z176" s="161">
        <f>Z47*(1-Z$193)/(1+'TS1'!$J$84)</f>
        <v>0</v>
      </c>
      <c r="AA176" s="161">
        <f>AA47*(1-AA$193)/(1+'TS1'!$J$84)</f>
        <v>0</v>
      </c>
      <c r="AB176" s="161">
        <f>AB47*(1-AB$193)/(1+'TS1'!$J$84)</f>
        <v>0</v>
      </c>
      <c r="AC176" s="161">
        <f>AC47*(1-AC$193)/(1+'TS1'!$J$84)</f>
        <v>0</v>
      </c>
      <c r="AD176" s="161">
        <f>AD47*(1-AD$193)/(1+'TS1'!$J$84)</f>
        <v>0</v>
      </c>
      <c r="AE176" s="161">
        <f>AE47*(1-AE$193)/(1+'TS1'!$J$84)</f>
        <v>0</v>
      </c>
      <c r="AF176" s="161">
        <f>AF47*(1-AF$193)/(1+'TS1'!$J$84)</f>
        <v>0</v>
      </c>
      <c r="AG176" s="161">
        <f>AG47*(1-AG$193)/(1+'TS1'!$J$84)</f>
        <v>0</v>
      </c>
      <c r="AH176" s="161">
        <f>AH47*(1-AH$193)/(1+'TS1'!$J$84)</f>
        <v>0</v>
      </c>
      <c r="AI176" s="161">
        <f>AI47*(1-AI$193)/(1+'TS1'!$J$84)</f>
        <v>0</v>
      </c>
      <c r="AJ176" s="161">
        <f>AJ47*(1-AJ$193)/(1+'TS1'!$J$84)</f>
        <v>0</v>
      </c>
      <c r="AK176" s="161">
        <f>AK47*(1-AK$193)/(1+'TS1'!$J$84)</f>
        <v>0</v>
      </c>
      <c r="AL176" s="161">
        <f>AL47*(1-AL$193)/(1+'TS1'!$J$84)</f>
        <v>0</v>
      </c>
      <c r="AM176" s="161">
        <f>AM47*(1-AM$193)/(1+'TS1'!$J$84)</f>
        <v>0</v>
      </c>
      <c r="AN176" s="161">
        <f>AN47*(1-AN$193)/(1+'TS1'!$J$84)</f>
        <v>0</v>
      </c>
      <c r="AO176" s="161">
        <f>AO47*(1-AO$193)/(1+'TS1'!$J$84)</f>
        <v>0</v>
      </c>
      <c r="AP176" s="161">
        <f>AP47*(1-AP$193)/(1+'TS1'!$J$84)</f>
        <v>0</v>
      </c>
      <c r="AQ176" s="161">
        <f>AQ47*(1-AQ$193)/(1+'TS1'!$J$84)</f>
        <v>0</v>
      </c>
      <c r="AR176" s="161">
        <f>AR47*(1-AR$193)/(1+'TS1'!$J$84)</f>
        <v>0</v>
      </c>
      <c r="AS176" s="161">
        <f>AS47*(1-AS$193)/(1+'TS1'!$J$84)</f>
        <v>0</v>
      </c>
      <c r="AT176" s="161">
        <f>AT47*(1-AT$193)/(1+'TS1'!$J$84)</f>
        <v>0</v>
      </c>
      <c r="AU176" s="161">
        <f>AU47*(1-AU$193)/(1+'TS1'!$J$84)</f>
        <v>0</v>
      </c>
      <c r="AV176" s="161">
        <f>AV47*(1-AV$193)/(1+'TS1'!$J$84)</f>
        <v>0</v>
      </c>
      <c r="AW176" s="161">
        <f>AW47*(1-AW$193)/(1+'TS1'!$J$84)</f>
        <v>0</v>
      </c>
      <c r="AX176" s="161">
        <f>AX47*(1-AX$193)/(1+'TS1'!$J$84)</f>
        <v>0</v>
      </c>
      <c r="AY176" s="161">
        <f>AY47*(1-AY$193)/(1+'TS1'!$J$84)</f>
        <v>0</v>
      </c>
      <c r="AZ176" s="161">
        <f>AZ47*(1-AZ$193)/(1+'TS1'!$J$84)</f>
        <v>0</v>
      </c>
      <c r="BA176" s="161">
        <f>BA47*(1-BA$193)/(1+'TS1'!$J$84)</f>
        <v>0</v>
      </c>
      <c r="BB176" s="161">
        <f>BB47*(1-BB$193)/(1+'TS1'!$J$84)</f>
        <v>0</v>
      </c>
      <c r="BC176" s="161">
        <f>BC47*(1-BC$193)/(1+'TS1'!$J$84)</f>
        <v>0</v>
      </c>
      <c r="BD176" s="161">
        <f>BD47*(1-BD$193)/(1+'TS1'!$J$84)</f>
        <v>0</v>
      </c>
      <c r="BE176" s="161">
        <f>BE47*(1-BE$193)/(1+'TS1'!$J$84)</f>
        <v>0</v>
      </c>
      <c r="BF176" s="161">
        <f>BF47*(1-BF$193)/(1+'TS1'!$J$84)</f>
        <v>0</v>
      </c>
      <c r="BG176" s="161">
        <f>BG47*(1-BG$193)/(1+'TS1'!$J$84)</f>
        <v>0</v>
      </c>
      <c r="BH176" s="161">
        <f>BH47*(1-BH$193)/(1+'TS1'!$J$84)</f>
        <v>0</v>
      </c>
      <c r="BI176" s="161">
        <f>BI47*(1-BI$193)/(1+'TS1'!$J$84)</f>
        <v>0</v>
      </c>
      <c r="BJ176" s="161">
        <f>BJ47*(1-BJ$193)/(1+'TS1'!$J$84)</f>
        <v>0</v>
      </c>
      <c r="BK176" s="161">
        <f>BK47*(1-BK$193)/(1+'TS1'!$J$84)</f>
        <v>0</v>
      </c>
      <c r="BL176" s="161">
        <f>BL47*(1-BL$193)/(1+'TS1'!$J$84)</f>
        <v>0</v>
      </c>
      <c r="BM176" s="161">
        <f>BM47*(1-BM$193)/(1+'TS1'!$J$84)</f>
        <v>0</v>
      </c>
    </row>
    <row r="177" spans="1:65" hidden="1" outlineLevel="1">
      <c r="A177" s="149"/>
      <c r="B177" s="27"/>
      <c r="C177" s="157"/>
      <c r="D177" s="158" t="str">
        <f t="shared" si="236"/>
        <v>ПАРКИНГ ЖИЛЬЕ</v>
      </c>
      <c r="E177" s="154">
        <f t="shared" si="215"/>
        <v>1920</v>
      </c>
      <c r="F177" s="142"/>
      <c r="G177" s="161">
        <f>G48*(1-G$193)/(1+'TS1'!$J$84)</f>
        <v>0</v>
      </c>
      <c r="H177" s="161">
        <f>H48*(1-H$193)/(1+'TS1'!$J$84)</f>
        <v>0</v>
      </c>
      <c r="I177" s="161">
        <f>I48*(1-I$193)/(1+'TS1'!$J$84)</f>
        <v>0</v>
      </c>
      <c r="J177" s="161">
        <f>J48*(1-J$193)/(1+'TS1'!$J$84)</f>
        <v>0</v>
      </c>
      <c r="K177" s="161">
        <f>K48*(1-K$193)/(1+'TS1'!$J$84)</f>
        <v>0</v>
      </c>
      <c r="L177" s="161">
        <f>L48*(1-L$193)/(1+'TS1'!$J$84)</f>
        <v>0</v>
      </c>
      <c r="M177" s="161">
        <f>M48*(1-M$193)/(1+'TS1'!$J$84)</f>
        <v>0</v>
      </c>
      <c r="N177" s="161">
        <f>N48*(1-N$193)/(1+'TS1'!$J$84)</f>
        <v>0</v>
      </c>
      <c r="O177" s="161">
        <f>O48*(1-O$193)/(1+'TS1'!$J$84)</f>
        <v>0</v>
      </c>
      <c r="P177" s="161">
        <f>P48*(1-P$193)/(1+'TS1'!$J$84)</f>
        <v>0</v>
      </c>
      <c r="Q177" s="161">
        <f>Q48*(1-Q$193)/(1+'TS1'!$J$84)</f>
        <v>0</v>
      </c>
      <c r="R177" s="161">
        <f>R48*(1-R$193)/(1+'TS1'!$J$84)</f>
        <v>0</v>
      </c>
      <c r="S177" s="161">
        <f>S48*(1-S$193)/(1+'TS1'!$J$84)</f>
        <v>0</v>
      </c>
      <c r="T177" s="161">
        <f>T48*(1-T$193)/(1+'TS1'!$J$84)</f>
        <v>0</v>
      </c>
      <c r="U177" s="161">
        <f>U48*(1-U$193)/(1+'TS1'!$J$84)</f>
        <v>0</v>
      </c>
      <c r="V177" s="161">
        <f>V48*(1-V$193)/(1+'TS1'!$J$84)</f>
        <v>0</v>
      </c>
      <c r="W177" s="161">
        <f>W48*(1-W$193)/(1+'TS1'!$J$84)</f>
        <v>0</v>
      </c>
      <c r="X177" s="161">
        <f>X48*(1-X$193)/(1+'TS1'!$J$84)</f>
        <v>0</v>
      </c>
      <c r="Y177" s="161">
        <f>Y48*(1-Y$193)/(1+'TS1'!$J$84)</f>
        <v>0</v>
      </c>
      <c r="Z177" s="161">
        <f>Z48*(1-Z$193)/(1+'TS1'!$J$84)</f>
        <v>0</v>
      </c>
      <c r="AA177" s="161">
        <f>AA48*(1-AA$193)/(1+'TS1'!$J$84)</f>
        <v>0</v>
      </c>
      <c r="AB177" s="161">
        <f>AB48*(1-AB$193)/(1+'TS1'!$J$84)</f>
        <v>0</v>
      </c>
      <c r="AC177" s="161">
        <f>AC48*(1-AC$193)/(1+'TS1'!$J$84)</f>
        <v>0</v>
      </c>
      <c r="AD177" s="161">
        <f>AD48*(1-AD$193)/(1+'TS1'!$J$84)</f>
        <v>0</v>
      </c>
      <c r="AE177" s="161">
        <f>AE48*(1-AE$193)/(1+'TS1'!$J$84)</f>
        <v>0</v>
      </c>
      <c r="AF177" s="161">
        <f>AF48*(1-AF$193)/(1+'TS1'!$J$84)</f>
        <v>225</v>
      </c>
      <c r="AG177" s="161">
        <f>AG48*(1-AG$193)/(1+'TS1'!$J$84)</f>
        <v>225</v>
      </c>
      <c r="AH177" s="161">
        <f>AH48*(1-AH$193)/(1+'TS1'!$J$84)</f>
        <v>225</v>
      </c>
      <c r="AI177" s="161">
        <f>AI48*(1-AI$193)/(1+'TS1'!$J$84)</f>
        <v>225</v>
      </c>
      <c r="AJ177" s="161">
        <f>AJ48*(1-AJ$193)/(1+'TS1'!$J$84)</f>
        <v>225</v>
      </c>
      <c r="AK177" s="161">
        <f>AK48*(1-AK$193)/(1+'TS1'!$J$84)</f>
        <v>225</v>
      </c>
      <c r="AL177" s="161">
        <f>AL48*(1-AL$193)/(1+'TS1'!$J$84)</f>
        <v>225</v>
      </c>
      <c r="AM177" s="161">
        <f>AM48*(1-AM$193)/(1+'TS1'!$J$84)</f>
        <v>221.25</v>
      </c>
      <c r="AN177" s="161">
        <f>AN48*(1-AN$193)/(1+'TS1'!$J$84)</f>
        <v>123.75</v>
      </c>
      <c r="AO177" s="161">
        <f>AO48*(1-AO$193)/(1+'TS1'!$J$84)</f>
        <v>0</v>
      </c>
      <c r="AP177" s="161">
        <f>AP48*(1-AP$193)/(1+'TS1'!$J$84)</f>
        <v>0</v>
      </c>
      <c r="AQ177" s="161">
        <f>AQ48*(1-AQ$193)/(1+'TS1'!$J$84)</f>
        <v>0</v>
      </c>
      <c r="AR177" s="161">
        <f>AR48*(1-AR$193)/(1+'TS1'!$J$84)</f>
        <v>0</v>
      </c>
      <c r="AS177" s="161">
        <f>AS48*(1-AS$193)/(1+'TS1'!$J$84)</f>
        <v>0</v>
      </c>
      <c r="AT177" s="161">
        <f>AT48*(1-AT$193)/(1+'TS1'!$J$84)</f>
        <v>0</v>
      </c>
      <c r="AU177" s="161">
        <f>AU48*(1-AU$193)/(1+'TS1'!$J$84)</f>
        <v>0</v>
      </c>
      <c r="AV177" s="161">
        <f>AV48*(1-AV$193)/(1+'TS1'!$J$84)</f>
        <v>0</v>
      </c>
      <c r="AW177" s="161">
        <f>AW48*(1-AW$193)/(1+'TS1'!$J$84)</f>
        <v>0</v>
      </c>
      <c r="AX177" s="161">
        <f>AX48*(1-AX$193)/(1+'TS1'!$J$84)</f>
        <v>0</v>
      </c>
      <c r="AY177" s="161">
        <f>AY48*(1-AY$193)/(1+'TS1'!$J$84)</f>
        <v>0</v>
      </c>
      <c r="AZ177" s="161">
        <f>AZ48*(1-AZ$193)/(1+'TS1'!$J$84)</f>
        <v>0</v>
      </c>
      <c r="BA177" s="161">
        <f>BA48*(1-BA$193)/(1+'TS1'!$J$84)</f>
        <v>0</v>
      </c>
      <c r="BB177" s="161">
        <f>BB48*(1-BB$193)/(1+'TS1'!$J$84)</f>
        <v>0</v>
      </c>
      <c r="BC177" s="161">
        <f>BC48*(1-BC$193)/(1+'TS1'!$J$84)</f>
        <v>0</v>
      </c>
      <c r="BD177" s="161">
        <f>BD48*(1-BD$193)/(1+'TS1'!$J$84)</f>
        <v>0</v>
      </c>
      <c r="BE177" s="161">
        <f>BE48*(1-BE$193)/(1+'TS1'!$J$84)</f>
        <v>0</v>
      </c>
      <c r="BF177" s="161">
        <f>BF48*(1-BF$193)/(1+'TS1'!$J$84)</f>
        <v>0</v>
      </c>
      <c r="BG177" s="161">
        <f>BG48*(1-BG$193)/(1+'TS1'!$J$84)</f>
        <v>0</v>
      </c>
      <c r="BH177" s="161">
        <f>BH48*(1-BH$193)/(1+'TS1'!$J$84)</f>
        <v>0</v>
      </c>
      <c r="BI177" s="161">
        <f>BI48*(1-BI$193)/(1+'TS1'!$J$84)</f>
        <v>0</v>
      </c>
      <c r="BJ177" s="161">
        <f>BJ48*(1-BJ$193)/(1+'TS1'!$J$84)</f>
        <v>0</v>
      </c>
      <c r="BK177" s="161">
        <f>BK48*(1-BK$193)/(1+'TS1'!$J$84)</f>
        <v>0</v>
      </c>
      <c r="BL177" s="161">
        <f>BL48*(1-BL$193)/(1+'TS1'!$J$84)</f>
        <v>0</v>
      </c>
      <c r="BM177" s="161">
        <f>BM48*(1-BM$193)/(1+'TS1'!$J$84)</f>
        <v>0</v>
      </c>
    </row>
    <row r="178" spans="1:65" hidden="1" outlineLevel="1">
      <c r="A178" s="149"/>
      <c r="B178" s="27"/>
      <c r="C178" s="157"/>
      <c r="D178" s="158" t="str">
        <f t="shared" si="236"/>
        <v>ПАРКИНГ ОФИС</v>
      </c>
      <c r="E178" s="154">
        <f t="shared" si="215"/>
        <v>0</v>
      </c>
      <c r="F178" s="142"/>
      <c r="G178" s="161">
        <f>G51*(1-G$193)/(1+'TS1'!$J$84)</f>
        <v>0</v>
      </c>
      <c r="H178" s="161">
        <f>H51*(1-H$193)/(1+'TS1'!$J$84)</f>
        <v>0</v>
      </c>
      <c r="I178" s="161">
        <f>I51*(1-I$193)/(1+'TS1'!$J$84)</f>
        <v>0</v>
      </c>
      <c r="J178" s="161">
        <f>J51*(1-J$193)/(1+'TS1'!$J$84)</f>
        <v>0</v>
      </c>
      <c r="K178" s="161">
        <f>K51*(1-K$193)/(1+'TS1'!$J$84)</f>
        <v>0</v>
      </c>
      <c r="L178" s="161">
        <f>L51*(1-L$193)/(1+'TS1'!$J$84)</f>
        <v>0</v>
      </c>
      <c r="M178" s="161">
        <f>M51*(1-M$193)/(1+'TS1'!$J$84)</f>
        <v>0</v>
      </c>
      <c r="N178" s="161">
        <f>N51*(1-N$193)/(1+'TS1'!$J$84)</f>
        <v>0</v>
      </c>
      <c r="O178" s="161">
        <f>O51*(1-O$193)/(1+'TS1'!$J$84)</f>
        <v>0</v>
      </c>
      <c r="P178" s="161">
        <f>P51*(1-P$193)/(1+'TS1'!$J$84)</f>
        <v>0</v>
      </c>
      <c r="Q178" s="161">
        <f>Q51*(1-Q$193)/(1+'TS1'!$J$84)</f>
        <v>0</v>
      </c>
      <c r="R178" s="161">
        <f>R51*(1-R$193)/(1+'TS1'!$J$84)</f>
        <v>0</v>
      </c>
      <c r="S178" s="161">
        <f>S51*(1-S$193)/(1+'TS1'!$J$84)</f>
        <v>0</v>
      </c>
      <c r="T178" s="161">
        <f>T51*(1-T$193)/(1+'TS1'!$J$84)</f>
        <v>0</v>
      </c>
      <c r="U178" s="161">
        <f>U51*(1-U$193)/(1+'TS1'!$J$84)</f>
        <v>0</v>
      </c>
      <c r="V178" s="161">
        <f>V51*(1-V$193)/(1+'TS1'!$J$84)</f>
        <v>0</v>
      </c>
      <c r="W178" s="161">
        <f>W51*(1-W$193)/(1+'TS1'!$J$84)</f>
        <v>0</v>
      </c>
      <c r="X178" s="161">
        <f>X51*(1-X$193)/(1+'TS1'!$J$84)</f>
        <v>0</v>
      </c>
      <c r="Y178" s="161">
        <f>Y51*(1-Y$193)/(1+'TS1'!$J$84)</f>
        <v>0</v>
      </c>
      <c r="Z178" s="161">
        <f>Z51*(1-Z$193)/(1+'TS1'!$J$84)</f>
        <v>0</v>
      </c>
      <c r="AA178" s="161">
        <f>AA51*(1-AA$193)/(1+'TS1'!$J$84)</f>
        <v>0</v>
      </c>
      <c r="AB178" s="161">
        <f>AB51*(1-AB$193)/(1+'TS1'!$J$84)</f>
        <v>0</v>
      </c>
      <c r="AC178" s="161">
        <f>AC51*(1-AC$193)/(1+'TS1'!$J$84)</f>
        <v>0</v>
      </c>
      <c r="AD178" s="161">
        <f>AD51*(1-AD$193)/(1+'TS1'!$J$84)</f>
        <v>0</v>
      </c>
      <c r="AE178" s="161">
        <f>AE51*(1-AE$193)/(1+'TS1'!$J$84)</f>
        <v>0</v>
      </c>
      <c r="AF178" s="161">
        <f>AF51*(1-AF$193)/(1+'TS1'!$J$84)</f>
        <v>0</v>
      </c>
      <c r="AG178" s="161">
        <f>AG51*(1-AG$193)/(1+'TS1'!$J$84)</f>
        <v>0</v>
      </c>
      <c r="AH178" s="161">
        <f>AH51*(1-AH$193)/(1+'TS1'!$J$84)</f>
        <v>0</v>
      </c>
      <c r="AI178" s="161">
        <f>AI51*(1-AI$193)/(1+'TS1'!$J$84)</f>
        <v>0</v>
      </c>
      <c r="AJ178" s="161">
        <f>AJ51*(1-AJ$193)/(1+'TS1'!$J$84)</f>
        <v>0</v>
      </c>
      <c r="AK178" s="161">
        <f>AK51*(1-AK$193)/(1+'TS1'!$J$84)</f>
        <v>0</v>
      </c>
      <c r="AL178" s="161">
        <f>AL51*(1-AL$193)/(1+'TS1'!$J$84)</f>
        <v>0</v>
      </c>
      <c r="AM178" s="161">
        <f>AM51*(1-AM$193)/(1+'TS1'!$J$84)</f>
        <v>0</v>
      </c>
      <c r="AN178" s="161">
        <f>AN51*(1-AN$193)/(1+'TS1'!$J$84)</f>
        <v>0</v>
      </c>
      <c r="AO178" s="161">
        <f>AO51*(1-AO$193)/(1+'TS1'!$J$84)</f>
        <v>0</v>
      </c>
      <c r="AP178" s="161">
        <f>AP51*(1-AP$193)/(1+'TS1'!$J$84)</f>
        <v>0</v>
      </c>
      <c r="AQ178" s="161">
        <f>AQ51*(1-AQ$193)/(1+'TS1'!$J$84)</f>
        <v>0</v>
      </c>
      <c r="AR178" s="161">
        <f>AR51*(1-AR$193)/(1+'TS1'!$J$84)</f>
        <v>0</v>
      </c>
      <c r="AS178" s="161">
        <f>AS51*(1-AS$193)/(1+'TS1'!$J$84)</f>
        <v>0</v>
      </c>
      <c r="AT178" s="161">
        <f>AT51*(1-AT$193)/(1+'TS1'!$J$84)</f>
        <v>0</v>
      </c>
      <c r="AU178" s="161">
        <f>AU51*(1-AU$193)/(1+'TS1'!$J$84)</f>
        <v>0</v>
      </c>
      <c r="AV178" s="161">
        <f>AV51*(1-AV$193)/(1+'TS1'!$J$84)</f>
        <v>0</v>
      </c>
      <c r="AW178" s="161">
        <f>AW51*(1-AW$193)/(1+'TS1'!$J$84)</f>
        <v>0</v>
      </c>
      <c r="AX178" s="161">
        <f>AX51*(1-AX$193)/(1+'TS1'!$J$84)</f>
        <v>0</v>
      </c>
      <c r="AY178" s="161">
        <f>AY51*(1-AY$193)/(1+'TS1'!$J$84)</f>
        <v>0</v>
      </c>
      <c r="AZ178" s="161">
        <f>AZ51*(1-AZ$193)/(1+'TS1'!$J$84)</f>
        <v>0</v>
      </c>
      <c r="BA178" s="161">
        <f>BA51*(1-BA$193)/(1+'TS1'!$J$84)</f>
        <v>0</v>
      </c>
      <c r="BB178" s="161">
        <f>BB51*(1-BB$193)/(1+'TS1'!$J$84)</f>
        <v>0</v>
      </c>
      <c r="BC178" s="161">
        <f>BC51*(1-BC$193)/(1+'TS1'!$J$84)</f>
        <v>0</v>
      </c>
      <c r="BD178" s="161">
        <f>BD51*(1-BD$193)/(1+'TS1'!$J$84)</f>
        <v>0</v>
      </c>
      <c r="BE178" s="161">
        <f>BE51*(1-BE$193)/(1+'TS1'!$J$84)</f>
        <v>0</v>
      </c>
      <c r="BF178" s="161">
        <f>BF51*(1-BF$193)/(1+'TS1'!$J$84)</f>
        <v>0</v>
      </c>
      <c r="BG178" s="161">
        <f>BG51*(1-BG$193)/(1+'TS1'!$J$84)</f>
        <v>0</v>
      </c>
      <c r="BH178" s="161">
        <f>BH51*(1-BH$193)/(1+'TS1'!$J$84)</f>
        <v>0</v>
      </c>
      <c r="BI178" s="161">
        <f>BI51*(1-BI$193)/(1+'TS1'!$J$84)</f>
        <v>0</v>
      </c>
      <c r="BJ178" s="161">
        <f>BJ51*(1-BJ$193)/(1+'TS1'!$J$84)</f>
        <v>0</v>
      </c>
      <c r="BK178" s="161">
        <f>BK51*(1-BK$193)/(1+'TS1'!$J$84)</f>
        <v>0</v>
      </c>
      <c r="BL178" s="161">
        <f>BL51*(1-BL$193)/(1+'TS1'!$J$84)</f>
        <v>0</v>
      </c>
      <c r="BM178" s="161">
        <f>BM51*(1-BM$193)/(1+'TS1'!$J$84)</f>
        <v>0</v>
      </c>
    </row>
    <row r="179" spans="1:65" s="151" customFormat="1" hidden="1" outlineLevel="1">
      <c r="B179" s="152"/>
      <c r="C179" s="152" t="s">
        <v>93</v>
      </c>
      <c r="D179" s="153"/>
      <c r="E179" s="154">
        <f t="shared" si="215"/>
        <v>-44244.213681960333</v>
      </c>
      <c r="F179" s="155">
        <f>-SUM(F148*'TS1'!$AS$103,CF!F149*'TS1'!$AS$104,CF!F150*'TS1'!$AS$105,CF!F151*'TS1'!$AS$106,CF!F152*'TS1'!$AS$107,CF!F153*'TS1'!$AS$108,CF!F154*'TS1'!$AS$109)/10^6-SUM(F156*'TS1'!$AT$103,CF!F157*'TS1'!$AT$104,CF!F158*'TS1'!$AT$105,CF!F159*'TS1'!$AT$106,CF!F160*'TS1'!$AT$107,CF!F161*'TS1'!$AT$108,CF!F162*'TS1'!$AT$109)/10^6</f>
        <v>0</v>
      </c>
      <c r="G179" s="155">
        <f>-SUM(G148*'TS1'!$AS$103,CF!G149*'TS1'!$AS$104,CF!G150*'TS1'!$AS$105,CF!G151*'TS1'!$AS$106,CF!G152*'TS1'!$AS$107,CF!G153*'TS1'!$AS$108,CF!G154*'TS1'!$AS$109)/10^6-SUM(G156*'TS1'!$AT$103,CF!G157*'TS1'!$AT$104,CF!G158*'TS1'!$AT$105,CF!G159*'TS1'!$AT$106,CF!G160*'TS1'!$AT$107,CF!G161*'TS1'!$AT$108,CF!G162*'TS1'!$AT$109)/10^6</f>
        <v>0</v>
      </c>
      <c r="H179" s="155">
        <f>-SUM(H148*'TS1'!$AS$103,CF!H149*'TS1'!$AS$104,CF!H150*'TS1'!$AS$105,CF!H151*'TS1'!$AS$106,CF!H152*'TS1'!$AS$107,CF!H153*'TS1'!$AS$108,CF!H154*'TS1'!$AS$109)/10^6-SUM(H156*'TS1'!$AT$103,CF!H157*'TS1'!$AT$104,CF!H158*'TS1'!$AT$105,CF!H159*'TS1'!$AT$106,CF!H160*'TS1'!$AT$107,CF!H161*'TS1'!$AT$108,CF!H162*'TS1'!$AT$109)/10^6</f>
        <v>0</v>
      </c>
      <c r="I179" s="155">
        <f>-SUM(I148*'TS1'!$AS$103,CF!I149*'TS1'!$AS$104,CF!I150*'TS1'!$AS$105,CF!I151*'TS1'!$AS$106,CF!I152*'TS1'!$AS$107,CF!I153*'TS1'!$AS$108,CF!I154*'TS1'!$AS$109)/10^6-SUM(I156*'TS1'!$AT$103,CF!I157*'TS1'!$AT$104,CF!I158*'TS1'!$AT$105,CF!I159*'TS1'!$AT$106,CF!I160*'TS1'!$AT$107,CF!I161*'TS1'!$AT$108,CF!I162*'TS1'!$AT$109)/10^6</f>
        <v>0</v>
      </c>
      <c r="J179" s="155">
        <f>-SUM(J148*'TS1'!$AS$103,CF!J149*'TS1'!$AS$104,CF!J150*'TS1'!$AS$105,CF!J151*'TS1'!$AS$106,CF!J152*'TS1'!$AS$107,CF!J153*'TS1'!$AS$108,CF!J154*'TS1'!$AS$109)/10^6-SUM(J156*'TS1'!$AT$103,CF!J157*'TS1'!$AT$104,CF!J158*'TS1'!$AT$105,CF!J159*'TS1'!$AT$106,CF!J160*'TS1'!$AT$107,CF!J161*'TS1'!$AT$108,CF!J162*'TS1'!$AT$109)/10^6</f>
        <v>0</v>
      </c>
      <c r="K179" s="155">
        <f>-SUM(K148*'TS1'!$AS$103,CF!K149*'TS1'!$AS$104,CF!K150*'TS1'!$AS$105,CF!K151*'TS1'!$AS$106,CF!K152*'TS1'!$AS$107,CF!K153*'TS1'!$AS$108,CF!K154*'TS1'!$AS$109)/10^6-SUM(K156*'TS1'!$AT$103,CF!K157*'TS1'!$AT$104,CF!K158*'TS1'!$AT$105,CF!K159*'TS1'!$AT$106,CF!K160*'TS1'!$AT$107,CF!K161*'TS1'!$AT$108,CF!K162*'TS1'!$AT$109)/10^6</f>
        <v>0</v>
      </c>
      <c r="L179" s="155">
        <f>-SUM(L148*'TS1'!$AS$103,CF!L149*'TS1'!$AS$104,CF!L150*'TS1'!$AS$105,CF!L151*'TS1'!$AS$106,CF!L152*'TS1'!$AS$107,CF!L153*'TS1'!$AS$108,CF!L154*'TS1'!$AS$109)/10^6-SUM(L156*'TS1'!$AT$103,CF!L157*'TS1'!$AT$104,CF!L158*'TS1'!$AT$105,CF!L159*'TS1'!$AT$106,CF!L160*'TS1'!$AT$107,CF!L161*'TS1'!$AT$108,CF!L162*'TS1'!$AT$109)/10^6</f>
        <v>0</v>
      </c>
      <c r="M179" s="155">
        <f>-SUM(M148*'TS1'!$AS$103,CF!M149*'TS1'!$AS$104,CF!M150*'TS1'!$AS$105,CF!M151*'TS1'!$AS$106,CF!M152*'TS1'!$AS$107,CF!M153*'TS1'!$AS$108,CF!M154*'TS1'!$AS$109)/10^6-SUM(M156*'TS1'!$AT$103,CF!M157*'TS1'!$AT$104,CF!M158*'TS1'!$AT$105,CF!M159*'TS1'!$AT$106,CF!M160*'TS1'!$AT$107,CF!M161*'TS1'!$AT$108,CF!M162*'TS1'!$AT$109)/10^6</f>
        <v>0</v>
      </c>
      <c r="N179" s="155">
        <f>-SUM(N148*'TS1'!$AS$103,CF!N149*'TS1'!$AS$104,CF!N150*'TS1'!$AS$105,CF!N151*'TS1'!$AS$106,CF!N152*'TS1'!$AS$107,CF!N153*'TS1'!$AS$108,CF!N154*'TS1'!$AS$109)/10^6-SUM(N156*'TS1'!$AT$103,CF!N157*'TS1'!$AT$104,CF!N158*'TS1'!$AT$105,CF!N159*'TS1'!$AT$106,CF!N160*'TS1'!$AT$107,CF!N161*'TS1'!$AT$108,CF!N162*'TS1'!$AT$109)/10^6</f>
        <v>0</v>
      </c>
      <c r="O179" s="155">
        <f>-SUM(O148*'TS1'!$AS$103,CF!O149*'TS1'!$AS$104,CF!O150*'TS1'!$AS$105,CF!O151*'TS1'!$AS$106,CF!O152*'TS1'!$AS$107,CF!O153*'TS1'!$AS$108,CF!O154*'TS1'!$AS$109)/10^6-SUM(O156*'TS1'!$AT$103,CF!O157*'TS1'!$AT$104,CF!O158*'TS1'!$AT$105,CF!O159*'TS1'!$AT$106,CF!O160*'TS1'!$AT$107,CF!O161*'TS1'!$AT$108,CF!O162*'TS1'!$AT$109)/10^6</f>
        <v>0</v>
      </c>
      <c r="P179" s="155">
        <f>-SUM(P148*'TS1'!$AS$103,CF!P149*'TS1'!$AS$104,CF!P150*'TS1'!$AS$105,CF!P151*'TS1'!$AS$106,CF!P152*'TS1'!$AS$107,CF!P153*'TS1'!$AS$108,CF!P154*'TS1'!$AS$109)/10^6-SUM(P156*'TS1'!$AT$103,CF!P157*'TS1'!$AT$104,CF!P158*'TS1'!$AT$105,CF!P159*'TS1'!$AT$106,CF!P160*'TS1'!$AT$107,CF!P161*'TS1'!$AT$108,CF!P162*'TS1'!$AT$109)/10^6</f>
        <v>0</v>
      </c>
      <c r="Q179" s="155">
        <f>-SUM(Q148*'TS1'!$AS$103,CF!Q149*'TS1'!$AS$104,CF!Q150*'TS1'!$AS$105,CF!Q151*'TS1'!$AS$106,CF!Q152*'TS1'!$AS$107,CF!Q153*'TS1'!$AS$108,CF!Q154*'TS1'!$AS$109)/10^6-SUM(Q156*'TS1'!$AT$103,CF!Q157*'TS1'!$AT$104,CF!Q158*'TS1'!$AT$105,CF!Q159*'TS1'!$AT$106,CF!Q160*'TS1'!$AT$107,CF!Q161*'TS1'!$AT$108,CF!Q162*'TS1'!$AT$109)/10^6</f>
        <v>0</v>
      </c>
      <c r="R179" s="155">
        <f>-SUM(R148*'TS1'!$AS$103,CF!R149*'TS1'!$AS$104,CF!R150*'TS1'!$AS$105,CF!R151*'TS1'!$AS$106,CF!R152*'TS1'!$AS$107,CF!R153*'TS1'!$AS$108,CF!R154*'TS1'!$AS$109)/10^6-SUM(R156*'TS1'!$AT$103,CF!R157*'TS1'!$AT$104,CF!R158*'TS1'!$AT$105,CF!R159*'TS1'!$AT$106,CF!R160*'TS1'!$AT$107,CF!R161*'TS1'!$AT$108,CF!R162*'TS1'!$AT$109)/10^6</f>
        <v>0</v>
      </c>
      <c r="S179" s="155">
        <f>-SUM(S148*'TS1'!$AS$103,CF!S149*'TS1'!$AS$104,CF!S150*'TS1'!$AS$105,CF!S151*'TS1'!$AS$106,CF!S152*'TS1'!$AS$107,CF!S153*'TS1'!$AS$108,CF!S154*'TS1'!$AS$109)/10^6-SUM(S156*'TS1'!$AT$103,CF!S157*'TS1'!$AT$104,CF!S158*'TS1'!$AT$105,CF!S159*'TS1'!$AT$106,CF!S160*'TS1'!$AT$107,CF!S161*'TS1'!$AT$108,CF!S162*'TS1'!$AT$109)/10^6</f>
        <v>0</v>
      </c>
      <c r="T179" s="155">
        <f>-SUM(T148*'TS1'!$AS$103,CF!T149*'TS1'!$AS$104,CF!T150*'TS1'!$AS$105,CF!T151*'TS1'!$AS$106,CF!T152*'TS1'!$AS$107,CF!T153*'TS1'!$AS$108,CF!T154*'TS1'!$AS$109)/10^6-SUM(T156*'TS1'!$AT$103,CF!T157*'TS1'!$AT$104,CF!T158*'TS1'!$AT$105,CF!T159*'TS1'!$AT$106,CF!T160*'TS1'!$AT$107,CF!T161*'TS1'!$AT$108,CF!T162*'TS1'!$AT$109)/10^6</f>
        <v>0</v>
      </c>
      <c r="U179" s="155">
        <f>-SUM(U148*'TS1'!$AS$103,CF!U149*'TS1'!$AS$104,CF!U150*'TS1'!$AS$105,CF!U151*'TS1'!$AS$106,CF!U152*'TS1'!$AS$107,CF!U153*'TS1'!$AS$108,CF!U154*'TS1'!$AS$109)/10^6-SUM(U156*'TS1'!$AT$103,CF!U157*'TS1'!$AT$104,CF!U158*'TS1'!$AT$105,CF!U159*'TS1'!$AT$106,CF!U160*'TS1'!$AT$107,CF!U161*'TS1'!$AT$108,CF!U162*'TS1'!$AT$109)/10^6</f>
        <v>0</v>
      </c>
      <c r="V179" s="155">
        <f>-SUM(V148*'TS1'!$AS$103,CF!V149*'TS1'!$AS$104,CF!V150*'TS1'!$AS$105,CF!V151*'TS1'!$AS$106,CF!V152*'TS1'!$AS$107,CF!V153*'TS1'!$AS$108,CF!V154*'TS1'!$AS$109)/10^6-SUM(V156*'TS1'!$AT$103,CF!V157*'TS1'!$AT$104,CF!V158*'TS1'!$AT$105,CF!V159*'TS1'!$AT$106,CF!V160*'TS1'!$AT$107,CF!V161*'TS1'!$AT$108,CF!V162*'TS1'!$AT$109)/10^6</f>
        <v>0</v>
      </c>
      <c r="W179" s="155">
        <f>-SUM(W148*'TS1'!$AS$103,CF!W149*'TS1'!$AS$104,CF!W150*'TS1'!$AS$105,CF!W151*'TS1'!$AS$106,CF!W152*'TS1'!$AS$107,CF!W153*'TS1'!$AS$108,CF!W154*'TS1'!$AS$109)/10^6-SUM(W156*'TS1'!$AT$103,CF!W157*'TS1'!$AT$104,CF!W158*'TS1'!$AT$105,CF!W159*'TS1'!$AT$106,CF!W160*'TS1'!$AT$107,CF!W161*'TS1'!$AT$108,CF!W162*'TS1'!$AT$109)/10^6</f>
        <v>0</v>
      </c>
      <c r="X179" s="155">
        <f>-SUM(X148*'TS1'!$AS$103,CF!X149*'TS1'!$AS$104,CF!X150*'TS1'!$AS$105,CF!X151*'TS1'!$AS$106,CF!X152*'TS1'!$AS$107,CF!X153*'TS1'!$AS$108,CF!X154*'TS1'!$AS$109)/10^6-SUM(X156*'TS1'!$AT$103,CF!X157*'TS1'!$AT$104,CF!X158*'TS1'!$AT$105,CF!X159*'TS1'!$AT$106,CF!X160*'TS1'!$AT$107,CF!X161*'TS1'!$AT$108,CF!X162*'TS1'!$AT$109)/10^6</f>
        <v>0</v>
      </c>
      <c r="Y179" s="155">
        <f>-SUM(Y148*'TS1'!$AS$103,CF!Y149*'TS1'!$AS$104,CF!Y150*'TS1'!$AS$105,CF!Y151*'TS1'!$AS$106,CF!Y152*'TS1'!$AS$107,CF!Y153*'TS1'!$AS$108,CF!Y154*'TS1'!$AS$109)/10^6-SUM(Y156*'TS1'!$AT$103,CF!Y157*'TS1'!$AT$104,CF!Y158*'TS1'!$AT$105,CF!Y159*'TS1'!$AT$106,CF!Y160*'TS1'!$AT$107,CF!Y161*'TS1'!$AT$108,CF!Y162*'TS1'!$AT$109)/10^6</f>
        <v>0</v>
      </c>
      <c r="Z179" s="155">
        <f>-SUM(Z148*'TS1'!$AS$103,CF!Z149*'TS1'!$AS$104,CF!Z150*'TS1'!$AS$105,CF!Z151*'TS1'!$AS$106,CF!Z152*'TS1'!$AS$107,CF!Z153*'TS1'!$AS$108,CF!Z154*'TS1'!$AS$109)/10^6-SUM(Z156*'TS1'!$AT$103,CF!Z157*'TS1'!$AT$104,CF!Z158*'TS1'!$AT$105,CF!Z159*'TS1'!$AT$106,CF!Z160*'TS1'!$AT$107,CF!Z161*'TS1'!$AT$108,CF!Z162*'TS1'!$AT$109)/10^6</f>
        <v>0</v>
      </c>
      <c r="AA179" s="155">
        <f>-SUM(AA148*'TS1'!$AS$103,CF!AA149*'TS1'!$AS$104,CF!AA150*'TS1'!$AS$105,CF!AA151*'TS1'!$AS$106,CF!AA152*'TS1'!$AS$107,CF!AA153*'TS1'!$AS$108,CF!AA154*'TS1'!$AS$109)/10^6-SUM(AA156*'TS1'!$AT$103,CF!AA157*'TS1'!$AT$104,CF!AA158*'TS1'!$AT$105,CF!AA159*'TS1'!$AT$106,CF!AA160*'TS1'!$AT$107,CF!AA161*'TS1'!$AT$108,CF!AA162*'TS1'!$AT$109)/10^6</f>
        <v>0</v>
      </c>
      <c r="AB179" s="155">
        <f>-SUM(AB148*'TS1'!$AS$103,CF!AB149*'TS1'!$AS$104,CF!AB150*'TS1'!$AS$105,CF!AB151*'TS1'!$AS$106,CF!AB152*'TS1'!$AS$107,CF!AB153*'TS1'!$AS$108,CF!AB154*'TS1'!$AS$109)/10^6-SUM(AB156*'TS1'!$AT$103,CF!AB157*'TS1'!$AT$104,CF!AB158*'TS1'!$AT$105,CF!AB159*'TS1'!$AT$106,CF!AB160*'TS1'!$AT$107,CF!AB161*'TS1'!$AT$108,CF!AB162*'TS1'!$AT$109)/10^6</f>
        <v>0</v>
      </c>
      <c r="AC179" s="155">
        <f>-SUM(AC148*'TS1'!$AS$103,CF!AC149*'TS1'!$AS$104,CF!AC150*'TS1'!$AS$105,CF!AC151*'TS1'!$AS$106,CF!AC152*'TS1'!$AS$107,CF!AC153*'TS1'!$AS$108,CF!AC154*'TS1'!$AS$109)/10^6-SUM(AC156*'TS1'!$AT$103,CF!AC157*'TS1'!$AT$104,CF!AC158*'TS1'!$AT$105,CF!AC159*'TS1'!$AT$106,CF!AC160*'TS1'!$AT$107,CF!AC161*'TS1'!$AT$108,CF!AC162*'TS1'!$AT$109)/10^6</f>
        <v>0</v>
      </c>
      <c r="AD179" s="155">
        <f>-SUM(AD148*'TS1'!$AS$103,CF!AD149*'TS1'!$AS$104,CF!AD150*'TS1'!$AS$105,CF!AD151*'TS1'!$AS$106,CF!AD152*'TS1'!$AS$107,CF!AD153*'TS1'!$AS$108,CF!AD154*'TS1'!$AS$109)/10^6-SUM(AD156*'TS1'!$AT$103,CF!AD157*'TS1'!$AT$104,CF!AD158*'TS1'!$AT$105,CF!AD159*'TS1'!$AT$106,CF!AD160*'TS1'!$AT$107,CF!AD161*'TS1'!$AT$108,CF!AD162*'TS1'!$AT$109)/10^6</f>
        <v>0</v>
      </c>
      <c r="AE179" s="155">
        <f>-SUM(AE148*'TS1'!$AS$103,CF!AE149*'TS1'!$AS$104,CF!AE150*'TS1'!$AS$105,CF!AE151*'TS1'!$AS$106,CF!AE152*'TS1'!$AS$107,CF!AE153*'TS1'!$AS$108,CF!AE154*'TS1'!$AS$109)/10^6-SUM(AE156*'TS1'!$AT$103,CF!AE157*'TS1'!$AT$104,CF!AE158*'TS1'!$AT$105,CF!AE159*'TS1'!$AT$106,CF!AE160*'TS1'!$AT$107,CF!AE161*'TS1'!$AT$108,CF!AE162*'TS1'!$AT$109)/10^6</f>
        <v>0</v>
      </c>
      <c r="AF179" s="155">
        <f>-SUM(AF148*'TS1'!$AS$103,CF!AF149*'TS1'!$AS$104,CF!AF150*'TS1'!$AS$105,CF!AF151*'TS1'!$AS$106,CF!AF152*'TS1'!$AS$107,CF!AF153*'TS1'!$AS$108,CF!AF154*'TS1'!$AS$109)/10^6-SUM(AF156*'TS1'!$AT$103,CF!AF157*'TS1'!$AT$104,CF!AF158*'TS1'!$AT$105,CF!AF159*'TS1'!$AT$106,CF!AF160*'TS1'!$AT$107,CF!AF161*'TS1'!$AT$108,CF!AF162*'TS1'!$AT$109)/10^6</f>
        <v>-25545.484998532575</v>
      </c>
      <c r="AG179" s="155">
        <f>-SUM(AG148*'TS1'!$AS$103,CF!AG149*'TS1'!$AS$104,CF!AG150*'TS1'!$AS$105,CF!AG151*'TS1'!$AS$106,CF!AG152*'TS1'!$AS$107,CF!AG153*'TS1'!$AS$108,CF!AG154*'TS1'!$AS$109)/10^6-SUM(AG156*'TS1'!$AT$103,CF!AG157*'TS1'!$AT$104,CF!AG158*'TS1'!$AT$105,CF!AG159*'TS1'!$AT$106,CF!AG160*'TS1'!$AT$107,CF!AG161*'TS1'!$AT$108,CF!AG162*'TS1'!$AT$109)/10^6</f>
        <v>-2808.325596531176</v>
      </c>
      <c r="AH179" s="155">
        <f>-SUM(AH148*'TS1'!$AS$103,CF!AH149*'TS1'!$AS$104,CF!AH150*'TS1'!$AS$105,CF!AH151*'TS1'!$AS$106,CF!AH152*'TS1'!$AS$107,CF!AH153*'TS1'!$AS$108,CF!AH154*'TS1'!$AS$109)/10^6-SUM(AH156*'TS1'!$AT$103,CF!AH157*'TS1'!$AT$104,CF!AH158*'TS1'!$AT$105,CF!AH159*'TS1'!$AT$106,CF!AH160*'TS1'!$AT$107,CF!AH161*'TS1'!$AT$108,CF!AH162*'TS1'!$AT$109)/10^6</f>
        <v>-2808.325596531176</v>
      </c>
      <c r="AI179" s="155">
        <f>-SUM(AI148*'TS1'!$AS$103,CF!AI149*'TS1'!$AS$104,CF!AI150*'TS1'!$AS$105,CF!AI151*'TS1'!$AS$106,CF!AI152*'TS1'!$AS$107,CF!AI153*'TS1'!$AS$108,CF!AI154*'TS1'!$AS$109)/10^6-SUM(AI156*'TS1'!$AT$103,CF!AI157*'TS1'!$AT$104,CF!AI158*'TS1'!$AT$105,CF!AI159*'TS1'!$AT$106,CF!AI160*'TS1'!$AT$107,CF!AI161*'TS1'!$AT$108,CF!AI162*'TS1'!$AT$109)/10^6</f>
        <v>-2281.4077271393248</v>
      </c>
      <c r="AJ179" s="155">
        <f>-SUM(AJ148*'TS1'!$AS$103,CF!AJ149*'TS1'!$AS$104,CF!AJ150*'TS1'!$AS$105,CF!AJ151*'TS1'!$AS$106,CF!AJ152*'TS1'!$AS$107,CF!AJ153*'TS1'!$AS$108,CF!AJ154*'TS1'!$AS$109)/10^6-SUM(AJ156*'TS1'!$AT$103,CF!AJ157*'TS1'!$AT$104,CF!AJ158*'TS1'!$AT$105,CF!AJ159*'TS1'!$AT$106,CF!AJ160*'TS1'!$AT$107,CF!AJ161*'TS1'!$AT$108,CF!AJ162*'TS1'!$AT$109)/10^6</f>
        <v>-2281.4077271393248</v>
      </c>
      <c r="AK179" s="155">
        <f>-SUM(AK148*'TS1'!$AS$103,CF!AK149*'TS1'!$AS$104,CF!AK150*'TS1'!$AS$105,CF!AK151*'TS1'!$AS$106,CF!AK152*'TS1'!$AS$107,CF!AK153*'TS1'!$AS$108,CF!AK154*'TS1'!$AS$109)/10^6-SUM(AK156*'TS1'!$AT$103,CF!AK157*'TS1'!$AT$104,CF!AK158*'TS1'!$AT$105,CF!AK159*'TS1'!$AT$106,CF!AK160*'TS1'!$AT$107,CF!AK161*'TS1'!$AT$108,CF!AK162*'TS1'!$AT$109)/10^6</f>
        <v>-2664.318654436338</v>
      </c>
      <c r="AL179" s="155">
        <f>-SUM(AL148*'TS1'!$AS$103,CF!AL149*'TS1'!$AS$104,CF!AL150*'TS1'!$AS$105,CF!AL151*'TS1'!$AS$106,CF!AL152*'TS1'!$AS$107,CF!AL153*'TS1'!$AS$108,CF!AL154*'TS1'!$AS$109)/10^6-SUM(AL156*'TS1'!$AT$103,CF!AL157*'TS1'!$AT$104,CF!AL158*'TS1'!$AT$105,CF!AL159*'TS1'!$AT$106,CF!AL160*'TS1'!$AT$107,CF!AL161*'TS1'!$AT$108,CF!AL162*'TS1'!$AT$109)/10^6</f>
        <v>-2664.318654436338</v>
      </c>
      <c r="AM179" s="155">
        <f>-SUM(AM148*'TS1'!$AS$103,CF!AM149*'TS1'!$AS$104,CF!AM150*'TS1'!$AS$105,CF!AM151*'TS1'!$AS$106,CF!AM152*'TS1'!$AS$107,CF!AM153*'TS1'!$AS$108,CF!AM154*'TS1'!$AS$109)/10^6-SUM(AM156*'TS1'!$AT$103,CF!AM157*'TS1'!$AT$104,CF!AM158*'TS1'!$AT$105,CF!AM159*'TS1'!$AT$106,CF!AM160*'TS1'!$AT$107,CF!AM161*'TS1'!$AT$108,CF!AM162*'TS1'!$AT$109)/10^6</f>
        <v>-2080.7098011695507</v>
      </c>
      <c r="AN179" s="155">
        <f>-SUM(AN148*'TS1'!$AS$103,CF!AN149*'TS1'!$AS$104,CF!AN150*'TS1'!$AS$105,CF!AN151*'TS1'!$AS$106,CF!AN152*'TS1'!$AS$107,CF!AN153*'TS1'!$AS$108,CF!AN154*'TS1'!$AS$109)/10^6-SUM(AN156*'TS1'!$AT$103,CF!AN157*'TS1'!$AT$104,CF!AN158*'TS1'!$AT$105,CF!AN159*'TS1'!$AT$106,CF!AN160*'TS1'!$AT$107,CF!AN161*'TS1'!$AT$108,CF!AN162*'TS1'!$AT$109)/10^6</f>
        <v>-1109.914926044527</v>
      </c>
      <c r="AO179" s="155">
        <f>-SUM(AO148*'TS1'!$AS$103,CF!AO149*'TS1'!$AS$104,CF!AO150*'TS1'!$AS$105,CF!AO151*'TS1'!$AS$106,CF!AO152*'TS1'!$AS$107,CF!AO153*'TS1'!$AS$108,CF!AO154*'TS1'!$AS$109)/10^6-SUM(AO156*'TS1'!$AT$103,CF!AO157*'TS1'!$AT$104,CF!AO158*'TS1'!$AT$105,CF!AO159*'TS1'!$AT$106,CF!AO160*'TS1'!$AT$107,CF!AO161*'TS1'!$AT$108,CF!AO162*'TS1'!$AT$109)/10^6</f>
        <v>0</v>
      </c>
      <c r="AP179" s="155">
        <f>-SUM(AP148*'TS1'!$AS$103,CF!AP149*'TS1'!$AS$104,CF!AP150*'TS1'!$AS$105,CF!AP151*'TS1'!$AS$106,CF!AP152*'TS1'!$AS$107,CF!AP153*'TS1'!$AS$108,CF!AP154*'TS1'!$AS$109)/10^6-SUM(AP156*'TS1'!$AT$103,CF!AP157*'TS1'!$AT$104,CF!AP158*'TS1'!$AT$105,CF!AP159*'TS1'!$AT$106,CF!AP160*'TS1'!$AT$107,CF!AP161*'TS1'!$AT$108,CF!AP162*'TS1'!$AT$109)/10^6</f>
        <v>0</v>
      </c>
      <c r="AQ179" s="155">
        <f>-SUM(AQ148*'TS1'!$AS$103,CF!AQ149*'TS1'!$AS$104,CF!AQ150*'TS1'!$AS$105,CF!AQ151*'TS1'!$AS$106,CF!AQ152*'TS1'!$AS$107,CF!AQ153*'TS1'!$AS$108,CF!AQ154*'TS1'!$AS$109)/10^6-SUM(AQ156*'TS1'!$AT$103,CF!AQ157*'TS1'!$AT$104,CF!AQ158*'TS1'!$AT$105,CF!AQ159*'TS1'!$AT$106,CF!AQ160*'TS1'!$AT$107,CF!AQ161*'TS1'!$AT$108,CF!AQ162*'TS1'!$AT$109)/10^6</f>
        <v>0</v>
      </c>
      <c r="AR179" s="155">
        <f>-SUM(AR148*'TS1'!$AS$103,CF!AR149*'TS1'!$AS$104,CF!AR150*'TS1'!$AS$105,CF!AR151*'TS1'!$AS$106,CF!AR152*'TS1'!$AS$107,CF!AR153*'TS1'!$AS$108,CF!AR154*'TS1'!$AS$109)/10^6-SUM(AR156*'TS1'!$AT$103,CF!AR157*'TS1'!$AT$104,CF!AR158*'TS1'!$AT$105,CF!AR159*'TS1'!$AT$106,CF!AR160*'TS1'!$AT$107,CF!AR161*'TS1'!$AT$108,CF!AR162*'TS1'!$AT$109)/10^6</f>
        <v>0</v>
      </c>
      <c r="AS179" s="155">
        <f>-SUM(AS148*'TS1'!$AS$103,CF!AS149*'TS1'!$AS$104,CF!AS150*'TS1'!$AS$105,CF!AS151*'TS1'!$AS$106,CF!AS152*'TS1'!$AS$107,CF!AS153*'TS1'!$AS$108,CF!AS154*'TS1'!$AS$109)/10^6-SUM(AS156*'TS1'!$AT$103,CF!AS157*'TS1'!$AT$104,CF!AS158*'TS1'!$AT$105,CF!AS159*'TS1'!$AT$106,CF!AS160*'TS1'!$AT$107,CF!AS161*'TS1'!$AT$108,CF!AS162*'TS1'!$AT$109)/10^6</f>
        <v>0</v>
      </c>
      <c r="AT179" s="155">
        <f>-SUM(AT148*'TS1'!$AS$103,CF!AT149*'TS1'!$AS$104,CF!AT150*'TS1'!$AS$105,CF!AT151*'TS1'!$AS$106,CF!AT152*'TS1'!$AS$107,CF!AT153*'TS1'!$AS$108,CF!AT154*'TS1'!$AS$109)/10^6-SUM(AT156*'TS1'!$AT$103,CF!AT157*'TS1'!$AT$104,CF!AT158*'TS1'!$AT$105,CF!AT159*'TS1'!$AT$106,CF!AT160*'TS1'!$AT$107,CF!AT161*'TS1'!$AT$108,CF!AT162*'TS1'!$AT$109)/10^6</f>
        <v>0</v>
      </c>
      <c r="AU179" s="155">
        <f>-SUM(AU148*'TS1'!$AS$103,CF!AU149*'TS1'!$AS$104,CF!AU150*'TS1'!$AS$105,CF!AU151*'TS1'!$AS$106,CF!AU152*'TS1'!$AS$107,CF!AU153*'TS1'!$AS$108,CF!AU154*'TS1'!$AS$109)/10^6-SUM(AU156*'TS1'!$AT$103,CF!AU157*'TS1'!$AT$104,CF!AU158*'TS1'!$AT$105,CF!AU159*'TS1'!$AT$106,CF!AU160*'TS1'!$AT$107,CF!AU161*'TS1'!$AT$108,CF!AU162*'TS1'!$AT$109)/10^6</f>
        <v>0</v>
      </c>
      <c r="AV179" s="155">
        <f>-SUM(AV148*'TS1'!$AS$103,CF!AV149*'TS1'!$AS$104,CF!AV150*'TS1'!$AS$105,CF!AV151*'TS1'!$AS$106,CF!AV152*'TS1'!$AS$107,CF!AV153*'TS1'!$AS$108,CF!AV154*'TS1'!$AS$109)/10^6-SUM(AV156*'TS1'!$AT$103,CF!AV157*'TS1'!$AT$104,CF!AV158*'TS1'!$AT$105,CF!AV159*'TS1'!$AT$106,CF!AV160*'TS1'!$AT$107,CF!AV161*'TS1'!$AT$108,CF!AV162*'TS1'!$AT$109)/10^6</f>
        <v>0</v>
      </c>
      <c r="AW179" s="155">
        <f>-SUM(AW148*'TS1'!$AS$103,CF!AW149*'TS1'!$AS$104,CF!AW150*'TS1'!$AS$105,CF!AW151*'TS1'!$AS$106,CF!AW152*'TS1'!$AS$107,CF!AW153*'TS1'!$AS$108,CF!AW154*'TS1'!$AS$109)/10^6-SUM(AW156*'TS1'!$AT$103,CF!AW157*'TS1'!$AT$104,CF!AW158*'TS1'!$AT$105,CF!AW159*'TS1'!$AT$106,CF!AW160*'TS1'!$AT$107,CF!AW161*'TS1'!$AT$108,CF!AW162*'TS1'!$AT$109)/10^6</f>
        <v>0</v>
      </c>
      <c r="AX179" s="155">
        <f>-SUM(AX148*'TS1'!$AS$103,CF!AX149*'TS1'!$AS$104,CF!AX150*'TS1'!$AS$105,CF!AX151*'TS1'!$AS$106,CF!AX152*'TS1'!$AS$107,CF!AX153*'TS1'!$AS$108,CF!AX154*'TS1'!$AS$109)/10^6-SUM(AX156*'TS1'!$AT$103,CF!AX157*'TS1'!$AT$104,CF!AX158*'TS1'!$AT$105,CF!AX159*'TS1'!$AT$106,CF!AX160*'TS1'!$AT$107,CF!AX161*'TS1'!$AT$108,CF!AX162*'TS1'!$AT$109)/10^6</f>
        <v>0</v>
      </c>
      <c r="AY179" s="155">
        <f>-SUM(AY148*'TS1'!$AS$103,CF!AY149*'TS1'!$AS$104,CF!AY150*'TS1'!$AS$105,CF!AY151*'TS1'!$AS$106,CF!AY152*'TS1'!$AS$107,CF!AY153*'TS1'!$AS$108,CF!AY154*'TS1'!$AS$109)/10^6-SUM(AY156*'TS1'!$AT$103,CF!AY157*'TS1'!$AT$104,CF!AY158*'TS1'!$AT$105,CF!AY159*'TS1'!$AT$106,CF!AY160*'TS1'!$AT$107,CF!AY161*'TS1'!$AT$108,CF!AY162*'TS1'!$AT$109)/10^6</f>
        <v>0</v>
      </c>
      <c r="AZ179" s="155">
        <f>-SUM(AZ148*'TS1'!$AS$103,CF!AZ149*'TS1'!$AS$104,CF!AZ150*'TS1'!$AS$105,CF!AZ151*'TS1'!$AS$106,CF!AZ152*'TS1'!$AS$107,CF!AZ153*'TS1'!$AS$108,CF!AZ154*'TS1'!$AS$109)/10^6-SUM(AZ156*'TS1'!$AT$103,CF!AZ157*'TS1'!$AT$104,CF!AZ158*'TS1'!$AT$105,CF!AZ159*'TS1'!$AT$106,CF!AZ160*'TS1'!$AT$107,CF!AZ161*'TS1'!$AT$108,CF!AZ162*'TS1'!$AT$109)/10^6</f>
        <v>0</v>
      </c>
      <c r="BA179" s="155">
        <f>-SUM(BA148*'TS1'!$AS$103,CF!BA149*'TS1'!$AS$104,CF!BA150*'TS1'!$AS$105,CF!BA151*'TS1'!$AS$106,CF!BA152*'TS1'!$AS$107,CF!BA153*'TS1'!$AS$108,CF!BA154*'TS1'!$AS$109)/10^6-SUM(BA156*'TS1'!$AT$103,CF!BA157*'TS1'!$AT$104,CF!BA158*'TS1'!$AT$105,CF!BA159*'TS1'!$AT$106,CF!BA160*'TS1'!$AT$107,CF!BA161*'TS1'!$AT$108,CF!BA162*'TS1'!$AT$109)/10^6</f>
        <v>0</v>
      </c>
      <c r="BB179" s="155">
        <f>-SUM(BB148*'TS1'!$AS$103,CF!BB149*'TS1'!$AS$104,CF!BB150*'TS1'!$AS$105,CF!BB151*'TS1'!$AS$106,CF!BB152*'TS1'!$AS$107,CF!BB153*'TS1'!$AS$108,CF!BB154*'TS1'!$AS$109)/10^6-SUM(BB156*'TS1'!$AT$103,CF!BB157*'TS1'!$AT$104,CF!BB158*'TS1'!$AT$105,CF!BB159*'TS1'!$AT$106,CF!BB160*'TS1'!$AT$107,CF!BB161*'TS1'!$AT$108,CF!BB162*'TS1'!$AT$109)/10^6</f>
        <v>0</v>
      </c>
      <c r="BC179" s="155">
        <f>-SUM(BC148*'TS1'!$AS$103,CF!BC149*'TS1'!$AS$104,CF!BC150*'TS1'!$AS$105,CF!BC151*'TS1'!$AS$106,CF!BC152*'TS1'!$AS$107,CF!BC153*'TS1'!$AS$108,CF!BC154*'TS1'!$AS$109)/10^6-SUM(BC156*'TS1'!$AT$103,CF!BC157*'TS1'!$AT$104,CF!BC158*'TS1'!$AT$105,CF!BC159*'TS1'!$AT$106,CF!BC160*'TS1'!$AT$107,CF!BC161*'TS1'!$AT$108,CF!BC162*'TS1'!$AT$109)/10^6</f>
        <v>0</v>
      </c>
      <c r="BD179" s="155">
        <f>-SUM(BD148*'TS1'!$AS$103,CF!BD149*'TS1'!$AS$104,CF!BD150*'TS1'!$AS$105,CF!BD151*'TS1'!$AS$106,CF!BD152*'TS1'!$AS$107,CF!BD153*'TS1'!$AS$108,CF!BD154*'TS1'!$AS$109)/10^6-SUM(BD156*'TS1'!$AT$103,CF!BD157*'TS1'!$AT$104,CF!BD158*'TS1'!$AT$105,CF!BD159*'TS1'!$AT$106,CF!BD160*'TS1'!$AT$107,CF!BD161*'TS1'!$AT$108,CF!BD162*'TS1'!$AT$109)/10^6</f>
        <v>0</v>
      </c>
      <c r="BE179" s="155">
        <f>-SUM(BE148*'TS1'!$AS$103,CF!BE149*'TS1'!$AS$104,CF!BE150*'TS1'!$AS$105,CF!BE151*'TS1'!$AS$106,CF!BE152*'TS1'!$AS$107,CF!BE153*'TS1'!$AS$108,CF!BE154*'TS1'!$AS$109)/10^6-SUM(BE156*'TS1'!$AT$103,CF!BE157*'TS1'!$AT$104,CF!BE158*'TS1'!$AT$105,CF!BE159*'TS1'!$AT$106,CF!BE160*'TS1'!$AT$107,CF!BE161*'TS1'!$AT$108,CF!BE162*'TS1'!$AT$109)/10^6</f>
        <v>0</v>
      </c>
      <c r="BF179" s="155">
        <f>-SUM(BF148*'TS1'!$AS$103,CF!BF149*'TS1'!$AS$104,CF!BF150*'TS1'!$AS$105,CF!BF151*'TS1'!$AS$106,CF!BF152*'TS1'!$AS$107,CF!BF153*'TS1'!$AS$108,CF!BF154*'TS1'!$AS$109)/10^6-SUM(BF156*'TS1'!$AT$103,CF!BF157*'TS1'!$AT$104,CF!BF158*'TS1'!$AT$105,CF!BF159*'TS1'!$AT$106,CF!BF160*'TS1'!$AT$107,CF!BF161*'TS1'!$AT$108,CF!BF162*'TS1'!$AT$109)/10^6</f>
        <v>0</v>
      </c>
      <c r="BG179" s="155">
        <f>-SUM(BG148*'TS1'!$AS$103,CF!BG149*'TS1'!$AS$104,CF!BG150*'TS1'!$AS$105,CF!BG151*'TS1'!$AS$106,CF!BG152*'TS1'!$AS$107,CF!BG153*'TS1'!$AS$108,CF!BG154*'TS1'!$AS$109)/10^6-SUM(BG156*'TS1'!$AT$103,CF!BG157*'TS1'!$AT$104,CF!BG158*'TS1'!$AT$105,CF!BG159*'TS1'!$AT$106,CF!BG160*'TS1'!$AT$107,CF!BG161*'TS1'!$AT$108,CF!BG162*'TS1'!$AT$109)/10^6</f>
        <v>0</v>
      </c>
      <c r="BH179" s="155">
        <f>-SUM(BH148*'TS1'!$AS$103,CF!BH149*'TS1'!$AS$104,CF!BH150*'TS1'!$AS$105,CF!BH151*'TS1'!$AS$106,CF!BH152*'TS1'!$AS$107,CF!BH153*'TS1'!$AS$108,CF!BH154*'TS1'!$AS$109)/10^6-SUM(BH156*'TS1'!$AT$103,CF!BH157*'TS1'!$AT$104,CF!BH158*'TS1'!$AT$105,CF!BH159*'TS1'!$AT$106,CF!BH160*'TS1'!$AT$107,CF!BH161*'TS1'!$AT$108,CF!BH162*'TS1'!$AT$109)/10^6</f>
        <v>0</v>
      </c>
      <c r="BI179" s="155">
        <f>-SUM(BI148*'TS1'!$AS$103,CF!BI149*'TS1'!$AS$104,CF!BI150*'TS1'!$AS$105,CF!BI151*'TS1'!$AS$106,CF!BI152*'TS1'!$AS$107,CF!BI153*'TS1'!$AS$108,CF!BI154*'TS1'!$AS$109)/10^6-SUM(BI156*'TS1'!$AT$103,CF!BI157*'TS1'!$AT$104,CF!BI158*'TS1'!$AT$105,CF!BI159*'TS1'!$AT$106,CF!BI160*'TS1'!$AT$107,CF!BI161*'TS1'!$AT$108,CF!BI162*'TS1'!$AT$109)/10^6</f>
        <v>0</v>
      </c>
      <c r="BJ179" s="155">
        <f>-SUM(BJ148*'TS1'!$AS$103,CF!BJ149*'TS1'!$AS$104,CF!BJ150*'TS1'!$AS$105,CF!BJ151*'TS1'!$AS$106,CF!BJ152*'TS1'!$AS$107,CF!BJ153*'TS1'!$AS$108,CF!BJ154*'TS1'!$AS$109)/10^6-SUM(BJ156*'TS1'!$AT$103,CF!BJ157*'TS1'!$AT$104,CF!BJ158*'TS1'!$AT$105,CF!BJ159*'TS1'!$AT$106,CF!BJ160*'TS1'!$AT$107,CF!BJ161*'TS1'!$AT$108,CF!BJ162*'TS1'!$AT$109)/10^6</f>
        <v>0</v>
      </c>
      <c r="BK179" s="155">
        <f>-SUM(BK148*'TS1'!$AS$103,CF!BK149*'TS1'!$AS$104,CF!BK150*'TS1'!$AS$105,CF!BK151*'TS1'!$AS$106,CF!BK152*'TS1'!$AS$107,CF!BK153*'TS1'!$AS$108,CF!BK154*'TS1'!$AS$109)/10^6-SUM(BK156*'TS1'!$AT$103,CF!BK157*'TS1'!$AT$104,CF!BK158*'TS1'!$AT$105,CF!BK159*'TS1'!$AT$106,CF!BK160*'TS1'!$AT$107,CF!BK161*'TS1'!$AT$108,CF!BK162*'TS1'!$AT$109)/10^6</f>
        <v>0</v>
      </c>
      <c r="BL179" s="155">
        <f>-SUM(BL148*'TS1'!$AS$103,CF!BL149*'TS1'!$AS$104,CF!BL150*'TS1'!$AS$105,CF!BL151*'TS1'!$AS$106,CF!BL152*'TS1'!$AS$107,CF!BL153*'TS1'!$AS$108,CF!BL154*'TS1'!$AS$109)/10^6-SUM(BL156*'TS1'!$AT$103,CF!BL157*'TS1'!$AT$104,CF!BL158*'TS1'!$AT$105,CF!BL159*'TS1'!$AT$106,CF!BL160*'TS1'!$AT$107,CF!BL161*'TS1'!$AT$108,CF!BL162*'TS1'!$AT$109)/10^6</f>
        <v>0</v>
      </c>
      <c r="BM179" s="155">
        <f>-SUM(BM148*'TS1'!$AS$103,CF!BM149*'TS1'!$AS$104,CF!BM150*'TS1'!$AS$105,CF!BM151*'TS1'!$AS$106,CF!BM152*'TS1'!$AS$107,CF!BM153*'TS1'!$AS$108,CF!BM154*'TS1'!$AS$109)/10^6-SUM(BM156*'TS1'!$AT$103,CF!BM157*'TS1'!$AT$104,CF!BM158*'TS1'!$AT$105,CF!BM159*'TS1'!$AT$106,CF!BM160*'TS1'!$AT$107,CF!BM161*'TS1'!$AT$108,CF!BM162*'TS1'!$AT$109)/10^6</f>
        <v>0</v>
      </c>
    </row>
    <row r="180" spans="1:65" s="151" customFormat="1" hidden="1" outlineLevel="1">
      <c r="B180" s="152"/>
      <c r="C180" s="152" t="s">
        <v>30</v>
      </c>
      <c r="D180" s="153"/>
      <c r="E180" s="154">
        <f t="shared" si="215"/>
        <v>-5999.3951349910758</v>
      </c>
      <c r="F180" s="155">
        <f t="shared" ref="F180:AK180" si="239">F69</f>
        <v>-0.18152285999999998</v>
      </c>
      <c r="G180" s="155">
        <f t="shared" si="239"/>
        <v>-0.55836329000000007</v>
      </c>
      <c r="H180" s="155">
        <f t="shared" si="239"/>
        <v>-0.28356999999999999</v>
      </c>
      <c r="I180" s="155">
        <f t="shared" si="239"/>
        <v>-0.29047000000000001</v>
      </c>
      <c r="J180" s="155">
        <f t="shared" si="239"/>
        <v>-0.33546999999999999</v>
      </c>
      <c r="K180" s="155">
        <f t="shared" si="239"/>
        <v>-0.3448</v>
      </c>
      <c r="L180" s="155">
        <f t="shared" si="239"/>
        <v>-0.63933561999999999</v>
      </c>
      <c r="M180" s="155">
        <f t="shared" si="239"/>
        <v>-0.68847999999999998</v>
      </c>
      <c r="N180" s="155">
        <f t="shared" si="239"/>
        <v>-5.5783841626923074</v>
      </c>
      <c r="O180" s="155">
        <f t="shared" si="239"/>
        <v>-11.078384162692309</v>
      </c>
      <c r="P180" s="155">
        <f t="shared" si="239"/>
        <v>-10.078384162692309</v>
      </c>
      <c r="Q180" s="155">
        <f t="shared" si="239"/>
        <v>-7.0783841626923074</v>
      </c>
      <c r="R180" s="155">
        <f t="shared" si="239"/>
        <v>-20.578384162692309</v>
      </c>
      <c r="S180" s="155">
        <f t="shared" si="239"/>
        <v>-14.828384162692307</v>
      </c>
      <c r="T180" s="155">
        <f t="shared" si="239"/>
        <v>-82.129936244239474</v>
      </c>
      <c r="U180" s="155">
        <f t="shared" si="239"/>
        <v>-118.97079988060312</v>
      </c>
      <c r="V180" s="155">
        <f t="shared" si="239"/>
        <v>-128.20146606726686</v>
      </c>
      <c r="W180" s="155">
        <f t="shared" si="239"/>
        <v>-131.37321784417011</v>
      </c>
      <c r="X180" s="155">
        <f t="shared" si="239"/>
        <v>-201.25560370700825</v>
      </c>
      <c r="Y180" s="155">
        <f t="shared" si="239"/>
        <v>-258.2368223651153</v>
      </c>
      <c r="Z180" s="155">
        <f t="shared" si="239"/>
        <v>-276.00845293713172</v>
      </c>
      <c r="AA180" s="155">
        <f t="shared" si="239"/>
        <v>-283.22228379953282</v>
      </c>
      <c r="AB180" s="155">
        <f t="shared" si="239"/>
        <v>-291.53999478551032</v>
      </c>
      <c r="AC180" s="155">
        <f t="shared" si="239"/>
        <v>-301.603633403537</v>
      </c>
      <c r="AD180" s="155">
        <f t="shared" si="239"/>
        <v>-322.04221919104799</v>
      </c>
      <c r="AE180" s="155">
        <f t="shared" si="239"/>
        <v>-362.17381241783488</v>
      </c>
      <c r="AF180" s="155">
        <f t="shared" si="239"/>
        <v>-295.86414592651136</v>
      </c>
      <c r="AG180" s="155">
        <f t="shared" si="239"/>
        <v>-330.48284660491566</v>
      </c>
      <c r="AH180" s="155">
        <f t="shared" si="239"/>
        <v>-388.18812090599124</v>
      </c>
      <c r="AI180" s="155">
        <f t="shared" si="239"/>
        <v>-405.72748753615576</v>
      </c>
      <c r="AJ180" s="155">
        <f t="shared" si="239"/>
        <v>-327.88509186215572</v>
      </c>
      <c r="AK180" s="155">
        <f t="shared" si="239"/>
        <v>-333.31332360671263</v>
      </c>
      <c r="AL180" s="155">
        <f t="shared" ref="AL180:BM180" si="240">AL69</f>
        <v>-363.11534089721255</v>
      </c>
      <c r="AM180" s="155">
        <f t="shared" si="240"/>
        <v>-362.37666600900502</v>
      </c>
      <c r="AN180" s="155">
        <f t="shared" si="240"/>
        <v>-246.34770327520792</v>
      </c>
      <c r="AO180" s="155">
        <f t="shared" si="240"/>
        <v>-114.92274897805689</v>
      </c>
      <c r="AP180" s="155">
        <f t="shared" si="240"/>
        <v>-1.8711000000000075</v>
      </c>
      <c r="AQ180" s="155">
        <f t="shared" si="240"/>
        <v>0</v>
      </c>
      <c r="AR180" s="155">
        <f t="shared" si="240"/>
        <v>0</v>
      </c>
      <c r="AS180" s="155">
        <f t="shared" si="240"/>
        <v>0</v>
      </c>
      <c r="AT180" s="155">
        <f t="shared" si="240"/>
        <v>0</v>
      </c>
      <c r="AU180" s="155">
        <f t="shared" si="240"/>
        <v>0</v>
      </c>
      <c r="AV180" s="155">
        <f t="shared" si="240"/>
        <v>0</v>
      </c>
      <c r="AW180" s="155">
        <f t="shared" si="240"/>
        <v>0</v>
      </c>
      <c r="AX180" s="155">
        <f t="shared" si="240"/>
        <v>0</v>
      </c>
      <c r="AY180" s="155">
        <f t="shared" si="240"/>
        <v>0</v>
      </c>
      <c r="AZ180" s="155">
        <f t="shared" si="240"/>
        <v>0</v>
      </c>
      <c r="BA180" s="155">
        <f t="shared" si="240"/>
        <v>0</v>
      </c>
      <c r="BB180" s="155">
        <f t="shared" si="240"/>
        <v>0</v>
      </c>
      <c r="BC180" s="155">
        <f t="shared" si="240"/>
        <v>0</v>
      </c>
      <c r="BD180" s="155">
        <f t="shared" si="240"/>
        <v>0</v>
      </c>
      <c r="BE180" s="155">
        <f t="shared" si="240"/>
        <v>0</v>
      </c>
      <c r="BF180" s="155">
        <f t="shared" si="240"/>
        <v>0</v>
      </c>
      <c r="BG180" s="155">
        <f t="shared" si="240"/>
        <v>0</v>
      </c>
      <c r="BH180" s="155">
        <f t="shared" si="240"/>
        <v>0</v>
      </c>
      <c r="BI180" s="155">
        <f t="shared" si="240"/>
        <v>0</v>
      </c>
      <c r="BJ180" s="155">
        <f t="shared" si="240"/>
        <v>0</v>
      </c>
      <c r="BK180" s="155">
        <f t="shared" si="240"/>
        <v>0</v>
      </c>
      <c r="BL180" s="155">
        <f t="shared" si="240"/>
        <v>0</v>
      </c>
      <c r="BM180" s="155">
        <f t="shared" si="240"/>
        <v>0</v>
      </c>
    </row>
    <row r="181" spans="1:65" s="151" customFormat="1" hidden="1" outlineLevel="1">
      <c r="B181" s="152"/>
      <c r="C181" s="152" t="s">
        <v>84</v>
      </c>
      <c r="D181" s="153"/>
      <c r="E181" s="154">
        <f t="shared" si="215"/>
        <v>-10772.115778733551</v>
      </c>
      <c r="F181" s="155"/>
      <c r="G181" s="155">
        <f t="shared" ref="G181:BM181" si="241">-F122-F119-F117-F111-F109-F103</f>
        <v>-1.0500000000000002E-2</v>
      </c>
      <c r="H181" s="155">
        <f t="shared" si="241"/>
        <v>-4.200000000000001E-2</v>
      </c>
      <c r="I181" s="155">
        <f t="shared" si="241"/>
        <v>-7.3499999999999996E-2</v>
      </c>
      <c r="J181" s="155">
        <f t="shared" si="241"/>
        <v>-8.925000000000001E-2</v>
      </c>
      <c r="K181" s="155">
        <f t="shared" si="241"/>
        <v>-8.925000000000001E-2</v>
      </c>
      <c r="L181" s="155">
        <f t="shared" si="241"/>
        <v>-0.13750000000000001</v>
      </c>
      <c r="M181" s="155">
        <f t="shared" si="241"/>
        <v>-0.17050000000000001</v>
      </c>
      <c r="N181" s="155">
        <f t="shared" si="241"/>
        <v>-0.22935</v>
      </c>
      <c r="O181" s="155">
        <f t="shared" si="241"/>
        <v>-6.5843838268286783</v>
      </c>
      <c r="P181" s="155">
        <f t="shared" si="241"/>
        <v>-15.013679860723169</v>
      </c>
      <c r="Q181" s="155">
        <f t="shared" si="241"/>
        <v>-582.0606286310732</v>
      </c>
      <c r="R181" s="155">
        <f t="shared" si="241"/>
        <v>-305.28323030968681</v>
      </c>
      <c r="S181" s="155">
        <f t="shared" si="241"/>
        <v>-337.62600624068205</v>
      </c>
      <c r="T181" s="155">
        <f t="shared" si="241"/>
        <v>-387.81300474489711</v>
      </c>
      <c r="U181" s="155">
        <f t="shared" si="241"/>
        <v>-424.49870924148968</v>
      </c>
      <c r="V181" s="155">
        <f t="shared" si="241"/>
        <v>-464.19851548678264</v>
      </c>
      <c r="W181" s="155">
        <f t="shared" si="241"/>
        <v>-507.45861993414604</v>
      </c>
      <c r="X181" s="155">
        <f t="shared" si="241"/>
        <v>-541.26774897671362</v>
      </c>
      <c r="Y181" s="155">
        <f t="shared" si="241"/>
        <v>-580.69427209773369</v>
      </c>
      <c r="Z181" s="155">
        <f t="shared" si="241"/>
        <v>-626.16419700190988</v>
      </c>
      <c r="AA181" s="155">
        <f t="shared" si="241"/>
        <v>-668.00319522237965</v>
      </c>
      <c r="AB181" s="155">
        <f t="shared" si="241"/>
        <v>-691.77994771174474</v>
      </c>
      <c r="AC181" s="155">
        <f t="shared" si="241"/>
        <v>-709.91984615097726</v>
      </c>
      <c r="AD181" s="155">
        <f t="shared" si="241"/>
        <v>-721.39545224296648</v>
      </c>
      <c r="AE181" s="155">
        <f t="shared" si="241"/>
        <v>-719.61413107691305</v>
      </c>
      <c r="AF181" s="155">
        <f t="shared" si="241"/>
        <v>-747.96413221908949</v>
      </c>
      <c r="AG181" s="155">
        <f t="shared" si="241"/>
        <v>-512.0968781140657</v>
      </c>
      <c r="AH181" s="155">
        <f t="shared" si="241"/>
        <v>-398.65605253579645</v>
      </c>
      <c r="AI181" s="155">
        <f t="shared" si="241"/>
        <v>-335.84683952031185</v>
      </c>
      <c r="AJ181" s="155">
        <f t="shared" si="241"/>
        <v>-323.89159002253257</v>
      </c>
      <c r="AK181" s="155">
        <f t="shared" si="241"/>
        <v>-128.34246590446969</v>
      </c>
      <c r="AL181" s="155">
        <f t="shared" si="241"/>
        <v>-35.100401659634727</v>
      </c>
      <c r="AM181" s="155">
        <f t="shared" si="241"/>
        <v>0</v>
      </c>
      <c r="AN181" s="155">
        <f t="shared" si="241"/>
        <v>0</v>
      </c>
      <c r="AO181" s="155">
        <f t="shared" si="241"/>
        <v>0</v>
      </c>
      <c r="AP181" s="155">
        <f t="shared" si="241"/>
        <v>0</v>
      </c>
      <c r="AQ181" s="155">
        <f t="shared" si="241"/>
        <v>0</v>
      </c>
      <c r="AR181" s="155">
        <f t="shared" si="241"/>
        <v>0</v>
      </c>
      <c r="AS181" s="155">
        <f t="shared" si="241"/>
        <v>0</v>
      </c>
      <c r="AT181" s="155">
        <f t="shared" si="241"/>
        <v>0</v>
      </c>
      <c r="AU181" s="155">
        <f t="shared" si="241"/>
        <v>0</v>
      </c>
      <c r="AV181" s="155">
        <f t="shared" si="241"/>
        <v>0</v>
      </c>
      <c r="AW181" s="155">
        <f t="shared" si="241"/>
        <v>0</v>
      </c>
      <c r="AX181" s="155">
        <f t="shared" si="241"/>
        <v>0</v>
      </c>
      <c r="AY181" s="155">
        <f t="shared" si="241"/>
        <v>0</v>
      </c>
      <c r="AZ181" s="155">
        <f t="shared" si="241"/>
        <v>0</v>
      </c>
      <c r="BA181" s="155">
        <f t="shared" si="241"/>
        <v>0</v>
      </c>
      <c r="BB181" s="155">
        <f t="shared" si="241"/>
        <v>0</v>
      </c>
      <c r="BC181" s="155">
        <f t="shared" si="241"/>
        <v>0</v>
      </c>
      <c r="BD181" s="155">
        <f t="shared" si="241"/>
        <v>0</v>
      </c>
      <c r="BE181" s="155">
        <f t="shared" si="241"/>
        <v>0</v>
      </c>
      <c r="BF181" s="155">
        <f t="shared" si="241"/>
        <v>0</v>
      </c>
      <c r="BG181" s="155">
        <f t="shared" si="241"/>
        <v>0</v>
      </c>
      <c r="BH181" s="155">
        <f t="shared" si="241"/>
        <v>0</v>
      </c>
      <c r="BI181" s="155">
        <f t="shared" si="241"/>
        <v>0</v>
      </c>
      <c r="BJ181" s="155">
        <f t="shared" si="241"/>
        <v>0</v>
      </c>
      <c r="BK181" s="155">
        <f t="shared" si="241"/>
        <v>0</v>
      </c>
      <c r="BL181" s="155">
        <f t="shared" si="241"/>
        <v>0</v>
      </c>
      <c r="BM181" s="155">
        <f t="shared" si="241"/>
        <v>0</v>
      </c>
    </row>
    <row r="182" spans="1:65" s="151" customFormat="1" hidden="1" outlineLevel="1">
      <c r="B182" s="152"/>
      <c r="C182" s="152" t="s">
        <v>98</v>
      </c>
      <c r="D182" s="153"/>
      <c r="E182" s="154">
        <f t="shared" si="215"/>
        <v>16637.803433315064</v>
      </c>
      <c r="F182" s="155">
        <f t="shared" ref="F182:AS182" si="242">SUM(F163:F181)</f>
        <v>-0.18152285999999998</v>
      </c>
      <c r="G182" s="155">
        <f t="shared" si="242"/>
        <v>-0.56886329000000002</v>
      </c>
      <c r="H182" s="155">
        <f t="shared" si="242"/>
        <v>-0.32557000000000003</v>
      </c>
      <c r="I182" s="155">
        <f t="shared" si="242"/>
        <v>-0.36397000000000002</v>
      </c>
      <c r="J182" s="155">
        <f t="shared" si="242"/>
        <v>-0.42471999999999999</v>
      </c>
      <c r="K182" s="155">
        <f t="shared" si="242"/>
        <v>-0.43404999999999999</v>
      </c>
      <c r="L182" s="155">
        <f t="shared" si="242"/>
        <v>-0.77683561999999995</v>
      </c>
      <c r="M182" s="155">
        <f t="shared" si="242"/>
        <v>-0.85897999999999997</v>
      </c>
      <c r="N182" s="155">
        <f t="shared" si="242"/>
        <v>-5.8077341626923076</v>
      </c>
      <c r="O182" s="155">
        <f t="shared" si="242"/>
        <v>-17.662767989520987</v>
      </c>
      <c r="P182" s="155">
        <f t="shared" si="242"/>
        <v>-25.092064023415478</v>
      </c>
      <c r="Q182" s="155">
        <f t="shared" si="242"/>
        <v>-589.13901279376546</v>
      </c>
      <c r="R182" s="155">
        <f t="shared" si="242"/>
        <v>-325.86161447237913</v>
      </c>
      <c r="S182" s="155">
        <f t="shared" si="242"/>
        <v>-352.45439040337436</v>
      </c>
      <c r="T182" s="155">
        <f t="shared" si="242"/>
        <v>-469.94294098913656</v>
      </c>
      <c r="U182" s="155">
        <f t="shared" si="242"/>
        <v>-543.46950912209286</v>
      </c>
      <c r="V182" s="155">
        <f t="shared" si="242"/>
        <v>-592.39998155404953</v>
      </c>
      <c r="W182" s="155">
        <f t="shared" si="242"/>
        <v>-638.83183777831618</v>
      </c>
      <c r="X182" s="155">
        <f t="shared" si="242"/>
        <v>-742.5233526837219</v>
      </c>
      <c r="Y182" s="155">
        <f t="shared" si="242"/>
        <v>-838.93109446284893</v>
      </c>
      <c r="Z182" s="155">
        <f t="shared" si="242"/>
        <v>-902.17264993904155</v>
      </c>
      <c r="AA182" s="155">
        <f t="shared" si="242"/>
        <v>-951.22547902191241</v>
      </c>
      <c r="AB182" s="155">
        <f t="shared" si="242"/>
        <v>-983.31994249725506</v>
      </c>
      <c r="AC182" s="155">
        <f t="shared" si="242"/>
        <v>-1011.5234795545143</v>
      </c>
      <c r="AD182" s="155">
        <f t="shared" si="242"/>
        <v>-1043.4376714340144</v>
      </c>
      <c r="AE182" s="155">
        <f t="shared" si="242"/>
        <v>-1081.7879434947479</v>
      </c>
      <c r="AF182" s="155">
        <f t="shared" si="242"/>
        <v>15076.829034823259</v>
      </c>
      <c r="AG182" s="155">
        <f t="shared" si="242"/>
        <v>1626.1382408106895</v>
      </c>
      <c r="AH182" s="155">
        <f t="shared" si="242"/>
        <v>1722.1333516560412</v>
      </c>
      <c r="AI182" s="155">
        <f t="shared" si="242"/>
        <v>1308.6860020013701</v>
      </c>
      <c r="AJ182" s="155">
        <f t="shared" si="242"/>
        <v>1518.5984797816454</v>
      </c>
      <c r="AK182" s="155">
        <f t="shared" si="242"/>
        <v>2071.3255073581386</v>
      </c>
      <c r="AL182" s="155">
        <f t="shared" si="242"/>
        <v>2134.7655543124729</v>
      </c>
      <c r="AM182" s="155">
        <f t="shared" si="242"/>
        <v>1603.6367639473774</v>
      </c>
      <c r="AN182" s="155">
        <f t="shared" si="242"/>
        <v>812.00232574892664</v>
      </c>
      <c r="AO182" s="155">
        <f t="shared" si="242"/>
        <v>-114.92274897805689</v>
      </c>
      <c r="AP182" s="155">
        <f t="shared" si="242"/>
        <v>-1.8711000000000075</v>
      </c>
      <c r="AQ182" s="155">
        <f t="shared" si="242"/>
        <v>0</v>
      </c>
      <c r="AR182" s="155">
        <f t="shared" si="242"/>
        <v>0</v>
      </c>
      <c r="AS182" s="155">
        <f t="shared" si="242"/>
        <v>0</v>
      </c>
      <c r="AT182" s="155">
        <f t="shared" ref="AT182:BM182" si="243">SUM(AT163:AT181)</f>
        <v>0</v>
      </c>
      <c r="AU182" s="155">
        <f t="shared" si="243"/>
        <v>0</v>
      </c>
      <c r="AV182" s="155">
        <f t="shared" si="243"/>
        <v>0</v>
      </c>
      <c r="AW182" s="155">
        <f t="shared" si="243"/>
        <v>0</v>
      </c>
      <c r="AX182" s="155">
        <f t="shared" si="243"/>
        <v>0</v>
      </c>
      <c r="AY182" s="155">
        <f t="shared" si="243"/>
        <v>0</v>
      </c>
      <c r="AZ182" s="155">
        <f t="shared" si="243"/>
        <v>0</v>
      </c>
      <c r="BA182" s="155">
        <f t="shared" si="243"/>
        <v>0</v>
      </c>
      <c r="BB182" s="155">
        <f t="shared" si="243"/>
        <v>0</v>
      </c>
      <c r="BC182" s="155">
        <f t="shared" si="243"/>
        <v>0</v>
      </c>
      <c r="BD182" s="155">
        <f t="shared" si="243"/>
        <v>0</v>
      </c>
      <c r="BE182" s="155">
        <f t="shared" si="243"/>
        <v>0</v>
      </c>
      <c r="BF182" s="155">
        <f t="shared" si="243"/>
        <v>0</v>
      </c>
      <c r="BG182" s="155">
        <f t="shared" si="243"/>
        <v>0</v>
      </c>
      <c r="BH182" s="155">
        <f t="shared" si="243"/>
        <v>0</v>
      </c>
      <c r="BI182" s="155">
        <f t="shared" si="243"/>
        <v>0</v>
      </c>
      <c r="BJ182" s="155">
        <f t="shared" si="243"/>
        <v>0</v>
      </c>
      <c r="BK182" s="155">
        <f t="shared" si="243"/>
        <v>0</v>
      </c>
      <c r="BL182" s="155">
        <f t="shared" si="243"/>
        <v>0</v>
      </c>
      <c r="BM182" s="155">
        <f t="shared" si="243"/>
        <v>0</v>
      </c>
    </row>
    <row r="183" spans="1:65" s="151" customFormat="1" hidden="1" outlineLevel="1">
      <c r="B183" s="152"/>
      <c r="C183" s="152" t="s">
        <v>101</v>
      </c>
      <c r="D183" s="153"/>
      <c r="E183" s="154"/>
      <c r="F183" s="155">
        <f>F182</f>
        <v>-0.18152285999999998</v>
      </c>
      <c r="G183" s="155">
        <f>IF(G182&lt;0,F183+G182,IF(F183&lt;=0,IF(ABS(F183)&gt;G182,F183+G182/2,F183+ABS(F183))))</f>
        <v>-0.75038614999999997</v>
      </c>
      <c r="H183" s="155">
        <f t="shared" ref="H183:BM183" si="244">IF(H182&lt;0,G183+H182,IF(G183&lt;=0,IF(ABS(G183)&gt;H182,G183+H182/2,G183+ABS(G183))))</f>
        <v>-1.0759561500000001</v>
      </c>
      <c r="I183" s="155">
        <f t="shared" si="244"/>
        <v>-1.4399261500000002</v>
      </c>
      <c r="J183" s="155">
        <f t="shared" si="244"/>
        <v>-1.8646461500000002</v>
      </c>
      <c r="K183" s="155">
        <f t="shared" si="244"/>
        <v>-2.29869615</v>
      </c>
      <c r="L183" s="155">
        <f t="shared" si="244"/>
        <v>-3.07553177</v>
      </c>
      <c r="M183" s="155">
        <f t="shared" si="244"/>
        <v>-3.9345117699999999</v>
      </c>
      <c r="N183" s="155">
        <f t="shared" si="244"/>
        <v>-9.7422459326923079</v>
      </c>
      <c r="O183" s="155">
        <f t="shared" si="244"/>
        <v>-27.405013922213293</v>
      </c>
      <c r="P183" s="155">
        <f t="shared" si="244"/>
        <v>-52.497077945628774</v>
      </c>
      <c r="Q183" s="155">
        <f t="shared" si="244"/>
        <v>-641.63609073939426</v>
      </c>
      <c r="R183" s="155">
        <f t="shared" si="244"/>
        <v>-967.49770521177334</v>
      </c>
      <c r="S183" s="155">
        <f t="shared" si="244"/>
        <v>-1319.9520956151478</v>
      </c>
      <c r="T183" s="155">
        <f t="shared" si="244"/>
        <v>-1789.8950366042843</v>
      </c>
      <c r="U183" s="155">
        <f t="shared" si="244"/>
        <v>-2333.3645457263774</v>
      </c>
      <c r="V183" s="155">
        <f t="shared" si="244"/>
        <v>-2925.764527280427</v>
      </c>
      <c r="W183" s="155">
        <f t="shared" si="244"/>
        <v>-3564.5963650587432</v>
      </c>
      <c r="X183" s="155">
        <f t="shared" si="244"/>
        <v>-4307.1197177424656</v>
      </c>
      <c r="Y183" s="155">
        <f t="shared" si="244"/>
        <v>-5146.0508122053143</v>
      </c>
      <c r="Z183" s="155">
        <f t="shared" si="244"/>
        <v>-6048.2234621443558</v>
      </c>
      <c r="AA183" s="155">
        <f t="shared" si="244"/>
        <v>-6999.448941166268</v>
      </c>
      <c r="AB183" s="155">
        <f t="shared" si="244"/>
        <v>-7982.7688836635234</v>
      </c>
      <c r="AC183" s="155">
        <f t="shared" si="244"/>
        <v>-8994.2923632180373</v>
      </c>
      <c r="AD183" s="155">
        <f t="shared" si="244"/>
        <v>-10037.730034652051</v>
      </c>
      <c r="AE183" s="155">
        <f t="shared" si="244"/>
        <v>-11119.5179781468</v>
      </c>
      <c r="AF183" s="155">
        <f t="shared" si="244"/>
        <v>0</v>
      </c>
      <c r="AG183" s="155">
        <f t="shared" si="244"/>
        <v>0</v>
      </c>
      <c r="AH183" s="155">
        <f t="shared" si="244"/>
        <v>0</v>
      </c>
      <c r="AI183" s="155">
        <f t="shared" si="244"/>
        <v>0</v>
      </c>
      <c r="AJ183" s="155">
        <f t="shared" si="244"/>
        <v>0</v>
      </c>
      <c r="AK183" s="155">
        <f t="shared" si="244"/>
        <v>0</v>
      </c>
      <c r="AL183" s="155">
        <f t="shared" si="244"/>
        <v>0</v>
      </c>
      <c r="AM183" s="155">
        <f t="shared" si="244"/>
        <v>0</v>
      </c>
      <c r="AN183" s="155">
        <f t="shared" si="244"/>
        <v>0</v>
      </c>
      <c r="AO183" s="155">
        <f t="shared" si="244"/>
        <v>-114.92274897805689</v>
      </c>
      <c r="AP183" s="155">
        <f t="shared" si="244"/>
        <v>-116.7938489780569</v>
      </c>
      <c r="AQ183" s="155">
        <f t="shared" si="244"/>
        <v>-116.7938489780569</v>
      </c>
      <c r="AR183" s="155">
        <f t="shared" si="244"/>
        <v>-116.7938489780569</v>
      </c>
      <c r="AS183" s="155">
        <f t="shared" si="244"/>
        <v>-116.7938489780569</v>
      </c>
      <c r="AT183" s="155">
        <f t="shared" si="244"/>
        <v>-116.7938489780569</v>
      </c>
      <c r="AU183" s="155">
        <f t="shared" si="244"/>
        <v>-116.7938489780569</v>
      </c>
      <c r="AV183" s="155">
        <f t="shared" si="244"/>
        <v>-116.7938489780569</v>
      </c>
      <c r="AW183" s="155">
        <f t="shared" si="244"/>
        <v>-116.7938489780569</v>
      </c>
      <c r="AX183" s="155">
        <f t="shared" si="244"/>
        <v>-116.7938489780569</v>
      </c>
      <c r="AY183" s="155">
        <f t="shared" si="244"/>
        <v>-116.7938489780569</v>
      </c>
      <c r="AZ183" s="155">
        <f t="shared" si="244"/>
        <v>-116.7938489780569</v>
      </c>
      <c r="BA183" s="155">
        <f t="shared" si="244"/>
        <v>-116.7938489780569</v>
      </c>
      <c r="BB183" s="155">
        <f t="shared" si="244"/>
        <v>-116.7938489780569</v>
      </c>
      <c r="BC183" s="155">
        <f t="shared" si="244"/>
        <v>-116.7938489780569</v>
      </c>
      <c r="BD183" s="155">
        <f t="shared" si="244"/>
        <v>-116.7938489780569</v>
      </c>
      <c r="BE183" s="155">
        <f t="shared" si="244"/>
        <v>-116.7938489780569</v>
      </c>
      <c r="BF183" s="155">
        <f t="shared" si="244"/>
        <v>-116.7938489780569</v>
      </c>
      <c r="BG183" s="155">
        <f t="shared" si="244"/>
        <v>-116.7938489780569</v>
      </c>
      <c r="BH183" s="155">
        <f t="shared" si="244"/>
        <v>-116.7938489780569</v>
      </c>
      <c r="BI183" s="155">
        <f t="shared" si="244"/>
        <v>-116.7938489780569</v>
      </c>
      <c r="BJ183" s="155">
        <f t="shared" si="244"/>
        <v>-116.7938489780569</v>
      </c>
      <c r="BK183" s="155">
        <f t="shared" si="244"/>
        <v>-116.7938489780569</v>
      </c>
      <c r="BL183" s="155">
        <f t="shared" si="244"/>
        <v>-116.7938489780569</v>
      </c>
      <c r="BM183" s="155">
        <f t="shared" si="244"/>
        <v>-116.7938489780569</v>
      </c>
    </row>
    <row r="184" spans="1:65" s="151" customFormat="1" hidden="1" outlineLevel="1">
      <c r="B184" s="152"/>
      <c r="C184" s="152" t="s">
        <v>90</v>
      </c>
      <c r="D184" s="153"/>
      <c r="E184" s="154">
        <f>SUM(F184:AS184)</f>
        <v>16754.597282293122</v>
      </c>
      <c r="F184" s="155">
        <f>F182+(E183-F183)</f>
        <v>0</v>
      </c>
      <c r="G184" s="155">
        <f>G182+(F183-G183)</f>
        <v>0</v>
      </c>
      <c r="H184" s="155">
        <f t="shared" ref="H184:BM184" si="245">H182+(G183-H183)</f>
        <v>0</v>
      </c>
      <c r="I184" s="155">
        <f t="shared" si="245"/>
        <v>0</v>
      </c>
      <c r="J184" s="155">
        <f t="shared" si="245"/>
        <v>0</v>
      </c>
      <c r="K184" s="155">
        <f t="shared" si="245"/>
        <v>0</v>
      </c>
      <c r="L184" s="155">
        <f t="shared" si="245"/>
        <v>0</v>
      </c>
      <c r="M184" s="155">
        <f t="shared" si="245"/>
        <v>0</v>
      </c>
      <c r="N184" s="155">
        <f t="shared" si="245"/>
        <v>0</v>
      </c>
      <c r="O184" s="155">
        <f t="shared" si="245"/>
        <v>0</v>
      </c>
      <c r="P184" s="155">
        <f t="shared" si="245"/>
        <v>0</v>
      </c>
      <c r="Q184" s="155">
        <f t="shared" si="245"/>
        <v>0</v>
      </c>
      <c r="R184" s="155">
        <f t="shared" si="245"/>
        <v>0</v>
      </c>
      <c r="S184" s="155">
        <f t="shared" si="245"/>
        <v>0</v>
      </c>
      <c r="T184" s="155">
        <f t="shared" si="245"/>
        <v>0</v>
      </c>
      <c r="U184" s="155">
        <f t="shared" si="245"/>
        <v>0</v>
      </c>
      <c r="V184" s="155">
        <f t="shared" si="245"/>
        <v>0</v>
      </c>
      <c r="W184" s="155">
        <f t="shared" si="245"/>
        <v>0</v>
      </c>
      <c r="X184" s="155">
        <f t="shared" si="245"/>
        <v>0</v>
      </c>
      <c r="Y184" s="155">
        <f t="shared" si="245"/>
        <v>0</v>
      </c>
      <c r="Z184" s="155">
        <f t="shared" si="245"/>
        <v>0</v>
      </c>
      <c r="AA184" s="155">
        <f t="shared" si="245"/>
        <v>0</v>
      </c>
      <c r="AB184" s="155">
        <f t="shared" si="245"/>
        <v>0</v>
      </c>
      <c r="AC184" s="155">
        <f t="shared" si="245"/>
        <v>0</v>
      </c>
      <c r="AD184" s="155">
        <f t="shared" si="245"/>
        <v>0</v>
      </c>
      <c r="AE184" s="155">
        <f t="shared" si="245"/>
        <v>0</v>
      </c>
      <c r="AF184" s="155">
        <f t="shared" si="245"/>
        <v>3957.311056676459</v>
      </c>
      <c r="AG184" s="155">
        <f t="shared" si="245"/>
        <v>1626.1382408106895</v>
      </c>
      <c r="AH184" s="155">
        <f t="shared" si="245"/>
        <v>1722.1333516560412</v>
      </c>
      <c r="AI184" s="155">
        <f t="shared" si="245"/>
        <v>1308.6860020013701</v>
      </c>
      <c r="AJ184" s="155">
        <f t="shared" si="245"/>
        <v>1518.5984797816454</v>
      </c>
      <c r="AK184" s="155">
        <f t="shared" si="245"/>
        <v>2071.3255073581386</v>
      </c>
      <c r="AL184" s="155">
        <f t="shared" si="245"/>
        <v>2134.7655543124729</v>
      </c>
      <c r="AM184" s="155">
        <f t="shared" si="245"/>
        <v>1603.6367639473774</v>
      </c>
      <c r="AN184" s="155">
        <f t="shared" si="245"/>
        <v>812.00232574892664</v>
      </c>
      <c r="AO184" s="155">
        <f t="shared" si="245"/>
        <v>0</v>
      </c>
      <c r="AP184" s="155">
        <f t="shared" si="245"/>
        <v>5.1070259132757201E-15</v>
      </c>
      <c r="AQ184" s="155">
        <f t="shared" si="245"/>
        <v>0</v>
      </c>
      <c r="AR184" s="155">
        <f t="shared" si="245"/>
        <v>0</v>
      </c>
      <c r="AS184" s="155">
        <f t="shared" si="245"/>
        <v>0</v>
      </c>
      <c r="AT184" s="155">
        <f t="shared" si="245"/>
        <v>0</v>
      </c>
      <c r="AU184" s="155">
        <f t="shared" si="245"/>
        <v>0</v>
      </c>
      <c r="AV184" s="155">
        <f t="shared" si="245"/>
        <v>0</v>
      </c>
      <c r="AW184" s="155">
        <f t="shared" si="245"/>
        <v>0</v>
      </c>
      <c r="AX184" s="155">
        <f t="shared" si="245"/>
        <v>0</v>
      </c>
      <c r="AY184" s="155">
        <f t="shared" si="245"/>
        <v>0</v>
      </c>
      <c r="AZ184" s="155">
        <f t="shared" si="245"/>
        <v>0</v>
      </c>
      <c r="BA184" s="155">
        <f t="shared" si="245"/>
        <v>0</v>
      </c>
      <c r="BB184" s="155">
        <f t="shared" si="245"/>
        <v>0</v>
      </c>
      <c r="BC184" s="155">
        <f t="shared" si="245"/>
        <v>0</v>
      </c>
      <c r="BD184" s="155">
        <f t="shared" si="245"/>
        <v>0</v>
      </c>
      <c r="BE184" s="155">
        <f t="shared" si="245"/>
        <v>0</v>
      </c>
      <c r="BF184" s="155">
        <f t="shared" si="245"/>
        <v>0</v>
      </c>
      <c r="BG184" s="155">
        <f t="shared" si="245"/>
        <v>0</v>
      </c>
      <c r="BH184" s="155">
        <f t="shared" si="245"/>
        <v>0</v>
      </c>
      <c r="BI184" s="155">
        <f t="shared" si="245"/>
        <v>0</v>
      </c>
      <c r="BJ184" s="155">
        <f t="shared" si="245"/>
        <v>0</v>
      </c>
      <c r="BK184" s="155">
        <f t="shared" si="245"/>
        <v>0</v>
      </c>
      <c r="BL184" s="155">
        <f t="shared" si="245"/>
        <v>0</v>
      </c>
      <c r="BM184" s="155">
        <f t="shared" si="245"/>
        <v>0</v>
      </c>
    </row>
    <row r="185" spans="1:65" s="151" customFormat="1" collapsed="1">
      <c r="D185" s="162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  <c r="AS185" s="136"/>
      <c r="AT185" s="136"/>
      <c r="AU185" s="136"/>
      <c r="AV185" s="136"/>
      <c r="AW185" s="136"/>
      <c r="AX185" s="136"/>
      <c r="AY185" s="136"/>
      <c r="AZ185" s="136"/>
      <c r="BA185" s="136"/>
      <c r="BB185" s="136"/>
      <c r="BC185" s="136"/>
      <c r="BD185" s="136"/>
      <c r="BE185" s="136"/>
      <c r="BF185" s="136"/>
      <c r="BG185" s="136"/>
      <c r="BH185" s="136"/>
      <c r="BI185" s="136"/>
      <c r="BJ185" s="136"/>
      <c r="BK185" s="136"/>
      <c r="BL185" s="136"/>
      <c r="BM185" s="136"/>
    </row>
    <row r="186" spans="1:65">
      <c r="B186" s="181" t="s">
        <v>103</v>
      </c>
      <c r="C186" s="181"/>
      <c r="D186" s="175"/>
      <c r="E186" s="180">
        <f>SUM(F186:BM186)</f>
        <v>9345.5508791336397</v>
      </c>
      <c r="F186" s="180">
        <f>'CF1'!F167+'CF2'!F167</f>
        <v>0</v>
      </c>
      <c r="G186" s="180">
        <f>'CF1'!G167+'CF2'!G167</f>
        <v>0</v>
      </c>
      <c r="H186" s="180">
        <f>'CF1'!H167+'CF2'!H167</f>
        <v>0</v>
      </c>
      <c r="I186" s="180">
        <f>'CF1'!I167+'CF2'!I167</f>
        <v>0</v>
      </c>
      <c r="J186" s="180">
        <f>'CF1'!J167+'CF2'!J167</f>
        <v>0</v>
      </c>
      <c r="K186" s="180">
        <f>'CF1'!K167+'CF2'!K167</f>
        <v>0</v>
      </c>
      <c r="L186" s="180">
        <f>'CF1'!L167+'CF2'!L167</f>
        <v>0</v>
      </c>
      <c r="M186" s="180">
        <f>'CF1'!M167+'CF2'!M167</f>
        <v>0</v>
      </c>
      <c r="N186" s="180">
        <f>'CF1'!N167+'CF2'!N167</f>
        <v>0</v>
      </c>
      <c r="O186" s="180">
        <f>'CF1'!O167+'CF2'!O167</f>
        <v>0</v>
      </c>
      <c r="P186" s="180">
        <f>'CF1'!P167+'CF2'!P167</f>
        <v>0</v>
      </c>
      <c r="Q186" s="180">
        <f>'CF1'!Q167+'CF2'!Q167</f>
        <v>0</v>
      </c>
      <c r="R186" s="180">
        <f>'CF1'!R167+'CF2'!R167</f>
        <v>0</v>
      </c>
      <c r="S186" s="180">
        <f>'CF1'!S167+'CF2'!S167</f>
        <v>0</v>
      </c>
      <c r="T186" s="180">
        <f>'CF1'!T167+'CF2'!T167</f>
        <v>0</v>
      </c>
      <c r="U186" s="180">
        <f>'CF1'!U167+'CF2'!U167</f>
        <v>0</v>
      </c>
      <c r="V186" s="180">
        <f>'CF1'!V167+'CF2'!V167</f>
        <v>0</v>
      </c>
      <c r="W186" s="180">
        <f>'CF1'!W167+'CF2'!W167</f>
        <v>0</v>
      </c>
      <c r="X186" s="180">
        <f>'CF1'!X167+'CF2'!X167</f>
        <v>0</v>
      </c>
      <c r="Y186" s="180">
        <f>'CF1'!Y167+'CF2'!Y167</f>
        <v>0</v>
      </c>
      <c r="Z186" s="180">
        <f>'CF1'!Z167+'CF2'!Z167</f>
        <v>0</v>
      </c>
      <c r="AA186" s="180">
        <f>'CF1'!AA167+'CF2'!AA167</f>
        <v>0</v>
      </c>
      <c r="AB186" s="180">
        <f>'CF1'!AB167+'CF2'!AB167</f>
        <v>0</v>
      </c>
      <c r="AC186" s="180">
        <f>'CF1'!AC167+'CF2'!AC167</f>
        <v>0</v>
      </c>
      <c r="AD186" s="180">
        <f>'CF1'!AD167+'CF2'!AD167</f>
        <v>0</v>
      </c>
      <c r="AE186" s="180">
        <f>'CF1'!AE167+'CF2'!AE167</f>
        <v>0</v>
      </c>
      <c r="AF186" s="180">
        <f>'CF1'!AF167+'CF2'!AF167</f>
        <v>-9.0949470177292824E-13</v>
      </c>
      <c r="AG186" s="180">
        <f>'CF1'!AG167+'CF2'!AG167</f>
        <v>9.6633812063373625E-13</v>
      </c>
      <c r="AH186" s="180">
        <f>'CF1'!AH167+'CF2'!AH167</f>
        <v>-1.7053025658242404E-13</v>
      </c>
      <c r="AI186" s="180">
        <f>'CF1'!AI167+'CF2'!AI167</f>
        <v>1.7053025658242404E-13</v>
      </c>
      <c r="AJ186" s="180">
        <f>'CF1'!AJ167+'CF2'!AJ167</f>
        <v>-5.1159076974727213E-13</v>
      </c>
      <c r="AK186" s="180">
        <f>'CF1'!AK167+'CF2'!AK167</f>
        <v>1072.2674440903702</v>
      </c>
      <c r="AL186" s="180">
        <f>'CF1'!AL167+'CF2'!AL167</f>
        <v>2735.2190944839931</v>
      </c>
      <c r="AM186" s="180">
        <f>'CF1'!AM167+'CF2'!AM167</f>
        <v>3357.0658279651552</v>
      </c>
      <c r="AN186" s="180">
        <f>'CF1'!AN167+'CF2'!AN167</f>
        <v>2182.8696125941215</v>
      </c>
      <c r="AO186" s="180">
        <f>'CF1'!AO167+'CF2'!AO167</f>
        <v>-1.8711000000002969</v>
      </c>
      <c r="AP186" s="180">
        <f>'CF1'!AP167+'CF2'!AP167</f>
        <v>0</v>
      </c>
      <c r="AQ186" s="180">
        <f>'CF1'!AQ167+'CF2'!AQ167</f>
        <v>0</v>
      </c>
      <c r="AR186" s="180">
        <f>'CF1'!AR167+'CF2'!AR167</f>
        <v>0</v>
      </c>
      <c r="AS186" s="180">
        <f>'CF1'!AS167+'CF2'!AS167</f>
        <v>0</v>
      </c>
      <c r="AT186" s="180">
        <f>'CF1'!AT167+'CF2'!AT167</f>
        <v>0</v>
      </c>
      <c r="AU186" s="180">
        <f>'CF1'!AU167+'CF2'!AU167</f>
        <v>0</v>
      </c>
      <c r="AV186" s="180">
        <f>'CF1'!AV167+'CF2'!AV167</f>
        <v>0</v>
      </c>
      <c r="AW186" s="180">
        <f>'CF1'!AW167+'CF2'!AW167</f>
        <v>0</v>
      </c>
      <c r="AX186" s="180">
        <f>'CF1'!AX167+'CF2'!AX167</f>
        <v>0</v>
      </c>
      <c r="AY186" s="180">
        <f>'CF1'!AY167+'CF2'!AY167</f>
        <v>0</v>
      </c>
      <c r="AZ186" s="180">
        <f>'CF1'!AZ167+'CF2'!AZ167</f>
        <v>0</v>
      </c>
      <c r="BA186" s="180">
        <f>'CF1'!BA167+'CF2'!BA167</f>
        <v>0</v>
      </c>
      <c r="BB186" s="180">
        <f>'CF1'!BB167+'CF2'!BB167</f>
        <v>0</v>
      </c>
      <c r="BC186" s="180">
        <f>'CF1'!BC167+'CF2'!BC167</f>
        <v>0</v>
      </c>
      <c r="BD186" s="180">
        <f>'CF1'!BD167+'CF2'!BD167</f>
        <v>0</v>
      </c>
      <c r="BE186" s="180">
        <f>'CF1'!BE167+'CF2'!BE167</f>
        <v>0</v>
      </c>
      <c r="BF186" s="180">
        <f>'CF1'!BF167+'CF2'!BF167</f>
        <v>0</v>
      </c>
      <c r="BG186" s="180">
        <f>'CF1'!BG167+'CF2'!BG167</f>
        <v>0</v>
      </c>
      <c r="BH186" s="180">
        <f>'CF1'!BH167+'CF2'!BH167</f>
        <v>0</v>
      </c>
      <c r="BI186" s="180">
        <f>'CF1'!BI167+'CF2'!BI167</f>
        <v>0</v>
      </c>
      <c r="BJ186" s="180">
        <f>'CF1'!BJ167+'CF2'!BJ167</f>
        <v>0</v>
      </c>
      <c r="BK186" s="180">
        <f>'CF1'!BK167+'CF2'!BK167</f>
        <v>0</v>
      </c>
      <c r="BL186" s="180">
        <f>'CF1'!BL167+'CF2'!BL167</f>
        <v>0</v>
      </c>
      <c r="BM186" s="180">
        <f>'CF1'!BM167+'CF2'!BM167</f>
        <v>0</v>
      </c>
    </row>
    <row r="187" spans="1:65">
      <c r="E187" s="148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  <c r="AC187" s="149"/>
      <c r="AD187" s="149"/>
      <c r="AE187" s="149"/>
      <c r="AF187" s="149"/>
      <c r="AG187" s="149"/>
      <c r="AH187" s="149"/>
      <c r="AI187" s="149"/>
      <c r="AJ187" s="149"/>
      <c r="AK187" s="149"/>
      <c r="AL187" s="149"/>
      <c r="AM187" s="149"/>
      <c r="AN187" s="149"/>
      <c r="AO187" s="149"/>
      <c r="AP187" s="149"/>
      <c r="AQ187" s="149"/>
      <c r="AR187" s="149"/>
      <c r="AS187" s="149"/>
      <c r="AT187" s="149"/>
      <c r="AU187" s="149"/>
      <c r="AV187" s="149"/>
      <c r="AW187" s="149"/>
      <c r="AX187" s="149"/>
      <c r="AY187" s="149"/>
      <c r="AZ187" s="149"/>
      <c r="BA187" s="149"/>
      <c r="BB187" s="149"/>
      <c r="BC187" s="149"/>
      <c r="BD187" s="149"/>
      <c r="BE187" s="149"/>
      <c r="BF187" s="149"/>
      <c r="BG187" s="149"/>
      <c r="BH187" s="149"/>
      <c r="BI187" s="149"/>
      <c r="BJ187" s="149"/>
      <c r="BK187" s="149"/>
      <c r="BL187" s="149"/>
      <c r="BM187" s="149"/>
    </row>
    <row r="188" spans="1:65">
      <c r="B188" s="181" t="s">
        <v>68</v>
      </c>
      <c r="C188" s="181"/>
      <c r="D188" s="175"/>
      <c r="E188" s="180"/>
      <c r="F188" s="180">
        <f>+F186</f>
        <v>0</v>
      </c>
      <c r="G188" s="180">
        <f t="shared" ref="G188:BM188" si="246">F188+G186</f>
        <v>0</v>
      </c>
      <c r="H188" s="180">
        <f t="shared" si="246"/>
        <v>0</v>
      </c>
      <c r="I188" s="180">
        <f t="shared" si="246"/>
        <v>0</v>
      </c>
      <c r="J188" s="180">
        <f t="shared" si="246"/>
        <v>0</v>
      </c>
      <c r="K188" s="180">
        <f t="shared" si="246"/>
        <v>0</v>
      </c>
      <c r="L188" s="180">
        <f t="shared" si="246"/>
        <v>0</v>
      </c>
      <c r="M188" s="180">
        <f t="shared" si="246"/>
        <v>0</v>
      </c>
      <c r="N188" s="180">
        <f t="shared" si="246"/>
        <v>0</v>
      </c>
      <c r="O188" s="180">
        <f t="shared" si="246"/>
        <v>0</v>
      </c>
      <c r="P188" s="180">
        <f t="shared" si="246"/>
        <v>0</v>
      </c>
      <c r="Q188" s="180">
        <f t="shared" si="246"/>
        <v>0</v>
      </c>
      <c r="R188" s="180">
        <f t="shared" si="246"/>
        <v>0</v>
      </c>
      <c r="S188" s="180">
        <f t="shared" si="246"/>
        <v>0</v>
      </c>
      <c r="T188" s="180">
        <f t="shared" si="246"/>
        <v>0</v>
      </c>
      <c r="U188" s="180">
        <f t="shared" si="246"/>
        <v>0</v>
      </c>
      <c r="V188" s="180">
        <f t="shared" si="246"/>
        <v>0</v>
      </c>
      <c r="W188" s="180">
        <f t="shared" si="246"/>
        <v>0</v>
      </c>
      <c r="X188" s="180">
        <f t="shared" si="246"/>
        <v>0</v>
      </c>
      <c r="Y188" s="180">
        <f t="shared" si="246"/>
        <v>0</v>
      </c>
      <c r="Z188" s="180">
        <f t="shared" si="246"/>
        <v>0</v>
      </c>
      <c r="AA188" s="180">
        <f t="shared" si="246"/>
        <v>0</v>
      </c>
      <c r="AB188" s="180">
        <f t="shared" si="246"/>
        <v>0</v>
      </c>
      <c r="AC188" s="180">
        <f t="shared" si="246"/>
        <v>0</v>
      </c>
      <c r="AD188" s="180">
        <f t="shared" si="246"/>
        <v>0</v>
      </c>
      <c r="AE188" s="180">
        <f t="shared" si="246"/>
        <v>0</v>
      </c>
      <c r="AF188" s="180">
        <f t="shared" si="246"/>
        <v>-9.0949470177292824E-13</v>
      </c>
      <c r="AG188" s="180">
        <f t="shared" si="246"/>
        <v>5.6843418860808015E-14</v>
      </c>
      <c r="AH188" s="180">
        <f t="shared" si="246"/>
        <v>-1.1368683772161603E-13</v>
      </c>
      <c r="AI188" s="180">
        <f t="shared" si="246"/>
        <v>5.6843418860808015E-14</v>
      </c>
      <c r="AJ188" s="180">
        <f t="shared" si="246"/>
        <v>-4.5474735088646412E-13</v>
      </c>
      <c r="AK188" s="180">
        <f t="shared" si="246"/>
        <v>1072.2674440903697</v>
      </c>
      <c r="AL188" s="180">
        <f t="shared" si="246"/>
        <v>3807.4865385743628</v>
      </c>
      <c r="AM188" s="180">
        <f t="shared" si="246"/>
        <v>7164.5523665395176</v>
      </c>
      <c r="AN188" s="180">
        <f t="shared" si="246"/>
        <v>9347.42197913364</v>
      </c>
      <c r="AO188" s="180">
        <f t="shared" si="246"/>
        <v>9345.5508791336397</v>
      </c>
      <c r="AP188" s="180">
        <f t="shared" si="246"/>
        <v>9345.5508791336397</v>
      </c>
      <c r="AQ188" s="180">
        <f t="shared" si="246"/>
        <v>9345.5508791336397</v>
      </c>
      <c r="AR188" s="180">
        <f t="shared" si="246"/>
        <v>9345.5508791336397</v>
      </c>
      <c r="AS188" s="180">
        <f t="shared" si="246"/>
        <v>9345.5508791336397</v>
      </c>
      <c r="AT188" s="180">
        <f t="shared" si="246"/>
        <v>9345.5508791336397</v>
      </c>
      <c r="AU188" s="180">
        <f t="shared" si="246"/>
        <v>9345.5508791336397</v>
      </c>
      <c r="AV188" s="180">
        <f t="shared" si="246"/>
        <v>9345.5508791336397</v>
      </c>
      <c r="AW188" s="180">
        <f t="shared" si="246"/>
        <v>9345.5508791336397</v>
      </c>
      <c r="AX188" s="180">
        <f t="shared" si="246"/>
        <v>9345.5508791336397</v>
      </c>
      <c r="AY188" s="180">
        <f t="shared" si="246"/>
        <v>9345.5508791336397</v>
      </c>
      <c r="AZ188" s="180">
        <f t="shared" si="246"/>
        <v>9345.5508791336397</v>
      </c>
      <c r="BA188" s="180">
        <f t="shared" si="246"/>
        <v>9345.5508791336397</v>
      </c>
      <c r="BB188" s="180">
        <f t="shared" si="246"/>
        <v>9345.5508791336397</v>
      </c>
      <c r="BC188" s="180">
        <f t="shared" si="246"/>
        <v>9345.5508791336397</v>
      </c>
      <c r="BD188" s="180">
        <f t="shared" si="246"/>
        <v>9345.5508791336397</v>
      </c>
      <c r="BE188" s="180">
        <f t="shared" si="246"/>
        <v>9345.5508791336397</v>
      </c>
      <c r="BF188" s="180">
        <f t="shared" si="246"/>
        <v>9345.5508791336397</v>
      </c>
      <c r="BG188" s="180">
        <f t="shared" si="246"/>
        <v>9345.5508791336397</v>
      </c>
      <c r="BH188" s="180">
        <f t="shared" si="246"/>
        <v>9345.5508791336397</v>
      </c>
      <c r="BI188" s="180">
        <f t="shared" si="246"/>
        <v>9345.5508791336397</v>
      </c>
      <c r="BJ188" s="180">
        <f t="shared" si="246"/>
        <v>9345.5508791336397</v>
      </c>
      <c r="BK188" s="180">
        <f t="shared" si="246"/>
        <v>9345.5508791336397</v>
      </c>
      <c r="BL188" s="180">
        <f t="shared" si="246"/>
        <v>9345.5508791336397</v>
      </c>
      <c r="BM188" s="180">
        <f t="shared" si="246"/>
        <v>9345.5508791336397</v>
      </c>
    </row>
    <row r="190" spans="1:65">
      <c r="B190" s="181" t="s">
        <v>104</v>
      </c>
      <c r="C190" s="181"/>
      <c r="D190" s="175"/>
      <c r="E190" s="180">
        <f>SUM(F190:BM190)</f>
        <v>9737.8551641513786</v>
      </c>
      <c r="F190" s="180">
        <f>'CF1'!F171+'CF2'!F171</f>
        <v>-0.2</v>
      </c>
      <c r="G190" s="180">
        <f>'CF1'!G171+'CF2'!G171</f>
        <v>-0.6</v>
      </c>
      <c r="H190" s="180">
        <f>'CF1'!H171+'CF2'!H171</f>
        <v>-0.6</v>
      </c>
      <c r="I190" s="180">
        <f>'CF1'!I171+'CF2'!I171</f>
        <v>-0.3</v>
      </c>
      <c r="J190" s="180">
        <f>'CF1'!J171+'CF2'!J171</f>
        <v>0</v>
      </c>
      <c r="K190" s="180">
        <f>'CF1'!K171+'CF2'!K171</f>
        <v>-0.8</v>
      </c>
      <c r="L190" s="180">
        <f>'CF1'!L171+'CF2'!L171</f>
        <v>-0.6</v>
      </c>
      <c r="M190" s="180">
        <f>'CF1'!M171+'CF2'!M171</f>
        <v>-1.07</v>
      </c>
      <c r="N190" s="180">
        <f>'CF1'!N171+'CF2'!N171</f>
        <v>-116.08026635546994</v>
      </c>
      <c r="O190" s="180">
        <f>'CF1'!O171+'CF2'!O171</f>
        <v>-170.14948166546992</v>
      </c>
      <c r="P190" s="180">
        <f>'CF1'!P171+'CF2'!P171</f>
        <v>-303.39454785149383</v>
      </c>
      <c r="Q190" s="180">
        <f>'CF1'!Q171+'CF2'!Q171</f>
        <v>0</v>
      </c>
      <c r="R190" s="180">
        <f>'CF1'!R171+'CF2'!R171</f>
        <v>0</v>
      </c>
      <c r="S190" s="180">
        <f>'CF1'!S171+'CF2'!S171</f>
        <v>0</v>
      </c>
      <c r="T190" s="180">
        <f>'CF1'!T171+'CF2'!T171</f>
        <v>0</v>
      </c>
      <c r="U190" s="180">
        <f>'CF1'!U171+'CF2'!U171</f>
        <v>0</v>
      </c>
      <c r="V190" s="180">
        <f>'CF1'!V171+'CF2'!V171</f>
        <v>0</v>
      </c>
      <c r="W190" s="180">
        <f>'CF1'!W171+'CF2'!W171</f>
        <v>0</v>
      </c>
      <c r="X190" s="180">
        <f>'CF1'!X171+'CF2'!X171</f>
        <v>-6.8212102632969618E-13</v>
      </c>
      <c r="Y190" s="180">
        <f>'CF1'!Y171+'CF2'!Y171</f>
        <v>6.8212102632969618E-13</v>
      </c>
      <c r="Z190" s="180">
        <f>'CF1'!Z171+'CF2'!Z171</f>
        <v>0</v>
      </c>
      <c r="AA190" s="180">
        <f>'CF1'!AA171+'CF2'!AA171</f>
        <v>0</v>
      </c>
      <c r="AB190" s="180">
        <f>'CF1'!AB171+'CF2'!AB171</f>
        <v>0</v>
      </c>
      <c r="AC190" s="180">
        <f>'CF1'!AC171+'CF2'!AC171</f>
        <v>0</v>
      </c>
      <c r="AD190" s="180">
        <f>'CF1'!AD171+'CF2'!AD171</f>
        <v>0</v>
      </c>
      <c r="AE190" s="180">
        <f>'CF1'!AE171+'CF2'!AE171</f>
        <v>0</v>
      </c>
      <c r="AF190" s="180">
        <f>'CF1'!AF171+'CF2'!AF171</f>
        <v>-9.0949470177292824E-13</v>
      </c>
      <c r="AG190" s="180">
        <f>'CF1'!AG171+'CF2'!AG171</f>
        <v>9.6633812063373625E-13</v>
      </c>
      <c r="AH190" s="180">
        <f>'CF1'!AH171+'CF2'!AH171</f>
        <v>-1.7053025658242404E-13</v>
      </c>
      <c r="AI190" s="180">
        <f>'CF1'!AI171+'CF2'!AI171</f>
        <v>1.7053025658242404E-13</v>
      </c>
      <c r="AJ190" s="180">
        <f>'CF1'!AJ171+'CF2'!AJ171</f>
        <v>-5.1159076974727213E-13</v>
      </c>
      <c r="AK190" s="180">
        <f>'CF1'!AK171+'CF2'!AK171</f>
        <v>1702.2110868945833</v>
      </c>
      <c r="AL190" s="180">
        <f>'CF1'!AL171+'CF2'!AL171</f>
        <v>3091.3740325699519</v>
      </c>
      <c r="AM190" s="180">
        <f>'CF1'!AM171+'CF2'!AM171</f>
        <v>3357.0658279651552</v>
      </c>
      <c r="AN190" s="180">
        <f>'CF1'!AN171+'CF2'!AN171</f>
        <v>2230.2561407070025</v>
      </c>
      <c r="AO190" s="180">
        <f>'CF1'!AO171+'CF2'!AO171</f>
        <v>-47.386528112880853</v>
      </c>
      <c r="AP190" s="180">
        <f>'CF1'!AP171+'CF2'!AP171</f>
        <v>-1.8711000000000089</v>
      </c>
      <c r="AQ190" s="180">
        <f>'CF1'!AQ171+'CF2'!AQ171</f>
        <v>0</v>
      </c>
      <c r="AR190" s="180">
        <f>'CF1'!AR171+'CF2'!AR171</f>
        <v>0</v>
      </c>
      <c r="AS190" s="180">
        <f>'CF1'!AS171+'CF2'!AS171</f>
        <v>0</v>
      </c>
      <c r="AT190" s="180">
        <f>'CF1'!AT171+'CF2'!AT171</f>
        <v>0</v>
      </c>
      <c r="AU190" s="180">
        <f>'CF1'!AU171+'CF2'!AU171</f>
        <v>0</v>
      </c>
      <c r="AV190" s="180">
        <f>'CF1'!AV171+'CF2'!AV171</f>
        <v>0</v>
      </c>
      <c r="AW190" s="180">
        <f>'CF1'!AW171+'CF2'!AW171</f>
        <v>0</v>
      </c>
      <c r="AX190" s="180">
        <f>'CF1'!AX171+'CF2'!AX171</f>
        <v>0</v>
      </c>
      <c r="AY190" s="180">
        <f>'CF1'!AY171+'CF2'!AY171</f>
        <v>0</v>
      </c>
      <c r="AZ190" s="180">
        <f>'CF1'!AZ171+'CF2'!AZ171</f>
        <v>0</v>
      </c>
      <c r="BA190" s="180">
        <f>'CF1'!BA171+'CF2'!BA171</f>
        <v>0</v>
      </c>
      <c r="BB190" s="180">
        <f>'CF1'!BB171+'CF2'!BB171</f>
        <v>0</v>
      </c>
      <c r="BC190" s="180">
        <f>'CF1'!BC171+'CF2'!BC171</f>
        <v>0</v>
      </c>
      <c r="BD190" s="180">
        <f>'CF1'!BD171+'CF2'!BD171</f>
        <v>0</v>
      </c>
      <c r="BE190" s="180">
        <f>'CF1'!BE171+'CF2'!BE171</f>
        <v>0</v>
      </c>
      <c r="BF190" s="180">
        <f>'CF1'!BF171+'CF2'!BF171</f>
        <v>0</v>
      </c>
      <c r="BG190" s="180">
        <f>'CF1'!BG171+'CF2'!BG171</f>
        <v>0</v>
      </c>
      <c r="BH190" s="180">
        <f>'CF1'!BH171+'CF2'!BH171</f>
        <v>0</v>
      </c>
      <c r="BI190" s="180">
        <f>'CF1'!BI171+'CF2'!BI171</f>
        <v>0</v>
      </c>
      <c r="BJ190" s="180">
        <f>'CF1'!BJ171+'CF2'!BJ171</f>
        <v>0</v>
      </c>
      <c r="BK190" s="180">
        <f>'CF1'!BK171+'CF2'!BK171</f>
        <v>0</v>
      </c>
      <c r="BL190" s="180">
        <f>'CF1'!BL171+'CF2'!BL171</f>
        <v>0</v>
      </c>
      <c r="BM190" s="180">
        <f>'CF1'!BM171+'CF2'!BM171</f>
        <v>0</v>
      </c>
    </row>
    <row r="191" spans="1:65">
      <c r="F191" s="149"/>
    </row>
    <row r="192" spans="1:65" s="164" customFormat="1" hidden="1" outlineLevel="1">
      <c r="B192" s="163" t="s">
        <v>74</v>
      </c>
      <c r="D192" s="165"/>
      <c r="E192" s="163"/>
    </row>
    <row r="193" spans="1:65" s="164" customFormat="1" ht="12.75" hidden="1" customHeight="1" outlineLevel="1">
      <c r="B193" s="166" t="s">
        <v>71</v>
      </c>
      <c r="C193" s="167"/>
      <c r="D193" s="168"/>
      <c r="E193" s="24"/>
      <c r="F193" s="24">
        <f>IF(SUM(E$194:$F194)=0,1,0)</f>
        <v>1</v>
      </c>
      <c r="G193" s="24">
        <f>IF(SUM($F$194:F194)=0,1,0)</f>
        <v>1</v>
      </c>
      <c r="H193" s="24">
        <f>IF(SUM($F$194:G194)=0,1,0)</f>
        <v>1</v>
      </c>
      <c r="I193" s="24">
        <f>IF(SUM($F$194:H194)=0,1,0)</f>
        <v>1</v>
      </c>
      <c r="J193" s="24">
        <f>IF(SUM($F$194:I194)=0,1,0)</f>
        <v>1</v>
      </c>
      <c r="K193" s="24">
        <f>IF(SUM($F$194:J194)=0,1,0)</f>
        <v>1</v>
      </c>
      <c r="L193" s="24">
        <f>IF(SUM($F$194:K194)=0,1,0)</f>
        <v>1</v>
      </c>
      <c r="M193" s="24">
        <f>IF(SUM($F$194:L194)=0,1,0)</f>
        <v>1</v>
      </c>
      <c r="N193" s="24">
        <f>IF(SUM($F$194:M194)=0,1,0)</f>
        <v>1</v>
      </c>
      <c r="O193" s="24">
        <f>IF(SUM($F$194:N194)=0,1,0)</f>
        <v>1</v>
      </c>
      <c r="P193" s="24">
        <f>IF(SUM($F$194:O194)=0,1,0)</f>
        <v>1</v>
      </c>
      <c r="Q193" s="24">
        <f>IF(SUM($F$194:P194)=0,1,0)</f>
        <v>1</v>
      </c>
      <c r="R193" s="24">
        <f>IF(SUM($F$194:Q194)=0,1,0)</f>
        <v>1</v>
      </c>
      <c r="S193" s="24">
        <f>IF(SUM($F$194:R194)=0,1,0)</f>
        <v>1</v>
      </c>
      <c r="T193" s="24">
        <f>IF(SUM($F$194:S194)=0,1,0)</f>
        <v>1</v>
      </c>
      <c r="U193" s="24">
        <f>IF(SUM($F$194:T194)=0,1,0)</f>
        <v>1</v>
      </c>
      <c r="V193" s="24">
        <f>IF(SUM($F$194:U194)=0,1,0)</f>
        <v>1</v>
      </c>
      <c r="W193" s="24">
        <f>IF(SUM($F$194:V194)=0,1,0)</f>
        <v>1</v>
      </c>
      <c r="X193" s="24">
        <f>IF(SUM($F$194:W194)=0,1,0)</f>
        <v>1</v>
      </c>
      <c r="Y193" s="24">
        <f>IF(SUM($F$194:X194)=0,1,0)</f>
        <v>1</v>
      </c>
      <c r="Z193" s="24">
        <f>IF(SUM($F$194:Y194)=0,1,0)</f>
        <v>1</v>
      </c>
      <c r="AA193" s="24">
        <f>IF(SUM($F$194:Z194)=0,1,0)</f>
        <v>1</v>
      </c>
      <c r="AB193" s="24">
        <f>IF(SUM($F$194:AA194)=0,1,0)</f>
        <v>1</v>
      </c>
      <c r="AC193" s="24">
        <f>IF(SUM($F$194:AB194)=0,1,0)</f>
        <v>1</v>
      </c>
      <c r="AD193" s="24">
        <f>IF(SUM($F$194:AC194)=0,1,0)</f>
        <v>1</v>
      </c>
      <c r="AE193" s="24">
        <f>IF(SUM($F$194:AD194)=0,1,0)</f>
        <v>1</v>
      </c>
      <c r="AF193" s="24">
        <f>IF(SUM($F$194:AE194)=0,1,0)</f>
        <v>0</v>
      </c>
      <c r="AG193" s="24">
        <f>IF(SUM($F$194:AF194)=0,1,0)</f>
        <v>0</v>
      </c>
      <c r="AH193" s="24">
        <f>IF(SUM($F$194:AG194)=0,1,0)</f>
        <v>0</v>
      </c>
      <c r="AI193" s="24">
        <f>IF(SUM($F$194:AH194)=0,1,0)</f>
        <v>0</v>
      </c>
      <c r="AJ193" s="24">
        <f>IF(SUM($F$194:AI194)=0,1,0)</f>
        <v>0</v>
      </c>
      <c r="AK193" s="24">
        <f>IF(SUM($F$194:AJ194)=0,1,0)</f>
        <v>0</v>
      </c>
      <c r="AL193" s="24">
        <f>IF(SUM($F$194:AK194)=0,1,0)</f>
        <v>0</v>
      </c>
      <c r="AM193" s="24">
        <f>IF(SUM($F$194:AL194)=0,1,0)</f>
        <v>0</v>
      </c>
      <c r="AN193" s="24">
        <f>IF(SUM($F$194:AM194)=0,1,0)</f>
        <v>0</v>
      </c>
      <c r="AO193" s="24">
        <f>IF(SUM($F$194:AN194)=0,1,0)</f>
        <v>0</v>
      </c>
      <c r="AP193" s="24">
        <f>IF(SUM($F$194:AO194)=0,1,0)</f>
        <v>0</v>
      </c>
      <c r="AQ193" s="24">
        <f>IF(SUM($F$194:AP194)=0,1,0)</f>
        <v>0</v>
      </c>
      <c r="AR193" s="24">
        <f>IF(SUM($F$194:AQ194)=0,1,0)</f>
        <v>0</v>
      </c>
      <c r="AS193" s="24">
        <f>IF(SUM($F$194:AR194)=0,1,0)</f>
        <v>0</v>
      </c>
      <c r="AT193" s="24">
        <f>IF(SUM($F$194:AS194)=0,1,0)</f>
        <v>0</v>
      </c>
      <c r="AU193" s="24">
        <f>IF(SUM($F$194:AT194)=0,1,0)</f>
        <v>0</v>
      </c>
      <c r="AV193" s="24">
        <f>IF(SUM($F$194:AU194)=0,1,0)</f>
        <v>0</v>
      </c>
      <c r="AW193" s="24">
        <f>IF(SUM($F$194:AV194)=0,1,0)</f>
        <v>0</v>
      </c>
      <c r="AX193" s="24">
        <f>IF(SUM($F$194:AW194)=0,1,0)</f>
        <v>0</v>
      </c>
      <c r="AY193" s="24">
        <f>IF(SUM($F$194:AX194)=0,1,0)</f>
        <v>0</v>
      </c>
      <c r="AZ193" s="24">
        <f>IF(SUM($F$194:AY194)=0,1,0)</f>
        <v>0</v>
      </c>
      <c r="BA193" s="24">
        <f>IF(SUM($F$194:AZ194)=0,1,0)</f>
        <v>0</v>
      </c>
      <c r="BB193" s="24">
        <f>IF(SUM($F$194:BA194)=0,1,0)</f>
        <v>0</v>
      </c>
      <c r="BC193" s="24">
        <f>IF(SUM($F$194:BB194)=0,1,0)</f>
        <v>0</v>
      </c>
      <c r="BD193" s="24">
        <f>IF(SUM($F$194:BC194)=0,1,0)</f>
        <v>0</v>
      </c>
      <c r="BE193" s="24">
        <f>IF(SUM($F$194:BD194)=0,1,0)</f>
        <v>0</v>
      </c>
      <c r="BF193" s="24">
        <f>IF(SUM($F$194:BE194)=0,1,0)</f>
        <v>0</v>
      </c>
      <c r="BG193" s="24">
        <f>IF(SUM($F$194:BF194)=0,1,0)</f>
        <v>0</v>
      </c>
      <c r="BH193" s="24">
        <f>IF(SUM($F$194:BG194)=0,1,0)</f>
        <v>0</v>
      </c>
      <c r="BI193" s="24">
        <f>IF(SUM($F$194:BH194)=0,1,0)</f>
        <v>0</v>
      </c>
      <c r="BJ193" s="24">
        <f>IF(SUM($F$194:BI194)=0,1,0)</f>
        <v>0</v>
      </c>
      <c r="BK193" s="24">
        <f>IF(SUM($F$194:BJ194)=0,1,0)</f>
        <v>0</v>
      </c>
      <c r="BL193" s="24">
        <f>IF(SUM($F$194:BK194)=0,1,0)</f>
        <v>0</v>
      </c>
      <c r="BM193" s="24">
        <f>IF(SUM($F$194:BL194)=0,1,0)</f>
        <v>0</v>
      </c>
    </row>
    <row r="194" spans="1:65" s="164" customFormat="1" ht="12.75" hidden="1" customHeight="1" outlineLevel="1">
      <c r="B194" s="166" t="s">
        <v>70</v>
      </c>
      <c r="C194" s="167"/>
      <c r="D194" s="168"/>
      <c r="E194" s="24"/>
      <c r="F194" s="24">
        <f>IF(AND('DB1'!$U$27&gt;CF!E7,'DB1'!$U$27&lt;=CF!F6),1,0)</f>
        <v>0</v>
      </c>
      <c r="G194" s="24">
        <f>IF(AND('DB1'!$U$27&gt;CF!F6,'DB1'!$U$27&lt;=CF!G6),1,0)</f>
        <v>0</v>
      </c>
      <c r="H194" s="24">
        <f>IF(AND('DB1'!$U$27&gt;CF!G6,'DB1'!$U$27&lt;=CF!H6),1,0)</f>
        <v>0</v>
      </c>
      <c r="I194" s="24">
        <f>IF(AND('DB1'!$U$27&gt;CF!H6,'DB1'!$U$27&lt;=CF!I6),1,0)</f>
        <v>0</v>
      </c>
      <c r="J194" s="24">
        <f>IF(AND('DB1'!$U$27&gt;CF!I6,'DB1'!$U$27&lt;=CF!J6),1,0)</f>
        <v>0</v>
      </c>
      <c r="K194" s="24">
        <f>IF(AND('DB1'!$U$27&gt;CF!J6,'DB1'!$U$27&lt;=CF!K6),1,0)</f>
        <v>0</v>
      </c>
      <c r="L194" s="24">
        <f>IF(AND('DB1'!$U$27&gt;CF!K6,'DB1'!$U$27&lt;=CF!L6),1,0)</f>
        <v>0</v>
      </c>
      <c r="M194" s="24">
        <f>IF(AND('DB1'!$U$27&gt;CF!L6,'DB1'!$U$27&lt;=CF!M6),1,0)</f>
        <v>0</v>
      </c>
      <c r="N194" s="24">
        <f>IF(AND('DB1'!$U$27&gt;CF!M6,'DB1'!$U$27&lt;=CF!N6),1,0)</f>
        <v>0</v>
      </c>
      <c r="O194" s="24">
        <f>IF(AND('DB1'!$U$27&gt;CF!N6,'DB1'!$U$27&lt;=CF!O6),1,0)</f>
        <v>0</v>
      </c>
      <c r="P194" s="24">
        <f>IF(AND('DB1'!$U$27&gt;CF!O6,'DB1'!$U$27&lt;=CF!P6),1,0)</f>
        <v>0</v>
      </c>
      <c r="Q194" s="24">
        <f>IF(AND('DB1'!$U$27&gt;CF!P6,'DB1'!$U$27&lt;=CF!Q6),1,0)</f>
        <v>0</v>
      </c>
      <c r="R194" s="24">
        <f>IF(AND('DB1'!$U$27&gt;CF!Q6,'DB1'!$U$27&lt;=CF!R6),1,0)</f>
        <v>0</v>
      </c>
      <c r="S194" s="24">
        <f>IF(AND('DB1'!$U$27&gt;CF!R6,'DB1'!$U$27&lt;=CF!S6),1,0)</f>
        <v>0</v>
      </c>
      <c r="T194" s="24">
        <f>IF(AND('DB1'!$U$27&gt;CF!S6,'DB1'!$U$27&lt;=CF!T6),1,0)</f>
        <v>0</v>
      </c>
      <c r="U194" s="24">
        <f>IF(AND('DB1'!$U$27&gt;CF!T6,'DB1'!$U$27&lt;=CF!U6),1,0)</f>
        <v>0</v>
      </c>
      <c r="V194" s="24">
        <f>IF(AND('DB1'!$U$27&gt;CF!U6,'DB1'!$U$27&lt;=CF!V6),1,0)</f>
        <v>0</v>
      </c>
      <c r="W194" s="24">
        <f>IF(AND('DB1'!$U$27&gt;CF!V6,'DB1'!$U$27&lt;=CF!W6),1,0)</f>
        <v>0</v>
      </c>
      <c r="X194" s="24">
        <f>IF(AND('DB1'!$U$27&gt;CF!W6,'DB1'!$U$27&lt;=CF!X6),1,0)</f>
        <v>0</v>
      </c>
      <c r="Y194" s="24">
        <f>IF(AND('DB1'!$U$27&gt;CF!X6,'DB1'!$U$27&lt;=CF!Y6),1,0)</f>
        <v>0</v>
      </c>
      <c r="Z194" s="24">
        <f>IF(AND('DB1'!$U$27&gt;CF!Y6,'DB1'!$U$27&lt;=CF!Z6),1,0)</f>
        <v>0</v>
      </c>
      <c r="AA194" s="24">
        <f>IF(AND('DB1'!$U$27&gt;CF!Z6,'DB1'!$U$27&lt;=CF!AA6),1,0)</f>
        <v>0</v>
      </c>
      <c r="AB194" s="24">
        <f>IF(AND('DB1'!$U$27&gt;CF!AA6,'DB1'!$U$27&lt;=CF!AB6),1,0)</f>
        <v>0</v>
      </c>
      <c r="AC194" s="24">
        <f>IF(AND('DB1'!$U$27&gt;CF!AB6,'DB1'!$U$27&lt;=CF!AC6),1,0)</f>
        <v>0</v>
      </c>
      <c r="AD194" s="24">
        <f>IF(AND('DB1'!$U$27&gt;CF!AC6,'DB1'!$U$27&lt;=CF!AD6),1,0)</f>
        <v>0</v>
      </c>
      <c r="AE194" s="24">
        <f>IF(AND('DB1'!$U$27&gt;CF!AD6,'DB1'!$U$27&lt;=CF!AE6),1,0)</f>
        <v>1</v>
      </c>
      <c r="AF194" s="24">
        <f>IF(AND('DB1'!$U$27&gt;CF!AE6,'DB1'!$U$27&lt;=CF!AF6),1,0)</f>
        <v>0</v>
      </c>
      <c r="AG194" s="24">
        <f>IF(AND('DB1'!$U$27&gt;CF!AF6,'DB1'!$U$27&lt;=CF!AG6),1,0)</f>
        <v>0</v>
      </c>
      <c r="AH194" s="24">
        <f>IF(AND('DB1'!$U$27&gt;CF!AG6,'DB1'!$U$27&lt;=CF!AH6),1,0)</f>
        <v>0</v>
      </c>
      <c r="AI194" s="24">
        <f>IF(AND('DB1'!$U$27&gt;CF!AH6,'DB1'!$U$27&lt;=CF!AI6),1,0)</f>
        <v>0</v>
      </c>
      <c r="AJ194" s="24">
        <f>IF(AND('DB1'!$U$27&gt;CF!AI6,'DB1'!$U$27&lt;=CF!AJ6),1,0)</f>
        <v>0</v>
      </c>
      <c r="AK194" s="24">
        <f>IF(AND('DB1'!$U$27&gt;CF!AJ6,'DB1'!$U$27&lt;=CF!AK6),1,0)</f>
        <v>0</v>
      </c>
      <c r="AL194" s="24">
        <f>IF(AND('DB1'!$U$27&gt;CF!AK6,'DB1'!$U$27&lt;=CF!AL6),1,0)</f>
        <v>0</v>
      </c>
      <c r="AM194" s="24">
        <f>IF(AND('DB1'!$U$27&gt;CF!AL6,'DB1'!$U$27&lt;=CF!AM6),1,0)</f>
        <v>0</v>
      </c>
      <c r="AN194" s="24">
        <f>IF(AND('DB1'!$U$27&gt;CF!AM6,'DB1'!$U$27&lt;=CF!AN6),1,0)</f>
        <v>0</v>
      </c>
      <c r="AO194" s="24">
        <f>IF(AND('DB1'!$U$27&gt;CF!AN6,'DB1'!$U$27&lt;=CF!AO6),1,0)</f>
        <v>0</v>
      </c>
      <c r="AP194" s="24">
        <f>IF(AND('DB1'!$U$27&gt;CF!AO6,'DB1'!$U$27&lt;=CF!AP6),1,0)</f>
        <v>0</v>
      </c>
      <c r="AQ194" s="24">
        <f>IF(AND('DB1'!$U$27&gt;CF!AP6,'DB1'!$U$27&lt;=CF!AQ6),1,0)</f>
        <v>0</v>
      </c>
      <c r="AR194" s="24">
        <f>IF(AND('DB1'!$U$27&gt;CF!AQ6,'DB1'!$U$27&lt;=CF!AR6),1,0)</f>
        <v>0</v>
      </c>
      <c r="AS194" s="24">
        <f>IF(AND('DB1'!$U$27&gt;CF!AR6,'DB1'!$U$27&lt;=CF!AS6),1,0)</f>
        <v>0</v>
      </c>
      <c r="AT194" s="24">
        <f>IF(AND('DB1'!$U$27&gt;CF!AS6,'DB1'!$U$27&lt;=CF!AT6),1,0)</f>
        <v>0</v>
      </c>
      <c r="AU194" s="24">
        <f>IF(AND('DB1'!$U$27&gt;CF!AT6,'DB1'!$U$27&lt;=CF!AU6),1,0)</f>
        <v>0</v>
      </c>
      <c r="AV194" s="24">
        <f>IF(AND('DB1'!$U$27&gt;CF!AU6,'DB1'!$U$27&lt;=CF!AV6),1,0)</f>
        <v>0</v>
      </c>
      <c r="AW194" s="24">
        <f>IF(AND('DB1'!$U$27&gt;CF!AV6,'DB1'!$U$27&lt;=CF!AW6),1,0)</f>
        <v>0</v>
      </c>
      <c r="AX194" s="24">
        <f>IF(AND('DB1'!$U$27&gt;CF!AW6,'DB1'!$U$27&lt;=CF!AX6),1,0)</f>
        <v>0</v>
      </c>
      <c r="AY194" s="24">
        <f>IF(AND('DB1'!$U$27&gt;CF!AX6,'DB1'!$U$27&lt;=CF!AY6),1,0)</f>
        <v>0</v>
      </c>
      <c r="AZ194" s="24">
        <f>IF(AND('DB1'!$U$27&gt;CF!AY6,'DB1'!$U$27&lt;=CF!AZ6),1,0)</f>
        <v>0</v>
      </c>
      <c r="BA194" s="24">
        <f>IF(AND('DB1'!$U$27&gt;CF!AZ6,'DB1'!$U$27&lt;=CF!BA6),1,0)</f>
        <v>0</v>
      </c>
      <c r="BB194" s="24">
        <f>IF(AND('DB1'!$U$27&gt;CF!BA6,'DB1'!$U$27&lt;=CF!BB6),1,0)</f>
        <v>0</v>
      </c>
      <c r="BC194" s="24">
        <f>IF(AND('DB1'!$U$27&gt;CF!BB6,'DB1'!$U$27&lt;=CF!BC6),1,0)</f>
        <v>0</v>
      </c>
      <c r="BD194" s="24">
        <f>IF(AND('DB1'!$U$27&gt;CF!BC6,'DB1'!$U$27&lt;=CF!BD6),1,0)</f>
        <v>0</v>
      </c>
      <c r="BE194" s="24">
        <f>IF(AND('DB1'!$U$27&gt;CF!BD6,'DB1'!$U$27&lt;=CF!BE6),1,0)</f>
        <v>0</v>
      </c>
      <c r="BF194" s="24">
        <f>IF(AND('DB1'!$U$27&gt;CF!BE6,'DB1'!$U$27&lt;=CF!BF6),1,0)</f>
        <v>0</v>
      </c>
      <c r="BG194" s="24">
        <f>IF(AND('DB1'!$U$27&gt;CF!BF6,'DB1'!$U$27&lt;=CF!BG6),1,0)</f>
        <v>0</v>
      </c>
      <c r="BH194" s="24">
        <f>IF(AND('DB1'!$U$27&gt;CF!BG6,'DB1'!$U$27&lt;=CF!BH6),1,0)</f>
        <v>0</v>
      </c>
      <c r="BI194" s="24">
        <f>IF(AND('DB1'!$U$27&gt;CF!BH6,'DB1'!$U$27&lt;=CF!BI6),1,0)</f>
        <v>0</v>
      </c>
      <c r="BJ194" s="24">
        <f>IF(AND('DB1'!$U$27&gt;CF!BI6,'DB1'!$U$27&lt;=CF!BJ6),1,0)</f>
        <v>0</v>
      </c>
      <c r="BK194" s="24">
        <f>IF(AND('DB1'!$U$27&gt;CF!BJ6,'DB1'!$U$27&lt;=CF!BK6),1,0)</f>
        <v>0</v>
      </c>
      <c r="BL194" s="24">
        <f>IF(AND('DB1'!$U$27&gt;CF!BK6,'DB1'!$U$27&lt;=CF!BL6),1,0)</f>
        <v>0</v>
      </c>
      <c r="BM194" s="24">
        <f>IF(AND('DB1'!$U$27&gt;CF!BL6,'DB1'!$U$27&lt;=CF!BM6),1,0)</f>
        <v>0</v>
      </c>
    </row>
    <row r="195" spans="1:65" hidden="1" outlineLevel="1"/>
    <row r="196" spans="1:65" hidden="1" outlineLevel="1">
      <c r="B196" s="124" t="s">
        <v>78</v>
      </c>
    </row>
    <row r="197" spans="1:65" s="164" customFormat="1" ht="12.75" hidden="1" customHeight="1" outlineLevel="1">
      <c r="B197" s="166" t="s">
        <v>69</v>
      </c>
      <c r="C197" s="167"/>
      <c r="D197" s="168"/>
      <c r="E197" s="24"/>
      <c r="F197" s="24">
        <f t="shared" ref="F197:T197" si="247">E188+F95+F130+F123+F100+F125+F126</f>
        <v>1.8477140000000031E-2</v>
      </c>
      <c r="G197" s="24">
        <f t="shared" si="247"/>
        <v>4.163670999999991E-2</v>
      </c>
      <c r="H197" s="24">
        <f t="shared" si="247"/>
        <v>0.31642999999999999</v>
      </c>
      <c r="I197" s="24">
        <f t="shared" si="247"/>
        <v>9.5299999999999829E-3</v>
      </c>
      <c r="J197" s="24">
        <f t="shared" si="247"/>
        <v>-0.33546999999999999</v>
      </c>
      <c r="K197" s="24">
        <f t="shared" si="247"/>
        <v>0.45520000000000005</v>
      </c>
      <c r="L197" s="24">
        <f t="shared" si="247"/>
        <v>-3.9335620000000016E-2</v>
      </c>
      <c r="M197" s="24">
        <f t="shared" si="247"/>
        <v>0.38152000000000008</v>
      </c>
      <c r="N197" s="24">
        <f t="shared" si="247"/>
        <v>0.84798823000002699</v>
      </c>
      <c r="O197" s="24">
        <f t="shared" si="247"/>
        <v>0.85412646000000336</v>
      </c>
      <c r="P197" s="24">
        <f t="shared" si="247"/>
        <v>-3942.7614081254692</v>
      </c>
      <c r="Q197" s="24">
        <f t="shared" si="247"/>
        <v>-669.91269562547006</v>
      </c>
      <c r="R197" s="24">
        <f t="shared" si="247"/>
        <v>-944.67806756546997</v>
      </c>
      <c r="S197" s="24">
        <f t="shared" si="247"/>
        <v>-1571.2584320792296</v>
      </c>
      <c r="T197" s="24">
        <f t="shared" si="247"/>
        <v>-2474.2234808995468</v>
      </c>
      <c r="U197" s="24">
        <f t="shared" ref="U197:BM197" si="248">T188+U95+U130+U123+U100+U124</f>
        <v>-2490.1273608535398</v>
      </c>
      <c r="V197" s="24">
        <f t="shared" si="248"/>
        <v>-2846.0626503082035</v>
      </c>
      <c r="W197" s="24">
        <f t="shared" si="248"/>
        <v>-2308.9780531426068</v>
      </c>
      <c r="X197" s="24">
        <f t="shared" si="248"/>
        <v>-3432.41850676884</v>
      </c>
      <c r="Y197" s="24">
        <f t="shared" si="248"/>
        <v>-3492.1626502569466</v>
      </c>
      <c r="Z197" s="24">
        <f t="shared" si="248"/>
        <v>-4863.1819664957457</v>
      </c>
      <c r="AA197" s="24">
        <f t="shared" si="248"/>
        <v>-3443.0691705382114</v>
      </c>
      <c r="AB197" s="24">
        <f t="shared" si="248"/>
        <v>-3559.6805050440103</v>
      </c>
      <c r="AC197" s="24">
        <f t="shared" si="248"/>
        <v>-3648.5439522008737</v>
      </c>
      <c r="AD197" s="24">
        <f t="shared" si="248"/>
        <v>-3480.8341877685434</v>
      </c>
      <c r="AE197" s="24">
        <f t="shared" si="248"/>
        <v>-3221.112193813733</v>
      </c>
      <c r="AF197" s="24">
        <f t="shared" si="248"/>
        <v>22009.095708620498</v>
      </c>
      <c r="AG197" s="24">
        <f t="shared" si="248"/>
        <v>1184.1825673200603</v>
      </c>
      <c r="AH197" s="24">
        <f t="shared" si="248"/>
        <v>1027.9581486269858</v>
      </c>
      <c r="AI197" s="24">
        <f t="shared" si="248"/>
        <v>-21.31817820918701</v>
      </c>
      <c r="AJ197" s="24">
        <f t="shared" si="248"/>
        <v>26949.920130210081</v>
      </c>
      <c r="AK197" s="24">
        <f t="shared" si="248"/>
        <v>4777.4977797228757</v>
      </c>
      <c r="AL197" s="24">
        <f t="shared" si="248"/>
        <v>5849.583610381309</v>
      </c>
      <c r="AM197" s="24">
        <f t="shared" si="248"/>
        <v>7482.2415275709554</v>
      </c>
      <c r="AN197" s="24">
        <f t="shared" si="248"/>
        <v>9654.4605913132909</v>
      </c>
      <c r="AO197" s="24">
        <f t="shared" si="248"/>
        <v>9277.049230155586</v>
      </c>
      <c r="AP197" s="24">
        <f t="shared" si="248"/>
        <v>9343.6797791336394</v>
      </c>
      <c r="AQ197" s="24">
        <f t="shared" si="248"/>
        <v>9345.5508791336397</v>
      </c>
      <c r="AR197" s="24">
        <f t="shared" si="248"/>
        <v>9345.5508791336397</v>
      </c>
      <c r="AS197" s="24">
        <f t="shared" si="248"/>
        <v>9345.5508791336397</v>
      </c>
      <c r="AT197" s="24">
        <f t="shared" si="248"/>
        <v>9345.5508791336397</v>
      </c>
      <c r="AU197" s="24">
        <f t="shared" si="248"/>
        <v>9345.5508791336397</v>
      </c>
      <c r="AV197" s="24">
        <f t="shared" si="248"/>
        <v>9345.5508791336397</v>
      </c>
      <c r="AW197" s="24">
        <f t="shared" si="248"/>
        <v>9345.5508791336397</v>
      </c>
      <c r="AX197" s="24">
        <f t="shared" si="248"/>
        <v>9345.5508791336397</v>
      </c>
      <c r="AY197" s="24">
        <f t="shared" si="248"/>
        <v>9345.5508791336397</v>
      </c>
      <c r="AZ197" s="24">
        <f t="shared" si="248"/>
        <v>9345.5508791336397</v>
      </c>
      <c r="BA197" s="24">
        <f t="shared" si="248"/>
        <v>9345.5508791336397</v>
      </c>
      <c r="BB197" s="24">
        <f t="shared" si="248"/>
        <v>9345.5508791336397</v>
      </c>
      <c r="BC197" s="24">
        <f t="shared" si="248"/>
        <v>9345.5508791336397</v>
      </c>
      <c r="BD197" s="24">
        <f t="shared" si="248"/>
        <v>9345.5508791336397</v>
      </c>
      <c r="BE197" s="24">
        <f t="shared" si="248"/>
        <v>9345.5508791336397</v>
      </c>
      <c r="BF197" s="24">
        <f t="shared" si="248"/>
        <v>9345.5508791336397</v>
      </c>
      <c r="BG197" s="24">
        <f t="shared" si="248"/>
        <v>9345.5508791336397</v>
      </c>
      <c r="BH197" s="24">
        <f t="shared" si="248"/>
        <v>9345.5508791336397</v>
      </c>
      <c r="BI197" s="24">
        <f t="shared" si="248"/>
        <v>9345.5508791336397</v>
      </c>
      <c r="BJ197" s="24">
        <f t="shared" si="248"/>
        <v>9345.5508791336397</v>
      </c>
      <c r="BK197" s="24">
        <f t="shared" si="248"/>
        <v>9345.5508791336397</v>
      </c>
      <c r="BL197" s="24">
        <f t="shared" si="248"/>
        <v>9345.5508791336397</v>
      </c>
      <c r="BM197" s="24">
        <f t="shared" si="248"/>
        <v>9345.5508791336397</v>
      </c>
    </row>
    <row r="198" spans="1:65" s="164" customFormat="1" ht="12.75" hidden="1" customHeight="1" outlineLevel="1">
      <c r="B198" s="166" t="s">
        <v>77</v>
      </c>
      <c r="C198" s="167"/>
      <c r="D198" s="168"/>
      <c r="E198" s="24"/>
      <c r="F198" s="24">
        <f t="shared" ref="F198:BM198" si="249">F197+F107</f>
        <v>1.8477140000000031E-2</v>
      </c>
      <c r="G198" s="24">
        <f t="shared" si="249"/>
        <v>4.163670999999991E-2</v>
      </c>
      <c r="H198" s="24">
        <f t="shared" si="249"/>
        <v>0.31642999999999999</v>
      </c>
      <c r="I198" s="24">
        <f t="shared" si="249"/>
        <v>9.5299999999999829E-3</v>
      </c>
      <c r="J198" s="24">
        <f t="shared" si="249"/>
        <v>-0.33546999999999999</v>
      </c>
      <c r="K198" s="24">
        <f t="shared" si="249"/>
        <v>0.45520000000000005</v>
      </c>
      <c r="L198" s="24">
        <f t="shared" si="249"/>
        <v>-3.9335620000000016E-2</v>
      </c>
      <c r="M198" s="24">
        <f t="shared" si="249"/>
        <v>0.38152000000000008</v>
      </c>
      <c r="N198" s="24">
        <f t="shared" si="249"/>
        <v>0.84798823000002699</v>
      </c>
      <c r="O198" s="24">
        <f t="shared" si="249"/>
        <v>0.85412646000000336</v>
      </c>
      <c r="P198" s="24">
        <f t="shared" si="249"/>
        <v>-3942.7614081254692</v>
      </c>
      <c r="Q198" s="24">
        <f t="shared" si="249"/>
        <v>-669.91269562547006</v>
      </c>
      <c r="R198" s="24">
        <f t="shared" si="249"/>
        <v>-944.67806756546997</v>
      </c>
      <c r="S198" s="24">
        <f t="shared" si="249"/>
        <v>-1571.2584320792296</v>
      </c>
      <c r="T198" s="24">
        <f t="shared" si="249"/>
        <v>-8892.2217476554342</v>
      </c>
      <c r="U198" s="24">
        <f t="shared" si="249"/>
        <v>-2490.1273608535398</v>
      </c>
      <c r="V198" s="24">
        <f t="shared" si="249"/>
        <v>-2846.0626503082035</v>
      </c>
      <c r="W198" s="24">
        <f t="shared" si="249"/>
        <v>-2308.9780531426068</v>
      </c>
      <c r="X198" s="24">
        <f t="shared" si="249"/>
        <v>-6447.0481735650792</v>
      </c>
      <c r="Y198" s="24">
        <f t="shared" si="249"/>
        <v>-3492.1626502569466</v>
      </c>
      <c r="Z198" s="24">
        <f t="shared" si="249"/>
        <v>-4863.1819664957457</v>
      </c>
      <c r="AA198" s="24">
        <f t="shared" si="249"/>
        <v>-3443.0691705382114</v>
      </c>
      <c r="AB198" s="24">
        <f t="shared" si="249"/>
        <v>-3559.6805050440103</v>
      </c>
      <c r="AC198" s="24">
        <f t="shared" si="249"/>
        <v>-3648.5439522008737</v>
      </c>
      <c r="AD198" s="24">
        <f t="shared" si="249"/>
        <v>-3480.8341877685434</v>
      </c>
      <c r="AE198" s="24">
        <f t="shared" si="249"/>
        <v>-3221.112193813733</v>
      </c>
      <c r="AF198" s="24">
        <f t="shared" si="249"/>
        <v>22009.095708620498</v>
      </c>
      <c r="AG198" s="24">
        <f t="shared" si="249"/>
        <v>1184.1825673200603</v>
      </c>
      <c r="AH198" s="24">
        <f t="shared" si="249"/>
        <v>1027.9581486269858</v>
      </c>
      <c r="AI198" s="24">
        <f t="shared" si="249"/>
        <v>-21.31817820918701</v>
      </c>
      <c r="AJ198" s="24">
        <f t="shared" si="249"/>
        <v>26949.920130210081</v>
      </c>
      <c r="AK198" s="24">
        <f t="shared" si="249"/>
        <v>4777.4977797228757</v>
      </c>
      <c r="AL198" s="24">
        <f t="shared" si="249"/>
        <v>5849.583610381309</v>
      </c>
      <c r="AM198" s="24">
        <f t="shared" si="249"/>
        <v>7482.2415275709554</v>
      </c>
      <c r="AN198" s="24">
        <f t="shared" si="249"/>
        <v>9654.4605913132909</v>
      </c>
      <c r="AO198" s="24">
        <f t="shared" si="249"/>
        <v>9277.049230155586</v>
      </c>
      <c r="AP198" s="24">
        <f t="shared" si="249"/>
        <v>9343.6797791336394</v>
      </c>
      <c r="AQ198" s="24">
        <f t="shared" si="249"/>
        <v>9345.5508791336397</v>
      </c>
      <c r="AR198" s="24">
        <f t="shared" si="249"/>
        <v>9345.5508791336397</v>
      </c>
      <c r="AS198" s="24">
        <f t="shared" si="249"/>
        <v>9345.5508791336397</v>
      </c>
      <c r="AT198" s="24">
        <f t="shared" si="249"/>
        <v>9345.5508791336397</v>
      </c>
      <c r="AU198" s="24">
        <f t="shared" si="249"/>
        <v>9345.5508791336397</v>
      </c>
      <c r="AV198" s="24">
        <f t="shared" si="249"/>
        <v>9345.5508791336397</v>
      </c>
      <c r="AW198" s="24">
        <f t="shared" si="249"/>
        <v>9345.5508791336397</v>
      </c>
      <c r="AX198" s="24">
        <f t="shared" si="249"/>
        <v>9345.5508791336397</v>
      </c>
      <c r="AY198" s="24">
        <f t="shared" si="249"/>
        <v>9345.5508791336397</v>
      </c>
      <c r="AZ198" s="24">
        <f t="shared" si="249"/>
        <v>9345.5508791336397</v>
      </c>
      <c r="BA198" s="24">
        <f t="shared" si="249"/>
        <v>9345.5508791336397</v>
      </c>
      <c r="BB198" s="24">
        <f t="shared" si="249"/>
        <v>9345.5508791336397</v>
      </c>
      <c r="BC198" s="24">
        <f t="shared" si="249"/>
        <v>9345.5508791336397</v>
      </c>
      <c r="BD198" s="24">
        <f t="shared" si="249"/>
        <v>9345.5508791336397</v>
      </c>
      <c r="BE198" s="24">
        <f t="shared" si="249"/>
        <v>9345.5508791336397</v>
      </c>
      <c r="BF198" s="24">
        <f t="shared" si="249"/>
        <v>9345.5508791336397</v>
      </c>
      <c r="BG198" s="24">
        <f t="shared" si="249"/>
        <v>9345.5508791336397</v>
      </c>
      <c r="BH198" s="24">
        <f t="shared" si="249"/>
        <v>9345.5508791336397</v>
      </c>
      <c r="BI198" s="24">
        <f t="shared" si="249"/>
        <v>9345.5508791336397</v>
      </c>
      <c r="BJ198" s="24">
        <f t="shared" si="249"/>
        <v>9345.5508791336397</v>
      </c>
      <c r="BK198" s="24">
        <f t="shared" si="249"/>
        <v>9345.5508791336397</v>
      </c>
      <c r="BL198" s="24">
        <f t="shared" si="249"/>
        <v>9345.5508791336397</v>
      </c>
      <c r="BM198" s="24">
        <f t="shared" si="249"/>
        <v>9345.5508791336397</v>
      </c>
    </row>
    <row r="199" spans="1:65" s="164" customFormat="1" ht="12.75" hidden="1" customHeight="1" outlineLevel="1">
      <c r="B199" s="166" t="s">
        <v>76</v>
      </c>
      <c r="C199" s="167"/>
      <c r="D199" s="168"/>
      <c r="E199" s="24"/>
      <c r="F199" s="24">
        <f t="shared" ref="F199:BM199" si="250">F198+F110</f>
        <v>1.8477140000000031E-2</v>
      </c>
      <c r="G199" s="24">
        <f t="shared" si="250"/>
        <v>4.163670999999991E-2</v>
      </c>
      <c r="H199" s="24">
        <f t="shared" si="250"/>
        <v>0.31642999999999999</v>
      </c>
      <c r="I199" s="24">
        <f t="shared" si="250"/>
        <v>9.5299999999999829E-3</v>
      </c>
      <c r="J199" s="24">
        <f t="shared" si="250"/>
        <v>-0.33546999999999999</v>
      </c>
      <c r="K199" s="24">
        <f t="shared" si="250"/>
        <v>0.45520000000000005</v>
      </c>
      <c r="L199" s="24">
        <f t="shared" si="250"/>
        <v>-3.9335620000000016E-2</v>
      </c>
      <c r="M199" s="24">
        <f t="shared" si="250"/>
        <v>0.38152000000000008</v>
      </c>
      <c r="N199" s="24">
        <f t="shared" si="250"/>
        <v>0.84798823000002699</v>
      </c>
      <c r="O199" s="24">
        <f t="shared" si="250"/>
        <v>0.85412646000000336</v>
      </c>
      <c r="P199" s="24">
        <f t="shared" si="250"/>
        <v>-3942.7614081254692</v>
      </c>
      <c r="Q199" s="24">
        <f t="shared" si="250"/>
        <v>-669.91269562547006</v>
      </c>
      <c r="R199" s="24">
        <f t="shared" si="250"/>
        <v>-944.67806756546997</v>
      </c>
      <c r="S199" s="24">
        <f t="shared" si="250"/>
        <v>-1571.2584320792296</v>
      </c>
      <c r="T199" s="24">
        <f t="shared" si="250"/>
        <v>-9849.0598372125587</v>
      </c>
      <c r="U199" s="24">
        <f t="shared" si="250"/>
        <v>-2490.1273608535398</v>
      </c>
      <c r="V199" s="24">
        <f t="shared" si="250"/>
        <v>-2846.0626503082035</v>
      </c>
      <c r="W199" s="24">
        <f t="shared" si="250"/>
        <v>-2308.9780531426068</v>
      </c>
      <c r="X199" s="24">
        <f t="shared" si="250"/>
        <v>-6787.2521281932013</v>
      </c>
      <c r="Y199" s="24">
        <f t="shared" si="250"/>
        <v>-3492.1626502569466</v>
      </c>
      <c r="Z199" s="24">
        <f t="shared" si="250"/>
        <v>-4863.1819664957457</v>
      </c>
      <c r="AA199" s="24">
        <f t="shared" si="250"/>
        <v>-3443.0691705382114</v>
      </c>
      <c r="AB199" s="24">
        <f t="shared" si="250"/>
        <v>-3559.6805050440103</v>
      </c>
      <c r="AC199" s="24">
        <f t="shared" si="250"/>
        <v>-3648.5439522008737</v>
      </c>
      <c r="AD199" s="24">
        <f t="shared" si="250"/>
        <v>-3480.8341877685434</v>
      </c>
      <c r="AE199" s="24">
        <f t="shared" si="250"/>
        <v>-3221.112193813733</v>
      </c>
      <c r="AF199" s="24">
        <f t="shared" si="250"/>
        <v>22009.095708620498</v>
      </c>
      <c r="AG199" s="24">
        <f t="shared" si="250"/>
        <v>1184.1825673200603</v>
      </c>
      <c r="AH199" s="24">
        <f t="shared" si="250"/>
        <v>1027.9581486269858</v>
      </c>
      <c r="AI199" s="24">
        <f t="shared" si="250"/>
        <v>-21.31817820918701</v>
      </c>
      <c r="AJ199" s="24">
        <f t="shared" si="250"/>
        <v>26949.920130210081</v>
      </c>
      <c r="AK199" s="24">
        <f t="shared" si="250"/>
        <v>4777.4977797228757</v>
      </c>
      <c r="AL199" s="24">
        <f t="shared" si="250"/>
        <v>5849.583610381309</v>
      </c>
      <c r="AM199" s="24">
        <f t="shared" si="250"/>
        <v>7482.2415275709554</v>
      </c>
      <c r="AN199" s="24">
        <f t="shared" si="250"/>
        <v>9654.4605913132909</v>
      </c>
      <c r="AO199" s="24">
        <f t="shared" si="250"/>
        <v>9277.049230155586</v>
      </c>
      <c r="AP199" s="24">
        <f t="shared" si="250"/>
        <v>9343.6797791336394</v>
      </c>
      <c r="AQ199" s="24">
        <f t="shared" si="250"/>
        <v>9345.5508791336397</v>
      </c>
      <c r="AR199" s="24">
        <f t="shared" si="250"/>
        <v>9345.5508791336397</v>
      </c>
      <c r="AS199" s="24">
        <f t="shared" si="250"/>
        <v>9345.5508791336397</v>
      </c>
      <c r="AT199" s="24">
        <f t="shared" si="250"/>
        <v>9345.5508791336397</v>
      </c>
      <c r="AU199" s="24">
        <f t="shared" si="250"/>
        <v>9345.5508791336397</v>
      </c>
      <c r="AV199" s="24">
        <f t="shared" si="250"/>
        <v>9345.5508791336397</v>
      </c>
      <c r="AW199" s="24">
        <f t="shared" si="250"/>
        <v>9345.5508791336397</v>
      </c>
      <c r="AX199" s="24">
        <f t="shared" si="250"/>
        <v>9345.5508791336397</v>
      </c>
      <c r="AY199" s="24">
        <f t="shared" si="250"/>
        <v>9345.5508791336397</v>
      </c>
      <c r="AZ199" s="24">
        <f t="shared" si="250"/>
        <v>9345.5508791336397</v>
      </c>
      <c r="BA199" s="24">
        <f t="shared" si="250"/>
        <v>9345.5508791336397</v>
      </c>
      <c r="BB199" s="24">
        <f t="shared" si="250"/>
        <v>9345.5508791336397</v>
      </c>
      <c r="BC199" s="24">
        <f t="shared" si="250"/>
        <v>9345.5508791336397</v>
      </c>
      <c r="BD199" s="24">
        <f t="shared" si="250"/>
        <v>9345.5508791336397</v>
      </c>
      <c r="BE199" s="24">
        <f t="shared" si="250"/>
        <v>9345.5508791336397</v>
      </c>
      <c r="BF199" s="24">
        <f t="shared" si="250"/>
        <v>9345.5508791336397</v>
      </c>
      <c r="BG199" s="24">
        <f t="shared" si="250"/>
        <v>9345.5508791336397</v>
      </c>
      <c r="BH199" s="24">
        <f t="shared" si="250"/>
        <v>9345.5508791336397</v>
      </c>
      <c r="BI199" s="24">
        <f t="shared" si="250"/>
        <v>9345.5508791336397</v>
      </c>
      <c r="BJ199" s="24">
        <f t="shared" si="250"/>
        <v>9345.5508791336397</v>
      </c>
      <c r="BK199" s="24">
        <f t="shared" si="250"/>
        <v>9345.5508791336397</v>
      </c>
      <c r="BL199" s="24">
        <f t="shared" si="250"/>
        <v>9345.5508791336397</v>
      </c>
      <c r="BM199" s="24">
        <f t="shared" si="250"/>
        <v>9345.5508791336397</v>
      </c>
    </row>
    <row r="200" spans="1:65" s="164" customFormat="1" ht="12.75" hidden="1" customHeight="1" outlineLevel="1">
      <c r="B200" s="166" t="s">
        <v>79</v>
      </c>
      <c r="C200" s="167"/>
      <c r="D200" s="168"/>
      <c r="E200" s="24"/>
      <c r="F200" s="24"/>
      <c r="G200" s="24">
        <f t="shared" ref="G200:BM200" si="251">F188+G95+G106+G123+G100+G125+G126</f>
        <v>4.163670999999991E-2</v>
      </c>
      <c r="H200" s="24">
        <f t="shared" si="251"/>
        <v>0.31642999999999999</v>
      </c>
      <c r="I200" s="24">
        <f t="shared" si="251"/>
        <v>9.5299999999999829E-3</v>
      </c>
      <c r="J200" s="24">
        <f t="shared" si="251"/>
        <v>-0.33546999999999999</v>
      </c>
      <c r="K200" s="24">
        <f t="shared" si="251"/>
        <v>0.45520000000000005</v>
      </c>
      <c r="L200" s="24">
        <f t="shared" si="251"/>
        <v>-3.9335620000000016E-2</v>
      </c>
      <c r="M200" s="24">
        <f t="shared" si="251"/>
        <v>0.38152000000000008</v>
      </c>
      <c r="N200" s="24">
        <f t="shared" si="251"/>
        <v>0.84798823000002699</v>
      </c>
      <c r="O200" s="24">
        <f t="shared" si="251"/>
        <v>0.85412646000000336</v>
      </c>
      <c r="P200" s="24">
        <f t="shared" si="251"/>
        <v>0</v>
      </c>
      <c r="Q200" s="24">
        <f t="shared" si="251"/>
        <v>-1.1368683772161603E-13</v>
      </c>
      <c r="R200" s="24">
        <f t="shared" si="251"/>
        <v>1.1368683772161603E-13</v>
      </c>
      <c r="S200" s="24">
        <f t="shared" si="251"/>
        <v>0</v>
      </c>
      <c r="T200" s="24">
        <f t="shared" si="251"/>
        <v>-2283.2434930711088</v>
      </c>
      <c r="U200" s="24">
        <f t="shared" si="251"/>
        <v>-2028.2557730251019</v>
      </c>
      <c r="V200" s="24">
        <f t="shared" si="251"/>
        <v>-2037.4864392117656</v>
      </c>
      <c r="W200" s="24">
        <f t="shared" si="251"/>
        <v>-1466.3885097394329</v>
      </c>
      <c r="X200" s="24">
        <f t="shared" si="251"/>
        <v>-3432.41850676884</v>
      </c>
      <c r="Y200" s="24">
        <f t="shared" si="251"/>
        <v>-3492.1626502569466</v>
      </c>
      <c r="Z200" s="24">
        <f t="shared" si="251"/>
        <v>-3509.934280828963</v>
      </c>
      <c r="AA200" s="24">
        <f t="shared" si="251"/>
        <v>-3125.8607070599305</v>
      </c>
      <c r="AB200" s="24">
        <f t="shared" si="251"/>
        <v>-3150.4783761814083</v>
      </c>
      <c r="AC200" s="24">
        <f t="shared" si="251"/>
        <v>-3330.854791169435</v>
      </c>
      <c r="AD200" s="24">
        <f t="shared" si="251"/>
        <v>-3244.168324566946</v>
      </c>
      <c r="AE200" s="24">
        <f t="shared" si="251"/>
        <v>-3221.112193813733</v>
      </c>
      <c r="AF200" s="24">
        <f t="shared" si="251"/>
        <v>22316.367007242065</v>
      </c>
      <c r="AG200" s="24">
        <f t="shared" si="251"/>
        <v>1495.4994232915717</v>
      </c>
      <c r="AH200" s="24">
        <f t="shared" si="251"/>
        <v>1474.2972495148367</v>
      </c>
      <c r="AI200" s="24">
        <f t="shared" si="251"/>
        <v>310.94011185888269</v>
      </c>
      <c r="AJ200" s="24">
        <f t="shared" si="251"/>
        <v>27170.724694858916</v>
      </c>
      <c r="AK200" s="24">
        <f t="shared" si="251"/>
        <v>5001.6489314459341</v>
      </c>
      <c r="AL200" s="24">
        <f t="shared" si="251"/>
        <v>6076.1697002047422</v>
      </c>
      <c r="AM200" s="24">
        <f t="shared" si="251"/>
        <v>7657.8260009952028</v>
      </c>
      <c r="AN200" s="24">
        <f t="shared" si="251"/>
        <v>9654.4605913132909</v>
      </c>
      <c r="AO200" s="24">
        <f t="shared" si="251"/>
        <v>9277.049230155586</v>
      </c>
      <c r="AP200" s="24">
        <f t="shared" si="251"/>
        <v>9343.6797791336394</v>
      </c>
      <c r="AQ200" s="24">
        <f t="shared" si="251"/>
        <v>9345.5508791336397</v>
      </c>
      <c r="AR200" s="24">
        <f t="shared" si="251"/>
        <v>9345.5508791336397</v>
      </c>
      <c r="AS200" s="24">
        <f t="shared" si="251"/>
        <v>9345.5508791336397</v>
      </c>
      <c r="AT200" s="24">
        <f t="shared" si="251"/>
        <v>9345.5508791336397</v>
      </c>
      <c r="AU200" s="24">
        <f t="shared" si="251"/>
        <v>9345.5508791336397</v>
      </c>
      <c r="AV200" s="24">
        <f t="shared" si="251"/>
        <v>9345.5508791336397</v>
      </c>
      <c r="AW200" s="24">
        <f t="shared" si="251"/>
        <v>9345.5508791336397</v>
      </c>
      <c r="AX200" s="24">
        <f t="shared" si="251"/>
        <v>9345.5508791336397</v>
      </c>
      <c r="AY200" s="24">
        <f t="shared" si="251"/>
        <v>9345.5508791336397</v>
      </c>
      <c r="AZ200" s="24">
        <f t="shared" si="251"/>
        <v>9345.5508791336397</v>
      </c>
      <c r="BA200" s="24">
        <f t="shared" si="251"/>
        <v>9345.5508791336397</v>
      </c>
      <c r="BB200" s="24">
        <f t="shared" si="251"/>
        <v>9345.5508791336397</v>
      </c>
      <c r="BC200" s="24">
        <f t="shared" si="251"/>
        <v>9345.5508791336397</v>
      </c>
      <c r="BD200" s="24">
        <f t="shared" si="251"/>
        <v>9345.5508791336397</v>
      </c>
      <c r="BE200" s="24">
        <f t="shared" si="251"/>
        <v>9345.5508791336397</v>
      </c>
      <c r="BF200" s="24">
        <f t="shared" si="251"/>
        <v>9345.5508791336397</v>
      </c>
      <c r="BG200" s="24">
        <f t="shared" si="251"/>
        <v>9345.5508791336397</v>
      </c>
      <c r="BH200" s="24">
        <f t="shared" si="251"/>
        <v>9345.5508791336397</v>
      </c>
      <c r="BI200" s="24">
        <f t="shared" si="251"/>
        <v>9345.5508791336397</v>
      </c>
      <c r="BJ200" s="24">
        <f t="shared" si="251"/>
        <v>9345.5508791336397</v>
      </c>
      <c r="BK200" s="24">
        <f t="shared" si="251"/>
        <v>9345.5508791336397</v>
      </c>
      <c r="BL200" s="24">
        <f t="shared" si="251"/>
        <v>9345.5508791336397</v>
      </c>
      <c r="BM200" s="24">
        <f t="shared" si="251"/>
        <v>9345.5508791336397</v>
      </c>
    </row>
    <row r="201" spans="1:65" s="164" customFormat="1" ht="12.75" hidden="1" customHeight="1" outlineLevel="1">
      <c r="B201" s="166" t="s">
        <v>80</v>
      </c>
      <c r="C201" s="167"/>
      <c r="D201" s="168"/>
      <c r="E201" s="24"/>
      <c r="F201" s="24">
        <f t="shared" ref="F201:BM201" si="252">F199+F112</f>
        <v>1.8477140000000031E-2</v>
      </c>
      <c r="G201" s="24">
        <f t="shared" si="252"/>
        <v>4.163670999999991E-2</v>
      </c>
      <c r="H201" s="24">
        <f t="shared" si="252"/>
        <v>0.31642999999999999</v>
      </c>
      <c r="I201" s="24">
        <f t="shared" si="252"/>
        <v>9.5299999999999829E-3</v>
      </c>
      <c r="J201" s="24">
        <f t="shared" si="252"/>
        <v>-0.33546999999999999</v>
      </c>
      <c r="K201" s="24">
        <f t="shared" si="252"/>
        <v>0.45520000000000005</v>
      </c>
      <c r="L201" s="24">
        <f t="shared" si="252"/>
        <v>-3.9335620000000016E-2</v>
      </c>
      <c r="M201" s="24">
        <f t="shared" si="252"/>
        <v>0.38152000000000008</v>
      </c>
      <c r="N201" s="24">
        <f t="shared" si="252"/>
        <v>0.84798823000002699</v>
      </c>
      <c r="O201" s="24">
        <f t="shared" si="252"/>
        <v>0.85412646000000336</v>
      </c>
      <c r="P201" s="24">
        <f t="shared" si="252"/>
        <v>-3942.7614081254692</v>
      </c>
      <c r="Q201" s="24">
        <f t="shared" si="252"/>
        <v>-669.91269562547006</v>
      </c>
      <c r="R201" s="24">
        <f t="shared" si="252"/>
        <v>-944.67806756546997</v>
      </c>
      <c r="S201" s="24">
        <f t="shared" si="252"/>
        <v>-1571.2584320792296</v>
      </c>
      <c r="T201" s="24">
        <f t="shared" si="252"/>
        <v>-9960.9009552544958</v>
      </c>
      <c r="U201" s="24">
        <f t="shared" si="252"/>
        <v>-2490.1273608535398</v>
      </c>
      <c r="V201" s="24">
        <f t="shared" si="252"/>
        <v>-2846.0626503082035</v>
      </c>
      <c r="W201" s="24">
        <f t="shared" si="252"/>
        <v>-2308.9780531426068</v>
      </c>
      <c r="X201" s="24">
        <f t="shared" si="252"/>
        <v>-6830.4072954332532</v>
      </c>
      <c r="Y201" s="24">
        <f t="shared" si="252"/>
        <v>-3492.1626502569466</v>
      </c>
      <c r="Z201" s="24">
        <f t="shared" si="252"/>
        <v>-4863.1819664957457</v>
      </c>
      <c r="AA201" s="24">
        <f t="shared" si="252"/>
        <v>-3443.0691705382114</v>
      </c>
      <c r="AB201" s="24">
        <f t="shared" si="252"/>
        <v>-3559.6805050440103</v>
      </c>
      <c r="AC201" s="24">
        <f t="shared" si="252"/>
        <v>-3648.5439522008737</v>
      </c>
      <c r="AD201" s="24">
        <f t="shared" si="252"/>
        <v>-3480.8341877685434</v>
      </c>
      <c r="AE201" s="24">
        <f t="shared" si="252"/>
        <v>-3221.112193813733</v>
      </c>
      <c r="AF201" s="24">
        <f t="shared" si="252"/>
        <v>22009.095708620498</v>
      </c>
      <c r="AG201" s="24">
        <f t="shared" si="252"/>
        <v>1184.1825673200603</v>
      </c>
      <c r="AH201" s="24">
        <f t="shared" si="252"/>
        <v>1027.9581486269858</v>
      </c>
      <c r="AI201" s="24">
        <f t="shared" si="252"/>
        <v>-21.31817820918701</v>
      </c>
      <c r="AJ201" s="24">
        <f t="shared" si="252"/>
        <v>26949.920130210081</v>
      </c>
      <c r="AK201" s="24">
        <f t="shared" si="252"/>
        <v>4777.4977797228757</v>
      </c>
      <c r="AL201" s="24">
        <f t="shared" si="252"/>
        <v>5849.583610381309</v>
      </c>
      <c r="AM201" s="24">
        <f t="shared" si="252"/>
        <v>7482.2415275709554</v>
      </c>
      <c r="AN201" s="24">
        <f t="shared" si="252"/>
        <v>9654.4605913132909</v>
      </c>
      <c r="AO201" s="24">
        <f t="shared" si="252"/>
        <v>9277.049230155586</v>
      </c>
      <c r="AP201" s="24">
        <f t="shared" si="252"/>
        <v>9343.6797791336394</v>
      </c>
      <c r="AQ201" s="24">
        <f t="shared" si="252"/>
        <v>9345.5508791336397</v>
      </c>
      <c r="AR201" s="24">
        <f t="shared" si="252"/>
        <v>9345.5508791336397</v>
      </c>
      <c r="AS201" s="24">
        <f t="shared" si="252"/>
        <v>9345.5508791336397</v>
      </c>
      <c r="AT201" s="24">
        <f t="shared" si="252"/>
        <v>9345.5508791336397</v>
      </c>
      <c r="AU201" s="24">
        <f t="shared" si="252"/>
        <v>9345.5508791336397</v>
      </c>
      <c r="AV201" s="24">
        <f t="shared" si="252"/>
        <v>9345.5508791336397</v>
      </c>
      <c r="AW201" s="24">
        <f t="shared" si="252"/>
        <v>9345.5508791336397</v>
      </c>
      <c r="AX201" s="24">
        <f t="shared" si="252"/>
        <v>9345.5508791336397</v>
      </c>
      <c r="AY201" s="24">
        <f t="shared" si="252"/>
        <v>9345.5508791336397</v>
      </c>
      <c r="AZ201" s="24">
        <f t="shared" si="252"/>
        <v>9345.5508791336397</v>
      </c>
      <c r="BA201" s="24">
        <f t="shared" si="252"/>
        <v>9345.5508791336397</v>
      </c>
      <c r="BB201" s="24">
        <f t="shared" si="252"/>
        <v>9345.5508791336397</v>
      </c>
      <c r="BC201" s="24">
        <f t="shared" si="252"/>
        <v>9345.5508791336397</v>
      </c>
      <c r="BD201" s="24">
        <f t="shared" si="252"/>
        <v>9345.5508791336397</v>
      </c>
      <c r="BE201" s="24">
        <f t="shared" si="252"/>
        <v>9345.5508791336397</v>
      </c>
      <c r="BF201" s="24">
        <f t="shared" si="252"/>
        <v>9345.5508791336397</v>
      </c>
      <c r="BG201" s="24">
        <f t="shared" si="252"/>
        <v>9345.5508791336397</v>
      </c>
      <c r="BH201" s="24">
        <f t="shared" si="252"/>
        <v>9345.5508791336397</v>
      </c>
      <c r="BI201" s="24">
        <f t="shared" si="252"/>
        <v>9345.5508791336397</v>
      </c>
      <c r="BJ201" s="24">
        <f t="shared" si="252"/>
        <v>9345.5508791336397</v>
      </c>
      <c r="BK201" s="24">
        <f t="shared" si="252"/>
        <v>9345.5508791336397</v>
      </c>
      <c r="BL201" s="24">
        <f t="shared" si="252"/>
        <v>9345.5508791336397</v>
      </c>
      <c r="BM201" s="24">
        <f t="shared" si="252"/>
        <v>9345.5508791336397</v>
      </c>
    </row>
    <row r="202" spans="1:65" s="164" customFormat="1" ht="12.75" hidden="1" customHeight="1" outlineLevel="1">
      <c r="B202" s="166" t="s">
        <v>81</v>
      </c>
      <c r="C202" s="167"/>
      <c r="D202" s="168"/>
      <c r="E202" s="24"/>
      <c r="F202" s="24">
        <f t="shared" ref="F202:BM202" si="253">F201+F115</f>
        <v>1.8477140000000031E-2</v>
      </c>
      <c r="G202" s="24">
        <f t="shared" si="253"/>
        <v>4.163670999999991E-2</v>
      </c>
      <c r="H202" s="24">
        <f t="shared" si="253"/>
        <v>0.31642999999999999</v>
      </c>
      <c r="I202" s="24">
        <f t="shared" si="253"/>
        <v>9.5299999999999829E-3</v>
      </c>
      <c r="J202" s="24">
        <f t="shared" si="253"/>
        <v>-0.33546999999999999</v>
      </c>
      <c r="K202" s="24">
        <f t="shared" si="253"/>
        <v>0.45520000000000005</v>
      </c>
      <c r="L202" s="24">
        <f t="shared" si="253"/>
        <v>-3.9335620000000016E-2</v>
      </c>
      <c r="M202" s="24">
        <f t="shared" si="253"/>
        <v>0.38152000000000008</v>
      </c>
      <c r="N202" s="24">
        <f t="shared" si="253"/>
        <v>0.84798823000002699</v>
      </c>
      <c r="O202" s="24">
        <f t="shared" si="253"/>
        <v>0.85412646000000336</v>
      </c>
      <c r="P202" s="24">
        <f t="shared" si="253"/>
        <v>-3942.7614081254692</v>
      </c>
      <c r="Q202" s="24">
        <f t="shared" si="253"/>
        <v>-669.91269562547006</v>
      </c>
      <c r="R202" s="24">
        <f t="shared" si="253"/>
        <v>-944.67806756546997</v>
      </c>
      <c r="S202" s="24">
        <f t="shared" si="253"/>
        <v>-1571.2584320792296</v>
      </c>
      <c r="T202" s="24">
        <f t="shared" si="253"/>
        <v>-9960.9009552544958</v>
      </c>
      <c r="U202" s="24">
        <f t="shared" si="253"/>
        <v>-2490.1273608535398</v>
      </c>
      <c r="V202" s="24">
        <f t="shared" si="253"/>
        <v>-2846.0626503082035</v>
      </c>
      <c r="W202" s="24">
        <f t="shared" si="253"/>
        <v>-2308.9780531426068</v>
      </c>
      <c r="X202" s="24">
        <f t="shared" si="253"/>
        <v>-6830.4072954332532</v>
      </c>
      <c r="Y202" s="24">
        <f t="shared" si="253"/>
        <v>-3492.1626502569466</v>
      </c>
      <c r="Z202" s="24">
        <f t="shared" si="253"/>
        <v>-4863.1819664957457</v>
      </c>
      <c r="AA202" s="24">
        <f t="shared" si="253"/>
        <v>-3443.0691705382114</v>
      </c>
      <c r="AB202" s="24">
        <f t="shared" si="253"/>
        <v>-3559.6805050440103</v>
      </c>
      <c r="AC202" s="24">
        <f t="shared" si="253"/>
        <v>-3648.5439522008737</v>
      </c>
      <c r="AD202" s="24">
        <f t="shared" si="253"/>
        <v>-3480.8341877685434</v>
      </c>
      <c r="AE202" s="24">
        <f t="shared" si="253"/>
        <v>-3221.112193813733</v>
      </c>
      <c r="AF202" s="24">
        <f t="shared" si="253"/>
        <v>-1731.8872876105197</v>
      </c>
      <c r="AG202" s="24">
        <f t="shared" si="253"/>
        <v>-1729.5355925521465</v>
      </c>
      <c r="AH202" s="24">
        <f t="shared" si="253"/>
        <v>86.973062870923968</v>
      </c>
      <c r="AI202" s="24">
        <f t="shared" si="253"/>
        <v>-21.31817820918701</v>
      </c>
      <c r="AJ202" s="24">
        <f t="shared" si="253"/>
        <v>3201.811343881338</v>
      </c>
      <c r="AK202" s="24">
        <f t="shared" si="253"/>
        <v>4003.7723377389057</v>
      </c>
      <c r="AL202" s="24">
        <f t="shared" si="253"/>
        <v>5849.583610381309</v>
      </c>
      <c r="AM202" s="24">
        <f t="shared" si="253"/>
        <v>7482.2415275709554</v>
      </c>
      <c r="AN202" s="24">
        <f t="shared" si="253"/>
        <v>9654.4605913132909</v>
      </c>
      <c r="AO202" s="24">
        <f t="shared" si="253"/>
        <v>9277.049230155586</v>
      </c>
      <c r="AP202" s="24">
        <f t="shared" si="253"/>
        <v>9343.6797791336394</v>
      </c>
      <c r="AQ202" s="24">
        <f t="shared" si="253"/>
        <v>9345.5508791336397</v>
      </c>
      <c r="AR202" s="24">
        <f t="shared" si="253"/>
        <v>9345.5508791336397</v>
      </c>
      <c r="AS202" s="24">
        <f t="shared" si="253"/>
        <v>9345.5508791336397</v>
      </c>
      <c r="AT202" s="24">
        <f t="shared" si="253"/>
        <v>9345.5508791336397</v>
      </c>
      <c r="AU202" s="24">
        <f t="shared" si="253"/>
        <v>9345.5508791336397</v>
      </c>
      <c r="AV202" s="24">
        <f t="shared" si="253"/>
        <v>9345.5508791336397</v>
      </c>
      <c r="AW202" s="24">
        <f t="shared" si="253"/>
        <v>9345.5508791336397</v>
      </c>
      <c r="AX202" s="24">
        <f t="shared" si="253"/>
        <v>9345.5508791336397</v>
      </c>
      <c r="AY202" s="24">
        <f t="shared" si="253"/>
        <v>9345.5508791336397</v>
      </c>
      <c r="AZ202" s="24">
        <f t="shared" si="253"/>
        <v>9345.5508791336397</v>
      </c>
      <c r="BA202" s="24">
        <f t="shared" si="253"/>
        <v>9345.5508791336397</v>
      </c>
      <c r="BB202" s="24">
        <f t="shared" si="253"/>
        <v>9345.5508791336397</v>
      </c>
      <c r="BC202" s="24">
        <f t="shared" si="253"/>
        <v>9345.5508791336397</v>
      </c>
      <c r="BD202" s="24">
        <f t="shared" si="253"/>
        <v>9345.5508791336397</v>
      </c>
      <c r="BE202" s="24">
        <f t="shared" si="253"/>
        <v>9345.5508791336397</v>
      </c>
      <c r="BF202" s="24">
        <f t="shared" si="253"/>
        <v>9345.5508791336397</v>
      </c>
      <c r="BG202" s="24">
        <f t="shared" si="253"/>
        <v>9345.5508791336397</v>
      </c>
      <c r="BH202" s="24">
        <f t="shared" si="253"/>
        <v>9345.5508791336397</v>
      </c>
      <c r="BI202" s="24">
        <f t="shared" si="253"/>
        <v>9345.5508791336397</v>
      </c>
      <c r="BJ202" s="24">
        <f t="shared" si="253"/>
        <v>9345.5508791336397</v>
      </c>
      <c r="BK202" s="24">
        <f t="shared" si="253"/>
        <v>9345.5508791336397</v>
      </c>
      <c r="BL202" s="24">
        <f t="shared" si="253"/>
        <v>9345.5508791336397</v>
      </c>
      <c r="BM202" s="24">
        <f t="shared" si="253"/>
        <v>9345.5508791336397</v>
      </c>
    </row>
    <row r="203" spans="1:65" s="164" customFormat="1" ht="12.75" hidden="1" customHeight="1" outlineLevel="1">
      <c r="B203" s="166" t="s">
        <v>82</v>
      </c>
      <c r="C203" s="167"/>
      <c r="D203" s="168"/>
      <c r="E203" s="24"/>
      <c r="F203" s="24">
        <f t="shared" ref="F203:BM203" si="254">F202+F118</f>
        <v>1.8477140000000031E-2</v>
      </c>
      <c r="G203" s="24">
        <f t="shared" si="254"/>
        <v>4.163670999999991E-2</v>
      </c>
      <c r="H203" s="24">
        <f t="shared" si="254"/>
        <v>0.31642999999999999</v>
      </c>
      <c r="I203" s="24">
        <f t="shared" si="254"/>
        <v>9.5299999999999829E-3</v>
      </c>
      <c r="J203" s="24">
        <f t="shared" si="254"/>
        <v>-0.33546999999999999</v>
      </c>
      <c r="K203" s="24">
        <f t="shared" si="254"/>
        <v>0.45520000000000005</v>
      </c>
      <c r="L203" s="24">
        <f t="shared" si="254"/>
        <v>-3.9335620000000016E-2</v>
      </c>
      <c r="M203" s="24">
        <f t="shared" si="254"/>
        <v>0.38152000000000008</v>
      </c>
      <c r="N203" s="24">
        <f t="shared" si="254"/>
        <v>0.84798823000002699</v>
      </c>
      <c r="O203" s="24">
        <f t="shared" si="254"/>
        <v>0.85412646000000336</v>
      </c>
      <c r="P203" s="24">
        <f t="shared" si="254"/>
        <v>-3942.7614081254692</v>
      </c>
      <c r="Q203" s="24">
        <f t="shared" si="254"/>
        <v>-669.91269562547006</v>
      </c>
      <c r="R203" s="24">
        <f t="shared" si="254"/>
        <v>-944.67806756546997</v>
      </c>
      <c r="S203" s="24">
        <f t="shared" si="254"/>
        <v>-1571.2584320792296</v>
      </c>
      <c r="T203" s="24">
        <f t="shared" si="254"/>
        <v>-9960.9009552544958</v>
      </c>
      <c r="U203" s="24">
        <f t="shared" si="254"/>
        <v>-2490.1273608535398</v>
      </c>
      <c r="V203" s="24">
        <f t="shared" si="254"/>
        <v>-2846.0626503082035</v>
      </c>
      <c r="W203" s="24">
        <f t="shared" si="254"/>
        <v>-2308.9780531426068</v>
      </c>
      <c r="X203" s="24">
        <f t="shared" si="254"/>
        <v>-6830.4072954332532</v>
      </c>
      <c r="Y203" s="24">
        <f t="shared" si="254"/>
        <v>-3492.1626502569466</v>
      </c>
      <c r="Z203" s="24">
        <f t="shared" si="254"/>
        <v>-4863.1819664957457</v>
      </c>
      <c r="AA203" s="24">
        <f t="shared" si="254"/>
        <v>-3443.0691705382114</v>
      </c>
      <c r="AB203" s="24">
        <f t="shared" si="254"/>
        <v>-3559.6805050440103</v>
      </c>
      <c r="AC203" s="24">
        <f t="shared" si="254"/>
        <v>-3648.5439522008737</v>
      </c>
      <c r="AD203" s="24">
        <f t="shared" si="254"/>
        <v>-3480.8341877685434</v>
      </c>
      <c r="AE203" s="24">
        <f t="shared" si="254"/>
        <v>-3221.112193813733</v>
      </c>
      <c r="AF203" s="24">
        <f t="shared" si="254"/>
        <v>-1731.8872876105197</v>
      </c>
      <c r="AG203" s="24">
        <f t="shared" si="254"/>
        <v>-1729.5355925521465</v>
      </c>
      <c r="AH203" s="24">
        <f t="shared" si="254"/>
        <v>-1742.3442597360954</v>
      </c>
      <c r="AI203" s="24">
        <f t="shared" si="254"/>
        <v>-1706.7230215602601</v>
      </c>
      <c r="AJ203" s="24">
        <f t="shared" si="254"/>
        <v>1966.949320994562</v>
      </c>
      <c r="AK203" s="24">
        <f t="shared" si="254"/>
        <v>2162.4255346186151</v>
      </c>
      <c r="AL203" s="24">
        <f t="shared" si="254"/>
        <v>4919.8478575274803</v>
      </c>
      <c r="AM203" s="24">
        <f t="shared" si="254"/>
        <v>7482.2415275709554</v>
      </c>
      <c r="AN203" s="24">
        <f t="shared" si="254"/>
        <v>9654.4605913132909</v>
      </c>
      <c r="AO203" s="24">
        <f t="shared" si="254"/>
        <v>9277.049230155586</v>
      </c>
      <c r="AP203" s="24">
        <f t="shared" si="254"/>
        <v>9343.6797791336394</v>
      </c>
      <c r="AQ203" s="24">
        <f t="shared" si="254"/>
        <v>9345.5508791336397</v>
      </c>
      <c r="AR203" s="24">
        <f t="shared" si="254"/>
        <v>9345.5508791336397</v>
      </c>
      <c r="AS203" s="24">
        <f t="shared" si="254"/>
        <v>9345.5508791336397</v>
      </c>
      <c r="AT203" s="24">
        <f t="shared" si="254"/>
        <v>9345.5508791336397</v>
      </c>
      <c r="AU203" s="24">
        <f t="shared" si="254"/>
        <v>9345.5508791336397</v>
      </c>
      <c r="AV203" s="24">
        <f t="shared" si="254"/>
        <v>9345.5508791336397</v>
      </c>
      <c r="AW203" s="24">
        <f t="shared" si="254"/>
        <v>9345.5508791336397</v>
      </c>
      <c r="AX203" s="24">
        <f t="shared" si="254"/>
        <v>9345.5508791336397</v>
      </c>
      <c r="AY203" s="24">
        <f t="shared" si="254"/>
        <v>9345.5508791336397</v>
      </c>
      <c r="AZ203" s="24">
        <f t="shared" si="254"/>
        <v>9345.5508791336397</v>
      </c>
      <c r="BA203" s="24">
        <f t="shared" si="254"/>
        <v>9345.5508791336397</v>
      </c>
      <c r="BB203" s="24">
        <f t="shared" si="254"/>
        <v>9345.5508791336397</v>
      </c>
      <c r="BC203" s="24">
        <f t="shared" si="254"/>
        <v>9345.5508791336397</v>
      </c>
      <c r="BD203" s="24">
        <f t="shared" si="254"/>
        <v>9345.5508791336397</v>
      </c>
      <c r="BE203" s="24">
        <f t="shared" si="254"/>
        <v>9345.5508791336397</v>
      </c>
      <c r="BF203" s="24">
        <f t="shared" si="254"/>
        <v>9345.5508791336397</v>
      </c>
      <c r="BG203" s="24">
        <f t="shared" si="254"/>
        <v>9345.5508791336397</v>
      </c>
      <c r="BH203" s="24">
        <f t="shared" si="254"/>
        <v>9345.5508791336397</v>
      </c>
      <c r="BI203" s="24">
        <f t="shared" si="254"/>
        <v>9345.5508791336397</v>
      </c>
      <c r="BJ203" s="24">
        <f t="shared" si="254"/>
        <v>9345.5508791336397</v>
      </c>
      <c r="BK203" s="24">
        <f t="shared" si="254"/>
        <v>9345.5508791336397</v>
      </c>
      <c r="BL203" s="24">
        <f t="shared" si="254"/>
        <v>9345.5508791336397</v>
      </c>
      <c r="BM203" s="24">
        <f t="shared" si="254"/>
        <v>9345.5508791336397</v>
      </c>
    </row>
    <row r="204" spans="1:65" s="164" customFormat="1" ht="12.75" hidden="1" customHeight="1" outlineLevel="1">
      <c r="B204" s="166" t="s">
        <v>75</v>
      </c>
      <c r="C204" s="167"/>
      <c r="D204" s="168"/>
      <c r="E204" s="24"/>
      <c r="F204" s="24">
        <f t="shared" ref="F204:BM204" si="255">F203+F120</f>
        <v>1.8477140000000031E-2</v>
      </c>
      <c r="G204" s="24">
        <f t="shared" si="255"/>
        <v>4.163670999999991E-2</v>
      </c>
      <c r="H204" s="24">
        <f t="shared" si="255"/>
        <v>0.31642999999999999</v>
      </c>
      <c r="I204" s="24">
        <f t="shared" si="255"/>
        <v>9.5299999999999829E-3</v>
      </c>
      <c r="J204" s="24">
        <f t="shared" si="255"/>
        <v>-0.33546999999999999</v>
      </c>
      <c r="K204" s="24">
        <f t="shared" si="255"/>
        <v>0.45520000000000005</v>
      </c>
      <c r="L204" s="24">
        <f t="shared" si="255"/>
        <v>-3.9335620000000016E-2</v>
      </c>
      <c r="M204" s="24">
        <f t="shared" si="255"/>
        <v>0.38152000000000008</v>
      </c>
      <c r="N204" s="24">
        <f t="shared" si="255"/>
        <v>0.84798823000002699</v>
      </c>
      <c r="O204" s="24">
        <f t="shared" si="255"/>
        <v>0.85412646000000336</v>
      </c>
      <c r="P204" s="24">
        <f t="shared" si="255"/>
        <v>-3942.7614081254692</v>
      </c>
      <c r="Q204" s="24">
        <f t="shared" si="255"/>
        <v>-669.91269562547006</v>
      </c>
      <c r="R204" s="24">
        <f t="shared" si="255"/>
        <v>-944.67806756546997</v>
      </c>
      <c r="S204" s="24">
        <f t="shared" si="255"/>
        <v>-1571.2584320792296</v>
      </c>
      <c r="T204" s="24">
        <f t="shared" si="255"/>
        <v>-9960.9009552544958</v>
      </c>
      <c r="U204" s="24">
        <f t="shared" si="255"/>
        <v>-2490.1273608535398</v>
      </c>
      <c r="V204" s="24">
        <f t="shared" si="255"/>
        <v>-2846.0626503082035</v>
      </c>
      <c r="W204" s="24">
        <f t="shared" si="255"/>
        <v>-2308.9780531426068</v>
      </c>
      <c r="X204" s="24">
        <f t="shared" si="255"/>
        <v>-6830.4072954332532</v>
      </c>
      <c r="Y204" s="24">
        <f t="shared" si="255"/>
        <v>-3492.1626502569466</v>
      </c>
      <c r="Z204" s="24">
        <f t="shared" si="255"/>
        <v>-4863.1819664957457</v>
      </c>
      <c r="AA204" s="24">
        <f t="shared" si="255"/>
        <v>-3443.0691705382114</v>
      </c>
      <c r="AB204" s="24">
        <f t="shared" si="255"/>
        <v>-3559.6805050440103</v>
      </c>
      <c r="AC204" s="24">
        <f t="shared" si="255"/>
        <v>-3648.5439522008737</v>
      </c>
      <c r="AD204" s="24">
        <f t="shared" si="255"/>
        <v>-3480.8341877685434</v>
      </c>
      <c r="AE204" s="24">
        <f t="shared" si="255"/>
        <v>-3221.112193813733</v>
      </c>
      <c r="AF204" s="24">
        <f t="shared" si="255"/>
        <v>-1731.8872876105197</v>
      </c>
      <c r="AG204" s="24">
        <f t="shared" si="255"/>
        <v>-1729.5355925521465</v>
      </c>
      <c r="AH204" s="24">
        <f t="shared" si="255"/>
        <v>-1742.3442597360954</v>
      </c>
      <c r="AI204" s="24">
        <f t="shared" si="255"/>
        <v>-1706.7230215602601</v>
      </c>
      <c r="AJ204" s="24">
        <f t="shared" si="255"/>
        <v>1353.2476856667797</v>
      </c>
      <c r="AK204" s="24">
        <f t="shared" si="255"/>
        <v>2019.4195503728636</v>
      </c>
      <c r="AL204" s="24">
        <f t="shared" si="255"/>
        <v>4572.8436055229222</v>
      </c>
      <c r="AM204" s="24">
        <f t="shared" si="255"/>
        <v>7482.2415275709554</v>
      </c>
      <c r="AN204" s="24">
        <f t="shared" si="255"/>
        <v>9654.4605913132909</v>
      </c>
      <c r="AO204" s="24">
        <f t="shared" si="255"/>
        <v>9277.049230155586</v>
      </c>
      <c r="AP204" s="24">
        <f t="shared" si="255"/>
        <v>9343.6797791336394</v>
      </c>
      <c r="AQ204" s="24">
        <f t="shared" si="255"/>
        <v>9345.5508791336397</v>
      </c>
      <c r="AR204" s="24">
        <f t="shared" si="255"/>
        <v>9345.5508791336397</v>
      </c>
      <c r="AS204" s="24">
        <f t="shared" si="255"/>
        <v>9345.5508791336397</v>
      </c>
      <c r="AT204" s="24">
        <f t="shared" si="255"/>
        <v>9345.5508791336397</v>
      </c>
      <c r="AU204" s="24">
        <f t="shared" si="255"/>
        <v>9345.5508791336397</v>
      </c>
      <c r="AV204" s="24">
        <f t="shared" si="255"/>
        <v>9345.5508791336397</v>
      </c>
      <c r="AW204" s="24">
        <f t="shared" si="255"/>
        <v>9345.5508791336397</v>
      </c>
      <c r="AX204" s="24">
        <f t="shared" si="255"/>
        <v>9345.5508791336397</v>
      </c>
      <c r="AY204" s="24">
        <f t="shared" si="255"/>
        <v>9345.5508791336397</v>
      </c>
      <c r="AZ204" s="24">
        <f t="shared" si="255"/>
        <v>9345.5508791336397</v>
      </c>
      <c r="BA204" s="24">
        <f t="shared" si="255"/>
        <v>9345.5508791336397</v>
      </c>
      <c r="BB204" s="24">
        <f t="shared" si="255"/>
        <v>9345.5508791336397</v>
      </c>
      <c r="BC204" s="24">
        <f t="shared" si="255"/>
        <v>9345.5508791336397</v>
      </c>
      <c r="BD204" s="24">
        <f t="shared" si="255"/>
        <v>9345.5508791336397</v>
      </c>
      <c r="BE204" s="24">
        <f t="shared" si="255"/>
        <v>9345.5508791336397</v>
      </c>
      <c r="BF204" s="24">
        <f t="shared" si="255"/>
        <v>9345.5508791336397</v>
      </c>
      <c r="BG204" s="24">
        <f t="shared" si="255"/>
        <v>9345.5508791336397</v>
      </c>
      <c r="BH204" s="24">
        <f t="shared" si="255"/>
        <v>9345.5508791336397</v>
      </c>
      <c r="BI204" s="24">
        <f t="shared" si="255"/>
        <v>9345.5508791336397</v>
      </c>
      <c r="BJ204" s="24">
        <f t="shared" si="255"/>
        <v>9345.5508791336397</v>
      </c>
      <c r="BK204" s="24">
        <f t="shared" si="255"/>
        <v>9345.5508791336397</v>
      </c>
      <c r="BL204" s="24">
        <f t="shared" si="255"/>
        <v>9345.5508791336397</v>
      </c>
      <c r="BM204" s="24">
        <f t="shared" si="255"/>
        <v>9345.5508791336397</v>
      </c>
    </row>
    <row r="205" spans="1:65" s="164" customFormat="1" ht="12.75" hidden="1" customHeight="1" outlineLevel="1">
      <c r="B205" s="166" t="s">
        <v>83</v>
      </c>
      <c r="C205" s="167"/>
      <c r="D205" s="168"/>
      <c r="E205" s="24"/>
      <c r="F205" s="24">
        <f t="shared" ref="F205:BM205" si="256">F204+F101</f>
        <v>1.8477140000000031E-2</v>
      </c>
      <c r="G205" s="24">
        <f t="shared" si="256"/>
        <v>4.163670999999991E-2</v>
      </c>
      <c r="H205" s="24">
        <f t="shared" si="256"/>
        <v>0.31642999999999999</v>
      </c>
      <c r="I205" s="24">
        <f t="shared" si="256"/>
        <v>9.5299999999999829E-3</v>
      </c>
      <c r="J205" s="24">
        <f t="shared" si="256"/>
        <v>-0.33546999999999999</v>
      </c>
      <c r="K205" s="24">
        <f t="shared" si="256"/>
        <v>0.45520000000000005</v>
      </c>
      <c r="L205" s="24">
        <f t="shared" si="256"/>
        <v>-3.9335620000000016E-2</v>
      </c>
      <c r="M205" s="24">
        <f t="shared" si="256"/>
        <v>0.38152000000000008</v>
      </c>
      <c r="N205" s="24">
        <f t="shared" si="256"/>
        <v>0.84798823000002699</v>
      </c>
      <c r="O205" s="24">
        <f t="shared" si="256"/>
        <v>0.85412646000000336</v>
      </c>
      <c r="P205" s="24">
        <f t="shared" si="256"/>
        <v>-3942.7614081254692</v>
      </c>
      <c r="Q205" s="24">
        <f t="shared" si="256"/>
        <v>-669.91269562547006</v>
      </c>
      <c r="R205" s="24">
        <f t="shared" si="256"/>
        <v>-944.67806756546997</v>
      </c>
      <c r="S205" s="24">
        <f t="shared" si="256"/>
        <v>-1571.2584320792296</v>
      </c>
      <c r="T205" s="24">
        <f t="shared" si="256"/>
        <v>-9960.9009552544958</v>
      </c>
      <c r="U205" s="24">
        <f t="shared" si="256"/>
        <v>-2490.1273608535398</v>
      </c>
      <c r="V205" s="24">
        <f t="shared" si="256"/>
        <v>-2846.0626503082035</v>
      </c>
      <c r="W205" s="24">
        <f t="shared" si="256"/>
        <v>-2308.9780531426068</v>
      </c>
      <c r="X205" s="24">
        <f t="shared" si="256"/>
        <v>-6830.4072954332532</v>
      </c>
      <c r="Y205" s="24">
        <f t="shared" si="256"/>
        <v>-3492.1626502569466</v>
      </c>
      <c r="Z205" s="24">
        <f t="shared" si="256"/>
        <v>-4863.1819664957457</v>
      </c>
      <c r="AA205" s="24">
        <f t="shared" si="256"/>
        <v>-3443.0691705382114</v>
      </c>
      <c r="AB205" s="24">
        <f t="shared" si="256"/>
        <v>-3559.6805050440103</v>
      </c>
      <c r="AC205" s="24">
        <f t="shared" si="256"/>
        <v>-3648.5439522008737</v>
      </c>
      <c r="AD205" s="24">
        <f t="shared" si="256"/>
        <v>-3480.8341877685434</v>
      </c>
      <c r="AE205" s="24">
        <f t="shared" si="256"/>
        <v>-3221.112193813733</v>
      </c>
      <c r="AF205" s="24">
        <f t="shared" si="256"/>
        <v>-1731.8872876105197</v>
      </c>
      <c r="AG205" s="24">
        <f t="shared" si="256"/>
        <v>-1729.5355925521465</v>
      </c>
      <c r="AH205" s="24">
        <f t="shared" si="256"/>
        <v>-1742.3442597360954</v>
      </c>
      <c r="AI205" s="24">
        <f t="shared" si="256"/>
        <v>-1706.7230215602601</v>
      </c>
      <c r="AJ205" s="24">
        <f t="shared" si="256"/>
        <v>1353.2476856667797</v>
      </c>
      <c r="AK205" s="24">
        <f t="shared" si="256"/>
        <v>1637.0294543129185</v>
      </c>
      <c r="AL205" s="24">
        <f t="shared" si="256"/>
        <v>4358.8893027904342</v>
      </c>
      <c r="AM205" s="24">
        <f t="shared" si="256"/>
        <v>7482.2415275709554</v>
      </c>
      <c r="AN205" s="24">
        <f t="shared" si="256"/>
        <v>9654.4605913132909</v>
      </c>
      <c r="AO205" s="24">
        <f t="shared" si="256"/>
        <v>9277.049230155586</v>
      </c>
      <c r="AP205" s="24">
        <f t="shared" si="256"/>
        <v>9343.6797791336394</v>
      </c>
      <c r="AQ205" s="24">
        <f t="shared" si="256"/>
        <v>9345.5508791336397</v>
      </c>
      <c r="AR205" s="24">
        <f t="shared" si="256"/>
        <v>9345.5508791336397</v>
      </c>
      <c r="AS205" s="24">
        <f t="shared" si="256"/>
        <v>9345.5508791336397</v>
      </c>
      <c r="AT205" s="24">
        <f t="shared" si="256"/>
        <v>9345.5508791336397</v>
      </c>
      <c r="AU205" s="24">
        <f t="shared" si="256"/>
        <v>9345.5508791336397</v>
      </c>
      <c r="AV205" s="24">
        <f t="shared" si="256"/>
        <v>9345.5508791336397</v>
      </c>
      <c r="AW205" s="24">
        <f t="shared" si="256"/>
        <v>9345.5508791336397</v>
      </c>
      <c r="AX205" s="24">
        <f t="shared" si="256"/>
        <v>9345.5508791336397</v>
      </c>
      <c r="AY205" s="24">
        <f t="shared" si="256"/>
        <v>9345.5508791336397</v>
      </c>
      <c r="AZ205" s="24">
        <f t="shared" si="256"/>
        <v>9345.5508791336397</v>
      </c>
      <c r="BA205" s="24">
        <f t="shared" si="256"/>
        <v>9345.5508791336397</v>
      </c>
      <c r="BB205" s="24">
        <f t="shared" si="256"/>
        <v>9345.5508791336397</v>
      </c>
      <c r="BC205" s="24">
        <f t="shared" si="256"/>
        <v>9345.5508791336397</v>
      </c>
      <c r="BD205" s="24">
        <f t="shared" si="256"/>
        <v>9345.5508791336397</v>
      </c>
      <c r="BE205" s="24">
        <f t="shared" si="256"/>
        <v>9345.5508791336397</v>
      </c>
      <c r="BF205" s="24">
        <f t="shared" si="256"/>
        <v>9345.5508791336397</v>
      </c>
      <c r="BG205" s="24">
        <f t="shared" si="256"/>
        <v>9345.5508791336397</v>
      </c>
      <c r="BH205" s="24">
        <f t="shared" si="256"/>
        <v>9345.5508791336397</v>
      </c>
      <c r="BI205" s="24">
        <f t="shared" si="256"/>
        <v>9345.5508791336397</v>
      </c>
      <c r="BJ205" s="24">
        <f t="shared" si="256"/>
        <v>9345.5508791336397</v>
      </c>
      <c r="BK205" s="24">
        <f t="shared" si="256"/>
        <v>9345.5508791336397</v>
      </c>
      <c r="BL205" s="24">
        <f t="shared" si="256"/>
        <v>9345.5508791336397</v>
      </c>
      <c r="BM205" s="24">
        <f t="shared" si="256"/>
        <v>9345.5508791336397</v>
      </c>
    </row>
    <row r="206" spans="1:65" s="164" customFormat="1" collapsed="1">
      <c r="D206" s="165"/>
      <c r="E206" s="163"/>
    </row>
    <row r="207" spans="1:65">
      <c r="A207" s="124"/>
      <c r="B207" s="181" t="s">
        <v>72</v>
      </c>
      <c r="C207" s="181"/>
      <c r="D207" s="175"/>
      <c r="E207" s="180"/>
      <c r="F207" s="180" t="str">
        <f t="shared" ref="F207:AK207" si="257">F7</f>
        <v>2Q2023</v>
      </c>
      <c r="G207" s="180" t="str">
        <f t="shared" si="257"/>
        <v>3Q2023</v>
      </c>
      <c r="H207" s="180" t="str">
        <f t="shared" si="257"/>
        <v>4Q2023</v>
      </c>
      <c r="I207" s="180" t="str">
        <f t="shared" si="257"/>
        <v>1Q2024</v>
      </c>
      <c r="J207" s="180" t="str">
        <f t="shared" si="257"/>
        <v>2Q2024</v>
      </c>
      <c r="K207" s="180" t="str">
        <f t="shared" si="257"/>
        <v>3Q2024</v>
      </c>
      <c r="L207" s="180" t="str">
        <f t="shared" si="257"/>
        <v>4Q2024</v>
      </c>
      <c r="M207" s="180" t="str">
        <f t="shared" si="257"/>
        <v>1Q2025</v>
      </c>
      <c r="N207" s="180" t="str">
        <f t="shared" si="257"/>
        <v>2Q2025</v>
      </c>
      <c r="O207" s="180" t="str">
        <f t="shared" si="257"/>
        <v>3Q2025</v>
      </c>
      <c r="P207" s="180" t="str">
        <f t="shared" si="257"/>
        <v>4Q2025</v>
      </c>
      <c r="Q207" s="180" t="str">
        <f t="shared" si="257"/>
        <v>1Q2026</v>
      </c>
      <c r="R207" s="180" t="str">
        <f t="shared" si="257"/>
        <v>2Q2026</v>
      </c>
      <c r="S207" s="180" t="str">
        <f t="shared" si="257"/>
        <v>3Q2026</v>
      </c>
      <c r="T207" s="180" t="str">
        <f t="shared" si="257"/>
        <v>4Q2026</v>
      </c>
      <c r="U207" s="180" t="str">
        <f t="shared" si="257"/>
        <v>1Q2027</v>
      </c>
      <c r="V207" s="180" t="str">
        <f t="shared" si="257"/>
        <v>2Q2027</v>
      </c>
      <c r="W207" s="180" t="str">
        <f t="shared" si="257"/>
        <v>3Q2027</v>
      </c>
      <c r="X207" s="180" t="str">
        <f t="shared" si="257"/>
        <v>4Q2027</v>
      </c>
      <c r="Y207" s="180" t="str">
        <f t="shared" si="257"/>
        <v>1Q2028</v>
      </c>
      <c r="Z207" s="180" t="str">
        <f t="shared" si="257"/>
        <v>2Q2028</v>
      </c>
      <c r="AA207" s="180" t="str">
        <f t="shared" si="257"/>
        <v>3Q2028</v>
      </c>
      <c r="AB207" s="180" t="str">
        <f t="shared" si="257"/>
        <v>4Q2028</v>
      </c>
      <c r="AC207" s="180" t="str">
        <f t="shared" si="257"/>
        <v>1Q2029</v>
      </c>
      <c r="AD207" s="180" t="str">
        <f t="shared" si="257"/>
        <v>2Q2029</v>
      </c>
      <c r="AE207" s="180" t="str">
        <f t="shared" si="257"/>
        <v>3Q2029</v>
      </c>
      <c r="AF207" s="180" t="str">
        <f t="shared" si="257"/>
        <v>4Q2029</v>
      </c>
      <c r="AG207" s="180" t="str">
        <f t="shared" si="257"/>
        <v>1Q2030</v>
      </c>
      <c r="AH207" s="180" t="str">
        <f t="shared" si="257"/>
        <v>2Q2030</v>
      </c>
      <c r="AI207" s="180" t="str">
        <f t="shared" si="257"/>
        <v>3Q2030</v>
      </c>
      <c r="AJ207" s="180" t="str">
        <f t="shared" si="257"/>
        <v>4Q2030</v>
      </c>
      <c r="AK207" s="180" t="str">
        <f t="shared" si="257"/>
        <v>1Q2031</v>
      </c>
      <c r="AL207" s="180" t="str">
        <f t="shared" ref="AL207:BM207" si="258">AL7</f>
        <v>2Q2031</v>
      </c>
      <c r="AM207" s="180" t="str">
        <f t="shared" si="258"/>
        <v>3Q2031</v>
      </c>
      <c r="AN207" s="180" t="str">
        <f t="shared" si="258"/>
        <v>4Q2031</v>
      </c>
      <c r="AO207" s="180" t="str">
        <f t="shared" si="258"/>
        <v>1Q2032</v>
      </c>
      <c r="AP207" s="180" t="str">
        <f t="shared" si="258"/>
        <v>2Q2032</v>
      </c>
      <c r="AQ207" s="180" t="str">
        <f t="shared" si="258"/>
        <v>3Q2032</v>
      </c>
      <c r="AR207" s="180" t="str">
        <f t="shared" si="258"/>
        <v>4Q2032</v>
      </c>
      <c r="AS207" s="180" t="str">
        <f t="shared" si="258"/>
        <v>1Q2033</v>
      </c>
      <c r="AT207" s="180" t="str">
        <f t="shared" si="258"/>
        <v>2Q2033</v>
      </c>
      <c r="AU207" s="180" t="str">
        <f t="shared" si="258"/>
        <v>3Q2033</v>
      </c>
      <c r="AV207" s="180" t="str">
        <f t="shared" si="258"/>
        <v>4Q2033</v>
      </c>
      <c r="AW207" s="180" t="str">
        <f t="shared" si="258"/>
        <v>1Q2034</v>
      </c>
      <c r="AX207" s="180" t="str">
        <f t="shared" si="258"/>
        <v>2Q2034</v>
      </c>
      <c r="AY207" s="180" t="str">
        <f t="shared" si="258"/>
        <v>3Q2034</v>
      </c>
      <c r="AZ207" s="180" t="str">
        <f t="shared" si="258"/>
        <v>4Q2034</v>
      </c>
      <c r="BA207" s="180" t="str">
        <f t="shared" si="258"/>
        <v>1Q2035</v>
      </c>
      <c r="BB207" s="180" t="str">
        <f t="shared" si="258"/>
        <v>2Q2035</v>
      </c>
      <c r="BC207" s="180" t="str">
        <f t="shared" si="258"/>
        <v>3Q2035</v>
      </c>
      <c r="BD207" s="180" t="str">
        <f t="shared" si="258"/>
        <v>4Q2035</v>
      </c>
      <c r="BE207" s="180" t="str">
        <f t="shared" si="258"/>
        <v>1Q2036</v>
      </c>
      <c r="BF207" s="180" t="str">
        <f t="shared" si="258"/>
        <v>2Q2036</v>
      </c>
      <c r="BG207" s="180" t="str">
        <f t="shared" si="258"/>
        <v>3Q2036</v>
      </c>
      <c r="BH207" s="180" t="str">
        <f t="shared" si="258"/>
        <v>4Q2036</v>
      </c>
      <c r="BI207" s="180" t="str">
        <f t="shared" si="258"/>
        <v>1Q2037</v>
      </c>
      <c r="BJ207" s="180" t="str">
        <f t="shared" si="258"/>
        <v>2Q2037</v>
      </c>
      <c r="BK207" s="180" t="str">
        <f t="shared" si="258"/>
        <v>3Q2037</v>
      </c>
      <c r="BL207" s="180" t="str">
        <f t="shared" si="258"/>
        <v>4Q2037</v>
      </c>
      <c r="BM207" s="180" t="str">
        <f t="shared" si="258"/>
        <v>1Q2038</v>
      </c>
    </row>
    <row r="208" spans="1:65" s="164" customFormat="1" ht="12.75" customHeight="1">
      <c r="B208" s="166" t="s">
        <v>62</v>
      </c>
      <c r="C208" s="167"/>
      <c r="D208" s="131" t="s">
        <v>19</v>
      </c>
      <c r="E208" s="168"/>
      <c r="F208" s="384">
        <f>'CF1'!F189+'CF2'!F189</f>
        <v>0</v>
      </c>
      <c r="G208" s="384">
        <f>'CF1'!G189+'CF2'!G189</f>
        <v>0</v>
      </c>
      <c r="H208" s="384">
        <f>'CF1'!H189+'CF2'!H189</f>
        <v>0</v>
      </c>
      <c r="I208" s="384">
        <f>'CF1'!I189+'CF2'!I189</f>
        <v>0</v>
      </c>
      <c r="J208" s="384">
        <f>'CF1'!J189+'CF2'!J189</f>
        <v>0</v>
      </c>
      <c r="K208" s="384">
        <f>'CF1'!K189+'CF2'!K189</f>
        <v>0</v>
      </c>
      <c r="L208" s="384">
        <f>'CF1'!L189+'CF2'!L189</f>
        <v>0</v>
      </c>
      <c r="M208" s="384">
        <f>'CF1'!M189+'CF2'!M189</f>
        <v>0</v>
      </c>
      <c r="N208" s="24">
        <f>'CF1'!N189+'CF2'!N189</f>
        <v>0</v>
      </c>
      <c r="O208" s="24">
        <f>'CF1'!O189+'CF2'!O189</f>
        <v>0</v>
      </c>
      <c r="P208" s="24">
        <f>'CF1'!P189+'CF2'!P189</f>
        <v>0</v>
      </c>
      <c r="Q208" s="24">
        <f>'CF1'!Q189+'CF2'!Q189</f>
        <v>0</v>
      </c>
      <c r="R208" s="24">
        <f>'CF1'!R189+'CF2'!R189</f>
        <v>0</v>
      </c>
      <c r="S208" s="24">
        <f>'CF1'!S189+'CF2'!S189</f>
        <v>0</v>
      </c>
      <c r="T208" s="24">
        <f>'CF1'!T189+'CF2'!T189</f>
        <v>1164.068181818182</v>
      </c>
      <c r="U208" s="24">
        <f>'CF1'!U189+'CF2'!U189</f>
        <v>2547.9141299855009</v>
      </c>
      <c r="V208" s="24">
        <f>'CF1'!V189+'CF2'!V189</f>
        <v>4007.2779776028974</v>
      </c>
      <c r="W208" s="24">
        <f>'CF1'!W189+'CF2'!W189</f>
        <v>5549.7211410465479</v>
      </c>
      <c r="X208" s="24">
        <f>'CF1'!X189+'CF2'!X189</f>
        <v>8448.8599868260826</v>
      </c>
      <c r="Y208" s="24">
        <f>'CF1'!Y189+'CF2'!Y189</f>
        <v>11771.132893844104</v>
      </c>
      <c r="Z208" s="24">
        <f>'CF1'!Z189+'CF2'!Z189</f>
        <v>15265.16367853834</v>
      </c>
      <c r="AA208" s="24">
        <f>'CF1'!AA189+'CF2'!AA189</f>
        <v>18957.235200993946</v>
      </c>
      <c r="AB208" s="24">
        <f>'CF1'!AB189+'CF2'!AB189</f>
        <v>22888.917166735901</v>
      </c>
      <c r="AC208" s="24">
        <f>'CF1'!AC189+'CF2'!AC189</f>
        <v>27307.232127418589</v>
      </c>
      <c r="AD208" s="24">
        <f>'CF1'!AD189+'CF2'!AD189</f>
        <v>32107.657435055327</v>
      </c>
      <c r="AE208" s="24">
        <f>'CF1'!AE189+'CF2'!AE189</f>
        <v>35695.353616201435</v>
      </c>
      <c r="AF208" s="24">
        <f>'CF1'!AF189+'CF2'!AF189</f>
        <v>15835.278303641271</v>
      </c>
      <c r="AG208" s="24">
        <f>'CF1'!AG189+'CF2'!AG189</f>
        <v>18354.747260160901</v>
      </c>
      <c r="AH208" s="24">
        <f>'CF1'!AH189+'CF2'!AH189</f>
        <v>20914.475776248688</v>
      </c>
      <c r="AI208" s="24">
        <f>'CF1'!AI189+'CF2'!AI189</f>
        <v>23061.030931498426</v>
      </c>
      <c r="AJ208" s="24">
        <f>'CF1'!AJ189+'CF2'!AJ189</f>
        <v>0</v>
      </c>
      <c r="AK208" s="24">
        <f>'CF1'!AK189+'CF2'!AK189</f>
        <v>0</v>
      </c>
      <c r="AL208" s="24">
        <f>'CF1'!AL189+'CF2'!AL189</f>
        <v>0</v>
      </c>
      <c r="AM208" s="24">
        <f>'CF1'!AM189+'CF2'!AM189</f>
        <v>0</v>
      </c>
      <c r="AN208" s="24">
        <f>'CF1'!AN189+'CF2'!AN189</f>
        <v>0</v>
      </c>
      <c r="AO208" s="24">
        <f>'CF1'!AO189+'CF2'!AO189</f>
        <v>0</v>
      </c>
      <c r="AP208" s="24">
        <f>'CF1'!AP189+'CF2'!AP189</f>
        <v>0</v>
      </c>
      <c r="AQ208" s="24">
        <f>'CF1'!AQ189+'CF2'!AQ189</f>
        <v>0</v>
      </c>
      <c r="AR208" s="24">
        <f>'CF1'!AR189+'CF2'!AR189</f>
        <v>0</v>
      </c>
      <c r="AS208" s="24">
        <f>'CF1'!AS189+'CF2'!AS189</f>
        <v>0</v>
      </c>
      <c r="AT208" s="24">
        <f>'CF1'!AT189+'CF2'!AT189</f>
        <v>0</v>
      </c>
      <c r="AU208" s="24">
        <f>'CF1'!AU189+'CF2'!AU189</f>
        <v>0</v>
      </c>
      <c r="AV208" s="24">
        <f>'CF1'!AV189+'CF2'!AV189</f>
        <v>0</v>
      </c>
      <c r="AW208" s="24">
        <f>'CF1'!AW189+'CF2'!AW189</f>
        <v>0</v>
      </c>
      <c r="AX208" s="24">
        <f>'CF1'!AX189+'CF2'!AX189</f>
        <v>0</v>
      </c>
      <c r="AY208" s="24">
        <f>'CF1'!AY189+'CF2'!AY189</f>
        <v>0</v>
      </c>
      <c r="AZ208" s="24">
        <f>'CF1'!AZ189+'CF2'!AZ189</f>
        <v>0</v>
      </c>
      <c r="BA208" s="24">
        <f>'CF1'!BA189+'CF2'!BA189</f>
        <v>0</v>
      </c>
      <c r="BB208" s="24">
        <f>'CF1'!BB189+'CF2'!BB189</f>
        <v>0</v>
      </c>
      <c r="BC208" s="24">
        <f>'CF1'!BC189+'CF2'!BC189</f>
        <v>0</v>
      </c>
      <c r="BD208" s="24">
        <f>'CF1'!BD189+'CF2'!BD189</f>
        <v>0</v>
      </c>
      <c r="BE208" s="24">
        <f>'CF1'!BE189+'CF2'!BE189</f>
        <v>0</v>
      </c>
      <c r="BF208" s="24">
        <f>'CF1'!BF189+'CF2'!BF189</f>
        <v>0</v>
      </c>
      <c r="BG208" s="24">
        <f>'CF1'!BG189+'CF2'!BG189</f>
        <v>0</v>
      </c>
      <c r="BH208" s="24">
        <f>'CF1'!BH189+'CF2'!BH189</f>
        <v>0</v>
      </c>
      <c r="BI208" s="24">
        <f>'CF1'!BI189+'CF2'!BI189</f>
        <v>0</v>
      </c>
      <c r="BJ208" s="24">
        <f>'CF1'!BJ189+'CF2'!BJ189</f>
        <v>0</v>
      </c>
      <c r="BK208" s="24">
        <f>'CF1'!BK189+'CF2'!BK189</f>
        <v>0</v>
      </c>
      <c r="BL208" s="24">
        <f>'CF1'!BL189+'CF2'!BL189</f>
        <v>0</v>
      </c>
      <c r="BM208" s="24">
        <f>'CF1'!BM189+'CF2'!BM189</f>
        <v>0</v>
      </c>
    </row>
    <row r="209" spans="2:68" s="164" customFormat="1" ht="12.75" customHeight="1">
      <c r="B209" s="166" t="s">
        <v>63</v>
      </c>
      <c r="C209" s="167"/>
      <c r="D209" s="131" t="s">
        <v>19</v>
      </c>
      <c r="E209" s="168"/>
      <c r="F209" s="384"/>
      <c r="G209" s="384">
        <f>SUM($F$114:G115,$F$106:G107)</f>
        <v>0</v>
      </c>
      <c r="H209" s="384">
        <f>SUM($F$114:H115,$F$106:H107)</f>
        <v>0</v>
      </c>
      <c r="I209" s="384">
        <f>SUM($F$114:I115,$F$106:I107)</f>
        <v>0</v>
      </c>
      <c r="J209" s="384">
        <f>SUM($F$114:J115,$F$106:J107)</f>
        <v>0</v>
      </c>
      <c r="K209" s="384">
        <f>SUM($F$114:K115,$F$106:K107)</f>
        <v>0</v>
      </c>
      <c r="L209" s="384">
        <f>SUM($F$114:L115,$F$106:L107)</f>
        <v>0</v>
      </c>
      <c r="M209" s="384">
        <f>SUM($F$114:M115,$F$106:M107)</f>
        <v>0</v>
      </c>
      <c r="N209" s="24">
        <f>SUM($F$114:N115,$F$106:N107)</f>
        <v>0</v>
      </c>
      <c r="O209" s="24">
        <f>SUM($F$114:O115,$F$106:O107)</f>
        <v>0</v>
      </c>
      <c r="P209" s="24">
        <f>SUM($F$114:P115,$F$106:P107)</f>
        <v>3942.7614081254696</v>
      </c>
      <c r="Q209" s="24">
        <f>SUM($F$114:Q115,$F$106:Q107)</f>
        <v>4612.67410375094</v>
      </c>
      <c r="R209" s="24">
        <f>SUM($F$114:R115,$F$106:R107)</f>
        <v>5557.35217131641</v>
      </c>
      <c r="S209" s="24">
        <f>SUM($F$114:S115,$F$106:S107)</f>
        <v>7128.6106033956394</v>
      </c>
      <c r="T209" s="24">
        <f>SUM($F$114:T115,$F$106:T107)</f>
        <v>10671.513291894251</v>
      </c>
      <c r="U209" s="24">
        <f>SUM($F$114:U115,$F$106:U107)</f>
        <v>13161.640652747788</v>
      </c>
      <c r="V209" s="24">
        <f>SUM($F$114:V115,$F$106:V107)</f>
        <v>16007.703303055994</v>
      </c>
      <c r="W209" s="24">
        <f>SUM($F$114:W115,$F$106:W107)</f>
        <v>18316.681356198598</v>
      </c>
      <c r="X209" s="24">
        <f>SUM($F$114:X115,$F$106:X107)</f>
        <v>22132.458984835612</v>
      </c>
      <c r="Y209" s="24">
        <f>SUM($F$114:Y115,$F$106:Y107)</f>
        <v>25624.621635092561</v>
      </c>
      <c r="Z209" s="24">
        <f>SUM($F$114:Z115,$F$106:Z107)</f>
        <v>29134.555915921534</v>
      </c>
      <c r="AA209" s="24">
        <f>SUM($F$114:AA115,$F$106:AA107)</f>
        <v>32260.416622981465</v>
      </c>
      <c r="AB209" s="24">
        <f>SUM($F$114:AB115,$F$106:AB107)</f>
        <v>35410.894999162876</v>
      </c>
      <c r="AC209" s="24">
        <f>SUM($F$114:AC115,$F$106:AC107)</f>
        <v>38741.749790332309</v>
      </c>
      <c r="AD209" s="24">
        <f>SUM($F$114:AD115,$F$106:AD107)</f>
        <v>41985.918114899257</v>
      </c>
      <c r="AE209" s="24">
        <f>SUM($F$114:AE115,$F$106:AE107)</f>
        <v>45207.030308712994</v>
      </c>
      <c r="AF209" s="24">
        <f>SUM($F$114:AF115,$F$106:AF107)</f>
        <v>23197.934600092485</v>
      </c>
      <c r="AG209" s="24">
        <f>SUM($F$114:AG115,$F$106:AG107)</f>
        <v>22013.752032772427</v>
      </c>
      <c r="AH209" s="24">
        <f>SUM($F$114:AH115,$F$106:AH107)</f>
        <v>22815.111206752459</v>
      </c>
      <c r="AI209" s="24">
        <f>SUM($F$114:AI115,$F$106:AI107)</f>
        <v>24521.834228312728</v>
      </c>
      <c r="AJ209" s="24">
        <f>SUM($F$114:AJ115,$F$106:AJ107)</f>
        <v>773.72544198397645</v>
      </c>
      <c r="AK209" s="24">
        <f>SUM($F$114:AK115,$F$106:AK107)</f>
        <v>6.3664629124104977E-12</v>
      </c>
      <c r="AL209" s="24">
        <f>SUM($F$114:AL115,$F$106:AL107)</f>
        <v>6.3664629124104977E-12</v>
      </c>
      <c r="AM209" s="24">
        <f>SUM($F$114:AM115,$F$106:AM107)</f>
        <v>6.3664629124104977E-12</v>
      </c>
      <c r="AN209" s="24">
        <f>SUM($F$114:AN115,$F$106:AN107)</f>
        <v>6.3664629124104977E-12</v>
      </c>
      <c r="AO209" s="24">
        <f>SUM($F$114:AO115,$F$106:AO107)</f>
        <v>6.3664629124104977E-12</v>
      </c>
      <c r="AP209" s="24">
        <f>SUM($F$114:AP115,$F$106:AP107)</f>
        <v>6.3664629124104977E-12</v>
      </c>
      <c r="AQ209" s="24">
        <f>SUM($F$114:AQ115,$F$106:AQ107)</f>
        <v>6.3664629124104977E-12</v>
      </c>
      <c r="AR209" s="24">
        <f>SUM($F$114:AR115,$F$106:AR107)</f>
        <v>6.3664629124104977E-12</v>
      </c>
      <c r="AS209" s="24">
        <f>SUM($F$114:AS115,$F$106:AS107)</f>
        <v>6.3664629124104977E-12</v>
      </c>
      <c r="AT209" s="24">
        <f>SUM($F$114:AT115,$F$106:AT107)</f>
        <v>6.3664629124104977E-12</v>
      </c>
      <c r="AU209" s="24">
        <f>SUM($F$114:AU115,$F$106:AU107)</f>
        <v>6.3664629124104977E-12</v>
      </c>
      <c r="AV209" s="24">
        <f>SUM($F$114:AV115,$F$106:AV107)</f>
        <v>6.3664629124104977E-12</v>
      </c>
      <c r="AW209" s="24">
        <f>SUM($F$114:AW115,$F$106:AW107)</f>
        <v>6.3664629124104977E-12</v>
      </c>
      <c r="AX209" s="24">
        <f>SUM($F$114:AX115,$F$106:AX107)</f>
        <v>6.3664629124104977E-12</v>
      </c>
      <c r="AY209" s="24">
        <f>SUM($F$114:AY115,$F$106:AY107)</f>
        <v>6.3664629124104977E-12</v>
      </c>
      <c r="AZ209" s="24">
        <f>SUM($F$114:AZ115,$F$106:AZ107)</f>
        <v>6.3664629124104977E-12</v>
      </c>
      <c r="BA209" s="24">
        <f>SUM($F$114:BA115,$F$106:BA107)</f>
        <v>6.3664629124104977E-12</v>
      </c>
      <c r="BB209" s="24">
        <f>SUM($F$114:BB115,$F$106:BB107)</f>
        <v>6.3664629124104977E-12</v>
      </c>
      <c r="BC209" s="24">
        <f>SUM($F$114:BC115,$F$106:BC107)</f>
        <v>6.3664629124104977E-12</v>
      </c>
      <c r="BD209" s="24">
        <f>SUM($F$114:BD115,$F$106:BD107)</f>
        <v>6.3664629124104977E-12</v>
      </c>
      <c r="BE209" s="24">
        <f>SUM($F$114:BE115,$F$106:BE107)</f>
        <v>6.3664629124104977E-12</v>
      </c>
      <c r="BF209" s="24">
        <f>SUM($F$114:BF115,$F$106:BF107)</f>
        <v>6.3664629124104977E-12</v>
      </c>
      <c r="BG209" s="24">
        <f>SUM($F$114:BG115,$F$106:BG107)</f>
        <v>6.3664629124104977E-12</v>
      </c>
      <c r="BH209" s="24">
        <f>SUM($F$114:BH115,$F$106:BH107)</f>
        <v>6.3664629124104977E-12</v>
      </c>
      <c r="BI209" s="24">
        <f>SUM($F$114:BI115,$F$106:BI107)</f>
        <v>6.3664629124104977E-12</v>
      </c>
      <c r="BJ209" s="24">
        <f>SUM($F$114:BJ115,$F$106:BJ107)</f>
        <v>6.3664629124104977E-12</v>
      </c>
      <c r="BK209" s="24">
        <f>SUM($F$114:BK115,$F$106:BK107)</f>
        <v>6.3664629124104977E-12</v>
      </c>
      <c r="BL209" s="24">
        <f>SUM($F$114:BL115,$F$106:BL107)</f>
        <v>6.3664629124104977E-12</v>
      </c>
      <c r="BM209" s="24">
        <f>SUM($F$114:BM115,$F$106:BM107)</f>
        <v>6.3664629124104977E-12</v>
      </c>
    </row>
    <row r="210" spans="2:68" s="163" customFormat="1" ht="12.75" customHeight="1">
      <c r="B210" s="169" t="s">
        <v>64</v>
      </c>
      <c r="C210" s="170"/>
      <c r="D210" s="171"/>
      <c r="E210" s="26"/>
      <c r="F210" s="385"/>
      <c r="G210" s="386">
        <f t="shared" ref="G210:BM210" si="259">IFERROR(G208/G209,0)</f>
        <v>0</v>
      </c>
      <c r="H210" s="386">
        <f t="shared" si="259"/>
        <v>0</v>
      </c>
      <c r="I210" s="386">
        <f t="shared" si="259"/>
        <v>0</v>
      </c>
      <c r="J210" s="386">
        <f t="shared" si="259"/>
        <v>0</v>
      </c>
      <c r="K210" s="386">
        <f t="shared" si="259"/>
        <v>0</v>
      </c>
      <c r="L210" s="386">
        <f t="shared" si="259"/>
        <v>0</v>
      </c>
      <c r="M210" s="386">
        <f t="shared" si="259"/>
        <v>0</v>
      </c>
      <c r="N210" s="312">
        <f t="shared" si="259"/>
        <v>0</v>
      </c>
      <c r="O210" s="312">
        <f t="shared" si="259"/>
        <v>0</v>
      </c>
      <c r="P210" s="312">
        <f t="shared" si="259"/>
        <v>0</v>
      </c>
      <c r="Q210" s="312">
        <f t="shared" si="259"/>
        <v>0</v>
      </c>
      <c r="R210" s="312">
        <f t="shared" si="259"/>
        <v>0</v>
      </c>
      <c r="S210" s="312">
        <f t="shared" si="259"/>
        <v>0</v>
      </c>
      <c r="T210" s="312">
        <f t="shared" si="259"/>
        <v>0.10908182841344272</v>
      </c>
      <c r="U210" s="312">
        <f t="shared" si="259"/>
        <v>0.19358636185326686</v>
      </c>
      <c r="V210" s="312">
        <f t="shared" si="259"/>
        <v>0.25033434851568476</v>
      </c>
      <c r="W210" s="312">
        <f t="shared" si="259"/>
        <v>0.30298726243705998</v>
      </c>
      <c r="X210" s="312">
        <f t="shared" si="259"/>
        <v>0.38174068198273614</v>
      </c>
      <c r="Y210" s="312">
        <f t="shared" si="259"/>
        <v>0.45936806644292855</v>
      </c>
      <c r="Z210" s="312">
        <f t="shared" si="259"/>
        <v>0.52395388220749195</v>
      </c>
      <c r="AA210" s="312">
        <f t="shared" si="259"/>
        <v>0.58763144390048927</v>
      </c>
      <c r="AB210" s="312">
        <f t="shared" si="259"/>
        <v>0.64638064548430652</v>
      </c>
      <c r="AC210" s="312">
        <f t="shared" si="259"/>
        <v>0.70485283383438935</v>
      </c>
      <c r="AD210" s="312">
        <f t="shared" si="259"/>
        <v>0.76472443325376516</v>
      </c>
      <c r="AE210" s="312">
        <f t="shared" si="259"/>
        <v>0.78959740050258687</v>
      </c>
      <c r="AF210" s="312">
        <f t="shared" si="259"/>
        <v>0.68261586975842836</v>
      </c>
      <c r="AG210" s="312">
        <f t="shared" si="259"/>
        <v>0.83378550066502644</v>
      </c>
      <c r="AH210" s="312">
        <f t="shared" si="259"/>
        <v>0.91669400980428928</v>
      </c>
      <c r="AI210" s="312">
        <f t="shared" si="259"/>
        <v>0.94042846537443481</v>
      </c>
      <c r="AJ210" s="312">
        <f t="shared" si="259"/>
        <v>0</v>
      </c>
      <c r="AK210" s="312">
        <f t="shared" si="259"/>
        <v>0</v>
      </c>
      <c r="AL210" s="312">
        <f t="shared" si="259"/>
        <v>0</v>
      </c>
      <c r="AM210" s="312">
        <f t="shared" si="259"/>
        <v>0</v>
      </c>
      <c r="AN210" s="312">
        <f t="shared" si="259"/>
        <v>0</v>
      </c>
      <c r="AO210" s="312">
        <f t="shared" si="259"/>
        <v>0</v>
      </c>
      <c r="AP210" s="312">
        <f t="shared" si="259"/>
        <v>0</v>
      </c>
      <c r="AQ210" s="312">
        <f t="shared" si="259"/>
        <v>0</v>
      </c>
      <c r="AR210" s="312">
        <f t="shared" si="259"/>
        <v>0</v>
      </c>
      <c r="AS210" s="312">
        <f t="shared" si="259"/>
        <v>0</v>
      </c>
      <c r="AT210" s="312">
        <f t="shared" si="259"/>
        <v>0</v>
      </c>
      <c r="AU210" s="312">
        <f t="shared" si="259"/>
        <v>0</v>
      </c>
      <c r="AV210" s="312">
        <f t="shared" si="259"/>
        <v>0</v>
      </c>
      <c r="AW210" s="312">
        <f t="shared" si="259"/>
        <v>0</v>
      </c>
      <c r="AX210" s="312">
        <f t="shared" si="259"/>
        <v>0</v>
      </c>
      <c r="AY210" s="312">
        <f t="shared" si="259"/>
        <v>0</v>
      </c>
      <c r="AZ210" s="312">
        <f t="shared" si="259"/>
        <v>0</v>
      </c>
      <c r="BA210" s="312">
        <f t="shared" si="259"/>
        <v>0</v>
      </c>
      <c r="BB210" s="312">
        <f t="shared" si="259"/>
        <v>0</v>
      </c>
      <c r="BC210" s="312">
        <f t="shared" si="259"/>
        <v>0</v>
      </c>
      <c r="BD210" s="312">
        <f t="shared" si="259"/>
        <v>0</v>
      </c>
      <c r="BE210" s="312">
        <f t="shared" si="259"/>
        <v>0</v>
      </c>
      <c r="BF210" s="312">
        <f t="shared" si="259"/>
        <v>0</v>
      </c>
      <c r="BG210" s="312">
        <f t="shared" si="259"/>
        <v>0</v>
      </c>
      <c r="BH210" s="312">
        <f t="shared" si="259"/>
        <v>0</v>
      </c>
      <c r="BI210" s="312">
        <f t="shared" si="259"/>
        <v>0</v>
      </c>
      <c r="BJ210" s="312">
        <f t="shared" si="259"/>
        <v>0</v>
      </c>
      <c r="BK210" s="312">
        <f t="shared" si="259"/>
        <v>0</v>
      </c>
      <c r="BL210" s="312">
        <f t="shared" si="259"/>
        <v>0</v>
      </c>
      <c r="BM210" s="312">
        <f t="shared" si="259"/>
        <v>0</v>
      </c>
    </row>
    <row r="211" spans="2:68" s="164" customFormat="1" ht="12.75" customHeight="1">
      <c r="B211" s="166" t="s">
        <v>65</v>
      </c>
      <c r="C211" s="167"/>
      <c r="D211" s="131" t="s">
        <v>19</v>
      </c>
      <c r="E211" s="168"/>
      <c r="F211" s="384"/>
      <c r="G211" s="384">
        <f t="shared" ref="G211:BM211" si="260">IF((G209-G212)&gt;0,(G209-G212),0)</f>
        <v>0</v>
      </c>
      <c r="H211" s="384">
        <f t="shared" si="260"/>
        <v>0</v>
      </c>
      <c r="I211" s="384">
        <f t="shared" si="260"/>
        <v>0</v>
      </c>
      <c r="J211" s="384">
        <f t="shared" si="260"/>
        <v>0</v>
      </c>
      <c r="K211" s="384">
        <f t="shared" si="260"/>
        <v>0</v>
      </c>
      <c r="L211" s="384">
        <f t="shared" si="260"/>
        <v>0</v>
      </c>
      <c r="M211" s="384">
        <f t="shared" si="260"/>
        <v>0</v>
      </c>
      <c r="N211" s="24">
        <f t="shared" si="260"/>
        <v>0</v>
      </c>
      <c r="O211" s="24">
        <f t="shared" si="260"/>
        <v>0</v>
      </c>
      <c r="P211" s="24">
        <f t="shared" si="260"/>
        <v>0</v>
      </c>
      <c r="Q211" s="24">
        <f t="shared" si="260"/>
        <v>0</v>
      </c>
      <c r="R211" s="24">
        <f t="shared" si="260"/>
        <v>0</v>
      </c>
      <c r="S211" s="24">
        <f t="shared" si="260"/>
        <v>0</v>
      </c>
      <c r="T211" s="24">
        <f t="shared" si="260"/>
        <v>1164.068181818182</v>
      </c>
      <c r="U211" s="24">
        <f t="shared" si="260"/>
        <v>2547.9141299855</v>
      </c>
      <c r="V211" s="24">
        <f t="shared" si="260"/>
        <v>4007.2779776028983</v>
      </c>
      <c r="W211" s="24">
        <f t="shared" si="260"/>
        <v>5549.7211410465479</v>
      </c>
      <c r="X211" s="24">
        <f t="shared" si="260"/>
        <v>8448.8599868260826</v>
      </c>
      <c r="Y211" s="24">
        <f t="shared" si="260"/>
        <v>11771.132893844104</v>
      </c>
      <c r="Z211" s="24">
        <f t="shared" si="260"/>
        <v>15265.16367853834</v>
      </c>
      <c r="AA211" s="24">
        <f t="shared" si="260"/>
        <v>18957.235200993946</v>
      </c>
      <c r="AB211" s="24">
        <f t="shared" si="260"/>
        <v>22888.917166735901</v>
      </c>
      <c r="AC211" s="24">
        <f t="shared" si="260"/>
        <v>27307.232127418589</v>
      </c>
      <c r="AD211" s="24">
        <f t="shared" si="260"/>
        <v>32107.657435055327</v>
      </c>
      <c r="AE211" s="24">
        <f t="shared" si="260"/>
        <v>35695.353616201435</v>
      </c>
      <c r="AF211" s="24">
        <f t="shared" si="260"/>
        <v>15835.278303641271</v>
      </c>
      <c r="AG211" s="24">
        <f t="shared" si="260"/>
        <v>18354.747260160901</v>
      </c>
      <c r="AH211" s="24">
        <f t="shared" si="260"/>
        <v>20914.475776248688</v>
      </c>
      <c r="AI211" s="24">
        <f t="shared" si="260"/>
        <v>23061.030931498426</v>
      </c>
      <c r="AJ211" s="24">
        <f t="shared" si="260"/>
        <v>0</v>
      </c>
      <c r="AK211" s="24">
        <f t="shared" si="260"/>
        <v>0</v>
      </c>
      <c r="AL211" s="24">
        <f t="shared" si="260"/>
        <v>0</v>
      </c>
      <c r="AM211" s="24">
        <f t="shared" si="260"/>
        <v>0</v>
      </c>
      <c r="AN211" s="24">
        <f t="shared" si="260"/>
        <v>0</v>
      </c>
      <c r="AO211" s="24">
        <f t="shared" si="260"/>
        <v>0</v>
      </c>
      <c r="AP211" s="24">
        <f t="shared" si="260"/>
        <v>0</v>
      </c>
      <c r="AQ211" s="24">
        <f t="shared" si="260"/>
        <v>0</v>
      </c>
      <c r="AR211" s="24">
        <f t="shared" si="260"/>
        <v>0</v>
      </c>
      <c r="AS211" s="24">
        <f t="shared" si="260"/>
        <v>0</v>
      </c>
      <c r="AT211" s="24">
        <f t="shared" si="260"/>
        <v>0</v>
      </c>
      <c r="AU211" s="24">
        <f t="shared" si="260"/>
        <v>0</v>
      </c>
      <c r="AV211" s="24">
        <f t="shared" si="260"/>
        <v>0</v>
      </c>
      <c r="AW211" s="24">
        <f t="shared" si="260"/>
        <v>0</v>
      </c>
      <c r="AX211" s="24">
        <f t="shared" si="260"/>
        <v>0</v>
      </c>
      <c r="AY211" s="24">
        <f t="shared" si="260"/>
        <v>0</v>
      </c>
      <c r="AZ211" s="24">
        <f t="shared" si="260"/>
        <v>0</v>
      </c>
      <c r="BA211" s="24">
        <f t="shared" si="260"/>
        <v>0</v>
      </c>
      <c r="BB211" s="24">
        <f t="shared" si="260"/>
        <v>0</v>
      </c>
      <c r="BC211" s="24">
        <f t="shared" si="260"/>
        <v>0</v>
      </c>
      <c r="BD211" s="24">
        <f t="shared" si="260"/>
        <v>0</v>
      </c>
      <c r="BE211" s="24">
        <f t="shared" si="260"/>
        <v>0</v>
      </c>
      <c r="BF211" s="24">
        <f t="shared" si="260"/>
        <v>0</v>
      </c>
      <c r="BG211" s="24">
        <f t="shared" si="260"/>
        <v>0</v>
      </c>
      <c r="BH211" s="24">
        <f t="shared" si="260"/>
        <v>0</v>
      </c>
      <c r="BI211" s="24">
        <f t="shared" si="260"/>
        <v>0</v>
      </c>
      <c r="BJ211" s="24">
        <f t="shared" si="260"/>
        <v>0</v>
      </c>
      <c r="BK211" s="24">
        <f t="shared" si="260"/>
        <v>0</v>
      </c>
      <c r="BL211" s="24">
        <f t="shared" si="260"/>
        <v>0</v>
      </c>
      <c r="BM211" s="24">
        <f t="shared" si="260"/>
        <v>0</v>
      </c>
      <c r="BN211" s="163"/>
      <c r="BO211" s="163"/>
      <c r="BP211" s="163"/>
    </row>
    <row r="212" spans="2:68" s="164" customFormat="1" ht="12.75" customHeight="1">
      <c r="B212" s="166" t="s">
        <v>66</v>
      </c>
      <c r="C212" s="167"/>
      <c r="D212" s="131" t="s">
        <v>19</v>
      </c>
      <c r="E212" s="168"/>
      <c r="F212" s="384"/>
      <c r="G212" s="384">
        <f t="shared" ref="G212:BM212" si="261">IF(G209&gt;=G208,G209-G208,0)</f>
        <v>0</v>
      </c>
      <c r="H212" s="384">
        <f t="shared" si="261"/>
        <v>0</v>
      </c>
      <c r="I212" s="384">
        <f t="shared" si="261"/>
        <v>0</v>
      </c>
      <c r="J212" s="384">
        <f t="shared" si="261"/>
        <v>0</v>
      </c>
      <c r="K212" s="384">
        <f t="shared" si="261"/>
        <v>0</v>
      </c>
      <c r="L212" s="384">
        <f t="shared" si="261"/>
        <v>0</v>
      </c>
      <c r="M212" s="384">
        <f t="shared" si="261"/>
        <v>0</v>
      </c>
      <c r="N212" s="24">
        <f t="shared" si="261"/>
        <v>0</v>
      </c>
      <c r="O212" s="24">
        <f t="shared" si="261"/>
        <v>0</v>
      </c>
      <c r="P212" s="24">
        <f t="shared" si="261"/>
        <v>3942.7614081254696</v>
      </c>
      <c r="Q212" s="24">
        <f t="shared" si="261"/>
        <v>4612.67410375094</v>
      </c>
      <c r="R212" s="24">
        <f t="shared" si="261"/>
        <v>5557.35217131641</v>
      </c>
      <c r="S212" s="24">
        <f t="shared" si="261"/>
        <v>7128.6106033956394</v>
      </c>
      <c r="T212" s="24">
        <f t="shared" si="261"/>
        <v>9507.4451100760689</v>
      </c>
      <c r="U212" s="24">
        <f t="shared" si="261"/>
        <v>10613.726522762288</v>
      </c>
      <c r="V212" s="24">
        <f t="shared" si="261"/>
        <v>12000.425325453096</v>
      </c>
      <c r="W212" s="24">
        <f t="shared" si="261"/>
        <v>12766.96021515205</v>
      </c>
      <c r="X212" s="24">
        <f t="shared" si="261"/>
        <v>13683.598998009529</v>
      </c>
      <c r="Y212" s="24">
        <f t="shared" si="261"/>
        <v>13853.488741248457</v>
      </c>
      <c r="Z212" s="24">
        <f t="shared" si="261"/>
        <v>13869.392237383194</v>
      </c>
      <c r="AA212" s="24">
        <f t="shared" si="261"/>
        <v>13303.18142198752</v>
      </c>
      <c r="AB212" s="24">
        <f t="shared" si="261"/>
        <v>12521.977832426976</v>
      </c>
      <c r="AC212" s="24">
        <f t="shared" si="261"/>
        <v>11434.51766291372</v>
      </c>
      <c r="AD212" s="24">
        <f t="shared" si="261"/>
        <v>9878.2606798439301</v>
      </c>
      <c r="AE212" s="24">
        <f t="shared" si="261"/>
        <v>9511.6766925115589</v>
      </c>
      <c r="AF212" s="24">
        <f t="shared" si="261"/>
        <v>7362.6562964512141</v>
      </c>
      <c r="AG212" s="24">
        <f t="shared" si="261"/>
        <v>3659.0047726115263</v>
      </c>
      <c r="AH212" s="24">
        <f t="shared" si="261"/>
        <v>1900.6354305037712</v>
      </c>
      <c r="AI212" s="24">
        <f t="shared" si="261"/>
        <v>1460.8032968143016</v>
      </c>
      <c r="AJ212" s="24">
        <f t="shared" si="261"/>
        <v>773.72544198397645</v>
      </c>
      <c r="AK212" s="24">
        <f t="shared" si="261"/>
        <v>6.3664629124104977E-12</v>
      </c>
      <c r="AL212" s="24">
        <f t="shared" si="261"/>
        <v>6.3664629124104977E-12</v>
      </c>
      <c r="AM212" s="24">
        <f t="shared" si="261"/>
        <v>6.3664629124104977E-12</v>
      </c>
      <c r="AN212" s="24">
        <f t="shared" si="261"/>
        <v>6.3664629124104977E-12</v>
      </c>
      <c r="AO212" s="24">
        <f t="shared" si="261"/>
        <v>6.3664629124104977E-12</v>
      </c>
      <c r="AP212" s="24">
        <f t="shared" si="261"/>
        <v>6.3664629124104977E-12</v>
      </c>
      <c r="AQ212" s="24">
        <f t="shared" si="261"/>
        <v>6.3664629124104977E-12</v>
      </c>
      <c r="AR212" s="24">
        <f t="shared" si="261"/>
        <v>6.3664629124104977E-12</v>
      </c>
      <c r="AS212" s="24">
        <f t="shared" si="261"/>
        <v>6.3664629124104977E-12</v>
      </c>
      <c r="AT212" s="24">
        <f t="shared" si="261"/>
        <v>6.3664629124104977E-12</v>
      </c>
      <c r="AU212" s="24">
        <f t="shared" si="261"/>
        <v>6.3664629124104977E-12</v>
      </c>
      <c r="AV212" s="24">
        <f t="shared" si="261"/>
        <v>6.3664629124104977E-12</v>
      </c>
      <c r="AW212" s="24">
        <f t="shared" si="261"/>
        <v>6.3664629124104977E-12</v>
      </c>
      <c r="AX212" s="24">
        <f t="shared" si="261"/>
        <v>6.3664629124104977E-12</v>
      </c>
      <c r="AY212" s="24">
        <f t="shared" si="261"/>
        <v>6.3664629124104977E-12</v>
      </c>
      <c r="AZ212" s="24">
        <f t="shared" si="261"/>
        <v>6.3664629124104977E-12</v>
      </c>
      <c r="BA212" s="24">
        <f t="shared" si="261"/>
        <v>6.3664629124104977E-12</v>
      </c>
      <c r="BB212" s="24">
        <f t="shared" si="261"/>
        <v>6.3664629124104977E-12</v>
      </c>
      <c r="BC212" s="24">
        <f t="shared" si="261"/>
        <v>6.3664629124104977E-12</v>
      </c>
      <c r="BD212" s="24">
        <f t="shared" si="261"/>
        <v>6.3664629124104977E-12</v>
      </c>
      <c r="BE212" s="24">
        <f t="shared" si="261"/>
        <v>6.3664629124104977E-12</v>
      </c>
      <c r="BF212" s="24">
        <f t="shared" si="261"/>
        <v>6.3664629124104977E-12</v>
      </c>
      <c r="BG212" s="24">
        <f t="shared" si="261"/>
        <v>6.3664629124104977E-12</v>
      </c>
      <c r="BH212" s="24">
        <f t="shared" si="261"/>
        <v>6.3664629124104977E-12</v>
      </c>
      <c r="BI212" s="24">
        <f t="shared" si="261"/>
        <v>6.3664629124104977E-12</v>
      </c>
      <c r="BJ212" s="24">
        <f t="shared" si="261"/>
        <v>6.3664629124104977E-12</v>
      </c>
      <c r="BK212" s="24">
        <f t="shared" si="261"/>
        <v>6.3664629124104977E-12</v>
      </c>
      <c r="BL212" s="24">
        <f t="shared" si="261"/>
        <v>6.3664629124104977E-12</v>
      </c>
      <c r="BM212" s="24">
        <f t="shared" si="261"/>
        <v>6.3664629124104977E-12</v>
      </c>
      <c r="BN212" s="163"/>
      <c r="BO212" s="163"/>
      <c r="BP212" s="163"/>
    </row>
    <row r="213" spans="2:68" s="198" customFormat="1" ht="12.75" customHeight="1">
      <c r="B213" s="329" t="s">
        <v>318</v>
      </c>
      <c r="C213" s="330"/>
      <c r="D213" s="331"/>
      <c r="E213" s="332"/>
      <c r="F213" s="1170">
        <v>0.2</v>
      </c>
      <c r="G213" s="1170">
        <v>0.2</v>
      </c>
      <c r="H213" s="1170">
        <v>0.2</v>
      </c>
      <c r="I213" s="1170">
        <v>0.2</v>
      </c>
      <c r="J213" s="1170">
        <v>0.2</v>
      </c>
      <c r="K213" s="1170">
        <v>0.21</v>
      </c>
      <c r="L213" s="1170">
        <v>0.21</v>
      </c>
      <c r="M213" s="1170">
        <v>0.21</v>
      </c>
      <c r="N213" s="1169">
        <v>0.20749999999999999</v>
      </c>
      <c r="O213" s="1169">
        <v>0.19500000000000001</v>
      </c>
      <c r="P213" s="1169">
        <v>0.19</v>
      </c>
      <c r="Q213" s="1169">
        <v>0.17</v>
      </c>
      <c r="R213" s="1169">
        <v>0.15</v>
      </c>
      <c r="S213" s="1169">
        <v>0.13</v>
      </c>
      <c r="T213" s="1169">
        <v>0.12</v>
      </c>
      <c r="U213" s="1169">
        <v>0.11</v>
      </c>
      <c r="V213" s="1169">
        <v>0.1</v>
      </c>
      <c r="W213" s="1169">
        <v>9.5000000000000001E-2</v>
      </c>
      <c r="X213" s="1169">
        <v>0.09</v>
      </c>
      <c r="Y213" s="1169">
        <v>0.09</v>
      </c>
      <c r="Z213" s="1169">
        <v>0.09</v>
      </c>
      <c r="AA213" s="1169">
        <v>0.09</v>
      </c>
      <c r="AB213" s="1169">
        <v>0.09</v>
      </c>
      <c r="AC213" s="1169">
        <v>0.09</v>
      </c>
      <c r="AD213" s="1169">
        <v>0.09</v>
      </c>
      <c r="AE213" s="1169">
        <v>0.09</v>
      </c>
      <c r="AF213" s="1169">
        <v>0.09</v>
      </c>
      <c r="AG213" s="1169">
        <v>0.09</v>
      </c>
      <c r="AH213" s="1169">
        <v>0.09</v>
      </c>
      <c r="AI213" s="1169">
        <v>0.09</v>
      </c>
      <c r="AJ213" s="1169">
        <v>0.09</v>
      </c>
      <c r="AK213" s="1169">
        <v>0.09</v>
      </c>
      <c r="AL213" s="1169">
        <v>0.09</v>
      </c>
      <c r="AM213" s="1169">
        <v>0.09</v>
      </c>
      <c r="AN213" s="1169">
        <v>0.09</v>
      </c>
      <c r="AO213" s="1169">
        <v>0.09</v>
      </c>
      <c r="AP213" s="1169">
        <v>0.09</v>
      </c>
      <c r="AQ213" s="1169">
        <v>0.09</v>
      </c>
      <c r="AR213" s="1169">
        <v>0.09</v>
      </c>
      <c r="AS213" s="1169">
        <v>0.09</v>
      </c>
      <c r="AT213" s="1169">
        <v>0.09</v>
      </c>
      <c r="AU213" s="1169">
        <v>0.09</v>
      </c>
      <c r="AV213" s="1169">
        <v>0.09</v>
      </c>
      <c r="AW213" s="1169">
        <v>0.09</v>
      </c>
      <c r="AX213" s="1169">
        <v>0.09</v>
      </c>
      <c r="AY213" s="1169">
        <v>0.09</v>
      </c>
      <c r="AZ213" s="1169">
        <v>0.09</v>
      </c>
      <c r="BA213" s="1169">
        <v>0.09</v>
      </c>
      <c r="BB213" s="1169">
        <v>0.09</v>
      </c>
      <c r="BC213" s="1169">
        <v>0.09</v>
      </c>
      <c r="BD213" s="1169">
        <v>0.09</v>
      </c>
      <c r="BE213" s="1169">
        <v>0.09</v>
      </c>
      <c r="BF213" s="1169">
        <v>0.09</v>
      </c>
      <c r="BG213" s="1169">
        <v>0.09</v>
      </c>
      <c r="BH213" s="1169">
        <v>0.09</v>
      </c>
      <c r="BI213" s="1169">
        <v>0.09</v>
      </c>
      <c r="BJ213" s="1169">
        <v>0.09</v>
      </c>
      <c r="BK213" s="1169">
        <v>0.09</v>
      </c>
      <c r="BL213" s="1169">
        <v>0.09</v>
      </c>
      <c r="BM213" s="1169">
        <v>0.09</v>
      </c>
      <c r="BN213" s="163"/>
      <c r="BO213" s="163"/>
      <c r="BP213" s="163"/>
    </row>
    <row r="214" spans="2:68" s="307" customFormat="1" ht="12.75" customHeight="1">
      <c r="B214" s="28" t="s">
        <v>319</v>
      </c>
      <c r="C214" s="308"/>
      <c r="D214" s="310"/>
      <c r="E214" s="309"/>
      <c r="F214" s="388">
        <f>F213+'DB1'!$N$23</f>
        <v>0.25</v>
      </c>
      <c r="G214" s="388">
        <f>G213+'DB1'!$N$23</f>
        <v>0.25</v>
      </c>
      <c r="H214" s="388">
        <f>H213+'DB1'!$N$23</f>
        <v>0.25</v>
      </c>
      <c r="I214" s="388">
        <f>I213+'DB1'!$N$23</f>
        <v>0.25</v>
      </c>
      <c r="J214" s="388">
        <f>J213+'DB1'!$N$23</f>
        <v>0.25</v>
      </c>
      <c r="K214" s="388">
        <f>K213+'DB1'!$N$23</f>
        <v>0.26</v>
      </c>
      <c r="L214" s="388">
        <f>L213+'DB1'!$N$23</f>
        <v>0.26</v>
      </c>
      <c r="M214" s="388">
        <f>M213+'DB1'!$N$23</f>
        <v>0.26</v>
      </c>
      <c r="N214" s="311">
        <f>N213+'DB1'!$N$23</f>
        <v>0.25750000000000001</v>
      </c>
      <c r="O214" s="311">
        <f>O213+'DB1'!$N$23</f>
        <v>0.245</v>
      </c>
      <c r="P214" s="311">
        <f>P213+'DB1'!$N$23</f>
        <v>0.24</v>
      </c>
      <c r="Q214" s="311">
        <f>Q213+'DB1'!$N$23</f>
        <v>0.22000000000000003</v>
      </c>
      <c r="R214" s="311">
        <f>R213+'DB1'!$N$23</f>
        <v>0.2</v>
      </c>
      <c r="S214" s="311">
        <f>S213+'DB1'!$N$23</f>
        <v>0.18</v>
      </c>
      <c r="T214" s="311">
        <f>T213+'DB1'!$N$23</f>
        <v>0.16999999999999998</v>
      </c>
      <c r="U214" s="311">
        <f>U213+'DB1'!$N$23</f>
        <v>0.16</v>
      </c>
      <c r="V214" s="311">
        <f>V213+'DB1'!$N$23</f>
        <v>0.15000000000000002</v>
      </c>
      <c r="W214" s="311">
        <f>W213+'DB1'!$N$23</f>
        <v>0.14500000000000002</v>
      </c>
      <c r="X214" s="311">
        <f>X213+'DB1'!$N$23</f>
        <v>0.14000000000000001</v>
      </c>
      <c r="Y214" s="311">
        <f>Y213+'DB1'!$N$23</f>
        <v>0.14000000000000001</v>
      </c>
      <c r="Z214" s="311">
        <f>Z213+'DB1'!$N$23</f>
        <v>0.14000000000000001</v>
      </c>
      <c r="AA214" s="311">
        <f>AA213+'DB1'!$N$23</f>
        <v>0.14000000000000001</v>
      </c>
      <c r="AB214" s="311">
        <f>AB213+'DB1'!$N$23</f>
        <v>0.14000000000000001</v>
      </c>
      <c r="AC214" s="311">
        <f>AC213+'DB1'!$N$23</f>
        <v>0.14000000000000001</v>
      </c>
      <c r="AD214" s="311">
        <f>AD213+'DB1'!$N$23</f>
        <v>0.14000000000000001</v>
      </c>
      <c r="AE214" s="311">
        <f>AE213+'DB1'!$N$23</f>
        <v>0.14000000000000001</v>
      </c>
      <c r="AF214" s="311">
        <f>AF213+'DB1'!$N$23</f>
        <v>0.14000000000000001</v>
      </c>
      <c r="AG214" s="311">
        <f>AG213+'DB1'!$N$23</f>
        <v>0.14000000000000001</v>
      </c>
      <c r="AH214" s="311">
        <f>AH213+'DB1'!$N$23</f>
        <v>0.14000000000000001</v>
      </c>
      <c r="AI214" s="311">
        <f>AI213+'DB1'!$N$23</f>
        <v>0.14000000000000001</v>
      </c>
      <c r="AJ214" s="311">
        <f>AJ213+'DB1'!$N$23</f>
        <v>0.14000000000000001</v>
      </c>
      <c r="AK214" s="311">
        <f>AK213+'DB1'!$N$23</f>
        <v>0.14000000000000001</v>
      </c>
      <c r="AL214" s="311">
        <f>AL213+'DB1'!$N$23</f>
        <v>0.14000000000000001</v>
      </c>
      <c r="AM214" s="311">
        <f>AM213+'DB1'!$N$23</f>
        <v>0.14000000000000001</v>
      </c>
      <c r="AN214" s="311">
        <f>AN213+'DB1'!$N$23</f>
        <v>0.14000000000000001</v>
      </c>
      <c r="AO214" s="311">
        <f>AO213+'DB1'!$N$23</f>
        <v>0.14000000000000001</v>
      </c>
      <c r="AP214" s="311">
        <f>AP213+'DB1'!$N$23</f>
        <v>0.14000000000000001</v>
      </c>
      <c r="AQ214" s="311">
        <f>AQ213+'DB1'!$N$23</f>
        <v>0.14000000000000001</v>
      </c>
      <c r="AR214" s="311">
        <f>AR213+'DB1'!$N$23</f>
        <v>0.14000000000000001</v>
      </c>
      <c r="AS214" s="311">
        <f>AS213+'DB1'!$N$23</f>
        <v>0.14000000000000001</v>
      </c>
      <c r="AT214" s="311">
        <f>AT213+'DB1'!$N$23</f>
        <v>0.14000000000000001</v>
      </c>
      <c r="AU214" s="311">
        <f>AU213+'DB1'!$N$23</f>
        <v>0.14000000000000001</v>
      </c>
      <c r="AV214" s="311">
        <f>AV213+'DB1'!$N$23</f>
        <v>0.14000000000000001</v>
      </c>
      <c r="AW214" s="311">
        <f>AW213+'DB1'!$N$23</f>
        <v>0.14000000000000001</v>
      </c>
      <c r="AX214" s="311">
        <f>AX213+'DB1'!$N$23</f>
        <v>0.14000000000000001</v>
      </c>
      <c r="AY214" s="311">
        <f>AY213+'DB1'!$N$23</f>
        <v>0.14000000000000001</v>
      </c>
      <c r="AZ214" s="311">
        <f>AZ213+'DB1'!$N$23</f>
        <v>0.14000000000000001</v>
      </c>
      <c r="BA214" s="311">
        <f>BA213+'DB1'!$N$23</f>
        <v>0.14000000000000001</v>
      </c>
      <c r="BB214" s="311">
        <f>BB213+'DB1'!$N$23</f>
        <v>0.14000000000000001</v>
      </c>
      <c r="BC214" s="311">
        <f>BC213+'DB1'!$N$23</f>
        <v>0.14000000000000001</v>
      </c>
      <c r="BD214" s="311">
        <f>BD213+'DB1'!$N$23</f>
        <v>0.14000000000000001</v>
      </c>
      <c r="BE214" s="311">
        <f>BE213+'DB1'!$N$23</f>
        <v>0.14000000000000001</v>
      </c>
      <c r="BF214" s="311">
        <f>BF213+'DB1'!$N$23</f>
        <v>0.14000000000000001</v>
      </c>
      <c r="BG214" s="311">
        <f>BG213+'DB1'!$N$23</f>
        <v>0.14000000000000001</v>
      </c>
      <c r="BH214" s="311">
        <f>BH213+'DB1'!$N$23</f>
        <v>0.14000000000000001</v>
      </c>
      <c r="BI214" s="311">
        <f>BI213+'DB1'!$N$23</f>
        <v>0.14000000000000001</v>
      </c>
      <c r="BJ214" s="311">
        <f>BJ213+'DB1'!$N$23</f>
        <v>0.14000000000000001</v>
      </c>
      <c r="BK214" s="311">
        <f>BK213+'DB1'!$N$23</f>
        <v>0.14000000000000001</v>
      </c>
      <c r="BL214" s="311">
        <f>BL213+'DB1'!$N$23</f>
        <v>0.14000000000000001</v>
      </c>
      <c r="BM214" s="311">
        <f>BM213+'DB1'!$N$23</f>
        <v>0.14000000000000001</v>
      </c>
      <c r="BN214" s="163"/>
      <c r="BO214" s="163"/>
      <c r="BP214" s="163"/>
    </row>
    <row r="215" spans="2:68" s="307" customFormat="1" ht="12.75" customHeight="1" outlineLevel="1">
      <c r="B215" s="28" t="s">
        <v>320</v>
      </c>
      <c r="C215" s="308"/>
      <c r="D215" s="310"/>
      <c r="E215" s="309"/>
      <c r="F215" s="388">
        <f>F213+'DB1'!$N$24</f>
        <v>0.23800000000000002</v>
      </c>
      <c r="G215" s="388">
        <f>G213+'DB1'!$N$24</f>
        <v>0.23800000000000002</v>
      </c>
      <c r="H215" s="388">
        <f>H213+'DB1'!$N$24</f>
        <v>0.23800000000000002</v>
      </c>
      <c r="I215" s="388">
        <f>I213+'DB1'!$N$24</f>
        <v>0.23800000000000002</v>
      </c>
      <c r="J215" s="388">
        <f>J213+'DB1'!$N$24</f>
        <v>0.23800000000000002</v>
      </c>
      <c r="K215" s="388">
        <f>K213+'DB1'!$N$24</f>
        <v>0.248</v>
      </c>
      <c r="L215" s="388">
        <f>L213+'DB1'!$N$24</f>
        <v>0.248</v>
      </c>
      <c r="M215" s="388">
        <f>M213+'DB1'!$N$24</f>
        <v>0.248</v>
      </c>
      <c r="N215" s="311">
        <f>N213+'DB1'!$N$24</f>
        <v>0.2455</v>
      </c>
      <c r="O215" s="311">
        <f>O213+'DB1'!$N$24</f>
        <v>0.23300000000000001</v>
      </c>
      <c r="P215" s="311">
        <f>P213+'DB1'!$N$24</f>
        <v>0.22800000000000001</v>
      </c>
      <c r="Q215" s="311">
        <f>Q213+'DB1'!$N$24</f>
        <v>0.20800000000000002</v>
      </c>
      <c r="R215" s="311">
        <f>R213+'DB1'!$N$24</f>
        <v>0.188</v>
      </c>
      <c r="S215" s="311">
        <f>S213+'DB1'!$N$24</f>
        <v>0.16800000000000001</v>
      </c>
      <c r="T215" s="311">
        <f>T213+'DB1'!$N$24</f>
        <v>0.158</v>
      </c>
      <c r="U215" s="311">
        <f>U213+'DB1'!$N$24</f>
        <v>0.14799999999999999</v>
      </c>
      <c r="V215" s="311">
        <f>V213+'DB1'!$N$24</f>
        <v>0.13800000000000001</v>
      </c>
      <c r="W215" s="311">
        <f>W213+'DB1'!$N$24</f>
        <v>0.13300000000000001</v>
      </c>
      <c r="X215" s="311">
        <f>X213+'DB1'!$N$24</f>
        <v>0.128</v>
      </c>
      <c r="Y215" s="311">
        <f>Y213+'DB1'!$N$24</f>
        <v>0.128</v>
      </c>
      <c r="Z215" s="311">
        <f>Z213+'DB1'!$N$24</f>
        <v>0.128</v>
      </c>
      <c r="AA215" s="311">
        <f>AA213+'DB1'!$N$24</f>
        <v>0.128</v>
      </c>
      <c r="AB215" s="311">
        <f>AB213+'DB1'!$N$24</f>
        <v>0.128</v>
      </c>
      <c r="AC215" s="311">
        <f>AC213+'DB1'!$N$24</f>
        <v>0.128</v>
      </c>
      <c r="AD215" s="311">
        <f>AD213+'DB1'!$N$24</f>
        <v>0.128</v>
      </c>
      <c r="AE215" s="311">
        <f>AE213+'DB1'!$N$24</f>
        <v>0.128</v>
      </c>
      <c r="AF215" s="311">
        <f>AF213+'DB1'!$N$24</f>
        <v>0.128</v>
      </c>
      <c r="AG215" s="311">
        <f>AG213+'DB1'!$N$24</f>
        <v>0.128</v>
      </c>
      <c r="AH215" s="311">
        <f>AH213+'DB1'!$N$24</f>
        <v>0.128</v>
      </c>
      <c r="AI215" s="311">
        <f>AI213+'DB1'!$N$24</f>
        <v>0.128</v>
      </c>
      <c r="AJ215" s="311">
        <f>AJ213+'DB1'!$N$24</f>
        <v>0.128</v>
      </c>
      <c r="AK215" s="311">
        <f>AK213+'DB1'!$N$24</f>
        <v>0.128</v>
      </c>
      <c r="AL215" s="311">
        <f>AL213+'DB1'!$N$24</f>
        <v>0.128</v>
      </c>
      <c r="AM215" s="311">
        <f>AM213+'DB1'!$N$24</f>
        <v>0.128</v>
      </c>
      <c r="AN215" s="311">
        <f>AN213+'DB1'!$N$24</f>
        <v>0.128</v>
      </c>
      <c r="AO215" s="311">
        <f>AO213+'DB1'!$N$24</f>
        <v>0.128</v>
      </c>
      <c r="AP215" s="311">
        <f>AP213+'DB1'!$N$24</f>
        <v>0.128</v>
      </c>
      <c r="AQ215" s="311">
        <f>AQ213+'DB1'!$N$24</f>
        <v>0.128</v>
      </c>
      <c r="AR215" s="311">
        <f>AR213+'DB1'!$N$24</f>
        <v>0.128</v>
      </c>
      <c r="AS215" s="311">
        <f>AS213+'DB1'!$N$24</f>
        <v>0.128</v>
      </c>
      <c r="AT215" s="311">
        <f>AT213+'DB1'!$N$24</f>
        <v>0.128</v>
      </c>
      <c r="AU215" s="311">
        <f>AU213+'DB1'!$N$24</f>
        <v>0.128</v>
      </c>
      <c r="AV215" s="311">
        <f>AV213+'DB1'!$N$24</f>
        <v>0.128</v>
      </c>
      <c r="AW215" s="311">
        <f>AW213+'DB1'!$N$24</f>
        <v>0.128</v>
      </c>
      <c r="AX215" s="311">
        <f>AX213+'DB1'!$N$24</f>
        <v>0.128</v>
      </c>
      <c r="AY215" s="311">
        <f>AY213+'DB1'!$N$24</f>
        <v>0.128</v>
      </c>
      <c r="AZ215" s="311">
        <f>AZ213+'DB1'!$N$24</f>
        <v>0.128</v>
      </c>
      <c r="BA215" s="311">
        <f>BA213+'DB1'!$N$24</f>
        <v>0.128</v>
      </c>
      <c r="BB215" s="311">
        <f>BB213+'DB1'!$N$24</f>
        <v>0.128</v>
      </c>
      <c r="BC215" s="311">
        <f>BC213+'DB1'!$N$24</f>
        <v>0.128</v>
      </c>
      <c r="BD215" s="311">
        <f>BD213+'DB1'!$N$24</f>
        <v>0.128</v>
      </c>
      <c r="BE215" s="311">
        <f>BE213+'DB1'!$N$24</f>
        <v>0.128</v>
      </c>
      <c r="BF215" s="311">
        <f>BF213+'DB1'!$N$24</f>
        <v>0.128</v>
      </c>
      <c r="BG215" s="311">
        <f>BG213+'DB1'!$N$24</f>
        <v>0.128</v>
      </c>
      <c r="BH215" s="311">
        <f>BH213+'DB1'!$N$24</f>
        <v>0.128</v>
      </c>
      <c r="BI215" s="311">
        <f>BI213+'DB1'!$N$24</f>
        <v>0.128</v>
      </c>
      <c r="BJ215" s="311">
        <f>BJ213+'DB1'!$N$24</f>
        <v>0.128</v>
      </c>
      <c r="BK215" s="311">
        <f>BK213+'DB1'!$N$24</f>
        <v>0.128</v>
      </c>
      <c r="BL215" s="311">
        <f>BL213+'DB1'!$N$24</f>
        <v>0.128</v>
      </c>
      <c r="BM215" s="311">
        <f>BM213+'DB1'!$N$24</f>
        <v>0.128</v>
      </c>
      <c r="BN215" s="163"/>
      <c r="BO215" s="163"/>
      <c r="BP215" s="163"/>
    </row>
    <row r="216" spans="2:68" s="307" customFormat="1" ht="12.75" customHeight="1" outlineLevel="1">
      <c r="B216" s="28" t="s">
        <v>322</v>
      </c>
      <c r="C216" s="308"/>
      <c r="D216" s="310"/>
      <c r="E216" s="309"/>
      <c r="F216" s="388">
        <f>F213+'DB1'!$N$39</f>
        <v>0.21000000000000002</v>
      </c>
      <c r="G216" s="388">
        <f>G213+'DB1'!$N$39</f>
        <v>0.21000000000000002</v>
      </c>
      <c r="H216" s="388">
        <f>H213+'DB1'!$N$39</f>
        <v>0.21000000000000002</v>
      </c>
      <c r="I216" s="388">
        <f>I213+'DB1'!$N$39</f>
        <v>0.21000000000000002</v>
      </c>
      <c r="J216" s="388">
        <f>J213+'DB1'!$N$39</f>
        <v>0.21000000000000002</v>
      </c>
      <c r="K216" s="388">
        <f>K213+'DB1'!$N$39</f>
        <v>0.22</v>
      </c>
      <c r="L216" s="388">
        <f>L213+'DB1'!$N$39</f>
        <v>0.22</v>
      </c>
      <c r="M216" s="388">
        <f>M213+'DB1'!$N$39</f>
        <v>0.22</v>
      </c>
      <c r="N216" s="311">
        <f>N213+'DB1'!$N$39</f>
        <v>0.2175</v>
      </c>
      <c r="O216" s="311">
        <f>O213+'DB1'!$N$39</f>
        <v>0.20500000000000002</v>
      </c>
      <c r="P216" s="311">
        <f>P213+'DB1'!$N$39</f>
        <v>0.2</v>
      </c>
      <c r="Q216" s="311">
        <f>Q213+'DB1'!$N$39</f>
        <v>0.18000000000000002</v>
      </c>
      <c r="R216" s="311">
        <f>R213+'DB1'!$N$39</f>
        <v>0.16</v>
      </c>
      <c r="S216" s="311">
        <f>S213+'DB1'!$N$39</f>
        <v>0.14000000000000001</v>
      </c>
      <c r="T216" s="311">
        <f>T213+'DB1'!$N$39</f>
        <v>0.13</v>
      </c>
      <c r="U216" s="311">
        <f>U213+'DB1'!$N$39</f>
        <v>0.12</v>
      </c>
      <c r="V216" s="311">
        <f>V213+'DB1'!$N$39</f>
        <v>0.11</v>
      </c>
      <c r="W216" s="311">
        <f>W213+'DB1'!$N$39</f>
        <v>0.105</v>
      </c>
      <c r="X216" s="311">
        <f>X213+'DB1'!$N$39</f>
        <v>9.9999999999999992E-2</v>
      </c>
      <c r="Y216" s="311">
        <f>Y213+'DB1'!$N$39</f>
        <v>9.9999999999999992E-2</v>
      </c>
      <c r="Z216" s="311">
        <f>Z213+'DB1'!$N$39</f>
        <v>9.9999999999999992E-2</v>
      </c>
      <c r="AA216" s="311">
        <f>AA213+'DB1'!$N$39</f>
        <v>9.9999999999999992E-2</v>
      </c>
      <c r="AB216" s="311">
        <f>AB213+'DB1'!$N$39</f>
        <v>9.9999999999999992E-2</v>
      </c>
      <c r="AC216" s="311">
        <f>AC213+'DB1'!$N$39</f>
        <v>9.9999999999999992E-2</v>
      </c>
      <c r="AD216" s="311">
        <f>AD213+'DB1'!$N$39</f>
        <v>9.9999999999999992E-2</v>
      </c>
      <c r="AE216" s="311">
        <f>AE213+'DB1'!$N$39</f>
        <v>9.9999999999999992E-2</v>
      </c>
      <c r="AF216" s="311">
        <f>AF213+'DB1'!$N$39</f>
        <v>9.9999999999999992E-2</v>
      </c>
      <c r="AG216" s="311">
        <f>AG213+'DB1'!$N$39</f>
        <v>9.9999999999999992E-2</v>
      </c>
      <c r="AH216" s="311">
        <f>AH213+'DB1'!$N$39</f>
        <v>9.9999999999999992E-2</v>
      </c>
      <c r="AI216" s="311">
        <f>AI213+'DB1'!$N$39</f>
        <v>9.9999999999999992E-2</v>
      </c>
      <c r="AJ216" s="311">
        <f>AJ213+'DB1'!$N$39</f>
        <v>9.9999999999999992E-2</v>
      </c>
      <c r="AK216" s="311">
        <f>AK213+'DB1'!$N$39</f>
        <v>9.9999999999999992E-2</v>
      </c>
      <c r="AL216" s="311">
        <f>AL213+'DB1'!$N$39</f>
        <v>9.9999999999999992E-2</v>
      </c>
      <c r="AM216" s="311">
        <f>AM213+'DB1'!$N$39</f>
        <v>9.9999999999999992E-2</v>
      </c>
      <c r="AN216" s="311">
        <f>AN213+'DB1'!$N$39</f>
        <v>9.9999999999999992E-2</v>
      </c>
      <c r="AO216" s="311">
        <f>AO213+'DB1'!$N$39</f>
        <v>9.9999999999999992E-2</v>
      </c>
      <c r="AP216" s="311">
        <f>AP213+'DB1'!$N$39</f>
        <v>9.9999999999999992E-2</v>
      </c>
      <c r="AQ216" s="311">
        <f>AQ213+'DB1'!$N$39</f>
        <v>9.9999999999999992E-2</v>
      </c>
      <c r="AR216" s="311">
        <f>AR213+'DB1'!$N$39</f>
        <v>9.9999999999999992E-2</v>
      </c>
      <c r="AS216" s="311">
        <f>AS213+'DB1'!$N$39</f>
        <v>9.9999999999999992E-2</v>
      </c>
      <c r="AT216" s="311">
        <f>AT213+'DB1'!$N$39</f>
        <v>9.9999999999999992E-2</v>
      </c>
      <c r="AU216" s="311">
        <f>AU213+'DB1'!$N$39</f>
        <v>9.9999999999999992E-2</v>
      </c>
      <c r="AV216" s="311">
        <f>AV213+'DB1'!$N$39</f>
        <v>9.9999999999999992E-2</v>
      </c>
      <c r="AW216" s="311">
        <f>AW213+'DB1'!$N$39</f>
        <v>9.9999999999999992E-2</v>
      </c>
      <c r="AX216" s="311">
        <f>AX213+'DB1'!$N$39</f>
        <v>9.9999999999999992E-2</v>
      </c>
      <c r="AY216" s="311">
        <f>AY213+'DB1'!$N$39</f>
        <v>9.9999999999999992E-2</v>
      </c>
      <c r="AZ216" s="311">
        <f>AZ213+'DB1'!$N$39</f>
        <v>9.9999999999999992E-2</v>
      </c>
      <c r="BA216" s="311">
        <f>BA213+'DB1'!$N$39</f>
        <v>9.9999999999999992E-2</v>
      </c>
      <c r="BB216" s="311">
        <f>BB213+'DB1'!$N$39</f>
        <v>9.9999999999999992E-2</v>
      </c>
      <c r="BC216" s="311">
        <f>BC213+'DB1'!$N$39</f>
        <v>9.9999999999999992E-2</v>
      </c>
      <c r="BD216" s="311">
        <f>BD213+'DB1'!$N$39</f>
        <v>9.9999999999999992E-2</v>
      </c>
      <c r="BE216" s="311">
        <f>BE213+'DB1'!$N$39</f>
        <v>9.9999999999999992E-2</v>
      </c>
      <c r="BF216" s="311">
        <f>BF213+'DB1'!$N$39</f>
        <v>9.9999999999999992E-2</v>
      </c>
      <c r="BG216" s="311">
        <f>BG213+'DB1'!$N$39</f>
        <v>9.9999999999999992E-2</v>
      </c>
      <c r="BH216" s="311">
        <f>BH213+'DB1'!$N$39</f>
        <v>9.9999999999999992E-2</v>
      </c>
      <c r="BI216" s="311">
        <f>BI213+'DB1'!$N$39</f>
        <v>9.9999999999999992E-2</v>
      </c>
      <c r="BJ216" s="311">
        <f>BJ213+'DB1'!$N$39</f>
        <v>9.9999999999999992E-2</v>
      </c>
      <c r="BK216" s="311">
        <f>BK213+'DB1'!$N$39</f>
        <v>9.9999999999999992E-2</v>
      </c>
      <c r="BL216" s="311">
        <f>BL213+'DB1'!$N$39</f>
        <v>9.9999999999999992E-2</v>
      </c>
      <c r="BM216" s="311">
        <f>BM213+'DB1'!$N$39</f>
        <v>9.9999999999999992E-2</v>
      </c>
      <c r="BN216" s="163"/>
      <c r="BO216" s="163"/>
      <c r="BP216" s="163"/>
    </row>
    <row r="217" spans="2:68" s="163" customFormat="1" ht="12.75" customHeight="1">
      <c r="B217" s="169" t="s">
        <v>67</v>
      </c>
      <c r="C217" s="170"/>
      <c r="D217" s="171"/>
      <c r="E217" s="26"/>
      <c r="F217" s="389">
        <f>IFERROR((F208*'DB1'!$P$25+(F209-F208)*CF!F$215)/F209,0)</f>
        <v>0</v>
      </c>
      <c r="G217" s="389">
        <f>IFERROR((G208*'DB1'!$P$25+(G209-G208)*CF!G$215)/G209,0)</f>
        <v>0</v>
      </c>
      <c r="H217" s="389">
        <f>IFERROR((H208*'DB1'!$P$25+(H209-H208)*CF!H$215)/H209,0)</f>
        <v>0</v>
      </c>
      <c r="I217" s="389">
        <f>IFERROR((I208*'DB1'!$P$25+(I209-I208)*CF!I$215)/I209,0)</f>
        <v>0</v>
      </c>
      <c r="J217" s="389">
        <f>IFERROR((J208*'DB1'!$P$25+(J209-J208)*CF!J$215)/J209,0)</f>
        <v>0</v>
      </c>
      <c r="K217" s="389">
        <f>IFERROR((K208*'DB1'!$P$25+(K209-K208)*CF!K$215)/K209,0)</f>
        <v>0</v>
      </c>
      <c r="L217" s="389">
        <f>IFERROR((L208*'DB1'!$P$25+(L209-L208)*CF!L$215)/L209,0)</f>
        <v>0</v>
      </c>
      <c r="M217" s="389">
        <f>IFERROR((M208*'DB1'!$P$25+(M209-M208)*CF!M$215)/M209,0)</f>
        <v>0</v>
      </c>
      <c r="N217" s="172">
        <f>IFERROR((N208*DB!$P$25+(N209-N208)*CF!N$215)/N209,0)</f>
        <v>0</v>
      </c>
      <c r="O217" s="172">
        <f>IFERROR((O208*'DB1'!$P$25+(O209-O208)*CF!O$215)/O209,0)</f>
        <v>0</v>
      </c>
      <c r="P217" s="172">
        <f>IFERROR((P208*'DB1'!$P$25+(P209-P208)*CF!P$215)/P209,0)</f>
        <v>0.22800000000000001</v>
      </c>
      <c r="Q217" s="172">
        <f>IFERROR((Q208*'DB1'!$P$25+(Q209-Q208)*CF!Q$215)/Q209,0)</f>
        <v>0.20800000000000002</v>
      </c>
      <c r="R217" s="172">
        <f>IFERROR((R208*'DB1'!$P$25+(R209-R208)*CF!R$215)/R209,0)</f>
        <v>0.188</v>
      </c>
      <c r="S217" s="172">
        <f>IFERROR((S208*'DB1'!$P$25+(S209-S208)*CF!S$215)/S209,0)</f>
        <v>0.16800000000000001</v>
      </c>
      <c r="T217" s="172">
        <f>IFERROR((T208*'DB1'!$P$25+(T209-T208)*CF!T$215)/T209,0)</f>
        <v>0.14491018059038688</v>
      </c>
      <c r="U217" s="172">
        <f>IFERROR((U208*'DB1'!$P$25+(U209-U208)*CF!U$215)/U209,0)</f>
        <v>0.12670550019614066</v>
      </c>
      <c r="V217" s="172">
        <f>IFERROR((V208*'DB1'!$P$25+(V209-V208)*CF!V$215)/V209,0)</f>
        <v>0.11296656514843154</v>
      </c>
      <c r="W217" s="172">
        <f>IFERROR((W208*'DB1'!$P$25+(W209-W208)*CF!W$215)/W209,0)</f>
        <v>0.10421621006847931</v>
      </c>
      <c r="X217" s="172">
        <f>IFERROR((X208*'DB1'!$P$25+(X209-X208)*CF!X$215)/X209,0)</f>
        <v>9.3643338621553746E-2</v>
      </c>
      <c r="Y217" s="172">
        <f>IFERROR((Y208*'DB1'!$P$25+(Y209-Y208)*CF!Y$215)/Y209,0)</f>
        <v>8.6656874020136429E-2</v>
      </c>
      <c r="Z217" s="172">
        <f>IFERROR((Z208*'DB1'!$P$25+(Z209-Z208)*CF!Z$215)/Z209,0)</f>
        <v>8.0844150601325729E-2</v>
      </c>
      <c r="AA217" s="172">
        <f>IFERROR((AA208*'DB1'!$P$25+(AA209-AA208)*CF!AA$215)/AA209,0)</f>
        <v>7.5113170048955957E-2</v>
      </c>
      <c r="AB217" s="172">
        <f>IFERROR((AB208*'DB1'!$P$25+(AB209-AB208)*CF!AB$215)/AB209,0)</f>
        <v>6.9825741906412414E-2</v>
      </c>
      <c r="AC217" s="172">
        <f>IFERROR((AC208*'DB1'!$P$25+(AC209-AC208)*CF!AC$215)/AC209,0)</f>
        <v>6.4563244954904953E-2</v>
      </c>
      <c r="AD217" s="172">
        <f>IFERROR((AD208*'DB1'!$P$25+(AD209-AD208)*CF!AD$215)/AD209,0)</f>
        <v>5.9174801007161132E-2</v>
      </c>
      <c r="AE217" s="172">
        <f>IFERROR((AE208*'DB1'!$P$25+(AE209-AE208)*CF!AE$215)/AE209,0)</f>
        <v>5.6936233954767192E-2</v>
      </c>
      <c r="AF217" s="172">
        <f>IFERROR((AF208*'DB1'!$P$25+(AF209-AF208)*CF!AF$215)/AF209,0)</f>
        <v>6.6564571721741447E-2</v>
      </c>
      <c r="AG217" s="172">
        <f>IFERROR((AG208*'DB1'!$P$25+(AG209-AG208)*CF!AG$215)/AG209,0)</f>
        <v>5.2959304940147618E-2</v>
      </c>
      <c r="AH217" s="172">
        <f>IFERROR((AH208*'DB1'!$P$25+(AH209-AH208)*CF!AH$215)/AH209,0)</f>
        <v>4.5497539117613964E-2</v>
      </c>
      <c r="AI217" s="172">
        <f>IFERROR((AI208*'DB1'!$P$25+(AI209-AI208)*CF!AI$215)/AI209,0)</f>
        <v>4.3361438116300867E-2</v>
      </c>
      <c r="AJ217" s="172">
        <f>IFERROR((AJ208*'DB1'!$P$25+(AJ209-AJ208)*CF!AJ$215)/AJ209,0)</f>
        <v>0.128</v>
      </c>
      <c r="AK217" s="172">
        <f>IFERROR((AK208*'DB1'!$P$25+(AK209-AK208)*CF!AK$215)/AK209,0)</f>
        <v>0.128</v>
      </c>
      <c r="AL217" s="172">
        <f>IFERROR((AL208*'DB1'!$P$25+(AL209-AL208)*CF!AL$215)/AL209,0)</f>
        <v>0.128</v>
      </c>
      <c r="AM217" s="172">
        <f>IFERROR((AM208*'DB1'!$P$25+(AM209-AM208)*CF!AM$215)/AM209,0)</f>
        <v>0.128</v>
      </c>
      <c r="AN217" s="172">
        <f>IFERROR((AN208*'DB1'!$P$25+(AN209-AN208)*CF!AN$215)/AN209,0)</f>
        <v>0.128</v>
      </c>
      <c r="AO217" s="172">
        <f>IFERROR((AO208*'DB1'!$P$25+(AO209-AO208)*CF!AO$215)/AO209,0)</f>
        <v>0.128</v>
      </c>
      <c r="AP217" s="172">
        <f>IFERROR((AP208*'DB1'!$P$25+(AP209-AP208)*CF!AP$215)/AP209,0)</f>
        <v>0.128</v>
      </c>
      <c r="AQ217" s="172">
        <f>IFERROR((AQ208*'DB1'!$P$25+(AQ209-AQ208)*CF!AQ$215)/AQ209,0)</f>
        <v>0.128</v>
      </c>
      <c r="AR217" s="172">
        <f>IFERROR((AR208*'DB1'!$P$25+(AR209-AR208)*CF!AR$215)/AR209,0)</f>
        <v>0.128</v>
      </c>
      <c r="AS217" s="172">
        <f>IFERROR((AS208*'DB1'!$P$25+(AS209-AS208)*CF!AS$215)/AS209,0)</f>
        <v>0.128</v>
      </c>
      <c r="AT217" s="172">
        <f>IFERROR((AT208*'DB1'!$P$25+(AT209-AT208)*CF!AT$215)/AT209,0)</f>
        <v>0.128</v>
      </c>
      <c r="AU217" s="172">
        <f>IFERROR((AU208*'DB1'!$P$25+(AU209-AU208)*CF!AU$215)/AU209,0)</f>
        <v>0.128</v>
      </c>
      <c r="AV217" s="172">
        <f>IFERROR((AV208*'DB1'!$P$25+(AV209-AV208)*CF!AV$215)/AV209,0)</f>
        <v>0.128</v>
      </c>
      <c r="AW217" s="172">
        <f>IFERROR((AW208*'DB1'!$P$25+(AW209-AW208)*CF!AW$215)/AW209,0)</f>
        <v>0.128</v>
      </c>
      <c r="AX217" s="172">
        <f>IFERROR((AX208*'DB1'!$P$25+(AX209-AX208)*CF!AX$215)/AX209,0)</f>
        <v>0.128</v>
      </c>
      <c r="AY217" s="172">
        <f>IFERROR((AY208*'DB1'!$P$25+(AY209-AY208)*CF!AY$215)/AY209,0)</f>
        <v>0.128</v>
      </c>
      <c r="AZ217" s="172">
        <f>IFERROR((AZ208*'DB1'!$P$25+(AZ209-AZ208)*CF!AZ$215)/AZ209,0)</f>
        <v>0.128</v>
      </c>
      <c r="BA217" s="172">
        <f>IFERROR((BA208*'DB1'!$P$25+(BA209-BA208)*CF!BA$215)/BA209,0)</f>
        <v>0.128</v>
      </c>
      <c r="BB217" s="172">
        <f>IFERROR((BB208*'DB1'!$P$25+(BB209-BB208)*CF!BB$215)/BB209,0)</f>
        <v>0.128</v>
      </c>
      <c r="BC217" s="172">
        <f>IFERROR((BC208*'DB1'!$P$25+(BC209-BC208)*CF!BC$215)/BC209,0)</f>
        <v>0.128</v>
      </c>
      <c r="BD217" s="172">
        <f>IFERROR((BD208*'DB1'!$P$25+(BD209-BD208)*CF!BD$215)/BD209,0)</f>
        <v>0.128</v>
      </c>
      <c r="BE217" s="172">
        <f>IFERROR((BE208*'DB1'!$P$25+(BE209-BE208)*CF!BE$215)/BE209,0)</f>
        <v>0.128</v>
      </c>
      <c r="BF217" s="172">
        <f>IFERROR((BF208*'DB1'!$P$25+(BF209-BF208)*CF!BF$215)/BF209,0)</f>
        <v>0.128</v>
      </c>
      <c r="BG217" s="172">
        <f>IFERROR((BG208*'DB1'!$P$25+(BG209-BG208)*CF!BG$215)/BG209,0)</f>
        <v>0.128</v>
      </c>
      <c r="BH217" s="172">
        <f>IFERROR((BH208*'DB1'!$P$25+(BH209-BH208)*CF!BH$215)/BH209,0)</f>
        <v>0.128</v>
      </c>
      <c r="BI217" s="172">
        <f>IFERROR((BI208*'DB1'!$P$25+(BI209-BI208)*CF!BI$215)/BI209,0)</f>
        <v>0.128</v>
      </c>
      <c r="BJ217" s="172">
        <f>IFERROR((BJ208*'DB1'!$P$25+(BJ209-BJ208)*CF!BJ$215)/BJ209,0)</f>
        <v>0.128</v>
      </c>
      <c r="BK217" s="172">
        <f>IFERROR((BK208*'DB1'!$P$25+(BK209-BK208)*CF!BK$215)/BK209,0)</f>
        <v>0.128</v>
      </c>
      <c r="BL217" s="172">
        <f>IFERROR((BL208*'DB1'!$P$25+(BL209-BL208)*CF!BL$215)/BL209,0)</f>
        <v>0.128</v>
      </c>
      <c r="BM217" s="172">
        <f>IFERROR((BM208*'DB1'!$P$25+(BM209-BM208)*CF!BM$215)/BM209,0)</f>
        <v>0.128</v>
      </c>
    </row>
    <row r="218" spans="2:68">
      <c r="F218" s="664"/>
      <c r="G218" s="664"/>
      <c r="H218" s="664"/>
      <c r="I218" s="664"/>
      <c r="J218" s="664"/>
      <c r="K218" s="664"/>
      <c r="L218" s="664"/>
      <c r="M218" s="664"/>
      <c r="N218" s="664"/>
      <c r="O218" s="664"/>
      <c r="P218" s="664"/>
      <c r="Q218" s="664"/>
      <c r="R218" s="664"/>
      <c r="S218" s="664"/>
      <c r="T218" s="664"/>
      <c r="U218" s="664"/>
      <c r="V218" s="664"/>
      <c r="W218" s="664"/>
      <c r="X218" s="664"/>
      <c r="Y218" s="664"/>
      <c r="Z218" s="664"/>
      <c r="AA218" s="664"/>
      <c r="AB218" s="664"/>
      <c r="AC218" s="664"/>
      <c r="AD218" s="664"/>
      <c r="AE218" s="664"/>
      <c r="AF218" s="664"/>
      <c r="AG218" s="664"/>
      <c r="AH218" s="664"/>
      <c r="AI218" s="664"/>
      <c r="AJ218" s="664"/>
      <c r="AK218" s="664"/>
      <c r="AL218" s="664"/>
      <c r="AM218" s="664"/>
      <c r="AN218" s="664"/>
      <c r="AO218" s="664"/>
      <c r="AP218" s="664"/>
      <c r="AQ218" s="664"/>
      <c r="AR218" s="664"/>
      <c r="AS218" s="664"/>
      <c r="AT218" s="664"/>
      <c r="AU218" s="664"/>
      <c r="AV218" s="664"/>
      <c r="AW218" s="664"/>
      <c r="AX218" s="664"/>
      <c r="AY218" s="664"/>
      <c r="AZ218" s="664"/>
      <c r="BA218" s="664"/>
      <c r="BB218" s="664"/>
      <c r="BC218" s="664"/>
      <c r="BD218" s="664"/>
      <c r="BE218" s="664"/>
      <c r="BF218" s="664"/>
      <c r="BG218" s="664"/>
      <c r="BH218" s="664"/>
      <c r="BI218" s="664"/>
      <c r="BJ218" s="664"/>
      <c r="BK218" s="664"/>
      <c r="BL218" s="664"/>
      <c r="BM218" s="664"/>
    </row>
    <row r="219" spans="2:68">
      <c r="F219" s="664"/>
      <c r="G219" s="664"/>
      <c r="H219" s="664"/>
      <c r="I219" s="664"/>
      <c r="J219" s="664"/>
      <c r="K219" s="664"/>
      <c r="L219" s="664"/>
      <c r="M219" s="664"/>
      <c r="N219" s="664"/>
      <c r="O219" s="664"/>
      <c r="P219" s="664"/>
      <c r="Q219" s="664"/>
      <c r="R219" s="664"/>
      <c r="S219" s="664"/>
      <c r="T219" s="664"/>
      <c r="U219" s="664"/>
      <c r="V219" s="664"/>
      <c r="W219" s="664"/>
      <c r="X219" s="664"/>
      <c r="Y219" s="664"/>
      <c r="Z219" s="664"/>
      <c r="AA219" s="664"/>
      <c r="AB219" s="664"/>
      <c r="AC219" s="664"/>
      <c r="AD219" s="664"/>
      <c r="AE219" s="664"/>
      <c r="AF219" s="664"/>
      <c r="AG219" s="664"/>
      <c r="AH219" s="664"/>
      <c r="AI219" s="664"/>
      <c r="AJ219" s="664"/>
      <c r="AK219" s="664"/>
      <c r="AL219" s="664"/>
      <c r="AM219" s="664"/>
      <c r="AN219" s="664"/>
      <c r="AO219" s="664"/>
      <c r="AP219" s="664"/>
      <c r="AQ219" s="664"/>
      <c r="AR219" s="664"/>
      <c r="AS219" s="664"/>
      <c r="AT219" s="664"/>
      <c r="AU219" s="664"/>
      <c r="AV219" s="664"/>
      <c r="AW219" s="664"/>
      <c r="AX219" s="664"/>
      <c r="AY219" s="664"/>
      <c r="AZ219" s="664"/>
      <c r="BA219" s="664"/>
      <c r="BB219" s="664"/>
      <c r="BC219" s="664"/>
      <c r="BD219" s="664"/>
      <c r="BE219" s="664"/>
      <c r="BF219" s="664"/>
      <c r="BG219" s="664"/>
      <c r="BH219" s="664"/>
      <c r="BI219" s="664"/>
      <c r="BJ219" s="664"/>
      <c r="BK219" s="664"/>
      <c r="BL219" s="664"/>
      <c r="BM219" s="664"/>
    </row>
    <row r="220" spans="2:68">
      <c r="AT220" s="173"/>
      <c r="AU220" s="173"/>
      <c r="AV220" s="173"/>
      <c r="AW220" s="173"/>
      <c r="AX220" s="173"/>
      <c r="AY220" s="173"/>
      <c r="AZ220" s="173"/>
      <c r="BA220" s="173"/>
      <c r="BB220" s="173"/>
      <c r="BC220" s="173"/>
      <c r="BD220" s="173"/>
      <c r="BE220" s="173"/>
      <c r="BF220" s="173"/>
      <c r="BG220" s="173"/>
      <c r="BH220" s="173"/>
      <c r="BI220" s="173"/>
      <c r="BJ220" s="173"/>
      <c r="BK220" s="173"/>
      <c r="BL220" s="173"/>
      <c r="BM220" s="173"/>
    </row>
    <row r="221" spans="2:68">
      <c r="AT221" s="173"/>
      <c r="AU221" s="173"/>
      <c r="AV221" s="173"/>
      <c r="AW221" s="173"/>
      <c r="AX221" s="173"/>
      <c r="AY221" s="173"/>
      <c r="AZ221" s="173"/>
      <c r="BA221" s="173"/>
      <c r="BB221" s="173"/>
      <c r="BC221" s="173"/>
      <c r="BD221" s="173"/>
      <c r="BE221" s="173"/>
      <c r="BF221" s="173"/>
      <c r="BG221" s="173"/>
      <c r="BH221" s="173"/>
      <c r="BI221" s="173"/>
      <c r="BJ221" s="173"/>
      <c r="BK221" s="173"/>
      <c r="BL221" s="173"/>
      <c r="BM221" s="173"/>
    </row>
    <row r="222" spans="2:68">
      <c r="K222" s="203"/>
      <c r="M222" s="204"/>
    </row>
    <row r="223" spans="2:68">
      <c r="K223" s="203"/>
    </row>
  </sheetData>
  <pageMargins left="0.25" right="0.25" top="0.75" bottom="0.75" header="0.3" footer="0.3"/>
  <pageSetup paperSize="9" scale="55" orientation="landscape" r:id="rId1"/>
  <colBreaks count="1" manualBreakCount="1">
    <brk id="2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10BE-0318-4D00-B301-F5561E81C6C0}">
  <sheetPr>
    <tabColor rgb="FF8158EF"/>
    <pageSetUpPr autoPageBreaks="0" fitToPage="1"/>
  </sheetPr>
  <dimension ref="A2:BP204"/>
  <sheetViews>
    <sheetView showGridLines="0" showZeros="0" zoomScale="90" zoomScaleNormal="90" workbookViewId="0">
      <pane xSplit="5" ySplit="6" topLeftCell="Q7" activePane="bottomRight" state="frozen"/>
      <selection activeCell="AF28" sqref="AF28"/>
      <selection pane="topRight" activeCell="AF28" sqref="AF28"/>
      <selection pane="bottomLeft" activeCell="AF28" sqref="AF28"/>
      <selection pane="bottomRight" activeCell="X41" sqref="X41"/>
    </sheetView>
  </sheetViews>
  <sheetFormatPr baseColWidth="10" defaultColWidth="9.1640625" defaultRowHeight="14" outlineLevelRow="1"/>
  <cols>
    <col min="1" max="1" width="6.6640625" style="23" customWidth="1"/>
    <col min="2" max="2" width="13.6640625" style="23" customWidth="1"/>
    <col min="3" max="3" width="16.33203125" style="23" customWidth="1"/>
    <col min="4" max="4" width="8.6640625" style="128" customWidth="1"/>
    <col min="5" max="5" width="8.6640625" style="124" customWidth="1"/>
    <col min="6" max="13" width="9.5" style="23" customWidth="1"/>
    <col min="14" max="14" width="12.33203125" style="23" bestFit="1" customWidth="1"/>
    <col min="15" max="65" width="9.5" style="23" customWidth="1"/>
    <col min="66" max="16384" width="9.1640625" style="23"/>
  </cols>
  <sheetData>
    <row r="2" spans="2:65" s="124" customFormat="1" ht="16">
      <c r="B2" s="201" t="s">
        <v>8</v>
      </c>
      <c r="C2" s="422" t="s">
        <v>144</v>
      </c>
      <c r="D2" s="554">
        <v>1</v>
      </c>
      <c r="F2" s="127"/>
    </row>
    <row r="4" spans="2:65">
      <c r="F4" s="129" t="str">
        <f>IF((EOMONTH(F5,-3)+1)='DB1'!$U$25,"РнС",IF('CF1'!F5='DB1'!$U$27,"РнВ",""))</f>
        <v/>
      </c>
      <c r="G4" s="129" t="str">
        <f>IF((EOMONTH(G5,-3)+1)='DB1'!$U$25,"РнС",IF('CF1'!G5='DB1'!$U$27,"РнВ",""))</f>
        <v/>
      </c>
      <c r="H4" s="129" t="str">
        <f>IF((EOMONTH(H5,-3)+1)='DB1'!$U$25,"РнС",IF('CF1'!H5='DB1'!$U$27,"РнВ",""))</f>
        <v/>
      </c>
      <c r="I4" s="129" t="str">
        <f>IF((EOMONTH(I5,-3)+1)='DB1'!$U$25,"РнС",IF('CF1'!I5='DB1'!$U$27,"РнВ",""))</f>
        <v/>
      </c>
      <c r="J4" s="129" t="str">
        <f>IF((EOMONTH(J5,-3)+1)='DB1'!$U$25,"РнС",IF('CF1'!J5='DB1'!$U$27,"РнВ",""))</f>
        <v/>
      </c>
      <c r="K4" s="129" t="str">
        <f>IF((EOMONTH(K5,-3)+1)='DB1'!$U$25,"РнС",IF('CF1'!K5='DB1'!$U$27,"РнВ",""))</f>
        <v/>
      </c>
      <c r="L4" s="129" t="str">
        <f>IF((EOMONTH(L5,-3)+1)='DB1'!$U$25,"РнС",IF('CF1'!L5='DB1'!$U$27,"РнВ",""))</f>
        <v/>
      </c>
      <c r="M4" s="129" t="str">
        <f>IF((EOMONTH(M5,-3)+1)='DB1'!$U$25,"РнС",IF('CF1'!M5='DB1'!$U$27,"РнВ",""))</f>
        <v/>
      </c>
      <c r="N4" s="129" t="str">
        <f>IF((EOMONTH(N5,-3)+1)='DB1'!$U$25,"РнС",IF('CF1'!N5='DB1'!$U$27,"РнВ",""))</f>
        <v/>
      </c>
      <c r="O4" s="129" t="str">
        <f>IF((EOMONTH(O5,-3)+1)='DB1'!$U$25,"РнС",IF('CF1'!O5='DB1'!$U$27,"РнВ",""))</f>
        <v/>
      </c>
      <c r="P4" s="129" t="str">
        <f>IF((EOMONTH(P5,-3)+1)='DB1'!$U$25,"РнС",IF('CF1'!P5='DB1'!$U$27,"РнВ",""))</f>
        <v/>
      </c>
      <c r="Q4" s="129" t="str">
        <f>IF((EOMONTH(Q5,-3)+1)='DB1'!$U$25,"РнС",IF('CF1'!Q5='DB1'!$U$27,"РнВ",""))</f>
        <v/>
      </c>
      <c r="R4" s="129" t="str">
        <f>IF((EOMONTH(R5,-3)+1)='DB1'!$U$25,"РнС",IF('CF1'!R5='DB1'!$U$27,"РнВ",""))</f>
        <v/>
      </c>
      <c r="S4" s="129" t="str">
        <f>IF((EOMONTH(S5,-3)+1)='DB1'!$U$25,"РнС",IF('CF1'!S5='DB1'!$U$27,"РнВ",""))</f>
        <v/>
      </c>
      <c r="T4" s="129" t="str">
        <f>IF((EOMONTH(T5,-3)+1)='DB1'!$U$25,"РнС",IF('CF1'!T5='DB1'!$U$27,"РнВ",""))</f>
        <v>РнС</v>
      </c>
      <c r="U4" s="129" t="str">
        <f>IF((EOMONTH(U5,-3)+1)='DB1'!$U$25,"РнС",IF('CF1'!U5='DB1'!$U$27,"РнВ",""))</f>
        <v/>
      </c>
      <c r="V4" s="129" t="str">
        <f>IF((EOMONTH(V5,-3)+1)='DB1'!$U$25,"РнС",IF('CF1'!V5='DB1'!$U$27,"РнВ",""))</f>
        <v/>
      </c>
      <c r="W4" s="129" t="str">
        <f>IF((EOMONTH(W5,-3)+1)='DB1'!$U$25,"РнС",IF('CF1'!W5='DB1'!$U$27,"РнВ",""))</f>
        <v/>
      </c>
      <c r="X4" s="129" t="str">
        <f>IF((EOMONTH(X5,-3)+1)='DB1'!$U$25,"РнС",IF('CF1'!X5='DB1'!$U$27,"РнВ",""))</f>
        <v/>
      </c>
      <c r="Y4" s="129" t="str">
        <f>IF((EOMONTH(Y5,-3)+1)='DB1'!$U$25,"РнС",IF('CF1'!Y5='DB1'!$U$27,"РнВ",""))</f>
        <v/>
      </c>
      <c r="Z4" s="129" t="str">
        <f>IF((EOMONTH(Z5,-3)+1)='DB1'!$U$25,"РнС",IF('CF1'!Z5='DB1'!$U$27,"РнВ",""))</f>
        <v/>
      </c>
      <c r="AA4" s="129" t="str">
        <f>IF((EOMONTH(AA5,-3)+1)='DB1'!$U$25,"РнС",IF('CF1'!AA5='DB1'!$U$27,"РнВ",""))</f>
        <v/>
      </c>
      <c r="AB4" s="129" t="str">
        <f>IF((EOMONTH(AB5,-3)+1)='DB1'!$U$25,"РнС",IF('CF1'!AB5='DB1'!$U$27,"РнВ",""))</f>
        <v/>
      </c>
      <c r="AC4" s="129" t="str">
        <f>IF((EOMONTH(AC5,-3)+1)='DB1'!$U$25,"РнС",IF('CF1'!AC5='DB1'!$U$27,"РнВ",""))</f>
        <v/>
      </c>
      <c r="AD4" s="129" t="str">
        <f>IF((EOMONTH(AD5,-3)+1)='DB1'!$U$25,"РнС",IF('CF1'!AD5='DB1'!$U$27,"РнВ",""))</f>
        <v/>
      </c>
      <c r="AE4" s="129" t="str">
        <f>IF((EOMONTH(AE5,-3)+1)='DB1'!$U$25,"РнС",IF('CF1'!AE5='DB1'!$U$27,"РнВ",""))</f>
        <v>РнВ</v>
      </c>
      <c r="AF4" s="129" t="str">
        <f>IF((EOMONTH(AF5,-3)+1)='DB1'!$U$25,"РнС",IF('CF1'!AF5='DB1'!$U$27,"РнВ",""))</f>
        <v/>
      </c>
      <c r="AG4" s="129" t="str">
        <f>IF((EOMONTH(AG5,-3)+1)='DB1'!$U$25,"РнС",IF('CF1'!AG5='DB1'!$U$27,"РнВ",""))</f>
        <v/>
      </c>
      <c r="AH4" s="129" t="str">
        <f>IF((EOMONTH(AH5,-3)+1)='DB1'!$U$25,"РнС",IF('CF1'!AH5='DB1'!$U$27,"РнВ",""))</f>
        <v/>
      </c>
      <c r="AI4" s="129" t="str">
        <f>IF((EOMONTH(AI5,-3)+1)='DB1'!$U$25,"РнС",IF('CF1'!AI5='DB1'!$U$27,"РнВ",""))</f>
        <v/>
      </c>
      <c r="AJ4" s="129" t="str">
        <f>IF((EOMONTH(AJ5,-3)+1)='DB1'!$U$25,"РнС",IF('CF1'!AJ5='DB1'!$U$27,"РнВ",""))</f>
        <v/>
      </c>
      <c r="AK4" s="129" t="str">
        <f>IF((EOMONTH(AK5,-3)+1)='DB1'!$U$25,"РнС",IF('CF1'!AK5='DB1'!$U$27,"РнВ",""))</f>
        <v/>
      </c>
      <c r="AL4" s="129" t="str">
        <f>IF((EOMONTH(AL5,-3)+1)='DB1'!$U$25,"РнС",IF('CF1'!AL5='DB1'!$U$27,"РнВ",""))</f>
        <v/>
      </c>
      <c r="AM4" s="129" t="str">
        <f>IF((EOMONTH(AM5,-3)+1)='DB1'!$U$25,"РнС",IF('CF1'!AM5='DB1'!$U$27,"РнВ",""))</f>
        <v/>
      </c>
      <c r="AN4" s="129" t="str">
        <f>IF((EOMONTH(AN5,-3)+1)='DB1'!$U$25,"РнС",IF('CF1'!AN5='DB1'!$U$27,"РнВ",""))</f>
        <v/>
      </c>
      <c r="AO4" s="129" t="str">
        <f>IF((EOMONTH(AO5,-3)+1)='DB1'!$U$25,"РнС",IF('CF1'!AO5='DB1'!$U$27,"РнВ",""))</f>
        <v/>
      </c>
      <c r="AP4" s="129" t="str">
        <f>IF((EOMONTH(AP5,-3)+1)='DB1'!$U$25,"РнС",IF('CF1'!AP5='DB1'!$U$27,"РнВ",""))</f>
        <v/>
      </c>
      <c r="AQ4" s="129" t="str">
        <f>IF((EOMONTH(AQ5,-3)+1)='DB1'!$U$25,"РнС",IF('CF1'!AQ5='DB1'!$U$27,"РнВ",""))</f>
        <v/>
      </c>
      <c r="AR4" s="129" t="str">
        <f>IF((EOMONTH(AR5,-3)+1)='DB1'!$U$25,"РнС",IF('CF1'!AR5='DB1'!$U$27,"РнВ",""))</f>
        <v/>
      </c>
      <c r="AS4" s="129" t="str">
        <f>IF((EOMONTH(AS5,-3)+1)='DB1'!$U$25,"РнС",IF('CF1'!AS5='DB1'!$U$27,"РнВ",""))</f>
        <v/>
      </c>
    </row>
    <row r="5" spans="2:65">
      <c r="B5" s="174" t="s">
        <v>111</v>
      </c>
      <c r="C5" s="175"/>
      <c r="D5" s="175"/>
      <c r="E5" s="175" t="s">
        <v>1</v>
      </c>
      <c r="F5" s="176">
        <f>EOMONTH('DB1'!$U$22,2)</f>
        <v>45107</v>
      </c>
      <c r="G5" s="176">
        <f t="shared" ref="G5:AS5" si="0">EOMONTH(F5,3)</f>
        <v>45199</v>
      </c>
      <c r="H5" s="176">
        <f t="shared" si="0"/>
        <v>45291</v>
      </c>
      <c r="I5" s="176">
        <f t="shared" si="0"/>
        <v>45382</v>
      </c>
      <c r="J5" s="176">
        <f t="shared" si="0"/>
        <v>45473</v>
      </c>
      <c r="K5" s="176">
        <f t="shared" si="0"/>
        <v>45565</v>
      </c>
      <c r="L5" s="176">
        <f t="shared" si="0"/>
        <v>45657</v>
      </c>
      <c r="M5" s="176">
        <f t="shared" si="0"/>
        <v>45747</v>
      </c>
      <c r="N5" s="176">
        <f t="shared" si="0"/>
        <v>45838</v>
      </c>
      <c r="O5" s="176">
        <f t="shared" si="0"/>
        <v>45930</v>
      </c>
      <c r="P5" s="176">
        <f t="shared" si="0"/>
        <v>46022</v>
      </c>
      <c r="Q5" s="176">
        <f t="shared" si="0"/>
        <v>46112</v>
      </c>
      <c r="R5" s="176">
        <f t="shared" si="0"/>
        <v>46203</v>
      </c>
      <c r="S5" s="176">
        <f t="shared" si="0"/>
        <v>46295</v>
      </c>
      <c r="T5" s="176">
        <f t="shared" si="0"/>
        <v>46387</v>
      </c>
      <c r="U5" s="176">
        <f t="shared" si="0"/>
        <v>46477</v>
      </c>
      <c r="V5" s="176">
        <f t="shared" si="0"/>
        <v>46568</v>
      </c>
      <c r="W5" s="176">
        <f t="shared" si="0"/>
        <v>46660</v>
      </c>
      <c r="X5" s="176">
        <f t="shared" si="0"/>
        <v>46752</v>
      </c>
      <c r="Y5" s="176">
        <f t="shared" si="0"/>
        <v>46843</v>
      </c>
      <c r="Z5" s="176">
        <f t="shared" si="0"/>
        <v>46934</v>
      </c>
      <c r="AA5" s="176">
        <f t="shared" si="0"/>
        <v>47026</v>
      </c>
      <c r="AB5" s="176">
        <f t="shared" si="0"/>
        <v>47118</v>
      </c>
      <c r="AC5" s="176">
        <f t="shared" si="0"/>
        <v>47208</v>
      </c>
      <c r="AD5" s="176">
        <f t="shared" si="0"/>
        <v>47299</v>
      </c>
      <c r="AE5" s="176">
        <f t="shared" si="0"/>
        <v>47391</v>
      </c>
      <c r="AF5" s="176">
        <f t="shared" si="0"/>
        <v>47483</v>
      </c>
      <c r="AG5" s="176">
        <f t="shared" si="0"/>
        <v>47573</v>
      </c>
      <c r="AH5" s="176">
        <f t="shared" si="0"/>
        <v>47664</v>
      </c>
      <c r="AI5" s="176">
        <f t="shared" si="0"/>
        <v>47756</v>
      </c>
      <c r="AJ5" s="176">
        <f t="shared" si="0"/>
        <v>47848</v>
      </c>
      <c r="AK5" s="176">
        <f t="shared" si="0"/>
        <v>47938</v>
      </c>
      <c r="AL5" s="176">
        <f t="shared" si="0"/>
        <v>48029</v>
      </c>
      <c r="AM5" s="176">
        <f t="shared" si="0"/>
        <v>48121</v>
      </c>
      <c r="AN5" s="176">
        <f t="shared" si="0"/>
        <v>48213</v>
      </c>
      <c r="AO5" s="176">
        <f t="shared" si="0"/>
        <v>48304</v>
      </c>
      <c r="AP5" s="176">
        <f t="shared" si="0"/>
        <v>48395</v>
      </c>
      <c r="AQ5" s="176">
        <f t="shared" si="0"/>
        <v>48487</v>
      </c>
      <c r="AR5" s="176">
        <f t="shared" si="0"/>
        <v>48579</v>
      </c>
      <c r="AS5" s="176">
        <f t="shared" si="0"/>
        <v>48669</v>
      </c>
      <c r="AT5" s="176">
        <f t="shared" ref="AT5:BM5" si="1">EOMONTH(AS5,3)</f>
        <v>48760</v>
      </c>
      <c r="AU5" s="176">
        <f t="shared" si="1"/>
        <v>48852</v>
      </c>
      <c r="AV5" s="176">
        <f t="shared" si="1"/>
        <v>48944</v>
      </c>
      <c r="AW5" s="176">
        <f t="shared" si="1"/>
        <v>49034</v>
      </c>
      <c r="AX5" s="176">
        <f t="shared" si="1"/>
        <v>49125</v>
      </c>
      <c r="AY5" s="176">
        <f t="shared" si="1"/>
        <v>49217</v>
      </c>
      <c r="AZ5" s="176">
        <f t="shared" si="1"/>
        <v>49309</v>
      </c>
      <c r="BA5" s="176">
        <f t="shared" si="1"/>
        <v>49399</v>
      </c>
      <c r="BB5" s="176">
        <f t="shared" si="1"/>
        <v>49490</v>
      </c>
      <c r="BC5" s="176">
        <f t="shared" si="1"/>
        <v>49582</v>
      </c>
      <c r="BD5" s="176">
        <f t="shared" si="1"/>
        <v>49674</v>
      </c>
      <c r="BE5" s="176">
        <f t="shared" si="1"/>
        <v>49765</v>
      </c>
      <c r="BF5" s="176">
        <f t="shared" si="1"/>
        <v>49856</v>
      </c>
      <c r="BG5" s="176">
        <f t="shared" si="1"/>
        <v>49948</v>
      </c>
      <c r="BH5" s="176">
        <f t="shared" si="1"/>
        <v>50040</v>
      </c>
      <c r="BI5" s="176">
        <f t="shared" si="1"/>
        <v>50130</v>
      </c>
      <c r="BJ5" s="176">
        <f t="shared" si="1"/>
        <v>50221</v>
      </c>
      <c r="BK5" s="176">
        <f t="shared" si="1"/>
        <v>50313</v>
      </c>
      <c r="BL5" s="176">
        <f t="shared" si="1"/>
        <v>50405</v>
      </c>
      <c r="BM5" s="176">
        <f t="shared" si="1"/>
        <v>50495</v>
      </c>
    </row>
    <row r="6" spans="2:65">
      <c r="B6" s="174"/>
      <c r="C6" s="175"/>
      <c r="D6" s="175"/>
      <c r="E6" s="175"/>
      <c r="F6" s="176" t="str">
        <f t="shared" ref="F6:AS6" si="2">CONCATENATE(IF(MONTH(F5)&lt;=3,"1",IF(MONTH(F5)&lt;=6,"2",IF(MONTH(F5)&lt;=9,"3","4"))),"Q",YEAR(F5))</f>
        <v>2Q2023</v>
      </c>
      <c r="G6" s="176" t="str">
        <f t="shared" si="2"/>
        <v>3Q2023</v>
      </c>
      <c r="H6" s="176" t="str">
        <f t="shared" si="2"/>
        <v>4Q2023</v>
      </c>
      <c r="I6" s="176" t="str">
        <f t="shared" si="2"/>
        <v>1Q2024</v>
      </c>
      <c r="J6" s="176" t="str">
        <f t="shared" si="2"/>
        <v>2Q2024</v>
      </c>
      <c r="K6" s="176" t="str">
        <f t="shared" si="2"/>
        <v>3Q2024</v>
      </c>
      <c r="L6" s="176" t="str">
        <f t="shared" si="2"/>
        <v>4Q2024</v>
      </c>
      <c r="M6" s="176" t="str">
        <f t="shared" si="2"/>
        <v>1Q2025</v>
      </c>
      <c r="N6" s="176" t="str">
        <f t="shared" si="2"/>
        <v>2Q2025</v>
      </c>
      <c r="O6" s="176" t="str">
        <f t="shared" si="2"/>
        <v>3Q2025</v>
      </c>
      <c r="P6" s="176" t="str">
        <f t="shared" si="2"/>
        <v>4Q2025</v>
      </c>
      <c r="Q6" s="176" t="str">
        <f t="shared" si="2"/>
        <v>1Q2026</v>
      </c>
      <c r="R6" s="176" t="str">
        <f t="shared" si="2"/>
        <v>2Q2026</v>
      </c>
      <c r="S6" s="176" t="str">
        <f t="shared" si="2"/>
        <v>3Q2026</v>
      </c>
      <c r="T6" s="176" t="str">
        <f t="shared" si="2"/>
        <v>4Q2026</v>
      </c>
      <c r="U6" s="176" t="str">
        <f t="shared" si="2"/>
        <v>1Q2027</v>
      </c>
      <c r="V6" s="176" t="str">
        <f t="shared" si="2"/>
        <v>2Q2027</v>
      </c>
      <c r="W6" s="176" t="str">
        <f t="shared" si="2"/>
        <v>3Q2027</v>
      </c>
      <c r="X6" s="176" t="str">
        <f t="shared" si="2"/>
        <v>4Q2027</v>
      </c>
      <c r="Y6" s="176" t="str">
        <f t="shared" si="2"/>
        <v>1Q2028</v>
      </c>
      <c r="Z6" s="176" t="str">
        <f t="shared" si="2"/>
        <v>2Q2028</v>
      </c>
      <c r="AA6" s="176" t="str">
        <f t="shared" si="2"/>
        <v>3Q2028</v>
      </c>
      <c r="AB6" s="176" t="str">
        <f t="shared" si="2"/>
        <v>4Q2028</v>
      </c>
      <c r="AC6" s="176" t="str">
        <f t="shared" si="2"/>
        <v>1Q2029</v>
      </c>
      <c r="AD6" s="176" t="str">
        <f t="shared" si="2"/>
        <v>2Q2029</v>
      </c>
      <c r="AE6" s="176" t="str">
        <f t="shared" si="2"/>
        <v>3Q2029</v>
      </c>
      <c r="AF6" s="176" t="str">
        <f t="shared" si="2"/>
        <v>4Q2029</v>
      </c>
      <c r="AG6" s="176" t="str">
        <f t="shared" si="2"/>
        <v>1Q2030</v>
      </c>
      <c r="AH6" s="176" t="str">
        <f t="shared" si="2"/>
        <v>2Q2030</v>
      </c>
      <c r="AI6" s="176" t="str">
        <f t="shared" si="2"/>
        <v>3Q2030</v>
      </c>
      <c r="AJ6" s="176" t="str">
        <f t="shared" si="2"/>
        <v>4Q2030</v>
      </c>
      <c r="AK6" s="176" t="str">
        <f t="shared" si="2"/>
        <v>1Q2031</v>
      </c>
      <c r="AL6" s="176" t="str">
        <f t="shared" si="2"/>
        <v>2Q2031</v>
      </c>
      <c r="AM6" s="176" t="str">
        <f t="shared" si="2"/>
        <v>3Q2031</v>
      </c>
      <c r="AN6" s="176" t="str">
        <f t="shared" si="2"/>
        <v>4Q2031</v>
      </c>
      <c r="AO6" s="176" t="str">
        <f t="shared" si="2"/>
        <v>1Q2032</v>
      </c>
      <c r="AP6" s="176" t="str">
        <f t="shared" si="2"/>
        <v>2Q2032</v>
      </c>
      <c r="AQ6" s="176" t="str">
        <f t="shared" si="2"/>
        <v>3Q2032</v>
      </c>
      <c r="AR6" s="176" t="str">
        <f t="shared" si="2"/>
        <v>4Q2032</v>
      </c>
      <c r="AS6" s="176" t="str">
        <f t="shared" si="2"/>
        <v>1Q2033</v>
      </c>
      <c r="AT6" s="176" t="str">
        <f t="shared" ref="AT6:BM6" si="3">CONCATENATE(IF(MONTH(AT5)&lt;=3,"1",IF(MONTH(AT5)&lt;=6,"2",IF(MONTH(AT5)&lt;=9,"3","4"))),"Q",YEAR(AT5))</f>
        <v>2Q2033</v>
      </c>
      <c r="AU6" s="176" t="str">
        <f t="shared" si="3"/>
        <v>3Q2033</v>
      </c>
      <c r="AV6" s="176" t="str">
        <f t="shared" si="3"/>
        <v>4Q2033</v>
      </c>
      <c r="AW6" s="176" t="str">
        <f t="shared" si="3"/>
        <v>1Q2034</v>
      </c>
      <c r="AX6" s="176" t="str">
        <f t="shared" si="3"/>
        <v>2Q2034</v>
      </c>
      <c r="AY6" s="176" t="str">
        <f t="shared" si="3"/>
        <v>3Q2034</v>
      </c>
      <c r="AZ6" s="176" t="str">
        <f t="shared" si="3"/>
        <v>4Q2034</v>
      </c>
      <c r="BA6" s="176" t="str">
        <f t="shared" si="3"/>
        <v>1Q2035</v>
      </c>
      <c r="BB6" s="176" t="str">
        <f t="shared" si="3"/>
        <v>2Q2035</v>
      </c>
      <c r="BC6" s="176" t="str">
        <f t="shared" si="3"/>
        <v>3Q2035</v>
      </c>
      <c r="BD6" s="176" t="str">
        <f t="shared" si="3"/>
        <v>4Q2035</v>
      </c>
      <c r="BE6" s="176" t="str">
        <f t="shared" si="3"/>
        <v>1Q2036</v>
      </c>
      <c r="BF6" s="176" t="str">
        <f t="shared" si="3"/>
        <v>2Q2036</v>
      </c>
      <c r="BG6" s="176" t="str">
        <f t="shared" si="3"/>
        <v>3Q2036</v>
      </c>
      <c r="BH6" s="176" t="str">
        <f t="shared" si="3"/>
        <v>4Q2036</v>
      </c>
      <c r="BI6" s="176" t="str">
        <f t="shared" si="3"/>
        <v>1Q2037</v>
      </c>
      <c r="BJ6" s="176" t="str">
        <f t="shared" si="3"/>
        <v>2Q2037</v>
      </c>
      <c r="BK6" s="176" t="str">
        <f t="shared" si="3"/>
        <v>3Q2037</v>
      </c>
      <c r="BL6" s="176" t="str">
        <f t="shared" si="3"/>
        <v>4Q2037</v>
      </c>
      <c r="BM6" s="176" t="str">
        <f t="shared" si="3"/>
        <v>1Q2038</v>
      </c>
    </row>
    <row r="7" spans="2:65" s="163" customFormat="1" outlineLevel="1">
      <c r="B7" s="293" t="s">
        <v>27</v>
      </c>
      <c r="C7" s="293"/>
      <c r="D7" s="294" t="s">
        <v>22</v>
      </c>
      <c r="E7" s="295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6"/>
      <c r="AX7" s="296"/>
      <c r="AY7" s="296"/>
      <c r="AZ7" s="296"/>
      <c r="BA7" s="296"/>
      <c r="BB7" s="296"/>
      <c r="BC7" s="296"/>
      <c r="BD7" s="296"/>
      <c r="BE7" s="296"/>
      <c r="BF7" s="296"/>
      <c r="BG7" s="296"/>
      <c r="BH7" s="296"/>
      <c r="BI7" s="296"/>
      <c r="BJ7" s="296"/>
      <c r="BK7" s="296"/>
      <c r="BL7" s="296"/>
      <c r="BM7" s="296"/>
    </row>
    <row r="8" spans="2:65" outlineLevel="1">
      <c r="B8" s="130" t="str">
        <f>'DB1'!B8</f>
        <v>КВАРТИРЫ</v>
      </c>
      <c r="C8" s="28"/>
      <c r="D8" s="131" t="s">
        <v>22</v>
      </c>
      <c r="E8" s="132">
        <f t="shared" ref="E8:E14" si="4">SUM(F8:BM8)</f>
        <v>59425.363199999985</v>
      </c>
      <c r="F8" s="551">
        <f>'TS1'!F40</f>
        <v>0</v>
      </c>
      <c r="G8" s="551">
        <f>'TS1'!G40</f>
        <v>0</v>
      </c>
      <c r="H8" s="551">
        <f>'TS1'!H40</f>
        <v>0</v>
      </c>
      <c r="I8" s="551">
        <f>'TS1'!I40</f>
        <v>0</v>
      </c>
      <c r="J8" s="551">
        <f>'TS1'!J40</f>
        <v>0</v>
      </c>
      <c r="K8" s="551">
        <f>'TS1'!K40</f>
        <v>0</v>
      </c>
      <c r="L8" s="551">
        <f>'TS1'!L40</f>
        <v>0</v>
      </c>
      <c r="M8" s="551">
        <f>'TS1'!M40</f>
        <v>0</v>
      </c>
      <c r="N8" s="133">
        <f>'TS1'!N40</f>
        <v>0</v>
      </c>
      <c r="O8" s="133">
        <f>'TS1'!O40</f>
        <v>0</v>
      </c>
      <c r="P8" s="133">
        <f>'TS1'!P40</f>
        <v>0</v>
      </c>
      <c r="Q8" s="133">
        <f>'TS1'!Q40</f>
        <v>0</v>
      </c>
      <c r="R8" s="133">
        <f>'TS1'!R40</f>
        <v>0</v>
      </c>
      <c r="S8" s="133">
        <f>'TS1'!S40</f>
        <v>0</v>
      </c>
      <c r="T8" s="566">
        <f>'TS1'!T40</f>
        <v>3000</v>
      </c>
      <c r="U8" s="566">
        <f>'TS1'!U40</f>
        <v>3000</v>
      </c>
      <c r="V8" s="566">
        <f>'TS1'!V40</f>
        <v>3000</v>
      </c>
      <c r="W8" s="566">
        <f>'TS1'!W40</f>
        <v>3000</v>
      </c>
      <c r="X8" s="566">
        <f>'TS1'!X40</f>
        <v>3000</v>
      </c>
      <c r="Y8" s="566">
        <f>'TS1'!Y40</f>
        <v>3000</v>
      </c>
      <c r="Z8" s="566">
        <f>'TS1'!Z40</f>
        <v>3000</v>
      </c>
      <c r="AA8" s="566">
        <f>'TS1'!AA40</f>
        <v>3000</v>
      </c>
      <c r="AB8" s="566">
        <f>'TS1'!AB40</f>
        <v>3000</v>
      </c>
      <c r="AC8" s="566">
        <f>'TS1'!AC40</f>
        <v>3000</v>
      </c>
      <c r="AD8" s="566">
        <f>'TS1'!AD40</f>
        <v>3000</v>
      </c>
      <c r="AE8" s="566">
        <f>'TS1'!AE40</f>
        <v>3000</v>
      </c>
      <c r="AF8" s="566">
        <f>'TS1'!AF40</f>
        <v>3000</v>
      </c>
      <c r="AG8" s="566">
        <f>'TS1'!AG40</f>
        <v>3000</v>
      </c>
      <c r="AH8" s="566">
        <f>'TS1'!AH40</f>
        <v>3000</v>
      </c>
      <c r="AI8" s="566">
        <f>'TS1'!AI40</f>
        <v>3000</v>
      </c>
      <c r="AJ8" s="566">
        <f>'TS1'!AJ40</f>
        <v>3000</v>
      </c>
      <c r="AK8" s="566">
        <f>'TS1'!AK40</f>
        <v>3000</v>
      </c>
      <c r="AL8" s="133">
        <f>'TS1'!AL40</f>
        <v>3000</v>
      </c>
      <c r="AM8" s="133">
        <f>'TS1'!AM40</f>
        <v>2425.3631999999852</v>
      </c>
      <c r="AN8" s="133">
        <f>'TS1'!AN40</f>
        <v>0</v>
      </c>
      <c r="AO8" s="133">
        <f>'TS1'!AO40</f>
        <v>0</v>
      </c>
      <c r="AP8" s="133">
        <f>'TS1'!AP40</f>
        <v>0</v>
      </c>
      <c r="AQ8" s="133">
        <f>'TS1'!AQ40</f>
        <v>0</v>
      </c>
      <c r="AR8" s="133">
        <f>'TS1'!AR40</f>
        <v>0</v>
      </c>
      <c r="AS8" s="133">
        <f>'TS1'!AS40</f>
        <v>0</v>
      </c>
      <c r="AT8" s="133">
        <f>'TS1'!AT40</f>
        <v>0</v>
      </c>
      <c r="AU8" s="133">
        <f>'TS1'!AU40</f>
        <v>0</v>
      </c>
      <c r="AV8" s="133">
        <f>'TS1'!AV40</f>
        <v>0</v>
      </c>
      <c r="AW8" s="133">
        <f>'TS1'!AW40</f>
        <v>0</v>
      </c>
      <c r="AX8" s="133">
        <f>'TS1'!AX40</f>
        <v>0</v>
      </c>
      <c r="AY8" s="133">
        <f>'TS1'!AY40</f>
        <v>0</v>
      </c>
      <c r="AZ8" s="133">
        <f>'TS1'!AZ40</f>
        <v>0</v>
      </c>
      <c r="BA8" s="133">
        <f>'TS1'!BA40</f>
        <v>0</v>
      </c>
      <c r="BB8" s="133">
        <f>'TS1'!BB40</f>
        <v>0</v>
      </c>
      <c r="BC8" s="133">
        <f>'TS1'!BC40</f>
        <v>0</v>
      </c>
      <c r="BD8" s="133">
        <f>'TS1'!BD40</f>
        <v>0</v>
      </c>
      <c r="BE8" s="133">
        <f>'TS1'!BE40</f>
        <v>0</v>
      </c>
      <c r="BF8" s="133">
        <f>'TS1'!BF40</f>
        <v>0</v>
      </c>
      <c r="BG8" s="133">
        <f>'TS1'!BG40</f>
        <v>0</v>
      </c>
      <c r="BH8" s="133">
        <f>'TS1'!BH40</f>
        <v>0</v>
      </c>
      <c r="BI8" s="133">
        <f>'TS1'!BI40</f>
        <v>0</v>
      </c>
      <c r="BJ8" s="133">
        <f>'TS1'!BJ40</f>
        <v>0</v>
      </c>
      <c r="BK8" s="133">
        <f>'TS1'!BK40</f>
        <v>0</v>
      </c>
      <c r="BL8" s="133">
        <f>'TS1'!BL40</f>
        <v>0</v>
      </c>
      <c r="BM8" s="133">
        <f>'TS1'!BM40</f>
        <v>0</v>
      </c>
    </row>
    <row r="9" spans="2:65" hidden="1" outlineLevel="1">
      <c r="B9" s="130" t="str">
        <f>'DB1'!B9</f>
        <v>АПАРТАМЕНТЫ</v>
      </c>
      <c r="C9" s="28"/>
      <c r="D9" s="131" t="s">
        <v>22</v>
      </c>
      <c r="E9" s="132">
        <f t="shared" si="4"/>
        <v>0</v>
      </c>
      <c r="F9" s="551">
        <f>'TS1'!F44</f>
        <v>0</v>
      </c>
      <c r="G9" s="551">
        <f>'TS1'!G44</f>
        <v>0</v>
      </c>
      <c r="H9" s="551">
        <f>'TS1'!H44</f>
        <v>0</v>
      </c>
      <c r="I9" s="551">
        <f>'TS1'!I44</f>
        <v>0</v>
      </c>
      <c r="J9" s="551">
        <f>'TS1'!J44</f>
        <v>0</v>
      </c>
      <c r="K9" s="551">
        <f>'TS1'!K44</f>
        <v>0</v>
      </c>
      <c r="L9" s="551">
        <f>'TS1'!L44</f>
        <v>0</v>
      </c>
      <c r="M9" s="551">
        <f>'TS1'!M44</f>
        <v>0</v>
      </c>
      <c r="N9" s="133">
        <f>'TS1'!N44</f>
        <v>0</v>
      </c>
      <c r="O9" s="133">
        <f>'TS1'!O44</f>
        <v>0</v>
      </c>
      <c r="P9" s="133">
        <f>'TS1'!P44</f>
        <v>0</v>
      </c>
      <c r="Q9" s="133">
        <f>'TS1'!Q44</f>
        <v>0</v>
      </c>
      <c r="R9" s="133">
        <f>'TS1'!R44</f>
        <v>0</v>
      </c>
      <c r="S9" s="133">
        <f>'TS1'!S44</f>
        <v>0</v>
      </c>
      <c r="T9" s="133">
        <f>'TS1'!T44</f>
        <v>0</v>
      </c>
      <c r="U9" s="133">
        <f>'TS1'!U44</f>
        <v>0</v>
      </c>
      <c r="V9" s="133">
        <f>'TS1'!V44</f>
        <v>0</v>
      </c>
      <c r="W9" s="133">
        <f>'TS1'!W44</f>
        <v>0</v>
      </c>
      <c r="X9" s="133">
        <f>'TS1'!X44</f>
        <v>0</v>
      </c>
      <c r="Y9" s="133">
        <f>'TS1'!Y44</f>
        <v>0</v>
      </c>
      <c r="Z9" s="133">
        <f>'TS1'!Z44</f>
        <v>0</v>
      </c>
      <c r="AA9" s="133">
        <f>'TS1'!AA44</f>
        <v>0</v>
      </c>
      <c r="AB9" s="133">
        <f>'TS1'!AB44</f>
        <v>0</v>
      </c>
      <c r="AC9" s="133">
        <f>'TS1'!AC44</f>
        <v>0</v>
      </c>
      <c r="AD9" s="133">
        <f>'TS1'!AD44</f>
        <v>0</v>
      </c>
      <c r="AE9" s="133">
        <f>'TS1'!AE44</f>
        <v>0</v>
      </c>
      <c r="AF9" s="133">
        <f>'TS1'!AF44</f>
        <v>0</v>
      </c>
      <c r="AG9" s="133">
        <f>'TS1'!AG44</f>
        <v>0</v>
      </c>
      <c r="AH9" s="133">
        <f>'TS1'!AH44</f>
        <v>0</v>
      </c>
      <c r="AI9" s="133">
        <f>'TS1'!AI44</f>
        <v>0</v>
      </c>
      <c r="AJ9" s="133">
        <f>'TS1'!AJ44</f>
        <v>0</v>
      </c>
      <c r="AK9" s="133">
        <f>'TS1'!AK44</f>
        <v>0</v>
      </c>
      <c r="AL9" s="133">
        <f>'TS1'!AL44</f>
        <v>0</v>
      </c>
      <c r="AM9" s="133">
        <f>'TS1'!AM44</f>
        <v>0</v>
      </c>
      <c r="AN9" s="133">
        <f>'TS1'!AN44</f>
        <v>0</v>
      </c>
      <c r="AO9" s="133">
        <f>'TS1'!AO44</f>
        <v>0</v>
      </c>
      <c r="AP9" s="133">
        <f>'TS1'!AP44</f>
        <v>0</v>
      </c>
      <c r="AQ9" s="133">
        <f>'TS1'!AQ44</f>
        <v>0</v>
      </c>
      <c r="AR9" s="133">
        <f>'TS1'!AR44</f>
        <v>0</v>
      </c>
      <c r="AS9" s="133">
        <f>'TS1'!AS44</f>
        <v>0</v>
      </c>
      <c r="AT9" s="133">
        <f>'TS1'!AT44</f>
        <v>0</v>
      </c>
      <c r="AU9" s="133">
        <f>'TS1'!AU44</f>
        <v>0</v>
      </c>
      <c r="AV9" s="133">
        <f>'TS1'!AV44</f>
        <v>0</v>
      </c>
      <c r="AW9" s="133">
        <f>'TS1'!AW44</f>
        <v>0</v>
      </c>
      <c r="AX9" s="133">
        <f>'TS1'!AX44</f>
        <v>0</v>
      </c>
      <c r="AY9" s="133">
        <f>'TS1'!AY44</f>
        <v>0</v>
      </c>
      <c r="AZ9" s="133">
        <f>'TS1'!AZ44</f>
        <v>0</v>
      </c>
      <c r="BA9" s="133">
        <f>'TS1'!BA44</f>
        <v>0</v>
      </c>
      <c r="BB9" s="133">
        <f>'TS1'!BB44</f>
        <v>0</v>
      </c>
      <c r="BC9" s="133">
        <f>'TS1'!BC44</f>
        <v>0</v>
      </c>
      <c r="BD9" s="133">
        <f>'TS1'!BD44</f>
        <v>0</v>
      </c>
      <c r="BE9" s="133">
        <f>'TS1'!BE44</f>
        <v>0</v>
      </c>
      <c r="BF9" s="133">
        <f>'TS1'!BF44</f>
        <v>0</v>
      </c>
      <c r="BG9" s="133">
        <f>'TS1'!BG44</f>
        <v>0</v>
      </c>
      <c r="BH9" s="133">
        <f>'TS1'!BH44</f>
        <v>0</v>
      </c>
      <c r="BI9" s="133">
        <f>'TS1'!BI44</f>
        <v>0</v>
      </c>
      <c r="BJ9" s="133">
        <f>'TS1'!BJ44</f>
        <v>0</v>
      </c>
      <c r="BK9" s="133">
        <f>'TS1'!BK44</f>
        <v>0</v>
      </c>
      <c r="BL9" s="133">
        <f>'TS1'!BL44</f>
        <v>0</v>
      </c>
      <c r="BM9" s="133">
        <f>'TS1'!BM44</f>
        <v>0</v>
      </c>
    </row>
    <row r="10" spans="2:65" hidden="1" outlineLevel="1">
      <c r="B10" s="130" t="str">
        <f>'DB1'!B10</f>
        <v>ОФИСЫ</v>
      </c>
      <c r="C10" s="28"/>
      <c r="D10" s="131" t="s">
        <v>22</v>
      </c>
      <c r="E10" s="132">
        <f t="shared" si="4"/>
        <v>0</v>
      </c>
      <c r="F10" s="551">
        <f>'TS1'!F46</f>
        <v>0</v>
      </c>
      <c r="G10" s="551">
        <f>'TS1'!G46</f>
        <v>0</v>
      </c>
      <c r="H10" s="551">
        <f>'TS1'!H46</f>
        <v>0</v>
      </c>
      <c r="I10" s="551">
        <f>'TS1'!I46</f>
        <v>0</v>
      </c>
      <c r="J10" s="551">
        <f>'TS1'!J46</f>
        <v>0</v>
      </c>
      <c r="K10" s="551">
        <f>'TS1'!K46</f>
        <v>0</v>
      </c>
      <c r="L10" s="551">
        <f>'TS1'!L46</f>
        <v>0</v>
      </c>
      <c r="M10" s="551">
        <f>'TS1'!M46</f>
        <v>0</v>
      </c>
      <c r="N10" s="133">
        <f>'TS1'!N46</f>
        <v>0</v>
      </c>
      <c r="O10" s="133">
        <f>'TS1'!O46</f>
        <v>0</v>
      </c>
      <c r="P10" s="133">
        <f>'TS1'!P46</f>
        <v>0</v>
      </c>
      <c r="Q10" s="133">
        <f>'TS1'!Q46</f>
        <v>0</v>
      </c>
      <c r="R10" s="133">
        <f>'TS1'!R46</f>
        <v>0</v>
      </c>
      <c r="S10" s="133">
        <f>'TS1'!S46</f>
        <v>0</v>
      </c>
      <c r="T10" s="133">
        <f>'TS1'!T46</f>
        <v>0</v>
      </c>
      <c r="U10" s="133">
        <f>'TS1'!U46</f>
        <v>0</v>
      </c>
      <c r="V10" s="133">
        <f>'TS1'!V46</f>
        <v>0</v>
      </c>
      <c r="W10" s="133">
        <f>'TS1'!W46</f>
        <v>0</v>
      </c>
      <c r="X10" s="133">
        <f>'TS1'!X46</f>
        <v>0</v>
      </c>
      <c r="Y10" s="133">
        <f>'TS1'!Y46</f>
        <v>0</v>
      </c>
      <c r="Z10" s="133">
        <f>'TS1'!Z46</f>
        <v>0</v>
      </c>
      <c r="AA10" s="133">
        <f>'TS1'!AA46</f>
        <v>0</v>
      </c>
      <c r="AB10" s="133">
        <f>'TS1'!AB46</f>
        <v>0</v>
      </c>
      <c r="AC10" s="133">
        <f>'TS1'!AC46</f>
        <v>0</v>
      </c>
      <c r="AD10" s="133">
        <f>'TS1'!AD46</f>
        <v>0</v>
      </c>
      <c r="AE10" s="133">
        <f>'TS1'!AE46</f>
        <v>0</v>
      </c>
      <c r="AF10" s="133">
        <f>'TS1'!AF46</f>
        <v>0</v>
      </c>
      <c r="AG10" s="133">
        <f>'TS1'!AG46</f>
        <v>0</v>
      </c>
      <c r="AH10" s="133">
        <f>'TS1'!AH46</f>
        <v>0</v>
      </c>
      <c r="AI10" s="133">
        <f>'TS1'!AI46</f>
        <v>0</v>
      </c>
      <c r="AJ10" s="133">
        <f>'TS1'!AJ46</f>
        <v>0</v>
      </c>
      <c r="AK10" s="133">
        <f>'TS1'!AK46</f>
        <v>0</v>
      </c>
      <c r="AL10" s="133">
        <f>'TS1'!AL46</f>
        <v>0</v>
      </c>
      <c r="AM10" s="133">
        <f>'TS1'!AM46</f>
        <v>0</v>
      </c>
      <c r="AN10" s="133">
        <f>'TS1'!AN46</f>
        <v>0</v>
      </c>
      <c r="AO10" s="133">
        <f>'TS1'!AO46</f>
        <v>0</v>
      </c>
      <c r="AP10" s="133">
        <f>'TS1'!AP46</f>
        <v>0</v>
      </c>
      <c r="AQ10" s="133">
        <f>'TS1'!AQ46</f>
        <v>0</v>
      </c>
      <c r="AR10" s="133">
        <f>'TS1'!AR46</f>
        <v>0</v>
      </c>
      <c r="AS10" s="133">
        <f>'TS1'!AS46</f>
        <v>0</v>
      </c>
      <c r="AT10" s="133">
        <f>'TS1'!AT46</f>
        <v>0</v>
      </c>
      <c r="AU10" s="133">
        <f>'TS1'!AU46</f>
        <v>0</v>
      </c>
      <c r="AV10" s="133">
        <f>'TS1'!AV46</f>
        <v>0</v>
      </c>
      <c r="AW10" s="133">
        <f>'TS1'!AW46</f>
        <v>0</v>
      </c>
      <c r="AX10" s="133">
        <f>'TS1'!AX46</f>
        <v>0</v>
      </c>
      <c r="AY10" s="133">
        <f>'TS1'!AY46</f>
        <v>0</v>
      </c>
      <c r="AZ10" s="133">
        <f>'TS1'!AZ46</f>
        <v>0</v>
      </c>
      <c r="BA10" s="133">
        <f>'TS1'!BA46</f>
        <v>0</v>
      </c>
      <c r="BB10" s="133">
        <f>'TS1'!BB46</f>
        <v>0</v>
      </c>
      <c r="BC10" s="133">
        <f>'TS1'!BC46</f>
        <v>0</v>
      </c>
      <c r="BD10" s="133">
        <f>'TS1'!BD46</f>
        <v>0</v>
      </c>
      <c r="BE10" s="133">
        <f>'TS1'!BE46</f>
        <v>0</v>
      </c>
      <c r="BF10" s="133">
        <f>'TS1'!BF46</f>
        <v>0</v>
      </c>
      <c r="BG10" s="133">
        <f>'TS1'!BG46</f>
        <v>0</v>
      </c>
      <c r="BH10" s="133">
        <f>'TS1'!BH46</f>
        <v>0</v>
      </c>
      <c r="BI10" s="133">
        <f>'TS1'!BI46</f>
        <v>0</v>
      </c>
      <c r="BJ10" s="133">
        <f>'TS1'!BJ46</f>
        <v>0</v>
      </c>
      <c r="BK10" s="133">
        <f>'TS1'!BK46</f>
        <v>0</v>
      </c>
      <c r="BL10" s="133">
        <f>'TS1'!BL46</f>
        <v>0</v>
      </c>
      <c r="BM10" s="133">
        <f>'TS1'!BM46</f>
        <v>0</v>
      </c>
    </row>
    <row r="11" spans="2:65" outlineLevel="1">
      <c r="B11" s="130" t="str">
        <f>'DB1'!B11</f>
        <v>РИТЕЙЛ</v>
      </c>
      <c r="C11" s="28"/>
      <c r="D11" s="131" t="s">
        <v>22</v>
      </c>
      <c r="E11" s="132">
        <f t="shared" si="4"/>
        <v>3517.3530000000001</v>
      </c>
      <c r="F11" s="551">
        <f>'TS1'!F48</f>
        <v>0</v>
      </c>
      <c r="G11" s="551">
        <f>'TS1'!G48</f>
        <v>0</v>
      </c>
      <c r="H11" s="551">
        <f>'TS1'!H48</f>
        <v>0</v>
      </c>
      <c r="I11" s="551">
        <f>'TS1'!I48</f>
        <v>0</v>
      </c>
      <c r="J11" s="551">
        <f>'TS1'!J48</f>
        <v>0</v>
      </c>
      <c r="K11" s="551">
        <f>'TS1'!K48</f>
        <v>0</v>
      </c>
      <c r="L11" s="551">
        <f>'TS1'!L48</f>
        <v>0</v>
      </c>
      <c r="M11" s="551">
        <f>'TS1'!M48</f>
        <v>0</v>
      </c>
      <c r="N11" s="133">
        <f>'TS1'!N48</f>
        <v>0</v>
      </c>
      <c r="O11" s="133">
        <f>'TS1'!O48</f>
        <v>0</v>
      </c>
      <c r="P11" s="133">
        <f>'TS1'!P48</f>
        <v>0</v>
      </c>
      <c r="Q11" s="133">
        <f>'TS1'!Q48</f>
        <v>0</v>
      </c>
      <c r="R11" s="133">
        <f>'TS1'!R48</f>
        <v>0</v>
      </c>
      <c r="S11" s="133">
        <f>'TS1'!S48</f>
        <v>0</v>
      </c>
      <c r="T11" s="133">
        <f>'TS1'!T48</f>
        <v>0</v>
      </c>
      <c r="U11" s="133">
        <f>'TS1'!U48</f>
        <v>0</v>
      </c>
      <c r="V11" s="133">
        <f>'TS1'!V48</f>
        <v>0</v>
      </c>
      <c r="W11" s="133">
        <f>'TS1'!W48</f>
        <v>0</v>
      </c>
      <c r="X11" s="133">
        <f>'TS1'!X48</f>
        <v>0</v>
      </c>
      <c r="Y11" s="133">
        <f>'TS1'!Y48</f>
        <v>0</v>
      </c>
      <c r="Z11" s="133">
        <f>'TS1'!Z48</f>
        <v>0</v>
      </c>
      <c r="AA11" s="133">
        <f>'TS1'!AA48</f>
        <v>0</v>
      </c>
      <c r="AB11" s="133">
        <f>'TS1'!AB48</f>
        <v>0</v>
      </c>
      <c r="AC11" s="133">
        <f>'TS1'!AC48</f>
        <v>0</v>
      </c>
      <c r="AD11" s="133">
        <f>'TS1'!AD48</f>
        <v>0</v>
      </c>
      <c r="AE11" s="133">
        <f>'TS1'!AE48</f>
        <v>0</v>
      </c>
      <c r="AF11" s="133">
        <f>'TS1'!AF48</f>
        <v>0</v>
      </c>
      <c r="AG11" s="133">
        <f>'TS1'!AG48</f>
        <v>1758.6765</v>
      </c>
      <c r="AH11" s="133">
        <f>'TS1'!AH48</f>
        <v>1758.6765</v>
      </c>
      <c r="AI11" s="133">
        <f>'TS1'!AI48</f>
        <v>0</v>
      </c>
      <c r="AJ11" s="133">
        <f>'TS1'!AJ48</f>
        <v>0</v>
      </c>
      <c r="AK11" s="133">
        <f>'TS1'!AK48</f>
        <v>0</v>
      </c>
      <c r="AL11" s="133">
        <f>'TS1'!AL48</f>
        <v>0</v>
      </c>
      <c r="AM11" s="133">
        <f>'TS1'!AM48</f>
        <v>0</v>
      </c>
      <c r="AN11" s="133">
        <f>'TS1'!AN48</f>
        <v>0</v>
      </c>
      <c r="AO11" s="133">
        <f>'TS1'!AO48</f>
        <v>0</v>
      </c>
      <c r="AP11" s="133">
        <f>'TS1'!AP48</f>
        <v>0</v>
      </c>
      <c r="AQ11" s="133">
        <f>'TS1'!AQ48</f>
        <v>0</v>
      </c>
      <c r="AR11" s="133">
        <f>'TS1'!AR48</f>
        <v>0</v>
      </c>
      <c r="AS11" s="133">
        <f>'TS1'!AS48</f>
        <v>0</v>
      </c>
      <c r="AT11" s="133">
        <f>'TS1'!AT48</f>
        <v>0</v>
      </c>
      <c r="AU11" s="133">
        <f>'TS1'!AU48</f>
        <v>0</v>
      </c>
      <c r="AV11" s="133">
        <f>'TS1'!AV48</f>
        <v>0</v>
      </c>
      <c r="AW11" s="133">
        <f>'TS1'!AW48</f>
        <v>0</v>
      </c>
      <c r="AX11" s="133">
        <f>'TS1'!AX48</f>
        <v>0</v>
      </c>
      <c r="AY11" s="133">
        <f>'TS1'!AY48</f>
        <v>0</v>
      </c>
      <c r="AZ11" s="133">
        <f>'TS1'!AZ48</f>
        <v>0</v>
      </c>
      <c r="BA11" s="133">
        <f>'TS1'!BA48</f>
        <v>0</v>
      </c>
      <c r="BB11" s="133">
        <f>'TS1'!BB48</f>
        <v>0</v>
      </c>
      <c r="BC11" s="133">
        <f>'TS1'!BC48</f>
        <v>0</v>
      </c>
      <c r="BD11" s="133">
        <f>'TS1'!BD48</f>
        <v>0</v>
      </c>
      <c r="BE11" s="133">
        <f>'TS1'!BE48</f>
        <v>0</v>
      </c>
      <c r="BF11" s="133">
        <f>'TS1'!BF48</f>
        <v>0</v>
      </c>
      <c r="BG11" s="133">
        <f>'TS1'!BG48</f>
        <v>0</v>
      </c>
      <c r="BH11" s="133">
        <f>'TS1'!BH48</f>
        <v>0</v>
      </c>
      <c r="BI11" s="133">
        <f>'TS1'!BI48</f>
        <v>0</v>
      </c>
      <c r="BJ11" s="133">
        <f>'TS1'!BJ48</f>
        <v>0</v>
      </c>
      <c r="BK11" s="133">
        <f>'TS1'!BK48</f>
        <v>0</v>
      </c>
      <c r="BL11" s="133">
        <f>'TS1'!BL48</f>
        <v>0</v>
      </c>
      <c r="BM11" s="133">
        <f>'TS1'!BM48</f>
        <v>0</v>
      </c>
    </row>
    <row r="12" spans="2:65" hidden="1" outlineLevel="1">
      <c r="B12" s="130" t="str">
        <f>'DB1'!B12</f>
        <v>ТЦ</v>
      </c>
      <c r="C12" s="28"/>
      <c r="D12" s="131" t="s">
        <v>22</v>
      </c>
      <c r="E12" s="132">
        <f t="shared" si="4"/>
        <v>0</v>
      </c>
      <c r="F12" s="551">
        <f>'TS1'!F50</f>
        <v>0</v>
      </c>
      <c r="G12" s="551">
        <f>'TS1'!G50</f>
        <v>0</v>
      </c>
      <c r="H12" s="551">
        <f>'TS1'!H50</f>
        <v>0</v>
      </c>
      <c r="I12" s="551">
        <f>'TS1'!I50</f>
        <v>0</v>
      </c>
      <c r="J12" s="551">
        <f>'TS1'!J50</f>
        <v>0</v>
      </c>
      <c r="K12" s="551">
        <f>'TS1'!K50</f>
        <v>0</v>
      </c>
      <c r="L12" s="551">
        <f>'TS1'!L50</f>
        <v>0</v>
      </c>
      <c r="M12" s="551">
        <f>'TS1'!M50</f>
        <v>0</v>
      </c>
      <c r="N12" s="133">
        <f>'TS1'!N50</f>
        <v>0</v>
      </c>
      <c r="O12" s="133">
        <f>'TS1'!O50</f>
        <v>0</v>
      </c>
      <c r="P12" s="133">
        <f>'TS1'!P50</f>
        <v>0</v>
      </c>
      <c r="Q12" s="133">
        <f>'TS1'!Q50</f>
        <v>0</v>
      </c>
      <c r="R12" s="133">
        <f>'TS1'!R50</f>
        <v>0</v>
      </c>
      <c r="S12" s="133">
        <f>'TS1'!S50</f>
        <v>0</v>
      </c>
      <c r="T12" s="133">
        <f>'TS1'!T50</f>
        <v>0</v>
      </c>
      <c r="U12" s="133">
        <f>'TS1'!U50</f>
        <v>0</v>
      </c>
      <c r="V12" s="133">
        <f>'TS1'!V50</f>
        <v>0</v>
      </c>
      <c r="W12" s="133">
        <f>'TS1'!W50</f>
        <v>0</v>
      </c>
      <c r="X12" s="133">
        <f>'TS1'!X50</f>
        <v>0</v>
      </c>
      <c r="Y12" s="133">
        <f>'TS1'!Y50</f>
        <v>0</v>
      </c>
      <c r="Z12" s="133">
        <f>'TS1'!Z50</f>
        <v>0</v>
      </c>
      <c r="AA12" s="133">
        <f>'TS1'!AA50</f>
        <v>0</v>
      </c>
      <c r="AB12" s="133">
        <f>'TS1'!AB50</f>
        <v>0</v>
      </c>
      <c r="AC12" s="133">
        <f>'TS1'!AC50</f>
        <v>0</v>
      </c>
      <c r="AD12" s="133">
        <f>'TS1'!AD50</f>
        <v>0</v>
      </c>
      <c r="AE12" s="133">
        <f>'TS1'!AE50</f>
        <v>0</v>
      </c>
      <c r="AF12" s="133">
        <f>'TS1'!AF50</f>
        <v>0</v>
      </c>
      <c r="AG12" s="133">
        <f>'TS1'!AG50</f>
        <v>0</v>
      </c>
      <c r="AH12" s="133">
        <f>'TS1'!AH50</f>
        <v>0</v>
      </c>
      <c r="AI12" s="133">
        <f>'TS1'!AI50</f>
        <v>0</v>
      </c>
      <c r="AJ12" s="133">
        <f>'TS1'!AJ50</f>
        <v>0</v>
      </c>
      <c r="AK12" s="133">
        <f>'TS1'!AK50</f>
        <v>0</v>
      </c>
      <c r="AL12" s="133">
        <f>'TS1'!AL50</f>
        <v>0</v>
      </c>
      <c r="AM12" s="133">
        <f>'TS1'!AM50</f>
        <v>0</v>
      </c>
      <c r="AN12" s="133">
        <f>'TS1'!AN50</f>
        <v>0</v>
      </c>
      <c r="AO12" s="133">
        <f>'TS1'!AO50</f>
        <v>0</v>
      </c>
      <c r="AP12" s="133">
        <f>'TS1'!AP50</f>
        <v>0</v>
      </c>
      <c r="AQ12" s="133">
        <f>'TS1'!AQ50</f>
        <v>0</v>
      </c>
      <c r="AR12" s="133">
        <f>'TS1'!AR50</f>
        <v>0</v>
      </c>
      <c r="AS12" s="133">
        <f>'TS1'!AS50</f>
        <v>0</v>
      </c>
      <c r="AT12" s="133">
        <f>'TS1'!AT50</f>
        <v>0</v>
      </c>
      <c r="AU12" s="133">
        <f>'TS1'!AU50</f>
        <v>0</v>
      </c>
      <c r="AV12" s="133">
        <f>'TS1'!AV50</f>
        <v>0</v>
      </c>
      <c r="AW12" s="133">
        <f>'TS1'!AW50</f>
        <v>0</v>
      </c>
      <c r="AX12" s="133">
        <f>'TS1'!AX50</f>
        <v>0</v>
      </c>
      <c r="AY12" s="133">
        <f>'TS1'!AY50</f>
        <v>0</v>
      </c>
      <c r="AZ12" s="133">
        <f>'TS1'!AZ50</f>
        <v>0</v>
      </c>
      <c r="BA12" s="133">
        <f>'TS1'!BA50</f>
        <v>0</v>
      </c>
      <c r="BB12" s="133">
        <f>'TS1'!BB50</f>
        <v>0</v>
      </c>
      <c r="BC12" s="133">
        <f>'TS1'!BC50</f>
        <v>0</v>
      </c>
      <c r="BD12" s="133">
        <f>'TS1'!BD50</f>
        <v>0</v>
      </c>
      <c r="BE12" s="133">
        <f>'TS1'!BE50</f>
        <v>0</v>
      </c>
      <c r="BF12" s="133">
        <f>'TS1'!BF50</f>
        <v>0</v>
      </c>
      <c r="BG12" s="133">
        <f>'TS1'!BG50</f>
        <v>0</v>
      </c>
      <c r="BH12" s="133">
        <f>'TS1'!BH50</f>
        <v>0</v>
      </c>
      <c r="BI12" s="133">
        <f>'TS1'!BI50</f>
        <v>0</v>
      </c>
      <c r="BJ12" s="133">
        <f>'TS1'!BJ50</f>
        <v>0</v>
      </c>
      <c r="BK12" s="133">
        <f>'TS1'!BK50</f>
        <v>0</v>
      </c>
      <c r="BL12" s="133">
        <f>'TS1'!BL50</f>
        <v>0</v>
      </c>
      <c r="BM12" s="133">
        <f>'TS1'!BM50</f>
        <v>0</v>
      </c>
    </row>
    <row r="13" spans="2:65" outlineLevel="1">
      <c r="B13" s="130" t="str">
        <f>'DB1'!B16</f>
        <v>ПАРКИНГ ЖИЛЬЕ</v>
      </c>
      <c r="C13" s="28"/>
      <c r="D13" s="131" t="s">
        <v>23</v>
      </c>
      <c r="E13" s="132">
        <f t="shared" si="4"/>
        <v>599</v>
      </c>
      <c r="F13" s="551">
        <f>'TS1'!F52</f>
        <v>0</v>
      </c>
      <c r="G13" s="551">
        <f>'TS1'!G52</f>
        <v>0</v>
      </c>
      <c r="H13" s="551">
        <f>'TS1'!H52</f>
        <v>0</v>
      </c>
      <c r="I13" s="551">
        <f>'TS1'!I52</f>
        <v>0</v>
      </c>
      <c r="J13" s="551">
        <f>'TS1'!J52</f>
        <v>0</v>
      </c>
      <c r="K13" s="551">
        <f>'TS1'!K52</f>
        <v>0</v>
      </c>
      <c r="L13" s="551">
        <f>'TS1'!L52</f>
        <v>0</v>
      </c>
      <c r="M13" s="551">
        <f>'TS1'!M52</f>
        <v>0</v>
      </c>
      <c r="N13" s="133">
        <f>'TS1'!N52</f>
        <v>0</v>
      </c>
      <c r="O13" s="133">
        <f>'TS1'!O52</f>
        <v>0</v>
      </c>
      <c r="P13" s="133">
        <f>'TS1'!P52</f>
        <v>0</v>
      </c>
      <c r="Q13" s="133">
        <f>'TS1'!Q52</f>
        <v>0</v>
      </c>
      <c r="R13" s="133">
        <f>'TS1'!R52</f>
        <v>0</v>
      </c>
      <c r="S13" s="133">
        <f>'TS1'!S52</f>
        <v>0</v>
      </c>
      <c r="T13" s="133">
        <f>'TS1'!T52</f>
        <v>30</v>
      </c>
      <c r="U13" s="133">
        <f>'TS1'!U52</f>
        <v>30</v>
      </c>
      <c r="V13" s="133">
        <f>'TS1'!V52</f>
        <v>30</v>
      </c>
      <c r="W13" s="133">
        <f>'TS1'!W52</f>
        <v>30</v>
      </c>
      <c r="X13" s="133">
        <f>'TS1'!X52</f>
        <v>30</v>
      </c>
      <c r="Y13" s="133">
        <f>'TS1'!Y52</f>
        <v>30</v>
      </c>
      <c r="Z13" s="133">
        <f>'TS1'!Z52</f>
        <v>30</v>
      </c>
      <c r="AA13" s="133">
        <f>'TS1'!AA52</f>
        <v>30</v>
      </c>
      <c r="AB13" s="133">
        <f>'TS1'!AB52</f>
        <v>30</v>
      </c>
      <c r="AC13" s="133">
        <f>'TS1'!AC52</f>
        <v>30</v>
      </c>
      <c r="AD13" s="133">
        <f>'TS1'!AD52</f>
        <v>30</v>
      </c>
      <c r="AE13" s="133">
        <f>'TS1'!AE52</f>
        <v>30</v>
      </c>
      <c r="AF13" s="133">
        <f>'TS1'!AF52</f>
        <v>30</v>
      </c>
      <c r="AG13" s="133">
        <f>'TS1'!AG52</f>
        <v>30</v>
      </c>
      <c r="AH13" s="133">
        <f>'TS1'!AH52</f>
        <v>30</v>
      </c>
      <c r="AI13" s="133">
        <f>'TS1'!AI52</f>
        <v>30</v>
      </c>
      <c r="AJ13" s="133">
        <f>'TS1'!AJ52</f>
        <v>30</v>
      </c>
      <c r="AK13" s="133">
        <f>'TS1'!AK52</f>
        <v>30</v>
      </c>
      <c r="AL13" s="133">
        <f>'TS1'!AL52</f>
        <v>30</v>
      </c>
      <c r="AM13" s="133">
        <f>'TS1'!AM52</f>
        <v>29</v>
      </c>
      <c r="AN13" s="133">
        <f>'TS1'!AN52</f>
        <v>0</v>
      </c>
      <c r="AO13" s="133">
        <f>'TS1'!AO52</f>
        <v>0</v>
      </c>
      <c r="AP13" s="133">
        <f>'TS1'!AP52</f>
        <v>0</v>
      </c>
      <c r="AQ13" s="133">
        <f>'TS1'!AQ52</f>
        <v>0</v>
      </c>
      <c r="AR13" s="133">
        <f>'TS1'!AR52</f>
        <v>0</v>
      </c>
      <c r="AS13" s="133">
        <f>'TS1'!AS52</f>
        <v>0</v>
      </c>
      <c r="AT13" s="133">
        <f>'TS1'!AT52</f>
        <v>0</v>
      </c>
      <c r="AU13" s="133">
        <f>'TS1'!AU52</f>
        <v>0</v>
      </c>
      <c r="AV13" s="133">
        <f>'TS1'!AV52</f>
        <v>0</v>
      </c>
      <c r="AW13" s="133">
        <f>'TS1'!AW52</f>
        <v>0</v>
      </c>
      <c r="AX13" s="133">
        <f>'TS1'!AX52</f>
        <v>0</v>
      </c>
      <c r="AY13" s="133">
        <f>'TS1'!AY52</f>
        <v>0</v>
      </c>
      <c r="AZ13" s="133">
        <f>'TS1'!AZ52</f>
        <v>0</v>
      </c>
      <c r="BA13" s="133">
        <f>'TS1'!BA52</f>
        <v>0</v>
      </c>
      <c r="BB13" s="133">
        <f>'TS1'!BB52</f>
        <v>0</v>
      </c>
      <c r="BC13" s="133">
        <f>'TS1'!BC52</f>
        <v>0</v>
      </c>
      <c r="BD13" s="133">
        <f>'TS1'!BD52</f>
        <v>0</v>
      </c>
      <c r="BE13" s="133">
        <f>'TS1'!BE52</f>
        <v>0</v>
      </c>
      <c r="BF13" s="133">
        <f>'TS1'!BF52</f>
        <v>0</v>
      </c>
      <c r="BG13" s="133">
        <f>'TS1'!BG52</f>
        <v>0</v>
      </c>
      <c r="BH13" s="133">
        <f>'TS1'!BH52</f>
        <v>0</v>
      </c>
      <c r="BI13" s="133">
        <f>'TS1'!BI52</f>
        <v>0</v>
      </c>
      <c r="BJ13" s="133">
        <f>'TS1'!BJ52</f>
        <v>0</v>
      </c>
      <c r="BK13" s="133">
        <f>'TS1'!BK52</f>
        <v>0</v>
      </c>
      <c r="BL13" s="133">
        <f>'TS1'!BL52</f>
        <v>0</v>
      </c>
      <c r="BM13" s="133">
        <f>'TS1'!BM52</f>
        <v>0</v>
      </c>
    </row>
    <row r="14" spans="2:65" hidden="1" outlineLevel="1">
      <c r="B14" s="130" t="str">
        <f>'DB1'!B17</f>
        <v>ПАРКИНГ ОФИС</v>
      </c>
      <c r="C14" s="28"/>
      <c r="D14" s="131" t="s">
        <v>23</v>
      </c>
      <c r="E14" s="132">
        <f t="shared" si="4"/>
        <v>0</v>
      </c>
      <c r="F14" s="551">
        <f>'TS1'!F54</f>
        <v>0</v>
      </c>
      <c r="G14" s="551">
        <f>'TS1'!G54</f>
        <v>0</v>
      </c>
      <c r="H14" s="551">
        <f>'TS1'!H54</f>
        <v>0</v>
      </c>
      <c r="I14" s="551">
        <f>'TS1'!I54</f>
        <v>0</v>
      </c>
      <c r="J14" s="551">
        <f>'TS1'!J54</f>
        <v>0</v>
      </c>
      <c r="K14" s="551">
        <f>'TS1'!K54</f>
        <v>0</v>
      </c>
      <c r="L14" s="551">
        <f>'TS1'!L54</f>
        <v>0</v>
      </c>
      <c r="M14" s="551">
        <f>'TS1'!M54</f>
        <v>0</v>
      </c>
      <c r="N14" s="551">
        <f>'TS1'!N54</f>
        <v>0</v>
      </c>
      <c r="O14" s="551">
        <f>'TS1'!O54</f>
        <v>0</v>
      </c>
      <c r="P14" s="551">
        <f>'TS1'!P54</f>
        <v>0</v>
      </c>
      <c r="Q14" s="133">
        <f>'TS1'!Q54</f>
        <v>0</v>
      </c>
      <c r="R14" s="133">
        <f>'TS1'!R54</f>
        <v>0</v>
      </c>
      <c r="S14" s="133">
        <f>'TS1'!S54</f>
        <v>0</v>
      </c>
      <c r="T14" s="133">
        <f>'TS1'!T54</f>
        <v>0</v>
      </c>
      <c r="U14" s="133">
        <f>'TS1'!U54</f>
        <v>0</v>
      </c>
      <c r="V14" s="133">
        <f>'TS1'!V54</f>
        <v>0</v>
      </c>
      <c r="W14" s="133">
        <f>'TS1'!W54</f>
        <v>0</v>
      </c>
      <c r="X14" s="133">
        <f>'TS1'!X54</f>
        <v>0</v>
      </c>
      <c r="Y14" s="133">
        <f>'TS1'!Y54</f>
        <v>0</v>
      </c>
      <c r="Z14" s="133">
        <f>'TS1'!Z54</f>
        <v>0</v>
      </c>
      <c r="AA14" s="133">
        <f>'TS1'!AA54</f>
        <v>0</v>
      </c>
      <c r="AB14" s="133">
        <f>'TS1'!AB54</f>
        <v>0</v>
      </c>
      <c r="AC14" s="133">
        <f>'TS1'!AC54</f>
        <v>0</v>
      </c>
      <c r="AD14" s="133">
        <f>'TS1'!AD54</f>
        <v>0</v>
      </c>
      <c r="AE14" s="133">
        <f>'TS1'!AE54</f>
        <v>0</v>
      </c>
      <c r="AF14" s="133">
        <f>'TS1'!AF54</f>
        <v>0</v>
      </c>
      <c r="AG14" s="133">
        <f>'TS1'!AG54</f>
        <v>0</v>
      </c>
      <c r="AH14" s="133">
        <f>'TS1'!AH54</f>
        <v>0</v>
      </c>
      <c r="AI14" s="133">
        <f>'TS1'!AI54</f>
        <v>0</v>
      </c>
      <c r="AJ14" s="133">
        <f>'TS1'!AJ54</f>
        <v>0</v>
      </c>
      <c r="AK14" s="133">
        <f>'TS1'!AK54</f>
        <v>0</v>
      </c>
      <c r="AL14" s="133">
        <f>'TS1'!AL54</f>
        <v>0</v>
      </c>
      <c r="AM14" s="133">
        <f>'TS1'!AM54</f>
        <v>0</v>
      </c>
      <c r="AN14" s="133">
        <f>'TS1'!AN54</f>
        <v>0</v>
      </c>
      <c r="AO14" s="133">
        <f>'TS1'!AO54</f>
        <v>0</v>
      </c>
      <c r="AP14" s="133">
        <f>'TS1'!AP54</f>
        <v>0</v>
      </c>
      <c r="AQ14" s="133">
        <f>'TS1'!AQ54</f>
        <v>0</v>
      </c>
      <c r="AR14" s="133">
        <f>'TS1'!AR54</f>
        <v>0</v>
      </c>
      <c r="AS14" s="133">
        <f>'TS1'!AS54</f>
        <v>0</v>
      </c>
      <c r="AT14" s="133">
        <f>'TS1'!AT54</f>
        <v>0</v>
      </c>
      <c r="AU14" s="133">
        <f>'TS1'!AU54</f>
        <v>0</v>
      </c>
      <c r="AV14" s="133">
        <f>'TS1'!AV54</f>
        <v>0</v>
      </c>
      <c r="AW14" s="133">
        <f>'TS1'!AW54</f>
        <v>0</v>
      </c>
      <c r="AX14" s="133">
        <f>'TS1'!AX54</f>
        <v>0</v>
      </c>
      <c r="AY14" s="133">
        <f>'TS1'!AY54</f>
        <v>0</v>
      </c>
      <c r="AZ14" s="133">
        <f>'TS1'!AZ54</f>
        <v>0</v>
      </c>
      <c r="BA14" s="133">
        <f>'TS1'!BA54</f>
        <v>0</v>
      </c>
      <c r="BB14" s="133">
        <f>'TS1'!BB54</f>
        <v>0</v>
      </c>
      <c r="BC14" s="133">
        <f>'TS1'!BC54</f>
        <v>0</v>
      </c>
      <c r="BD14" s="133">
        <f>'TS1'!BD54</f>
        <v>0</v>
      </c>
      <c r="BE14" s="133">
        <f>'TS1'!BE54</f>
        <v>0</v>
      </c>
      <c r="BF14" s="133">
        <f>'TS1'!BF54</f>
        <v>0</v>
      </c>
      <c r="BG14" s="133">
        <f>'TS1'!BG54</f>
        <v>0</v>
      </c>
      <c r="BH14" s="133">
        <f>'TS1'!BH54</f>
        <v>0</v>
      </c>
      <c r="BI14" s="133">
        <f>'TS1'!BI54</f>
        <v>0</v>
      </c>
      <c r="BJ14" s="133">
        <f>'TS1'!BJ54</f>
        <v>0</v>
      </c>
      <c r="BK14" s="133">
        <f>'TS1'!BK54</f>
        <v>0</v>
      </c>
      <c r="BL14" s="133">
        <f>'TS1'!BL54</f>
        <v>0</v>
      </c>
      <c r="BM14" s="133">
        <f>'TS1'!BM54</f>
        <v>0</v>
      </c>
    </row>
    <row r="15" spans="2:65" outlineLevel="1">
      <c r="B15" s="134"/>
      <c r="C15" s="134"/>
      <c r="D15" s="135"/>
      <c r="E15" s="136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</row>
    <row r="16" spans="2:65" s="163" customFormat="1" outlineLevel="1">
      <c r="B16" s="293" t="s">
        <v>28</v>
      </c>
      <c r="C16" s="293"/>
      <c r="D16" s="294" t="s">
        <v>481</v>
      </c>
      <c r="E16" s="295"/>
      <c r="F16" s="296"/>
      <c r="G16" s="296"/>
      <c r="H16" s="296"/>
      <c r="I16" s="296"/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6"/>
      <c r="AH16" s="296"/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/>
      <c r="AW16" s="296"/>
      <c r="AX16" s="296"/>
      <c r="AY16" s="296"/>
      <c r="AZ16" s="296"/>
      <c r="BA16" s="296"/>
      <c r="BB16" s="296"/>
      <c r="BC16" s="296"/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</row>
    <row r="17" spans="2:65" outlineLevel="1">
      <c r="B17" s="130" t="str">
        <f t="shared" ref="B17:B23" si="5">B8</f>
        <v>КВАРТИРЫ</v>
      </c>
      <c r="C17" s="28"/>
      <c r="D17" s="131" t="s">
        <v>481</v>
      </c>
      <c r="E17" s="132">
        <f>IFERROR(E26/E8*1000,0)</f>
        <v>630</v>
      </c>
      <c r="F17" s="551">
        <f>IF(F8=0,,IF(F8&gt;0,IF(E17=0,'DB1'!$R$8*(1+'DB1'!$O$8),E17+'DB1'!$R$8*(100%-(1+'DB1'!$O$8))/SUMPRODUCT('TS1'!$F$43:$BM$43,'TS1'!$F$56:$BM$56)),))</f>
        <v>0</v>
      </c>
      <c r="G17" s="551">
        <f>IF(G8=0,,IF(G8&gt;0,IF(F17=0,'DB1'!$R$8*(1+'DB1'!$O$8),F17+'DB1'!$R$8*(100%-(1+'DB1'!$O$8))/SUMPRODUCT('TS1'!$F$43:$BM$43,'TS1'!$F$56:$BM$56)),))</f>
        <v>0</v>
      </c>
      <c r="H17" s="551">
        <f>IF(H8=0,,IF(H8&gt;0,IF(G17=0,'DB1'!$R$8*(1+'DB1'!$O$8),G17+'DB1'!$R$8*(100%-(1+'DB1'!$O$8))/SUMPRODUCT('TS1'!$F$43:$BM$43,'TS1'!$F$56:$BM$56)),))</f>
        <v>0</v>
      </c>
      <c r="I17" s="551">
        <f>IF(I8=0,,IF(I8&gt;0,IF(H17=0,'DB1'!$R$8*(1+'DB1'!$O$8),H17+'DB1'!$R$8*(100%-(1+'DB1'!$O$8))/SUMPRODUCT('TS1'!$F$43:$BM$43,'TS1'!$F$56:$BM$56)),))</f>
        <v>0</v>
      </c>
      <c r="J17" s="551">
        <f>IF(J8=0,,IF(J8&gt;0,IF(I17=0,'DB1'!$R$8*(1+'DB1'!$O$8),I17+'DB1'!$R$8*(100%-(1+'DB1'!$O$8))/SUMPRODUCT('TS1'!$F$43:$BM$43,'TS1'!$F$56:$BM$56)),))</f>
        <v>0</v>
      </c>
      <c r="K17" s="551">
        <f>IF(K8=0,,IF(K8&gt;0,IF(J17=0,'DB1'!$R$8*(1+'DB1'!$O$8),J17+'DB1'!$R$8*(100%-(1+'DB1'!$O$8))/SUMPRODUCT('TS1'!$F$43:$BM$43,'TS1'!$F$56:$BM$56)),))</f>
        <v>0</v>
      </c>
      <c r="L17" s="551">
        <f>IF(L8=0,,IF(L8&gt;0,IF(K17=0,'DB1'!$R$8*(1+'DB1'!$O$8),K17+'DB1'!$R$8*(100%-(1+'DB1'!$O$8))/SUMPRODUCT('TS1'!$F$43:$BM$43,'TS1'!$F$56:$BM$56)),))</f>
        <v>0</v>
      </c>
      <c r="M17" s="551">
        <f>IF(M8=0,,IF(M8&gt;0,IF(L17=0,'DB1'!$R$8*(1+'DB1'!$O$8),L17+'DB1'!$R$8*(100%-(1+'DB1'!$O$8))/SUMPRODUCT('TS1'!$F$43:$BM$43,'TS1'!$F$56:$BM$56)),))</f>
        <v>0</v>
      </c>
      <c r="N17" s="133">
        <f>IF(N8&gt;0,'TS1'!N42,0)</f>
        <v>0</v>
      </c>
      <c r="O17" s="133">
        <f>IF(O8&gt;0,'TS1'!O42,0)</f>
        <v>0</v>
      </c>
      <c r="P17" s="133">
        <f>IF(P8&gt;0,'TS1'!P42,0)</f>
        <v>0</v>
      </c>
      <c r="Q17" s="133">
        <f>IF(Q8&gt;0,'TS1'!Q42,0)</f>
        <v>0</v>
      </c>
      <c r="R17" s="133">
        <f>IF(R8&gt;0,'TS1'!R42,0)</f>
        <v>0</v>
      </c>
      <c r="S17" s="133">
        <f>IF(S8&gt;0,'TS1'!S42,0)</f>
        <v>0</v>
      </c>
      <c r="T17" s="566">
        <f>IF(T8&gt;0,'TS1'!T42,0)</f>
        <v>522.9</v>
      </c>
      <c r="U17" s="566">
        <f>IF(U8&gt;0,'TS1'!U42,0)</f>
        <v>534.28376397020361</v>
      </c>
      <c r="V17" s="566">
        <f>IF(V8&gt;0,'TS1'!V42,0)</f>
        <v>545.66752794040724</v>
      </c>
      <c r="W17" s="566">
        <f>IF(W8&gt;0,'TS1'!W42,0)</f>
        <v>557.05129191061087</v>
      </c>
      <c r="X17" s="566">
        <f>IF(X8&gt;0,'TS1'!X42,0)</f>
        <v>568.4350558808145</v>
      </c>
      <c r="Y17" s="566">
        <f>IF(Y8&gt;0,'TS1'!Y42,0)</f>
        <v>579.81881985101813</v>
      </c>
      <c r="Z17" s="566">
        <f>IF(Z8&gt;0,'TS1'!Z42,0)</f>
        <v>591.20258382122176</v>
      </c>
      <c r="AA17" s="566">
        <f>IF(AA8&gt;0,'TS1'!AA42,0)</f>
        <v>602.5863477914254</v>
      </c>
      <c r="AB17" s="566">
        <f>IF(AB8&gt;0,'TS1'!AB42,0)</f>
        <v>613.97011176162903</v>
      </c>
      <c r="AC17" s="566">
        <f>IF(AC8&gt;0,'TS1'!AC42,0)</f>
        <v>625.35387573183266</v>
      </c>
      <c r="AD17" s="566">
        <f>IF(AD8&gt;0,'TS1'!AD42,0)</f>
        <v>636.73763970203629</v>
      </c>
      <c r="AE17" s="566">
        <f>IF(AE8&gt;0,'TS1'!AE42,0)</f>
        <v>648.12140367223992</v>
      </c>
      <c r="AF17" s="566">
        <f>IF(AF8&gt;0,'TS1'!AF42,0)</f>
        <v>698.3709669824749</v>
      </c>
      <c r="AG17" s="566">
        <f>IF(AG8&gt;0,'TS1'!AG42,0)</f>
        <v>698.3709669824749</v>
      </c>
      <c r="AH17" s="566">
        <f>IF(AH8&gt;0,'TS1'!AH42,0)</f>
        <v>698.3709669824749</v>
      </c>
      <c r="AI17" s="566">
        <f>IF(AI8&gt;0,'TS1'!AI42,0)</f>
        <v>698.3709669824749</v>
      </c>
      <c r="AJ17" s="566">
        <f>IF(AJ8&gt;0,'TS1'!AJ42,0)</f>
        <v>698.3709669824749</v>
      </c>
      <c r="AK17" s="566">
        <f>IF(AK8&gt;0,'TS1'!AK42,0)</f>
        <v>698.3709669824749</v>
      </c>
      <c r="AL17" s="133">
        <f>IF(AL8&gt;0,'TS1'!AL42,0)</f>
        <v>698.3709669824749</v>
      </c>
      <c r="AM17" s="133">
        <f>IF(AM8&gt;0,'TS1'!AM42,0)</f>
        <v>698.3709669824749</v>
      </c>
      <c r="AN17" s="133">
        <f>IF(AN8&gt;0,'TS1'!AN42,0)</f>
        <v>0</v>
      </c>
      <c r="AO17" s="133">
        <f>IF(AO8&gt;0,'TS1'!AO42,0)</f>
        <v>0</v>
      </c>
      <c r="AP17" s="133">
        <f>IF(AP8&gt;0,'TS1'!AP42,0)</f>
        <v>0</v>
      </c>
      <c r="AQ17" s="133">
        <f>IF(AQ8&gt;0,'TS1'!AQ42,0)</f>
        <v>0</v>
      </c>
      <c r="AR17" s="133">
        <f>IF(AR8&gt;0,'TS1'!AR42,0)</f>
        <v>0</v>
      </c>
      <c r="AS17" s="133">
        <f>IF(AS8&gt;0,'TS1'!AS42,0)</f>
        <v>0</v>
      </c>
      <c r="AT17" s="133">
        <f>IF(AT8&gt;0,'TS1'!AT42,0)</f>
        <v>0</v>
      </c>
      <c r="AU17" s="133">
        <f>IF(AU8&gt;0,'TS1'!AU42,0)</f>
        <v>0</v>
      </c>
      <c r="AV17" s="133">
        <f>IF(AV8&gt;0,'TS1'!AV42,0)</f>
        <v>0</v>
      </c>
      <c r="AW17" s="133">
        <f>IF(AW8&gt;0,'TS1'!AW42,0)</f>
        <v>0</v>
      </c>
      <c r="AX17" s="133">
        <f>IF(AX8&gt;0,'TS1'!AX42,0)</f>
        <v>0</v>
      </c>
      <c r="AY17" s="133">
        <f>IF(AY8&gt;0,'TS1'!AY42,0)</f>
        <v>0</v>
      </c>
      <c r="AZ17" s="133">
        <f>IF(AZ8&gt;0,'TS1'!AZ42,0)</f>
        <v>0</v>
      </c>
      <c r="BA17" s="133">
        <f>IF(BA8&gt;0,'TS1'!BA42,0)</f>
        <v>0</v>
      </c>
      <c r="BB17" s="133">
        <f>IF(BB8&gt;0,'TS1'!BB42,0)</f>
        <v>0</v>
      </c>
      <c r="BC17" s="133">
        <f>IF(BC8&gt;0,'TS1'!BC42,0)</f>
        <v>0</v>
      </c>
      <c r="BD17" s="133">
        <f>IF(BD8&gt;0,'TS1'!BD42,0)</f>
        <v>0</v>
      </c>
      <c r="BE17" s="133">
        <f>IF(BE8&gt;0,'TS1'!BE42,0)</f>
        <v>0</v>
      </c>
      <c r="BF17" s="133">
        <f>IF(BF8&gt;0,'TS1'!BF42,0)</f>
        <v>0</v>
      </c>
      <c r="BG17" s="133">
        <f>IF(BG8&gt;0,'TS1'!BG42,0)</f>
        <v>0</v>
      </c>
      <c r="BH17" s="133">
        <f>IF(BH8&gt;0,'TS1'!BH42,0)</f>
        <v>0</v>
      </c>
      <c r="BI17" s="133">
        <f>IF(BI8&gt;0,'TS1'!BI42,0)</f>
        <v>0</v>
      </c>
      <c r="BJ17" s="133">
        <f>IF(BJ8&gt;0,'TS1'!BJ42,0)</f>
        <v>0</v>
      </c>
      <c r="BK17" s="133">
        <f>IF(BK8&gt;0,'TS1'!BK42,0)</f>
        <v>0</v>
      </c>
      <c r="BL17" s="133">
        <f>IF(BL8&gt;0,'TS1'!BL42,0)</f>
        <v>0</v>
      </c>
      <c r="BM17" s="133">
        <f>IF(BM8&gt;0,'TS1'!BM42,0)</f>
        <v>0</v>
      </c>
    </row>
    <row r="18" spans="2:65" hidden="1" outlineLevel="1">
      <c r="B18" s="130" t="str">
        <f t="shared" si="5"/>
        <v>АПАРТАМЕНТЫ</v>
      </c>
      <c r="C18" s="28"/>
      <c r="D18" s="131" t="s">
        <v>481</v>
      </c>
      <c r="E18" s="132">
        <f t="shared" ref="E18:E23" si="6">IFERROR(E27/E9*1000,0)</f>
        <v>0</v>
      </c>
      <c r="F18" s="551">
        <f>IF(F9=0,,IF(F9&gt;0,IF(E18=0,'DB1'!$R$9*(1+'DB1'!$O$9),E18+'DB1'!$R$9*(100%-(1+'DB1'!$O$9))/SUMPRODUCT('TS1'!$F$45:$BM$45,'TS1'!$F$57:$BM$57)),))</f>
        <v>0</v>
      </c>
      <c r="G18" s="551">
        <f>IF(G9=0,,IF(G9&gt;0,IF(F18=0,'DB1'!$R$9*(1+'DB1'!$O$9),F18+'DB1'!$R$9*(100%-(1+'DB1'!$O$9))/SUMPRODUCT('TS1'!$F$45:$BM$45,'TS1'!$F$57:$BM$57)),))</f>
        <v>0</v>
      </c>
      <c r="H18" s="551">
        <f>IF(H9=0,,IF(H9&gt;0,IF(G18=0,'DB1'!$R$9*(1+'DB1'!$O$9),G18+'DB1'!$R$9*(100%-(1+'DB1'!$O$9))/SUMPRODUCT('TS1'!$F$45:$BM$45,'TS1'!$F$57:$BM$57)),))</f>
        <v>0</v>
      </c>
      <c r="I18" s="551">
        <f>IF(I9=0,,IF(I9&gt;0,IF(H18=0,'DB1'!$R$9*(1+'DB1'!$O$9),H18+'DB1'!$R$9*(100%-(1+'DB1'!$O$9))/SUMPRODUCT('TS1'!$F$45:$BM$45,'TS1'!$F$57:$BM$57)),))</f>
        <v>0</v>
      </c>
      <c r="J18" s="551">
        <f>IF(J9=0,,IF(J9&gt;0,IF(I18=0,'DB1'!$R$9*(1+'DB1'!$O$9),I18+'DB1'!$R$9*(100%-(1+'DB1'!$O$9))/SUMPRODUCT('TS1'!$F$45:$BM$45,'TS1'!$F$57:$BM$57)),))</f>
        <v>0</v>
      </c>
      <c r="K18" s="551">
        <f>IF(K9=0,,IF(K9&gt;0,IF(J18=0,'DB1'!$R$9*(1+'DB1'!$O$9),J18+'DB1'!$R$9*(100%-(1+'DB1'!$O$9))/SUMPRODUCT('TS1'!$F$45:$BM$45,'TS1'!$F$57:$BM$57)),))</f>
        <v>0</v>
      </c>
      <c r="L18" s="551">
        <f>IF(L9=0,,IF(L9&gt;0,IF(K18=0,'DB1'!$R$9*(1+'DB1'!$O$9),K18+'DB1'!$R$9*(100%-(1+'DB1'!$O$9))/SUMPRODUCT('TS1'!$F$45:$BM$45,'TS1'!$F$57:$BM$57)),))</f>
        <v>0</v>
      </c>
      <c r="M18" s="551">
        <f>IF(M9=0,,IF(M9&gt;0,IF(L18=0,'DB1'!$R$9*(1+'DB1'!$O$9),L18+'DB1'!$R$9*(100%-(1+'DB1'!$O$9))/SUMPRODUCT('TS1'!$F$45:$BM$45,'TS1'!$F$57:$BM$57)),))</f>
        <v>0</v>
      </c>
      <c r="N18" s="133">
        <f>IF(N9=0,,IF(N9&gt;0,IF(M18=0,'DB1'!$R$9*(1+'DB1'!$O$9),M18+'DB1'!$R$9*(100%-(1+'DB1'!$O$9))/SUMPRODUCT('TS1'!$F$45:$BM$45,'TS1'!$F$57:$BM$57)),))</f>
        <v>0</v>
      </c>
      <c r="O18" s="133">
        <f>IF(O9=0,,IF(O9&gt;0,IF(N18=0,'DB1'!$R$9*(1+'DB1'!$O$9),N18+'DB1'!$R$9*(100%-(1+'DB1'!$O$9))/SUMPRODUCT('TS1'!$F$45:$BM$45,'TS1'!$F$57:$BM$57)),))</f>
        <v>0</v>
      </c>
      <c r="P18" s="133">
        <f>IF(P9=0,,IF(P9&gt;0,IF(O18=0,'DB1'!$R$9*(1+'DB1'!$O$9),O18+'DB1'!$R$9*(100%-(1+'DB1'!$O$9))/SUMPRODUCT('TS1'!$F$45:$BM$45,'TS1'!$F$57:$BM$57)),))</f>
        <v>0</v>
      </c>
      <c r="Q18" s="133">
        <f>IF(Q9=0,,IF(Q9&gt;0,IF(P18=0,'DB1'!$R$9*(1+'DB1'!$O$9),P18+'DB1'!$R$9*(100%-(1+'DB1'!$O$9))/SUMPRODUCT('TS1'!$F$45:$BM$45,'TS1'!$F$57:$BM$57)),))</f>
        <v>0</v>
      </c>
      <c r="R18" s="133">
        <f>IF(R9=0,,IF(R9&gt;0,IF(Q18=0,'DB1'!$R$9*(1+'DB1'!$O$9),Q18+'DB1'!$R$9*(100%-(1+'DB1'!$O$9))/SUMPRODUCT('TS1'!$F$45:$BM$45,'TS1'!$F$57:$BM$57)),))</f>
        <v>0</v>
      </c>
      <c r="S18" s="133">
        <f>IF(S9=0,,IF(S9&gt;0,IF(R18=0,'DB1'!$R$9*(1+'DB1'!$O$9),R18+'DB1'!$R$9*(100%-(1+'DB1'!$O$9))/SUMPRODUCT('TS1'!$F$45:$BM$45,'TS1'!$F$57:$BM$57)),))</f>
        <v>0</v>
      </c>
      <c r="T18" s="133">
        <f>IF(T9=0,,IF(T9&gt;0,IF(S18=0,'DB1'!$R$9*(1+'DB1'!$O$9),S18+'DB1'!$R$9*(100%-(1+'DB1'!$O$9))/SUMPRODUCT('TS1'!$F$45:$BM$45,'TS1'!$F$57:$BM$57)),))</f>
        <v>0</v>
      </c>
      <c r="U18" s="133">
        <f>IF(U9=0,,IF(U9&gt;0,IF(T18=0,'DB1'!$R$9*(1+'DB1'!$O$9),T18+'DB1'!$R$9*(100%-(1+'DB1'!$O$9))/SUMPRODUCT('TS1'!$F$45:$BM$45,'TS1'!$F$57:$BM$57)),))</f>
        <v>0</v>
      </c>
      <c r="V18" s="133">
        <f>IF(V9=0,,IF(V9&gt;0,IF(U18=0,'DB1'!$R$9*(1+'DB1'!$O$9),U18+'DB1'!$R$9*(100%-(1+'DB1'!$O$9))/SUMPRODUCT('TS1'!$F$45:$BM$45,'TS1'!$F$57:$BM$57)),))</f>
        <v>0</v>
      </c>
      <c r="W18" s="133">
        <f>IF(W9=0,,IF(W9&gt;0,IF(V18=0,'DB1'!$R$9*(1+'DB1'!$O$9),V18+'DB1'!$R$9*(100%-(1+'DB1'!$O$9))/SUMPRODUCT('TS1'!$F$45:$BM$45,'TS1'!$F$57:$BM$57)),))</f>
        <v>0</v>
      </c>
      <c r="X18" s="133">
        <f>IF(X9=0,,IF(X9&gt;0,IF(W18=0,'DB1'!$R$9*(1+'DB1'!$O$9),W18+'DB1'!$R$9*(100%-(1+'DB1'!$O$9))/SUMPRODUCT('TS1'!$F$45:$BM$45,'TS1'!$F$57:$BM$57)),))</f>
        <v>0</v>
      </c>
      <c r="Y18" s="133">
        <f>IF(Y9=0,,IF(Y9&gt;0,IF(X18=0,'DB1'!$R$9*(1+'DB1'!$O$9),X18+'DB1'!$R$9*(100%-(1+'DB1'!$O$9))/SUMPRODUCT('TS1'!$F$45:$BM$45,'TS1'!$F$57:$BM$57)),))</f>
        <v>0</v>
      </c>
      <c r="Z18" s="133">
        <f>IF(Z9=0,,IF(Z9&gt;0,IF(Y18=0,'DB1'!$R$9*(1+'DB1'!$O$9),Y18+'DB1'!$R$9*(100%-(1+'DB1'!$O$9))/SUMPRODUCT('TS1'!$F$45:$BM$45,'TS1'!$F$57:$BM$57)),))</f>
        <v>0</v>
      </c>
      <c r="AA18" s="133">
        <f>IF(AA9=0,,IF(AA9&gt;0,IF(Z18=0,'DB1'!$R$9*(1+'DB1'!$O$9),Z18+'DB1'!$R$9*(100%-(1+'DB1'!$O$9))/SUMPRODUCT('TS1'!$F$45:$BM$45,'TS1'!$F$57:$BM$57)),))</f>
        <v>0</v>
      </c>
      <c r="AB18" s="133">
        <f>IF(AB9=0,,IF(AB9&gt;0,IF(AA18=0,'DB1'!$R$9*(1+'DB1'!$O$9),AA18+'DB1'!$R$9*(100%-(1+'DB1'!$O$9))/SUMPRODUCT('TS1'!$F$45:$BM$45,'TS1'!$F$57:$BM$57)),))</f>
        <v>0</v>
      </c>
      <c r="AC18" s="133">
        <f>IF(AC9=0,,IF(AC9&gt;0,IF(AB18=0,'DB1'!$R$9*(1+'DB1'!$O$9),AB18+'DB1'!$R$9*(100%-(1+'DB1'!$O$9))/SUMPRODUCT('TS1'!$F$45:$BM$45,'TS1'!$F$57:$BM$57)),))</f>
        <v>0</v>
      </c>
      <c r="AD18" s="133">
        <f>IF(AD9=0,,IF(AD9&gt;0,IF(AC18=0,'DB1'!$R$9*(1+'DB1'!$O$9),AC18+'DB1'!$R$9*(100%-(1+'DB1'!$O$9))/SUMPRODUCT('TS1'!$F$45:$BM$45,'TS1'!$F$57:$BM$57)),))</f>
        <v>0</v>
      </c>
      <c r="AE18" s="133">
        <f>IF(AE9=0,,IF(AE9&gt;0,IF(AD18=0,'DB1'!$R$9*(1+'DB1'!$O$9),AD18+'DB1'!$R$9*(100%-(1+'DB1'!$O$9))/SUMPRODUCT('TS1'!$F$45:$BM$45,'TS1'!$F$57:$BM$57)),))</f>
        <v>0</v>
      </c>
      <c r="AF18" s="133">
        <f>IF(AF9=0,,IF(AF9&gt;0,IF(AE18=0,'DB1'!$R$9*(1+'DB1'!$O$9),AE18+'DB1'!$R$9*(100%-(1+'DB1'!$O$9))/SUMPRODUCT('TS1'!$F$45:$BM$45,'TS1'!$F$57:$BM$57)),))</f>
        <v>0</v>
      </c>
      <c r="AG18" s="133">
        <f>IF(AG9=0,,IF(AG9&gt;0,IF(AF18=0,'DB1'!$R$9*(1+'DB1'!$O$9),AF18+'DB1'!$R$9*(100%-(1+'DB1'!$O$9))/SUMPRODUCT('TS1'!$F$45:$BM$45,'TS1'!$F$57:$BM$57)),))</f>
        <v>0</v>
      </c>
      <c r="AH18" s="133">
        <f>IF(AH9=0,,IF(AH9&gt;0,IF(AG18=0,'DB1'!$R$9*(1+'DB1'!$O$9),AG18+'DB1'!$R$9*(100%-(1+'DB1'!$O$9))/SUMPRODUCT('TS1'!$F$45:$BM$45,'TS1'!$F$57:$BM$57)),))</f>
        <v>0</v>
      </c>
      <c r="AI18" s="133">
        <f>IF(AI9=0,,IF(AI9&gt;0,IF(AH18=0,'DB1'!$R$9*(1+'DB1'!$O$9),AH18+'DB1'!$R$9*(100%-(1+'DB1'!$O$9))/SUMPRODUCT('TS1'!$F$45:$BM$45,'TS1'!$F$57:$BM$57)),))</f>
        <v>0</v>
      </c>
      <c r="AJ18" s="133">
        <f>IF(AJ9=0,,IF(AJ9&gt;0,IF(AI18=0,'DB1'!$R$9*(1+'DB1'!$O$9),AI18+'DB1'!$R$9*(100%-(1+'DB1'!$O$9))/SUMPRODUCT('TS1'!$F$45:$BM$45,'TS1'!$F$57:$BM$57)),))</f>
        <v>0</v>
      </c>
      <c r="AK18" s="133">
        <f>IF(AK9=0,,IF(AK9&gt;0,IF(AJ18=0,'DB1'!$R$9*(1+'DB1'!$O$9),AJ18+'DB1'!$R$9*(100%-(1+'DB1'!$O$9))/SUMPRODUCT('TS1'!$F$45:$BM$45,'TS1'!$F$57:$BM$57)),))</f>
        <v>0</v>
      </c>
      <c r="AL18" s="133">
        <f>IF(AL9=0,,IF(AL9&gt;0,IF(AK18=0,'DB1'!$R$9*(1+'DB1'!$O$9),AK18+'DB1'!$R$9*(100%-(1+'DB1'!$O$9))/SUMPRODUCT('TS1'!$F$45:$BM$45,'TS1'!$F$57:$BM$57)),))</f>
        <v>0</v>
      </c>
      <c r="AM18" s="133">
        <f>IF(AM9=0,,IF(AM9&gt;0,IF(AL18=0,'DB1'!$R$9*(1+'DB1'!$O$9),AL18+'DB1'!$R$9*(100%-(1+'DB1'!$O$9))/SUMPRODUCT('TS1'!$F$45:$BM$45,'TS1'!$F$57:$BM$57)),))</f>
        <v>0</v>
      </c>
      <c r="AN18" s="133">
        <f>IF(AN9=0,,IF(AN9&gt;0,IF(AM18=0,'DB1'!$R$9*(1+'DB1'!$O$9),AM18+'DB1'!$R$9*(100%-(1+'DB1'!$O$9))/SUMPRODUCT('TS1'!$F$45:$BM$45,'TS1'!$F$57:$BM$57)),))</f>
        <v>0</v>
      </c>
      <c r="AO18" s="133">
        <f>IF(AO9=0,,IF(AO9&gt;0,IF(AN18=0,'DB1'!$R$9*(1+'DB1'!$O$9),AN18+'DB1'!$R$9*(100%-(1+'DB1'!$O$9))/SUMPRODUCT('TS1'!$F$45:$BM$45,'TS1'!$F$57:$BM$57)),))</f>
        <v>0</v>
      </c>
      <c r="AP18" s="133">
        <f>IF(AP9=0,,IF(AP9&gt;0,IF(AO18=0,'DB1'!$R$9*(1+'DB1'!$O$9),AO18+'DB1'!$R$9*(100%-(1+'DB1'!$O$9))/SUMPRODUCT('TS1'!$F$45:$BM$45,'TS1'!$F$57:$BM$57)),))</f>
        <v>0</v>
      </c>
      <c r="AQ18" s="133">
        <f>IF(AQ9=0,,IF(AQ9&gt;0,IF(AP18=0,'DB1'!$R$9*(1+'DB1'!$O$9),AP18+'DB1'!$R$9*(100%-(1+'DB1'!$O$9))/SUMPRODUCT('TS1'!$F$45:$BM$45,'TS1'!$F$57:$BM$57)),))</f>
        <v>0</v>
      </c>
      <c r="AR18" s="133">
        <f>IF(AR9=0,,IF(AR9&gt;0,IF(AQ18=0,'DB1'!$R$9*(1+'DB1'!$O$9),AQ18+'DB1'!$R$9*(100%-(1+'DB1'!$O$9))/SUMPRODUCT('TS1'!$F$45:$BM$45,'TS1'!$F$57:$BM$57)),))</f>
        <v>0</v>
      </c>
      <c r="AS18" s="133">
        <f>IF(AS9=0,,IF(AS9&gt;0,IF(AR18=0,'DB1'!$R$9*(1+'DB1'!$O$9),AR18+'DB1'!$R$9*(100%-(1+'DB1'!$O$9))/SUMPRODUCT('TS1'!$F$45:$BM$45,'TS1'!$F$57:$BM$57)),))</f>
        <v>0</v>
      </c>
      <c r="AT18" s="133">
        <f>IF(AT9=0,,IF(AT9&gt;0,IF(AS18=0,'DB1'!$R$9*(1+'DB1'!$O$9),AS18+'DB1'!$R$9*(100%-(1+'DB1'!$O$9))/SUMPRODUCT('TS1'!$F$45:$BM$45,'TS1'!$F$57:$BM$57)),))</f>
        <v>0</v>
      </c>
      <c r="AU18" s="133">
        <f>IF(AU9=0,,IF(AU9&gt;0,IF(AT18=0,'DB1'!$R$9*(1+'DB1'!$O$9),AT18+'DB1'!$R$9*(100%-(1+'DB1'!$O$9))/SUMPRODUCT('TS1'!$F$45:$BM$45,'TS1'!$F$57:$BM$57)),))</f>
        <v>0</v>
      </c>
      <c r="AV18" s="133">
        <f>IF(AV9=0,,IF(AV9&gt;0,IF(AU18=0,'DB1'!$R$9*(1+'DB1'!$O$9),AU18+'DB1'!$R$9*(100%-(1+'DB1'!$O$9))/SUMPRODUCT('TS1'!$F$45:$BM$45,'TS1'!$F$57:$BM$57)),))</f>
        <v>0</v>
      </c>
      <c r="AW18" s="133">
        <f>IF(AW9=0,,IF(AW9&gt;0,IF(AV18=0,'DB1'!$R$9*(1+'DB1'!$O$9),AV18+'DB1'!$R$9*(100%-(1+'DB1'!$O$9))/SUMPRODUCT('TS1'!$F$45:$BM$45,'TS1'!$F$57:$BM$57)),))</f>
        <v>0</v>
      </c>
      <c r="AX18" s="133">
        <f>IF(AX9=0,,IF(AX9&gt;0,IF(AW18=0,'DB1'!$R$9*(1+'DB1'!$O$9),AW18+'DB1'!$R$9*(100%-(1+'DB1'!$O$9))/SUMPRODUCT('TS1'!$F$45:$BM$45,'TS1'!$F$57:$BM$57)),))</f>
        <v>0</v>
      </c>
      <c r="AY18" s="133">
        <f>IF(AY9=0,,IF(AY9&gt;0,IF(AX18=0,'DB1'!$R$9*(1+'DB1'!$O$9),AX18+'DB1'!$R$9*(100%-(1+'DB1'!$O$9))/SUMPRODUCT('TS1'!$F$45:$BM$45,'TS1'!$F$57:$BM$57)),))</f>
        <v>0</v>
      </c>
      <c r="AZ18" s="133">
        <f>IF(AZ9=0,,IF(AZ9&gt;0,IF(AY18=0,'DB1'!$R$9*(1+'DB1'!$O$9),AY18+'DB1'!$R$9*(100%-(1+'DB1'!$O$9))/SUMPRODUCT('TS1'!$F$45:$BM$45,'TS1'!$F$57:$BM$57)),))</f>
        <v>0</v>
      </c>
      <c r="BA18" s="133">
        <f>IF(BA9=0,,IF(BA9&gt;0,IF(AZ18=0,'DB1'!$R$9*(1+'DB1'!$O$9),AZ18+'DB1'!$R$9*(100%-(1+'DB1'!$O$9))/SUMPRODUCT('TS1'!$F$45:$BM$45,'TS1'!$F$57:$BM$57)),))</f>
        <v>0</v>
      </c>
      <c r="BB18" s="133">
        <f>IF(BB9=0,,IF(BB9&gt;0,IF(BA18=0,'DB1'!$R$9*(1+'DB1'!$O$9),BA18+'DB1'!$R$9*(100%-(1+'DB1'!$O$9))/SUMPRODUCT('TS1'!$F$45:$BM$45,'TS1'!$F$57:$BM$57)),))</f>
        <v>0</v>
      </c>
      <c r="BC18" s="133">
        <f>IF(BC9=0,,IF(BC9&gt;0,IF(BB18=0,'DB1'!$R$9*(1+'DB1'!$O$9),BB18+'DB1'!$R$9*(100%-(1+'DB1'!$O$9))/SUMPRODUCT('TS1'!$F$45:$BM$45,'TS1'!$F$57:$BM$57)),))</f>
        <v>0</v>
      </c>
      <c r="BD18" s="133">
        <f>IF(BD9=0,,IF(BD9&gt;0,IF(BC18=0,'DB1'!$R$9*(1+'DB1'!$O$9),BC18+'DB1'!$R$9*(100%-(1+'DB1'!$O$9))/SUMPRODUCT('TS1'!$F$45:$BM$45,'TS1'!$F$57:$BM$57)),))</f>
        <v>0</v>
      </c>
      <c r="BE18" s="133">
        <f>IF(BE9=0,,IF(BE9&gt;0,IF(BD18=0,'DB1'!$R$9*(1+'DB1'!$O$9),BD18+'DB1'!$R$9*(100%-(1+'DB1'!$O$9))/SUMPRODUCT('TS1'!$F$45:$BM$45,'TS1'!$F$57:$BM$57)),))</f>
        <v>0</v>
      </c>
      <c r="BF18" s="133">
        <f>IF(BF9=0,,IF(BF9&gt;0,IF(BE18=0,'DB1'!$R$9*(1+'DB1'!$O$9),BE18+'DB1'!$R$9*(100%-(1+'DB1'!$O$9))/SUMPRODUCT('TS1'!$F$45:$BM$45,'TS1'!$F$57:$BM$57)),))</f>
        <v>0</v>
      </c>
      <c r="BG18" s="133">
        <f>IF(BG9=0,,IF(BG9&gt;0,IF(BF18=0,'DB1'!$R$9*(1+'DB1'!$O$9),BF18+'DB1'!$R$9*(100%-(1+'DB1'!$O$9))/SUMPRODUCT('TS1'!$F$45:$BM$45,'TS1'!$F$57:$BM$57)),))</f>
        <v>0</v>
      </c>
      <c r="BH18" s="133">
        <f>IF(BH9=0,,IF(BH9&gt;0,IF(BG18=0,'DB1'!$R$9*(1+'DB1'!$O$9),BG18+'DB1'!$R$9*(100%-(1+'DB1'!$O$9))/SUMPRODUCT('TS1'!$F$45:$BM$45,'TS1'!$F$57:$BM$57)),))</f>
        <v>0</v>
      </c>
      <c r="BI18" s="133">
        <f>IF(BI9=0,,IF(BI9&gt;0,IF(BH18=0,'DB1'!$R$9*(1+'DB1'!$O$9),BH18+'DB1'!$R$9*(100%-(1+'DB1'!$O$9))/SUMPRODUCT('TS1'!$F$45:$BM$45,'TS1'!$F$57:$BM$57)),))</f>
        <v>0</v>
      </c>
      <c r="BJ18" s="133">
        <f>IF(BJ9=0,,IF(BJ9&gt;0,IF(BI18=0,'DB1'!$R$9*(1+'DB1'!$O$9),BI18+'DB1'!$R$9*(100%-(1+'DB1'!$O$9))/SUMPRODUCT('TS1'!$F$45:$BM$45,'TS1'!$F$57:$BM$57)),))</f>
        <v>0</v>
      </c>
      <c r="BK18" s="133">
        <f>IF(BK9=0,,IF(BK9&gt;0,IF(BJ18=0,'DB1'!$R$9*(1+'DB1'!$O$9),BJ18+'DB1'!$R$9*(100%-(1+'DB1'!$O$9))/SUMPRODUCT('TS1'!$F$45:$BM$45,'TS1'!$F$57:$BM$57)),))</f>
        <v>0</v>
      </c>
      <c r="BL18" s="133">
        <f>IF(BL9=0,,IF(BL9&gt;0,IF(BK18=0,'DB1'!$R$9*(1+'DB1'!$O$9),BK18+'DB1'!$R$9*(100%-(1+'DB1'!$O$9))/SUMPRODUCT('TS1'!$F$45:$BM$45,'TS1'!$F$57:$BM$57)),))</f>
        <v>0</v>
      </c>
      <c r="BM18" s="133">
        <f>IF(BM9=0,,IF(BM9&gt;0,IF(BL18=0,'DB1'!$R$9*(1+'DB1'!$O$9),BL18+'DB1'!$R$9*(100%-(1+'DB1'!$O$9))/SUMPRODUCT('TS1'!$F$45:$BM$45,'TS1'!$F$57:$BM$57)),))</f>
        <v>0</v>
      </c>
    </row>
    <row r="19" spans="2:65" hidden="1" outlineLevel="1">
      <c r="B19" s="130" t="str">
        <f t="shared" si="5"/>
        <v>ОФИСЫ</v>
      </c>
      <c r="C19" s="28"/>
      <c r="D19" s="131" t="s">
        <v>481</v>
      </c>
      <c r="E19" s="132">
        <f t="shared" si="6"/>
        <v>0</v>
      </c>
      <c r="F19" s="551">
        <f>IF(F10=0,,IF(F10&gt;0,IF(E19=0,'DB1'!$R$10*(1+'DB1'!$O$10),E19+'DB1'!$R$10*(100%-(1+'DB1'!$O$10))/SUMPRODUCT('TS1'!$F$47:$BM$47,'TS1'!$F$58:$BM$58)),))</f>
        <v>0</v>
      </c>
      <c r="G19" s="551">
        <f>IF(G10=0,,IF(G10&gt;0,IF(F19=0,'DB1'!$R$10*(1+'DB1'!$O$10),F19+'DB1'!$R$10*(100%-(1+'DB1'!$O$10))/SUMPRODUCT('TS1'!$F$47:$BM$47,'TS1'!$F$58:$BM$58)),))</f>
        <v>0</v>
      </c>
      <c r="H19" s="551">
        <f>IF(H10=0,,IF(H10&gt;0,IF(G19=0,'DB1'!$R$10*(1+'DB1'!$O$10),G19+'DB1'!$R$10*(100%-(1+'DB1'!$O$10))/SUMPRODUCT('TS1'!$F$47:$BM$47,'TS1'!$F$58:$BM$58)),))</f>
        <v>0</v>
      </c>
      <c r="I19" s="551">
        <f>IF(I10=0,,IF(I10&gt;0,IF(H19=0,'DB1'!$R$10*(1+'DB1'!$O$10),H19+'DB1'!$R$10*(100%-(1+'DB1'!$O$10))/SUMPRODUCT('TS1'!$F$47:$BM$47,'TS1'!$F$58:$BM$58)),))</f>
        <v>0</v>
      </c>
      <c r="J19" s="551">
        <f>IF(J10=0,,IF(J10&gt;0,IF(I19=0,'DB1'!$R$10*(1+'DB1'!$O$10),I19+'DB1'!$R$10*(100%-(1+'DB1'!$O$10))/SUMPRODUCT('TS1'!$F$47:$BM$47,'TS1'!$F$58:$BM$58)),))</f>
        <v>0</v>
      </c>
      <c r="K19" s="551">
        <f>IF(K10=0,,IF(K10&gt;0,IF(J19=0,'DB1'!$R$10*(1+'DB1'!$O$10),J19+'DB1'!$R$10*(100%-(1+'DB1'!$O$10))/SUMPRODUCT('TS1'!$F$47:$BM$47,'TS1'!$F$58:$BM$58)),))</f>
        <v>0</v>
      </c>
      <c r="L19" s="551">
        <f>IF(L10=0,,IF(L10&gt;0,IF(K19=0,'DB1'!$R$10*(1+'DB1'!$O$10),K19+'DB1'!$R$10*(100%-(1+'DB1'!$O$10))/SUMPRODUCT('TS1'!$F$47:$BM$47,'TS1'!$F$58:$BM$58)),))</f>
        <v>0</v>
      </c>
      <c r="M19" s="551">
        <f>IF(M10=0,,IF(M10&gt;0,IF(L19=0,'DB1'!$R$10*(1+'DB1'!$O$10),L19+'DB1'!$R$10*(100%-(1+'DB1'!$O$10))/SUMPRODUCT('TS1'!$F$47:$BM$47,'TS1'!$F$58:$BM$58)),))</f>
        <v>0</v>
      </c>
      <c r="N19" s="133">
        <f>IF(N10=0,,IF(N10&gt;0,IF(M19=0,'DB1'!$R$10*(1+'DB1'!$O$10),M19+'DB1'!$R$10*(100%-(1+'DB1'!$O$10))/SUMPRODUCT('TS1'!$F$47:$BM$47,'TS1'!$F$58:$BM$58)),))</f>
        <v>0</v>
      </c>
      <c r="O19" s="133">
        <f>IF(O10=0,,IF(O10&gt;0,IF(N19=0,'DB1'!$R$10*(1+'DB1'!$O$10),N19+'DB1'!$R$10*(100%-(1+'DB1'!$O$10))/SUMPRODUCT('TS1'!$F$47:$BM$47,'TS1'!$F$58:$BM$58)),))</f>
        <v>0</v>
      </c>
      <c r="P19" s="133">
        <f>IF(P10=0,,IF(P10&gt;0,IF(O19=0,'DB1'!$R$10*(1+'DB1'!$O$10),O19+'DB1'!$R$10*(100%-(1+'DB1'!$O$10))/SUMPRODUCT('TS1'!$F$47:$BM$47,'TS1'!$F$58:$BM$58)),))</f>
        <v>0</v>
      </c>
      <c r="Q19" s="133">
        <f>IF(Q10=0,,IF(Q10&gt;0,IF(P19=0,'DB1'!$R$10*(1+'DB1'!$O$10),P19+'DB1'!$R$10*(100%-(1+'DB1'!$O$10))/SUMPRODUCT('TS1'!$F$47:$BM$47,'TS1'!$F$58:$BM$58)),))</f>
        <v>0</v>
      </c>
      <c r="R19" s="133">
        <f>IF(R10=0,,IF(R10&gt;0,IF(Q19=0,'DB1'!$R$10*(1+'DB1'!$O$10),Q19+'DB1'!$R$10*(100%-(1+'DB1'!$O$10))/SUMPRODUCT('TS1'!$F$47:$BM$47,'TS1'!$F$58:$BM$58)),))</f>
        <v>0</v>
      </c>
      <c r="S19" s="133">
        <f>IF(S10=0,,IF(S10&gt;0,IF(R19=0,'DB1'!$R$10*(1+'DB1'!$O$10),R19+'DB1'!$R$10*(100%-(1+'DB1'!$O$10))/SUMPRODUCT('TS1'!$F$47:$BM$47,'TS1'!$F$58:$BM$58)),))</f>
        <v>0</v>
      </c>
      <c r="T19" s="133">
        <f>IF(T10=0,,IF(T10&gt;0,IF(S19=0,'DB1'!$R$10*(1+'DB1'!$O$10),S19+'DB1'!$R$10*(100%-(1+'DB1'!$O$10))/SUMPRODUCT('TS1'!$F$47:$BM$47,'TS1'!$F$58:$BM$58)),))</f>
        <v>0</v>
      </c>
      <c r="U19" s="133">
        <f>IF(U10=0,,IF(U10&gt;0,IF(T19=0,'DB1'!$R$10*(1+'DB1'!$O$10),T19+'DB1'!$R$10*(100%-(1+'DB1'!$O$10))/SUMPRODUCT('TS1'!$F$47:$BM$47,'TS1'!$F$58:$BM$58)),))</f>
        <v>0</v>
      </c>
      <c r="V19" s="133">
        <f>IF(V10=0,,IF(V10&gt;0,IF(U19=0,'DB1'!$R$10*(1+'DB1'!$O$10),U19+'DB1'!$R$10*(100%-(1+'DB1'!$O$10))/SUMPRODUCT('TS1'!$F$47:$BM$47,'TS1'!$F$58:$BM$58)),))</f>
        <v>0</v>
      </c>
      <c r="W19" s="133">
        <f>IF(W10=0,,IF(W10&gt;0,IF(V19=0,'DB1'!$R$10*(1+'DB1'!$O$10),V19+'DB1'!$R$10*(100%-(1+'DB1'!$O$10))/SUMPRODUCT('TS1'!$F$47:$BM$47,'TS1'!$F$58:$BM$58)),))</f>
        <v>0</v>
      </c>
      <c r="X19" s="133">
        <f>IF(X10=0,,IF(X10&gt;0,IF(W19=0,'DB1'!$R$10*(1+'DB1'!$O$10),W19+'DB1'!$R$10*(100%-(1+'DB1'!$O$10))/SUMPRODUCT('TS1'!$F$47:$BM$47,'TS1'!$F$58:$BM$58)),))</f>
        <v>0</v>
      </c>
      <c r="Y19" s="133">
        <f>IF(Y10=0,,IF(Y10&gt;0,IF(X19=0,'DB1'!$R$10*(1+'DB1'!$O$10),X19+'DB1'!$R$10*(100%-(1+'DB1'!$O$10))/SUMPRODUCT('TS1'!$F$47:$BM$47,'TS1'!$F$58:$BM$58)),))</f>
        <v>0</v>
      </c>
      <c r="Z19" s="133">
        <f>IF(Z10=0,,IF(Z10&gt;0,IF(Y19=0,'DB1'!$R$10*(1+'DB1'!$O$10),Y19+'DB1'!$R$10*(100%-(1+'DB1'!$O$10))/SUMPRODUCT('TS1'!$F$47:$BM$47,'TS1'!$F$58:$BM$58)),))</f>
        <v>0</v>
      </c>
      <c r="AA19" s="133">
        <f>IF(AA10=0,,IF(AA10&gt;0,IF(Z19=0,'DB1'!$R$10*(1+'DB1'!$O$10),Z19+'DB1'!$R$10*(100%-(1+'DB1'!$O$10))/SUMPRODUCT('TS1'!$F$47:$BM$47,'TS1'!$F$58:$BM$58)),))</f>
        <v>0</v>
      </c>
      <c r="AB19" s="133">
        <f>IF(AB10=0,,IF(AB10&gt;0,IF(AA19=0,'DB1'!$R$10*(1+'DB1'!$O$10),AA19+'DB1'!$R$10*(100%-(1+'DB1'!$O$10))/SUMPRODUCT('TS1'!$F$47:$BM$47,'TS1'!$F$58:$BM$58)),))</f>
        <v>0</v>
      </c>
      <c r="AC19" s="133">
        <f>IF(AC10=0,,IF(AC10&gt;0,IF(AB19=0,'DB1'!$R$10*(1+'DB1'!$O$10),AB19+'DB1'!$R$10*(100%-(1+'DB1'!$O$10))/SUMPRODUCT('TS1'!$F$47:$BM$47,'TS1'!$F$58:$BM$58)),))</f>
        <v>0</v>
      </c>
      <c r="AD19" s="133">
        <f>IF(AD10=0,,IF(AD10&gt;0,IF(AC19=0,'DB1'!$R$10*(1+'DB1'!$O$10),AC19+'DB1'!$R$10*(100%-(1+'DB1'!$O$10))/SUMPRODUCT('TS1'!$F$47:$BM$47,'TS1'!$F$58:$BM$58)),))</f>
        <v>0</v>
      </c>
      <c r="AE19" s="133">
        <f>IF(AE10=0,,IF(AE10&gt;0,IF(AD19=0,'DB1'!$R$10*(1+'DB1'!$O$10),AD19+'DB1'!$R$10*(100%-(1+'DB1'!$O$10))/SUMPRODUCT('TS1'!$F$47:$BM$47,'TS1'!$F$58:$BM$58)),))</f>
        <v>0</v>
      </c>
      <c r="AF19" s="133">
        <f>IF(AF10=0,,IF(AF10&gt;0,IF(AE19=0,'DB1'!$R$10*(1+'DB1'!$O$10),AE19+'DB1'!$R$10*(100%-(1+'DB1'!$O$10))/SUMPRODUCT('TS1'!$F$47:$BM$47,'TS1'!$F$58:$BM$58)),))</f>
        <v>0</v>
      </c>
      <c r="AG19" s="133">
        <f>IF(AG10=0,,IF(AG10&gt;0,IF(AF19=0,'DB1'!$R$10*(1+'DB1'!$O$10),AF19+'DB1'!$R$10*(100%-(1+'DB1'!$O$10))/SUMPRODUCT('TS1'!$F$47:$BM$47,'TS1'!$F$58:$BM$58)),))</f>
        <v>0</v>
      </c>
      <c r="AH19" s="133">
        <f>IF(AH10=0,,IF(AH10&gt;0,IF(AG19=0,'DB1'!$R$10*(1+'DB1'!$O$10),AG19+'DB1'!$R$10*(100%-(1+'DB1'!$O$10))/SUMPRODUCT('TS1'!$F$47:$BM$47,'TS1'!$F$58:$BM$58)),))</f>
        <v>0</v>
      </c>
      <c r="AI19" s="133">
        <f>IF(AI10=0,,IF(AI10&gt;0,IF(AH19=0,'DB1'!$R$10*(1+'DB1'!$O$10),AH19+'DB1'!$R$10*(100%-(1+'DB1'!$O$10))/SUMPRODUCT('TS1'!$F$47:$BM$47,'TS1'!$F$58:$BM$58)),))</f>
        <v>0</v>
      </c>
      <c r="AJ19" s="133">
        <f>IF(AJ10=0,,IF(AJ10&gt;0,IF(AI19=0,'DB1'!$R$10*(1+'DB1'!$O$10),AI19+'DB1'!$R$10*(100%-(1+'DB1'!$O$10))/SUMPRODUCT('TS1'!$F$47:$BM$47,'TS1'!$F$58:$BM$58)),))</f>
        <v>0</v>
      </c>
      <c r="AK19" s="133">
        <f>IF(AK10=0,,IF(AK10&gt;0,IF(AJ19=0,'DB1'!$R$10*(1+'DB1'!$O$10),AJ19+'DB1'!$R$10*(100%-(1+'DB1'!$O$10))/SUMPRODUCT('TS1'!$F$47:$BM$47,'TS1'!$F$58:$BM$58)),))</f>
        <v>0</v>
      </c>
      <c r="AL19" s="133">
        <f>IF(AL10=0,,IF(AL10&gt;0,IF(AK19=0,'DB1'!$R$10*(1+'DB1'!$O$10),AK19+'DB1'!$R$10*(100%-(1+'DB1'!$O$10))/SUMPRODUCT('TS1'!$F$47:$BM$47,'TS1'!$F$58:$BM$58)),))</f>
        <v>0</v>
      </c>
      <c r="AM19" s="133">
        <f>IF(AM10=0,,IF(AM10&gt;0,IF(AL19=0,'DB1'!$R$10*(1+'DB1'!$O$10),AL19+'DB1'!$R$10*(100%-(1+'DB1'!$O$10))/SUMPRODUCT('TS1'!$F$47:$BM$47,'TS1'!$F$58:$BM$58)),))</f>
        <v>0</v>
      </c>
      <c r="AN19" s="133">
        <f>IF(AN10=0,,IF(AN10&gt;0,IF(AM19=0,'DB1'!$R$10*(1+'DB1'!$O$10),AM19+'DB1'!$R$10*(100%-(1+'DB1'!$O$10))/SUMPRODUCT('TS1'!$F$47:$BM$47,'TS1'!$F$58:$BM$58)),))</f>
        <v>0</v>
      </c>
      <c r="AO19" s="133">
        <f>IF(AO10=0,,IF(AO10&gt;0,IF(AN19=0,'DB1'!$R$10*(1+'DB1'!$O$10),AN19+'DB1'!$R$10*(100%-(1+'DB1'!$O$10))/SUMPRODUCT('TS1'!$F$47:$BM$47,'TS1'!$F$58:$BM$58)),))</f>
        <v>0</v>
      </c>
      <c r="AP19" s="133">
        <f>IF(AP10=0,,IF(AP10&gt;0,IF(AO19=0,'DB1'!$R$10*(1+'DB1'!$O$10),AO19+'DB1'!$R$10*(100%-(1+'DB1'!$O$10))/SUMPRODUCT('TS1'!$F$47:$BM$47,'TS1'!$F$58:$BM$58)),))</f>
        <v>0</v>
      </c>
      <c r="AQ19" s="133">
        <f>IF(AQ10=0,,IF(AQ10&gt;0,IF(AP19=0,'DB1'!$R$10*(1+'DB1'!$O$10),AP19+'DB1'!$R$10*(100%-(1+'DB1'!$O$10))/SUMPRODUCT('TS1'!$F$47:$BM$47,'TS1'!$F$58:$BM$58)),))</f>
        <v>0</v>
      </c>
      <c r="AR19" s="133">
        <f>IF(AR10=0,,IF(AR10&gt;0,IF(AQ19=0,'DB1'!$R$10*(1+'DB1'!$O$10),AQ19+'DB1'!$R$10*(100%-(1+'DB1'!$O$10))/SUMPRODUCT('TS1'!$F$47:$BM$47,'TS1'!$F$58:$BM$58)),))</f>
        <v>0</v>
      </c>
      <c r="AS19" s="133">
        <f>IF(AS10=0,,IF(AS10&gt;0,IF(AR19=0,'DB1'!$R$10*(1+'DB1'!$O$10),AR19+'DB1'!$R$10*(100%-(1+'DB1'!$O$10))/SUMPRODUCT('TS1'!$F$47:$BM$47,'TS1'!$F$58:$BM$58)),))</f>
        <v>0</v>
      </c>
      <c r="AT19" s="133">
        <f>IF(AT10=0,,IF(AT10&gt;0,IF(AS19=0,'DB1'!$R$10*(1+'DB1'!$O$10),AS19+'DB1'!$R$10*(100%-(1+'DB1'!$O$10))/SUMPRODUCT('TS1'!$F$47:$BM$47,'TS1'!$F$58:$BM$58)),))</f>
        <v>0</v>
      </c>
      <c r="AU19" s="133">
        <f>IF(AU10=0,,IF(AU10&gt;0,IF(AT19=0,'DB1'!$R$10*(1+'DB1'!$O$10),AT19+'DB1'!$R$10*(100%-(1+'DB1'!$O$10))/SUMPRODUCT('TS1'!$F$47:$BM$47,'TS1'!$F$58:$BM$58)),))</f>
        <v>0</v>
      </c>
      <c r="AV19" s="133">
        <f>IF(AV10=0,,IF(AV10&gt;0,IF(AU19=0,'DB1'!$R$10*(1+'DB1'!$O$10),AU19+'DB1'!$R$10*(100%-(1+'DB1'!$O$10))/SUMPRODUCT('TS1'!$F$47:$BM$47,'TS1'!$F$58:$BM$58)),))</f>
        <v>0</v>
      </c>
      <c r="AW19" s="133">
        <f>IF(AW10=0,,IF(AW10&gt;0,IF(AV19=0,'DB1'!$R$10*(1+'DB1'!$O$10),AV19+'DB1'!$R$10*(100%-(1+'DB1'!$O$10))/SUMPRODUCT('TS1'!$F$47:$BM$47,'TS1'!$F$58:$BM$58)),))</f>
        <v>0</v>
      </c>
      <c r="AX19" s="133">
        <f>IF(AX10=0,,IF(AX10&gt;0,IF(AW19=0,'DB1'!$R$10*(1+'DB1'!$O$10),AW19+'DB1'!$R$10*(100%-(1+'DB1'!$O$10))/SUMPRODUCT('TS1'!$F$47:$BM$47,'TS1'!$F$58:$BM$58)),))</f>
        <v>0</v>
      </c>
      <c r="AY19" s="133">
        <f>IF(AY10=0,,IF(AY10&gt;0,IF(AX19=0,'DB1'!$R$10*(1+'DB1'!$O$10),AX19+'DB1'!$R$10*(100%-(1+'DB1'!$O$10))/SUMPRODUCT('TS1'!$F$47:$BM$47,'TS1'!$F$58:$BM$58)),))</f>
        <v>0</v>
      </c>
      <c r="AZ19" s="133">
        <f>IF(AZ10=0,,IF(AZ10&gt;0,IF(AY19=0,'DB1'!$R$10*(1+'DB1'!$O$10),AY19+'DB1'!$R$10*(100%-(1+'DB1'!$O$10))/SUMPRODUCT('TS1'!$F$47:$BM$47,'TS1'!$F$58:$BM$58)),))</f>
        <v>0</v>
      </c>
      <c r="BA19" s="133">
        <f>IF(BA10=0,,IF(BA10&gt;0,IF(AZ19=0,'DB1'!$R$10*(1+'DB1'!$O$10),AZ19+'DB1'!$R$10*(100%-(1+'DB1'!$O$10))/SUMPRODUCT('TS1'!$F$47:$BM$47,'TS1'!$F$58:$BM$58)),))</f>
        <v>0</v>
      </c>
      <c r="BB19" s="133">
        <f>IF(BB10=0,,IF(BB10&gt;0,IF(BA19=0,'DB1'!$R$10*(1+'DB1'!$O$10),BA19+'DB1'!$R$10*(100%-(1+'DB1'!$O$10))/SUMPRODUCT('TS1'!$F$47:$BM$47,'TS1'!$F$58:$BM$58)),))</f>
        <v>0</v>
      </c>
      <c r="BC19" s="133">
        <f>IF(BC10=0,,IF(BC10&gt;0,IF(BB19=0,'DB1'!$R$10*(1+'DB1'!$O$10),BB19+'DB1'!$R$10*(100%-(1+'DB1'!$O$10))/SUMPRODUCT('TS1'!$F$47:$BM$47,'TS1'!$F$58:$BM$58)),))</f>
        <v>0</v>
      </c>
      <c r="BD19" s="133">
        <f>IF(BD10=0,,IF(BD10&gt;0,IF(BC19=0,'DB1'!$R$10*(1+'DB1'!$O$10),BC19+'DB1'!$R$10*(100%-(1+'DB1'!$O$10))/SUMPRODUCT('TS1'!$F$47:$BM$47,'TS1'!$F$58:$BM$58)),))</f>
        <v>0</v>
      </c>
      <c r="BE19" s="133">
        <f>IF(BE10=0,,IF(BE10&gt;0,IF(BD19=0,'DB1'!$R$10*(1+'DB1'!$O$10),BD19+'DB1'!$R$10*(100%-(1+'DB1'!$O$10))/SUMPRODUCT('TS1'!$F$47:$BM$47,'TS1'!$F$58:$BM$58)),))</f>
        <v>0</v>
      </c>
      <c r="BF19" s="133">
        <f>IF(BF10=0,,IF(BF10&gt;0,IF(BE19=0,'DB1'!$R$10*(1+'DB1'!$O$10),BE19+'DB1'!$R$10*(100%-(1+'DB1'!$O$10))/SUMPRODUCT('TS1'!$F$47:$BM$47,'TS1'!$F$58:$BM$58)),))</f>
        <v>0</v>
      </c>
      <c r="BG19" s="133">
        <f>IF(BG10=0,,IF(BG10&gt;0,IF(BF19=0,'DB1'!$R$10*(1+'DB1'!$O$10),BF19+'DB1'!$R$10*(100%-(1+'DB1'!$O$10))/SUMPRODUCT('TS1'!$F$47:$BM$47,'TS1'!$F$58:$BM$58)),))</f>
        <v>0</v>
      </c>
      <c r="BH19" s="133">
        <f>IF(BH10=0,,IF(BH10&gt;0,IF(BG19=0,'DB1'!$R$10*(1+'DB1'!$O$10),BG19+'DB1'!$R$10*(100%-(1+'DB1'!$O$10))/SUMPRODUCT('TS1'!$F$47:$BM$47,'TS1'!$F$58:$BM$58)),))</f>
        <v>0</v>
      </c>
      <c r="BI19" s="133">
        <f>IF(BI10=0,,IF(BI10&gt;0,IF(BH19=0,'DB1'!$R$10*(1+'DB1'!$O$10),BH19+'DB1'!$R$10*(100%-(1+'DB1'!$O$10))/SUMPRODUCT('TS1'!$F$47:$BM$47,'TS1'!$F$58:$BM$58)),))</f>
        <v>0</v>
      </c>
      <c r="BJ19" s="133">
        <f>IF(BJ10=0,,IF(BJ10&gt;0,IF(BI19=0,'DB1'!$R$10*(1+'DB1'!$O$10),BI19+'DB1'!$R$10*(100%-(1+'DB1'!$O$10))/SUMPRODUCT('TS1'!$F$47:$BM$47,'TS1'!$F$58:$BM$58)),))</f>
        <v>0</v>
      </c>
      <c r="BK19" s="133">
        <f>IF(BK10=0,,IF(BK10&gt;0,IF(BJ19=0,'DB1'!$R$10*(1+'DB1'!$O$10),BJ19+'DB1'!$R$10*(100%-(1+'DB1'!$O$10))/SUMPRODUCT('TS1'!$F$47:$BM$47,'TS1'!$F$58:$BM$58)),))</f>
        <v>0</v>
      </c>
      <c r="BL19" s="133">
        <f>IF(BL10=0,,IF(BL10&gt;0,IF(BK19=0,'DB1'!$R$10*(1+'DB1'!$O$10),BK19+'DB1'!$R$10*(100%-(1+'DB1'!$O$10))/SUMPRODUCT('TS1'!$F$47:$BM$47,'TS1'!$F$58:$BM$58)),))</f>
        <v>0</v>
      </c>
      <c r="BM19" s="133">
        <f>IF(BM10=0,,IF(BM10&gt;0,IF(BL19=0,'DB1'!$R$10*(1+'DB1'!$O$10),BL19+'DB1'!$R$10*(100%-(1+'DB1'!$O$10))/SUMPRODUCT('TS1'!$F$47:$BM$47,'TS1'!$F$58:$BM$58)),))</f>
        <v>0</v>
      </c>
    </row>
    <row r="20" spans="2:65" outlineLevel="1">
      <c r="B20" s="130" t="str">
        <f t="shared" si="5"/>
        <v>РИТЕЙЛ</v>
      </c>
      <c r="C20" s="28"/>
      <c r="D20" s="131" t="s">
        <v>481</v>
      </c>
      <c r="E20" s="132">
        <f t="shared" si="6"/>
        <v>700.00000000000011</v>
      </c>
      <c r="F20" s="551">
        <f>IF(F11&gt;0,'DB1'!$R$11,0)</f>
        <v>0</v>
      </c>
      <c r="G20" s="551">
        <f>IF(G11&gt;0,'DB1'!$R$11,0)</f>
        <v>0</v>
      </c>
      <c r="H20" s="551">
        <f>IF(H11&gt;0,'DB1'!$R$11,0)</f>
        <v>0</v>
      </c>
      <c r="I20" s="551">
        <f>IF(I11&gt;0,'DB1'!$R$11,0)</f>
        <v>0</v>
      </c>
      <c r="J20" s="551">
        <f>IF(J11&gt;0,'DB1'!$R$11,0)</f>
        <v>0</v>
      </c>
      <c r="K20" s="551">
        <f>IF(K11&gt;0,'DB1'!$R$11,0)</f>
        <v>0</v>
      </c>
      <c r="L20" s="551">
        <f>IF(L11&gt;0,'DB1'!$R$11,0)</f>
        <v>0</v>
      </c>
      <c r="M20" s="551">
        <f>IF(M11&gt;0,'DB1'!$R$11,0)</f>
        <v>0</v>
      </c>
      <c r="N20" s="133">
        <f>IF(N11&gt;0,'DB1'!$R$11,0)</f>
        <v>0</v>
      </c>
      <c r="O20" s="133">
        <f>IF(O11&gt;0,'DB1'!$R$11,0)</f>
        <v>0</v>
      </c>
      <c r="P20" s="133">
        <f>IF(P11&gt;0,'DB1'!$R$11,0)</f>
        <v>0</v>
      </c>
      <c r="Q20" s="133">
        <f>IF(Q11&gt;0,'DB1'!$R$11,0)</f>
        <v>0</v>
      </c>
      <c r="R20" s="133">
        <f>IF(R11&gt;0,'DB1'!$R$11,0)</f>
        <v>0</v>
      </c>
      <c r="S20" s="133">
        <f>IF(S11&gt;0,'DB1'!$R$11,0)</f>
        <v>0</v>
      </c>
      <c r="T20" s="133">
        <f>IF(T11&gt;0,'DB1'!$R$11,0)</f>
        <v>0</v>
      </c>
      <c r="U20" s="133">
        <f>IF(U11&gt;0,'DB1'!$R$11,0)</f>
        <v>0</v>
      </c>
      <c r="V20" s="133">
        <f>IF(V11&gt;0,'DB1'!$R$11,0)</f>
        <v>0</v>
      </c>
      <c r="W20" s="133">
        <f>IF(W11&gt;0,'DB1'!$R$11,0)</f>
        <v>0</v>
      </c>
      <c r="X20" s="133">
        <f>IF(X11&gt;0,'DB1'!$R$11,0)</f>
        <v>0</v>
      </c>
      <c r="Y20" s="133">
        <f>IF(Y11&gt;0,'DB1'!$R$11,0)</f>
        <v>0</v>
      </c>
      <c r="Z20" s="133">
        <f>IF(Z11&gt;0,'DB1'!$R$11,0)</f>
        <v>0</v>
      </c>
      <c r="AA20" s="133">
        <f>IF(AA11&gt;0,'DB1'!$R$11,0)</f>
        <v>0</v>
      </c>
      <c r="AB20" s="133">
        <f>IF(AB11&gt;0,'DB1'!$R$11,0)</f>
        <v>0</v>
      </c>
      <c r="AC20" s="133">
        <f>IF(AC11&gt;0,'DB1'!$R$11,0)</f>
        <v>0</v>
      </c>
      <c r="AD20" s="133">
        <f>IF(AD11&gt;0,'DB1'!$R$11,0)</f>
        <v>0</v>
      </c>
      <c r="AE20" s="133">
        <f>IF(AE11&gt;0,'DB1'!$R$11,0)</f>
        <v>0</v>
      </c>
      <c r="AF20" s="133">
        <f>IF(AF11&gt;0,'DB1'!$R$11,0)</f>
        <v>0</v>
      </c>
      <c r="AG20" s="133">
        <f>IF(AG11&gt;0,'DB1'!$R$11,0)</f>
        <v>700</v>
      </c>
      <c r="AH20" s="133">
        <f>IF(AH11&gt;0,'DB1'!$R$11,0)</f>
        <v>700</v>
      </c>
      <c r="AI20" s="133">
        <f>IF(AI11&gt;0,'DB1'!$R$11,0)</f>
        <v>0</v>
      </c>
      <c r="AJ20" s="133">
        <f>IF(AJ11&gt;0,'DB1'!$R$11,0)</f>
        <v>0</v>
      </c>
      <c r="AK20" s="133">
        <f>IF(AK11&gt;0,'DB1'!$R$11,0)</f>
        <v>0</v>
      </c>
      <c r="AL20" s="133">
        <f>IF(AL11&gt;0,'DB1'!$R$11,0)</f>
        <v>0</v>
      </c>
      <c r="AM20" s="133">
        <f>IF(AM11&gt;0,'DB1'!$R$11,0)</f>
        <v>0</v>
      </c>
      <c r="AN20" s="133">
        <f>IF(AN11&gt;0,'DB1'!$R$11,0)</f>
        <v>0</v>
      </c>
      <c r="AO20" s="133">
        <f>IF(AO11&gt;0,'DB1'!$R$11,0)</f>
        <v>0</v>
      </c>
      <c r="AP20" s="133">
        <f>IF(AP11&gt;0,'DB1'!$R$11,0)</f>
        <v>0</v>
      </c>
      <c r="AQ20" s="133">
        <f>IF(AQ11&gt;0,'DB1'!$R$11,0)</f>
        <v>0</v>
      </c>
      <c r="AR20" s="133">
        <f>IF(AR11&gt;0,'DB1'!$R$11,0)</f>
        <v>0</v>
      </c>
      <c r="AS20" s="133">
        <f>IF(AS11&gt;0,'DB1'!$R$11,0)</f>
        <v>0</v>
      </c>
      <c r="AT20" s="133">
        <f>IF(AT11&gt;0,'DB1'!$R$11,0)</f>
        <v>0</v>
      </c>
      <c r="AU20" s="133">
        <f>IF(AU11&gt;0,'DB1'!$R$11,0)</f>
        <v>0</v>
      </c>
      <c r="AV20" s="133">
        <f>IF(AV11&gt;0,'DB1'!$R$11,0)</f>
        <v>0</v>
      </c>
      <c r="AW20" s="133">
        <f>IF(AW11&gt;0,'DB1'!$R$11,0)</f>
        <v>0</v>
      </c>
      <c r="AX20" s="133">
        <f>IF(AX11&gt;0,'DB1'!$R$11,0)</f>
        <v>0</v>
      </c>
      <c r="AY20" s="133">
        <f>IF(AY11&gt;0,'DB1'!$R$11,0)</f>
        <v>0</v>
      </c>
      <c r="AZ20" s="133">
        <f>IF(AZ11&gt;0,'DB1'!$R$11,0)</f>
        <v>0</v>
      </c>
      <c r="BA20" s="133">
        <f>IF(BA11&gt;0,'DB1'!$R$11,0)</f>
        <v>0</v>
      </c>
      <c r="BB20" s="133">
        <f>IF(BB11&gt;0,'DB1'!$R$11,0)</f>
        <v>0</v>
      </c>
      <c r="BC20" s="133">
        <f>IF(BC11&gt;0,'DB1'!$R$11,0)</f>
        <v>0</v>
      </c>
      <c r="BD20" s="133">
        <f>IF(BD11&gt;0,'DB1'!$R$11,0)</f>
        <v>0</v>
      </c>
      <c r="BE20" s="133">
        <f>IF(BE11&gt;0,'DB1'!$R$11,0)</f>
        <v>0</v>
      </c>
      <c r="BF20" s="133">
        <f>IF(BF11&gt;0,'DB1'!$R$11,0)</f>
        <v>0</v>
      </c>
      <c r="BG20" s="133">
        <f>IF(BG11&gt;0,'DB1'!$R$11,0)</f>
        <v>0</v>
      </c>
      <c r="BH20" s="133">
        <f>IF(BH11&gt;0,'DB1'!$R$11,0)</f>
        <v>0</v>
      </c>
      <c r="BI20" s="133">
        <f>IF(BI11&gt;0,'DB1'!$R$11,0)</f>
        <v>0</v>
      </c>
      <c r="BJ20" s="133">
        <f>IF(BJ11&gt;0,'DB1'!$R$11,0)</f>
        <v>0</v>
      </c>
      <c r="BK20" s="133">
        <f>IF(BK11&gt;0,'DB1'!$R$11,0)</f>
        <v>0</v>
      </c>
      <c r="BL20" s="133">
        <f>IF(BL11&gt;0,'DB1'!$R$11,0)</f>
        <v>0</v>
      </c>
      <c r="BM20" s="133">
        <f>IF(BM11&gt;0,'DB1'!$R$11,0)</f>
        <v>0</v>
      </c>
    </row>
    <row r="21" spans="2:65" hidden="1" outlineLevel="1">
      <c r="B21" s="130" t="str">
        <f t="shared" si="5"/>
        <v>ТЦ</v>
      </c>
      <c r="C21" s="28"/>
      <c r="D21" s="131" t="s">
        <v>481</v>
      </c>
      <c r="E21" s="132">
        <f t="shared" si="6"/>
        <v>0</v>
      </c>
      <c r="F21" s="551">
        <f>IF(F12&gt;0,'DB1'!$R$12,0)</f>
        <v>0</v>
      </c>
      <c r="G21" s="551">
        <f>IF(G12&gt;0,'DB1'!$R$12,0)</f>
        <v>0</v>
      </c>
      <c r="H21" s="551">
        <f>IF(H12&gt;0,'DB1'!$R$12,0)</f>
        <v>0</v>
      </c>
      <c r="I21" s="551">
        <f>IF(I12&gt;0,'DB1'!$R$12,0)</f>
        <v>0</v>
      </c>
      <c r="J21" s="551">
        <f>IF(J12&gt;0,'DB1'!$R$12,0)</f>
        <v>0</v>
      </c>
      <c r="K21" s="551">
        <f>IF(K12&gt;0,'DB1'!$R$12,0)</f>
        <v>0</v>
      </c>
      <c r="L21" s="551">
        <f>IF(L12&gt;0,'DB1'!$R$12,0)</f>
        <v>0</v>
      </c>
      <c r="M21" s="551">
        <f>IF(M12&gt;0,'DB1'!$R$12,0)</f>
        <v>0</v>
      </c>
      <c r="N21" s="133">
        <f>IF(N12&gt;0,'DB1'!$R$12,0)</f>
        <v>0</v>
      </c>
      <c r="O21" s="133">
        <f>IF(O12&gt;0,'DB1'!$R$12,0)</f>
        <v>0</v>
      </c>
      <c r="P21" s="133">
        <f>IF(P12&gt;0,'DB1'!$R$12,0)</f>
        <v>0</v>
      </c>
      <c r="Q21" s="133">
        <f>IF(Q12&gt;0,'DB1'!$R$12,0)</f>
        <v>0</v>
      </c>
      <c r="R21" s="133">
        <f>IF(R12&gt;0,'DB1'!$R$12,0)</f>
        <v>0</v>
      </c>
      <c r="S21" s="133">
        <f>IF(S12&gt;0,'DB1'!$R$12,0)</f>
        <v>0</v>
      </c>
      <c r="T21" s="133">
        <f>IF(T12&gt;0,'DB1'!$R$12,0)</f>
        <v>0</v>
      </c>
      <c r="U21" s="133">
        <f>IF(U12&gt;0,'DB1'!$R$12,0)</f>
        <v>0</v>
      </c>
      <c r="V21" s="133">
        <f>IF(V12&gt;0,'DB1'!$R$12,0)</f>
        <v>0</v>
      </c>
      <c r="W21" s="133">
        <f>IF(W12&gt;0,'DB1'!$R$12,0)</f>
        <v>0</v>
      </c>
      <c r="X21" s="133">
        <f>IF(X12&gt;0,'DB1'!$R$12,0)</f>
        <v>0</v>
      </c>
      <c r="Y21" s="133">
        <f>IF(Y12&gt;0,'DB1'!$R$12,0)</f>
        <v>0</v>
      </c>
      <c r="Z21" s="133">
        <f>IF(Z12&gt;0,'DB1'!$R$12,0)</f>
        <v>0</v>
      </c>
      <c r="AA21" s="133">
        <f>IF(AA12&gt;0,'DB1'!$R$12,0)</f>
        <v>0</v>
      </c>
      <c r="AB21" s="133">
        <f>IF(AB12&gt;0,'DB1'!$R$12,0)</f>
        <v>0</v>
      </c>
      <c r="AC21" s="133">
        <f>IF(AC12&gt;0,'DB1'!$R$12,0)</f>
        <v>0</v>
      </c>
      <c r="AD21" s="133">
        <f>IF(AD12&gt;0,'DB1'!$R$12,0)</f>
        <v>0</v>
      </c>
      <c r="AE21" s="133">
        <f>IF(AE12&gt;0,'DB1'!$R$12,0)</f>
        <v>0</v>
      </c>
      <c r="AF21" s="133">
        <f>IF(AF12&gt;0,'DB1'!$R$12,0)</f>
        <v>0</v>
      </c>
      <c r="AG21" s="133">
        <f>IF(AG12&gt;0,'DB1'!$R$12,0)</f>
        <v>0</v>
      </c>
      <c r="AH21" s="133">
        <f>IF(AH12&gt;0,'DB1'!$R$12,0)</f>
        <v>0</v>
      </c>
      <c r="AI21" s="133">
        <f>IF(AI12&gt;0,'DB1'!$R$12,0)</f>
        <v>0</v>
      </c>
      <c r="AJ21" s="133">
        <f>IF(AJ12&gt;0,'DB1'!$R$12,0)</f>
        <v>0</v>
      </c>
      <c r="AK21" s="133">
        <f>IF(AK12&gt;0,'DB1'!$R$12,0)</f>
        <v>0</v>
      </c>
      <c r="AL21" s="133">
        <f>IF(AL12&gt;0,'DB1'!$R$12,0)</f>
        <v>0</v>
      </c>
      <c r="AM21" s="133">
        <f>IF(AM12&gt;0,'DB1'!$R$12,0)</f>
        <v>0</v>
      </c>
      <c r="AN21" s="133">
        <f>IF(AN12&gt;0,'DB1'!$R$12,0)</f>
        <v>0</v>
      </c>
      <c r="AO21" s="133">
        <f>IF(AO12&gt;0,'DB1'!$R$12,0)</f>
        <v>0</v>
      </c>
      <c r="AP21" s="133">
        <f>IF(AP12&gt;0,'DB1'!$R$12,0)</f>
        <v>0</v>
      </c>
      <c r="AQ21" s="133">
        <f>IF(AQ12&gt;0,'DB1'!$R$12,0)</f>
        <v>0</v>
      </c>
      <c r="AR21" s="133">
        <f>IF(AR12&gt;0,'DB1'!$R$12,0)</f>
        <v>0</v>
      </c>
      <c r="AS21" s="133">
        <f>IF(AS12&gt;0,'DB1'!$R$12,0)</f>
        <v>0</v>
      </c>
      <c r="AT21" s="133">
        <f>IF(AT12&gt;0,'DB1'!$R$12,0)</f>
        <v>0</v>
      </c>
      <c r="AU21" s="133">
        <f>IF(AU12&gt;0,'DB1'!$R$12,0)</f>
        <v>0</v>
      </c>
      <c r="AV21" s="133">
        <f>IF(AV12&gt;0,'DB1'!$R$12,0)</f>
        <v>0</v>
      </c>
      <c r="AW21" s="133">
        <f>IF(AW12&gt;0,'DB1'!$R$12,0)</f>
        <v>0</v>
      </c>
      <c r="AX21" s="133">
        <f>IF(AX12&gt;0,'DB1'!$R$12,0)</f>
        <v>0</v>
      </c>
      <c r="AY21" s="133">
        <f>IF(AY12&gt;0,'DB1'!$R$12,0)</f>
        <v>0</v>
      </c>
      <c r="AZ21" s="133">
        <f>IF(AZ12&gt;0,'DB1'!$R$12,0)</f>
        <v>0</v>
      </c>
      <c r="BA21" s="133">
        <f>IF(BA12&gt;0,'DB1'!$R$12,0)</f>
        <v>0</v>
      </c>
      <c r="BB21" s="133">
        <f>IF(BB12&gt;0,'DB1'!$R$12,0)</f>
        <v>0</v>
      </c>
      <c r="BC21" s="133">
        <f>IF(BC12&gt;0,'DB1'!$R$12,0)</f>
        <v>0</v>
      </c>
      <c r="BD21" s="133">
        <f>IF(BD12&gt;0,'DB1'!$R$12,0)</f>
        <v>0</v>
      </c>
      <c r="BE21" s="133">
        <f>IF(BE12&gt;0,'DB1'!$R$12,0)</f>
        <v>0</v>
      </c>
      <c r="BF21" s="133">
        <f>IF(BF12&gt;0,'DB1'!$R$12,0)</f>
        <v>0</v>
      </c>
      <c r="BG21" s="133">
        <f>IF(BG12&gt;0,'DB1'!$R$12,0)</f>
        <v>0</v>
      </c>
      <c r="BH21" s="133">
        <f>IF(BH12&gt;0,'DB1'!$R$12,0)</f>
        <v>0</v>
      </c>
      <c r="BI21" s="133">
        <f>IF(BI12&gt;0,'DB1'!$R$12,0)</f>
        <v>0</v>
      </c>
      <c r="BJ21" s="133">
        <f>IF(BJ12&gt;0,'DB1'!$R$12,0)</f>
        <v>0</v>
      </c>
      <c r="BK21" s="133">
        <f>IF(BK12&gt;0,'DB1'!$R$12,0)</f>
        <v>0</v>
      </c>
      <c r="BL21" s="133">
        <f>IF(BL12&gt;0,'DB1'!$R$12,0)</f>
        <v>0</v>
      </c>
      <c r="BM21" s="133">
        <f>IF(BM12&gt;0,'DB1'!$R$12,0)</f>
        <v>0</v>
      </c>
    </row>
    <row r="22" spans="2:65" outlineLevel="1">
      <c r="B22" s="130" t="str">
        <f t="shared" si="5"/>
        <v>ПАРКИНГ ЖИЛЬЕ</v>
      </c>
      <c r="C22" s="28"/>
      <c r="D22" s="131" t="s">
        <v>481</v>
      </c>
      <c r="E22" s="132">
        <f t="shared" si="6"/>
        <v>4500</v>
      </c>
      <c r="F22" s="551">
        <f>IF(F13=0,,IF(F13&gt;0,IF(E22=0,'DB1'!$R$16*(1+'DB1'!$O$16),E22+'DB1'!$R$16*(100%-(1+'DB1'!$O$16))/SUMPRODUCT('TS1'!$F$53:$BM$53,'TS1'!$F$56:$BM$56)),))</f>
        <v>0</v>
      </c>
      <c r="G22" s="551">
        <f>IF(G13=0,,IF(G13&gt;0,IF(F22=0,'DB1'!$R$16*(1+'DB1'!$O$16),F22+'DB1'!$R$16*(100%-(1+'DB1'!$O$16))/SUMPRODUCT('TS1'!$F$53:$BM$53,'TS1'!$F$56:$BM$56)),))</f>
        <v>0</v>
      </c>
      <c r="H22" s="551">
        <f>IF(H13=0,,IF(H13&gt;0,IF(G22=0,'DB1'!$R$16*(1+'DB1'!$O$16),G22+'DB1'!$R$16*(100%-(1+'DB1'!$O$16))/SUMPRODUCT('TS1'!$F$53:$BM$53,'TS1'!$F$56:$BM$56)),))</f>
        <v>0</v>
      </c>
      <c r="I22" s="551">
        <f>IF(I13=0,,IF(I13&gt;0,IF(H22=0,'DB1'!$R$16*(1+'DB1'!$O$16),H22+'DB1'!$R$16*(100%-(1+'DB1'!$O$16))/SUMPRODUCT('TS1'!$F$53:$BM$53,'TS1'!$F$56:$BM$56)),))</f>
        <v>0</v>
      </c>
      <c r="J22" s="551">
        <f>IF(J13=0,,IF(J13&gt;0,IF(I22=0,'DB1'!$R$16*(1+'DB1'!$O$16),I22+'DB1'!$R$16*(100%-(1+'DB1'!$O$16))/SUMPRODUCT('TS1'!$F$53:$BM$53,'TS1'!$F$56:$BM$56)),))</f>
        <v>0</v>
      </c>
      <c r="K22" s="551">
        <f>IF(K13=0,,IF(K13&gt;0,IF(J22=0,'DB1'!$R$16*(1+'DB1'!$O$16),J22+'DB1'!$R$16*(100%-(1+'DB1'!$O$16))/SUMPRODUCT('TS1'!$F$53:$BM$53,'TS1'!$F$56:$BM$56)),))</f>
        <v>0</v>
      </c>
      <c r="L22" s="551">
        <f>IF(L13=0,,IF(L13&gt;0,IF(K22=0,'DB1'!$R$16*(1+'DB1'!$O$16),K22+'DB1'!$R$16*(100%-(1+'DB1'!$O$16))/SUMPRODUCT('TS1'!$F$53:$BM$53,'TS1'!$F$56:$BM$56)),))</f>
        <v>0</v>
      </c>
      <c r="M22" s="551">
        <f>IF(M13=0,,IF(M13&gt;0,IF(L22=0,'DB1'!$R$16*(1+'DB1'!$O$16),L22+'DB1'!$R$16*(100%-(1+'DB1'!$O$16))/SUMPRODUCT('TS1'!$F$53:$BM$53,'TS1'!$F$56:$BM$56)),))</f>
        <v>0</v>
      </c>
      <c r="N22" s="133">
        <f>IF(N13=0,,IF(N13&gt;0,IF(M22=0,'DB1'!$R$16*(1+'DB1'!$O$16),M22+'DB1'!$R$16*(100%-(1+'DB1'!$O$16))/SUMPRODUCT('TS1'!$F$53:$BM$53,'TS1'!$F$56:$BM$56)),))</f>
        <v>0</v>
      </c>
      <c r="O22" s="133">
        <f>IF(O13=0,,IF(O13&gt;0,IF(N22=0,'DB1'!$R$16*(1+'DB1'!$O$16),N22+'DB1'!$R$16*(100%-(1+'DB1'!$O$16))/SUMPRODUCT('TS1'!$F$53:$BM$53,'TS1'!$F$56:$BM$56)),))</f>
        <v>0</v>
      </c>
      <c r="P22" s="133">
        <f>IF(P13=0,,IF(P13&gt;0,IF(O22=0,'DB1'!$R$16*(1+'DB1'!$O$16),O22+'DB1'!$R$16*(100%-(1+'DB1'!$O$16))/SUMPRODUCT('TS1'!$F$53:$BM$53,'TS1'!$F$56:$BM$56)),))</f>
        <v>0</v>
      </c>
      <c r="Q22" s="133">
        <f>IF(Q13=0,,IF(Q13&gt;0,IF(P22=0,'DB1'!$R$16*(1+'DB1'!$O$16),P22+'DB1'!$R$16*(100%-(1+'DB1'!$O$16))/SUMPRODUCT('TS1'!$F$53:$BM$53,'TS1'!$F$56:$BM$56)),))</f>
        <v>0</v>
      </c>
      <c r="R22" s="133">
        <f>IF(R13=0,,IF(R13&gt;0,IF(Q22=0,'DB1'!$R$16*(1+'DB1'!$O$16),Q22+'DB1'!$R$16*(100%-(1+'DB1'!$O$16))/SUMPRODUCT('TS1'!$F$53:$BM$53,'TS1'!$F$56:$BM$56)),))</f>
        <v>0</v>
      </c>
      <c r="S22" s="133">
        <f>IF(S13=0,,IF(S13&gt;0,IF(R22=0,'DB1'!$R$16*(1+'DB1'!$O$16),R22+'DB1'!$R$16*(100%-(1+'DB1'!$O$16))/SUMPRODUCT('TS1'!$F$53:$BM$53,'TS1'!$F$56:$BM$56)),))</f>
        <v>0</v>
      </c>
      <c r="T22" s="133">
        <f>IF(T13=0,,IF(T13&gt;0,IF(S22=0,'DB1'!$R$16*(1+'DB1'!$O$16),S22+'DB1'!$R$16*(100%-(1+'DB1'!$O$16))/SUMPRODUCT('TS1'!$F$53:$BM$53,'TS1'!$F$56:$BM$56)),))</f>
        <v>4500</v>
      </c>
      <c r="U22" s="133">
        <f>IF(U13=0,,IF(U13&gt;0,IF(T22=0,'DB1'!$R$16*(1+'DB1'!$O$16),T22+'DB1'!$R$16*(100%-(1+'DB1'!$O$16))/SUMPRODUCT('TS1'!$F$53:$BM$53,'TS1'!$F$56:$BM$56)),))</f>
        <v>4500</v>
      </c>
      <c r="V22" s="133">
        <f>IF(V13=0,,IF(V13&gt;0,IF(U22=0,'DB1'!$R$16*(1+'DB1'!$O$16),U22+'DB1'!$R$16*(100%-(1+'DB1'!$O$16))/SUMPRODUCT('TS1'!$F$53:$BM$53,'TS1'!$F$56:$BM$56)),))</f>
        <v>4500</v>
      </c>
      <c r="W22" s="133">
        <f>IF(W13=0,,IF(W13&gt;0,IF(V22=0,'DB1'!$R$16*(1+'DB1'!$O$16),V22+'DB1'!$R$16*(100%-(1+'DB1'!$O$16))/SUMPRODUCT('TS1'!$F$53:$BM$53,'TS1'!$F$56:$BM$56)),))</f>
        <v>4500</v>
      </c>
      <c r="X22" s="133">
        <f>IF(X13=0,,IF(X13&gt;0,IF(W22=0,'DB1'!$R$16*(1+'DB1'!$O$16),W22+'DB1'!$R$16*(100%-(1+'DB1'!$O$16))/SUMPRODUCT('TS1'!$F$53:$BM$53,'TS1'!$F$56:$BM$56)),))</f>
        <v>4500</v>
      </c>
      <c r="Y22" s="133">
        <f>IF(Y13=0,,IF(Y13&gt;0,IF(X22=0,'DB1'!$R$16*(1+'DB1'!$O$16),X22+'DB1'!$R$16*(100%-(1+'DB1'!$O$16))/SUMPRODUCT('TS1'!$F$53:$BM$53,'TS1'!$F$56:$BM$56)),))</f>
        <v>4500</v>
      </c>
      <c r="Z22" s="133">
        <f>IF(Z13=0,,IF(Z13&gt;0,IF(Y22=0,'DB1'!$R$16*(1+'DB1'!$O$16),Y22+'DB1'!$R$16*(100%-(1+'DB1'!$O$16))/SUMPRODUCT('TS1'!$F$53:$BM$53,'TS1'!$F$56:$BM$56)),))</f>
        <v>4500</v>
      </c>
      <c r="AA22" s="133">
        <f>IF(AA13=0,,IF(AA13&gt;0,IF(Z22=0,'DB1'!$R$16*(1+'DB1'!$O$16),Z22+'DB1'!$R$16*(100%-(1+'DB1'!$O$16))/SUMPRODUCT('TS1'!$F$53:$BM$53,'TS1'!$F$56:$BM$56)),))</f>
        <v>4500</v>
      </c>
      <c r="AB22" s="133">
        <f>IF(AB13=0,,IF(AB13&gt;0,IF(AA22=0,'DB1'!$R$16*(1+'DB1'!$O$16),AA22+'DB1'!$R$16*(100%-(1+'DB1'!$O$16))/SUMPRODUCT('TS1'!$F$53:$BM$53,'TS1'!$F$56:$BM$56)),))</f>
        <v>4500</v>
      </c>
      <c r="AC22" s="133">
        <f>IF(AC13=0,,IF(AC13&gt;0,IF(AB22=0,'DB1'!$R$16*(1+'DB1'!$O$16),AB22+'DB1'!$R$16*(100%-(1+'DB1'!$O$16))/SUMPRODUCT('TS1'!$F$53:$BM$53,'TS1'!$F$56:$BM$56)),))</f>
        <v>4500</v>
      </c>
      <c r="AD22" s="133">
        <f>IF(AD13=0,,IF(AD13&gt;0,IF(AC22=0,'DB1'!$R$16*(1+'DB1'!$O$16),AC22+'DB1'!$R$16*(100%-(1+'DB1'!$O$16))/SUMPRODUCT('TS1'!$F$53:$BM$53,'TS1'!$F$56:$BM$56)),))</f>
        <v>4500</v>
      </c>
      <c r="AE22" s="133">
        <f>IF(AE13=0,,IF(AE13&gt;0,IF(AD22=0,'DB1'!$R$16*(1+'DB1'!$O$16),AD22+'DB1'!$R$16*(100%-(1+'DB1'!$O$16))/SUMPRODUCT('TS1'!$F$53:$BM$53,'TS1'!$F$56:$BM$56)),))</f>
        <v>4500</v>
      </c>
      <c r="AF22" s="133">
        <f>IF(AF13=0,,IF(AF13&gt;0,IF(AE22=0,'DB1'!$R$16*(1+'DB1'!$O$16),AE22+'DB1'!$R$16*(100%-(1+'DB1'!$O$16))/SUMPRODUCT('TS1'!$F$53:$BM$53,'TS1'!$F$56:$BM$56)),))</f>
        <v>4500</v>
      </c>
      <c r="AG22" s="133">
        <f>IF(AG13=0,,IF(AG13&gt;0,IF(AF22=0,'DB1'!$R$16*(1+'DB1'!$O$16),AF22+'DB1'!$R$16*(100%-(1+'DB1'!$O$16))/SUMPRODUCT('TS1'!$F$53:$BM$53,'TS1'!$F$56:$BM$56)),))</f>
        <v>4500</v>
      </c>
      <c r="AH22" s="133">
        <f>IF(AH13=0,,IF(AH13&gt;0,IF(AG22=0,'DB1'!$R$16*(1+'DB1'!$O$16),AG22+'DB1'!$R$16*(100%-(1+'DB1'!$O$16))/SUMPRODUCT('TS1'!$F$53:$BM$53,'TS1'!$F$56:$BM$56)),))</f>
        <v>4500</v>
      </c>
      <c r="AI22" s="133">
        <f>IF(AI13=0,,IF(AI13&gt;0,IF(AH22=0,'DB1'!$R$16*(1+'DB1'!$O$16),AH22+'DB1'!$R$16*(100%-(1+'DB1'!$O$16))/SUMPRODUCT('TS1'!$F$53:$BM$53,'TS1'!$F$56:$BM$56)),))</f>
        <v>4500</v>
      </c>
      <c r="AJ22" s="133">
        <f>IF(AJ13=0,,IF(AJ13&gt;0,IF(AI22=0,'DB1'!$R$16*(1+'DB1'!$O$16),AI22+'DB1'!$R$16*(100%-(1+'DB1'!$O$16))/SUMPRODUCT('TS1'!$F$53:$BM$53,'TS1'!$F$56:$BM$56)),))</f>
        <v>4500</v>
      </c>
      <c r="AK22" s="133">
        <f>IF(AK13=0,,IF(AK13&gt;0,IF(AJ22=0,'DB1'!$R$16*(1+'DB1'!$O$16),AJ22+'DB1'!$R$16*(100%-(1+'DB1'!$O$16))/SUMPRODUCT('TS1'!$F$53:$BM$53,'TS1'!$F$56:$BM$56)),))</f>
        <v>4500</v>
      </c>
      <c r="AL22" s="133">
        <f>IF(AL13=0,,IF(AL13&gt;0,IF(AK22=0,'DB1'!$R$16*(1+'DB1'!$O$16),AK22+'DB1'!$R$16*(100%-(1+'DB1'!$O$16))/SUMPRODUCT('TS1'!$F$53:$BM$53,'TS1'!$F$56:$BM$56)),))</f>
        <v>4500</v>
      </c>
      <c r="AM22" s="133">
        <f>IF(AM13=0,,IF(AM13&gt;0,IF(AL22=0,'DB1'!$R$16*(1+'DB1'!$O$16),AL22+'DB1'!$R$16*(100%-(1+'DB1'!$O$16))/SUMPRODUCT('TS1'!$F$53:$BM$53,'TS1'!$F$56:$BM$56)),))</f>
        <v>4500</v>
      </c>
      <c r="AN22" s="133">
        <f>IF(AN13=0,,IF(AN13&gt;0,IF(AM22=0,'DB1'!$R$16*(1+'DB1'!$O$16),AM22+'DB1'!$R$16*(100%-(1+'DB1'!$O$16))/SUMPRODUCT('TS1'!$F$53:$BM$53,'TS1'!$F$56:$BM$56)),))</f>
        <v>0</v>
      </c>
      <c r="AO22" s="133">
        <f>IF(AO13=0,,IF(AO13&gt;0,IF(AN22=0,'DB1'!$R$16*(1+'DB1'!$O$16),AN22+'DB1'!$R$16*(100%-(1+'DB1'!$O$16))/SUMPRODUCT('TS1'!$F$53:$BM$53,'TS1'!$F$56:$BM$56)),))</f>
        <v>0</v>
      </c>
      <c r="AP22" s="133">
        <f>IF(AP13=0,,IF(AP13&gt;0,IF(AO22=0,'DB1'!$R$16*(1+'DB1'!$O$16),AO22+'DB1'!$R$16*(100%-(1+'DB1'!$O$16))/SUMPRODUCT('TS1'!$F$53:$BM$53,'TS1'!$F$56:$BM$56)),))</f>
        <v>0</v>
      </c>
      <c r="AQ22" s="133">
        <f>IF(AQ13=0,,IF(AQ13&gt;0,IF(AP22=0,'DB1'!$R$16*(1+'DB1'!$O$16),AP22+'DB1'!$R$16*(100%-(1+'DB1'!$O$16))/SUMPRODUCT('TS1'!$F$53:$BM$53,'TS1'!$F$56:$BM$56)),))</f>
        <v>0</v>
      </c>
      <c r="AR22" s="133">
        <f>IF(AR13=0,,IF(AR13&gt;0,IF(AQ22=0,'DB1'!$R$16*(1+'DB1'!$O$16),AQ22+'DB1'!$R$16*(100%-(1+'DB1'!$O$16))/SUMPRODUCT('TS1'!$F$53:$BM$53,'TS1'!$F$56:$BM$56)),))</f>
        <v>0</v>
      </c>
      <c r="AS22" s="133">
        <f>IF(AS13=0,,IF(AS13&gt;0,IF(AR22=0,'DB1'!$R$16*(1+'DB1'!$O$16),AR22+'DB1'!$R$16*(100%-(1+'DB1'!$O$16))/SUMPRODUCT('TS1'!$F$53:$BM$53,'TS1'!$F$56:$BM$56)),))</f>
        <v>0</v>
      </c>
      <c r="AT22" s="133">
        <f>IF(AT13=0,,IF(AT13&gt;0,IF(AS22=0,'DB1'!$R$16*(1+'DB1'!$O$16),AS22+'DB1'!$R$16*(100%-(1+'DB1'!$O$16))/SUMPRODUCT('TS1'!$F$53:$BM$53,'TS1'!$F$56:$BM$56)),))</f>
        <v>0</v>
      </c>
      <c r="AU22" s="133">
        <f>IF(AU13=0,,IF(AU13&gt;0,IF(AT22=0,'DB1'!$R$16*(1+'DB1'!$O$16),AT22+'DB1'!$R$16*(100%-(1+'DB1'!$O$16))/SUMPRODUCT('TS1'!$F$53:$BM$53,'TS1'!$F$56:$BM$56)),))</f>
        <v>0</v>
      </c>
      <c r="AV22" s="133">
        <f>IF(AV13=0,,IF(AV13&gt;0,IF(AU22=0,'DB1'!$R$16*(1+'DB1'!$O$16),AU22+'DB1'!$R$16*(100%-(1+'DB1'!$O$16))/SUMPRODUCT('TS1'!$F$53:$BM$53,'TS1'!$F$56:$BM$56)),))</f>
        <v>0</v>
      </c>
      <c r="AW22" s="133">
        <f>IF(AW13=0,,IF(AW13&gt;0,IF(AV22=0,'DB1'!$R$16*(1+'DB1'!$O$16),AV22+'DB1'!$R$16*(100%-(1+'DB1'!$O$16))/SUMPRODUCT('TS1'!$F$53:$BM$53,'TS1'!$F$56:$BM$56)),))</f>
        <v>0</v>
      </c>
      <c r="AX22" s="133">
        <f>IF(AX13=0,,IF(AX13&gt;0,IF(AW22=0,'DB1'!$R$16*(1+'DB1'!$O$16),AW22+'DB1'!$R$16*(100%-(1+'DB1'!$O$16))/SUMPRODUCT('TS1'!$F$53:$BM$53,'TS1'!$F$56:$BM$56)),))</f>
        <v>0</v>
      </c>
      <c r="AY22" s="133">
        <f>IF(AY13=0,,IF(AY13&gt;0,IF(AX22=0,'DB1'!$R$16*(1+'DB1'!$O$16),AX22+'DB1'!$R$16*(100%-(1+'DB1'!$O$16))/SUMPRODUCT('TS1'!$F$53:$BM$53,'TS1'!$F$56:$BM$56)),))</f>
        <v>0</v>
      </c>
      <c r="AZ22" s="133">
        <f>IF(AZ13=0,,IF(AZ13&gt;0,IF(AY22=0,'DB1'!$R$16*(1+'DB1'!$O$16),AY22+'DB1'!$R$16*(100%-(1+'DB1'!$O$16))/SUMPRODUCT('TS1'!$F$53:$BM$53,'TS1'!$F$56:$BM$56)),))</f>
        <v>0</v>
      </c>
      <c r="BA22" s="133">
        <f>IF(BA13=0,,IF(BA13&gt;0,IF(AZ22=0,'DB1'!$R$16*(1+'DB1'!$O$16),AZ22+'DB1'!$R$16*(100%-(1+'DB1'!$O$16))/SUMPRODUCT('TS1'!$F$53:$BM$53,'TS1'!$F$56:$BM$56)),))</f>
        <v>0</v>
      </c>
      <c r="BB22" s="133">
        <f>IF(BB13=0,,IF(BB13&gt;0,IF(BA22=0,'DB1'!$R$16*(1+'DB1'!$O$16),BA22+'DB1'!$R$16*(100%-(1+'DB1'!$O$16))/SUMPRODUCT('TS1'!$F$53:$BM$53,'TS1'!$F$56:$BM$56)),))</f>
        <v>0</v>
      </c>
      <c r="BC22" s="133">
        <f>IF(BC13=0,,IF(BC13&gt;0,IF(BB22=0,'DB1'!$R$16*(1+'DB1'!$O$16),BB22+'DB1'!$R$16*(100%-(1+'DB1'!$O$16))/SUMPRODUCT('TS1'!$F$53:$BM$53,'TS1'!$F$56:$BM$56)),))</f>
        <v>0</v>
      </c>
      <c r="BD22" s="133">
        <f>IF(BD13=0,,IF(BD13&gt;0,IF(BC22=0,'DB1'!$R$16*(1+'DB1'!$O$16),BC22+'DB1'!$R$16*(100%-(1+'DB1'!$O$16))/SUMPRODUCT('TS1'!$F$53:$BM$53,'TS1'!$F$56:$BM$56)),))</f>
        <v>0</v>
      </c>
      <c r="BE22" s="133">
        <f>IF(BE13=0,,IF(BE13&gt;0,IF(BD22=0,'DB1'!$R$16*(1+'DB1'!$O$16),BD22+'DB1'!$R$16*(100%-(1+'DB1'!$O$16))/SUMPRODUCT('TS1'!$F$53:$BM$53,'TS1'!$F$56:$BM$56)),))</f>
        <v>0</v>
      </c>
      <c r="BF22" s="133">
        <f>IF(BF13=0,,IF(BF13&gt;0,IF(BE22=0,'DB1'!$R$16*(1+'DB1'!$O$16),BE22+'DB1'!$R$16*(100%-(1+'DB1'!$O$16))/SUMPRODUCT('TS1'!$F$53:$BM$53,'TS1'!$F$56:$BM$56)),))</f>
        <v>0</v>
      </c>
      <c r="BG22" s="133">
        <f>IF(BG13=0,,IF(BG13&gt;0,IF(BF22=0,'DB1'!$R$16*(1+'DB1'!$O$16),BF22+'DB1'!$R$16*(100%-(1+'DB1'!$O$16))/SUMPRODUCT('TS1'!$F$53:$BM$53,'TS1'!$F$56:$BM$56)),))</f>
        <v>0</v>
      </c>
      <c r="BH22" s="133">
        <f>IF(BH13=0,,IF(BH13&gt;0,IF(BG22=0,'DB1'!$R$16*(1+'DB1'!$O$16),BG22+'DB1'!$R$16*(100%-(1+'DB1'!$O$16))/SUMPRODUCT('TS1'!$F$53:$BM$53,'TS1'!$F$56:$BM$56)),))</f>
        <v>0</v>
      </c>
      <c r="BI22" s="133">
        <f>IF(BI13=0,,IF(BI13&gt;0,IF(BH22=0,'DB1'!$R$16*(1+'DB1'!$O$16),BH22+'DB1'!$R$16*(100%-(1+'DB1'!$O$16))/SUMPRODUCT('TS1'!$F$53:$BM$53,'TS1'!$F$56:$BM$56)),))</f>
        <v>0</v>
      </c>
      <c r="BJ22" s="133">
        <f>IF(BJ13=0,,IF(BJ13&gt;0,IF(BI22=0,'DB1'!$R$16*(1+'DB1'!$O$16),BI22+'DB1'!$R$16*(100%-(1+'DB1'!$O$16))/SUMPRODUCT('TS1'!$F$53:$BM$53,'TS1'!$F$56:$BM$56)),))</f>
        <v>0</v>
      </c>
      <c r="BK22" s="133">
        <f>IF(BK13=0,,IF(BK13&gt;0,IF(BJ22=0,'DB1'!$R$16*(1+'DB1'!$O$16),BJ22+'DB1'!$R$16*(100%-(1+'DB1'!$O$16))/SUMPRODUCT('TS1'!$F$53:$BM$53,'TS1'!$F$56:$BM$56)),))</f>
        <v>0</v>
      </c>
      <c r="BL22" s="133">
        <f>IF(BL13=0,,IF(BL13&gt;0,IF(BK22=0,'DB1'!$R$16*(1+'DB1'!$O$16),BK22+'DB1'!$R$16*(100%-(1+'DB1'!$O$16))/SUMPRODUCT('TS1'!$F$53:$BM$53,'TS1'!$F$56:$BM$56)),))</f>
        <v>0</v>
      </c>
      <c r="BM22" s="133">
        <f>IF(BM13=0,,IF(BM13&gt;0,IF(BL22=0,'DB1'!$R$16*(1+'DB1'!$O$16),BL22+'DB1'!$R$16*(100%-(1+'DB1'!$O$16))/SUMPRODUCT('TS1'!$F$53:$BM$53,'TS1'!$F$56:$BM$56)),))</f>
        <v>0</v>
      </c>
    </row>
    <row r="23" spans="2:65" hidden="1" outlineLevel="1">
      <c r="B23" s="130" t="str">
        <f t="shared" si="5"/>
        <v>ПАРКИНГ ОФИС</v>
      </c>
      <c r="C23" s="28"/>
      <c r="D23" s="131" t="s">
        <v>481</v>
      </c>
      <c r="E23" s="132">
        <f t="shared" si="6"/>
        <v>0</v>
      </c>
      <c r="F23" s="551"/>
      <c r="G23" s="551">
        <f>IF(G14=0,,IF(G14&gt;0,IF(F23=0,'DB1'!$R$17*(1+'DB1'!$O$17),F23+'DB1'!$R$17*(100%-(1+'DB1'!$O$17))/SUMPRODUCT('TS1'!$F$55:$BM$55,'TS1'!$F$58:$BM$58)),))*1000</f>
        <v>0</v>
      </c>
      <c r="H23" s="551">
        <f>IF(H14=0,,IF(H14&gt;0,IF(G23=0,'DB1'!$R$17*(1+'DB1'!$O$17),G23+'DB1'!$R$17*(100%-(1+'DB1'!$O$17))/SUMPRODUCT('TS1'!$F$55:$BM$55,'TS1'!$F$58:$BM$58)),))</f>
        <v>0</v>
      </c>
      <c r="I23" s="551">
        <f>IF(I14=0,,IF(I14&gt;0,IF(H23=0,'DB1'!$R$17*(1+'DB1'!$O$17),H23+'DB1'!$R$17*(100%-(1+'DB1'!$O$17))/SUMPRODUCT('TS1'!$F$55:$BM$55,'TS1'!$F$58:$BM$58)),))</f>
        <v>0</v>
      </c>
      <c r="J23" s="551">
        <f>IF(J14=0,,IF(J14&gt;0,IF(I23=0,'DB1'!$R$17*(1+'DB1'!$O$17),I23+'DB1'!$R$17*(100%-(1+'DB1'!$O$17))/SUMPRODUCT('TS1'!$F$55:$BM$55,'TS1'!$F$58:$BM$58)),))</f>
        <v>0</v>
      </c>
      <c r="K23" s="551">
        <f>IF(K14=0,,IF(K14&gt;0,IF(J23=0,'DB1'!$R$17*(1+'DB1'!$O$17),J23+'DB1'!$R$17*(100%-(1+'DB1'!$O$17))/SUMPRODUCT('TS1'!$F$55:$BM$55,'TS1'!$F$58:$BM$58)),))</f>
        <v>0</v>
      </c>
      <c r="L23" s="551">
        <f>IF(L14=0,,IF(L14&gt;0,IF(K23=0,'DB1'!$R$17*(1+'DB1'!$O$17),K23+'DB1'!$R$17*(100%-(1+'DB1'!$O$17))/SUMPRODUCT('TS1'!$F$55:$BM$55,'TS1'!$F$58:$BM$58)),))</f>
        <v>0</v>
      </c>
      <c r="M23" s="551">
        <f>IF(M14=0,,IF(M14&gt;0,IF(L23=0,'DB1'!$R$17*(1+'DB1'!$O$17),L23+'DB1'!$R$17*(100%-(1+'DB1'!$O$17))/SUMPRODUCT('TS1'!$F$55:$BM$55,'TS1'!$F$58:$BM$58)),))</f>
        <v>0</v>
      </c>
      <c r="N23" s="551">
        <f>IF(N14=0,,IF(N14&gt;0,IF(M23=0,'DB1'!$R$17*(1+'DB1'!$O$17),M23+'DB1'!$R$17*(100%-(1+'DB1'!$O$17))/SUMPRODUCT('TS1'!$F$55:$BM$55,'TS1'!$F$58:$BM$58)),))</f>
        <v>0</v>
      </c>
      <c r="O23" s="551">
        <f>IF(O14=0,,IF(O14&gt;0,IF(N23=0,'DB1'!$R$17*(1+'DB1'!$O$17),N23+'DB1'!$R$17*(100%-(1+'DB1'!$O$17))/SUMPRODUCT('TS1'!$F$55:$BM$55,'TS1'!$F$58:$BM$58)),))</f>
        <v>0</v>
      </c>
      <c r="P23" s="551">
        <f>IF(P14=0,,IF(P14&gt;0,IF(O23=0,'DB1'!$R$17*(1+'DB1'!$O$17),O23+'DB1'!$R$17*(100%-(1+'DB1'!$O$17))/SUMPRODUCT('TS1'!$F$55:$BM$55,'TS1'!$F$58:$BM$58)),))</f>
        <v>0</v>
      </c>
      <c r="Q23" s="133">
        <f>IF(Q14=0,,IF(Q14&gt;0,IF(P23=0,'DB1'!$R$17*(1+'DB1'!$O$17),P23+'DB1'!$R$17*(100%-(1+'DB1'!$O$17))/SUMPRODUCT('TS1'!$F$55:$BM$55,'TS1'!$F$58:$BM$58)),))</f>
        <v>0</v>
      </c>
      <c r="R23" s="133">
        <f>IF(R14=0,,IF(R14&gt;0,IF(Q23=0,'DB1'!$R$17*(1+'DB1'!$O$17),Q23+'DB1'!$R$17*(100%-(1+'DB1'!$O$17))/SUMPRODUCT('TS1'!$F$55:$BM$55,'TS1'!$F$58:$BM$58)),))</f>
        <v>0</v>
      </c>
      <c r="S23" s="133">
        <f>IF(S14=0,,IF(S14&gt;0,IF(R23=0,'DB1'!$R$17*(1+'DB1'!$O$17),R23+'DB1'!$R$17*(100%-(1+'DB1'!$O$17))/SUMPRODUCT('TS1'!$F$55:$BM$55,'TS1'!$F$58:$BM$58)),))</f>
        <v>0</v>
      </c>
      <c r="T23" s="133">
        <f>IF(T14=0,,IF(T14&gt;0,IF(S23=0,'DB1'!$R$17*(1+'DB1'!$O$17),S23+'DB1'!$R$17*(100%-(1+'DB1'!$O$17))/SUMPRODUCT('TS1'!$F$55:$BM$55,'TS1'!$F$58:$BM$58)),))</f>
        <v>0</v>
      </c>
      <c r="U23" s="133">
        <f>IF(U14=0,,IF(U14&gt;0,IF(T23=0,'DB1'!$R$17*(1+'DB1'!$O$17),T23+'DB1'!$R$17*(100%-(1+'DB1'!$O$17))/SUMPRODUCT('TS1'!$F$55:$BM$55,'TS1'!$F$58:$BM$58)),))</f>
        <v>0</v>
      </c>
      <c r="V23" s="133">
        <f>IF(V14=0,,IF(V14&gt;0,IF(U23=0,'DB1'!$R$17*(1+'DB1'!$O$17),U23+'DB1'!$R$17*(100%-(1+'DB1'!$O$17))/SUMPRODUCT('TS1'!$F$55:$BM$55,'TS1'!$F$58:$BM$58)),))</f>
        <v>0</v>
      </c>
      <c r="W23" s="133">
        <f>IF(W14=0,,IF(W14&gt;0,IF(V23=0,'DB1'!$R$17*(1+'DB1'!$O$17),V23+'DB1'!$R$17*(100%-(1+'DB1'!$O$17))/SUMPRODUCT('TS1'!$F$55:$BM$55,'TS1'!$F$58:$BM$58)),))</f>
        <v>0</v>
      </c>
      <c r="X23" s="133">
        <f>IF(X14=0,,IF(X14&gt;0,IF(W23=0,'DB1'!$R$17*(1+'DB1'!$O$17),W23+'DB1'!$R$17*(100%-(1+'DB1'!$O$17))/SUMPRODUCT('TS1'!$F$55:$BM$55,'TS1'!$F$58:$BM$58)),))</f>
        <v>0</v>
      </c>
      <c r="Y23" s="133">
        <f>IF(Y14=0,,IF(Y14&gt;0,IF(X23=0,'DB1'!$R$17*(1+'DB1'!$O$17),X23+'DB1'!$R$17*(100%-(1+'DB1'!$O$17))/SUMPRODUCT('TS1'!$F$55:$BM$55,'TS1'!$F$58:$BM$58)),))</f>
        <v>0</v>
      </c>
      <c r="Z23" s="133">
        <f>IF(Z14=0,,IF(Z14&gt;0,IF(Y23=0,'DB1'!$R$17*(1+'DB1'!$O$17),Y23+'DB1'!$R$17*(100%-(1+'DB1'!$O$17))/SUMPRODUCT('TS1'!$F$55:$BM$55,'TS1'!$F$58:$BM$58)),))</f>
        <v>0</v>
      </c>
      <c r="AA23" s="133">
        <f>IF(AA14=0,,IF(AA14&gt;0,IF(Z23=0,'DB1'!$R$17*(1+'DB1'!$O$17),Z23+'DB1'!$R$17*(100%-(1+'DB1'!$O$17))/SUMPRODUCT('TS1'!$F$55:$BM$55,'TS1'!$F$58:$BM$58)),))</f>
        <v>0</v>
      </c>
      <c r="AB23" s="133">
        <f>IF(AB14=0,,IF(AB14&gt;0,IF(AA23=0,'DB1'!$R$17*(1+'DB1'!$O$17),AA23+'DB1'!$R$17*(100%-(1+'DB1'!$O$17))/SUMPRODUCT('TS1'!$F$55:$BM$55,'TS1'!$F$58:$BM$58)),))</f>
        <v>0</v>
      </c>
      <c r="AC23" s="133">
        <f>IF(AC14=0,,IF(AC14&gt;0,IF(AB23=0,'DB1'!$R$17*(1+'DB1'!$O$17),AB23+'DB1'!$R$17*(100%-(1+'DB1'!$O$17))/SUMPRODUCT('TS1'!$F$55:$BM$55,'TS1'!$F$58:$BM$58)),))</f>
        <v>0</v>
      </c>
      <c r="AD23" s="133">
        <f>IF(AD14=0,,IF(AD14&gt;0,IF(AC23=0,'DB1'!$R$17*(1+'DB1'!$O$17),AC23+'DB1'!$R$17*(100%-(1+'DB1'!$O$17))/SUMPRODUCT('TS1'!$F$55:$BM$55,'TS1'!$F$58:$BM$58)),))</f>
        <v>0</v>
      </c>
      <c r="AE23" s="133">
        <f>IF(AE14=0,,IF(AE14&gt;0,IF(AD23=0,'DB1'!$R$17*(1+'DB1'!$O$17),AD23+'DB1'!$R$17*(100%-(1+'DB1'!$O$17))/SUMPRODUCT('TS1'!$F$55:$BM$55,'TS1'!$F$58:$BM$58)),))</f>
        <v>0</v>
      </c>
      <c r="AF23" s="133">
        <f>IF(AF14=0,,IF(AF14&gt;0,IF(AE23=0,'DB1'!$R$17*(1+'DB1'!$O$17),AE23+'DB1'!$R$17*(100%-(1+'DB1'!$O$17))/SUMPRODUCT('TS1'!$F$55:$BM$55,'TS1'!$F$58:$BM$58)),))</f>
        <v>0</v>
      </c>
      <c r="AG23" s="133">
        <f>IF(AG14=0,,IF(AG14&gt;0,IF(AF23=0,'DB1'!$R$17*(1+'DB1'!$O$17),AF23+'DB1'!$R$17*(100%-(1+'DB1'!$O$17))/SUMPRODUCT('TS1'!$F$55:$BM$55,'TS1'!$F$58:$BM$58)),))</f>
        <v>0</v>
      </c>
      <c r="AH23" s="133">
        <f>IF(AH14=0,,IF(AH14&gt;0,IF(AG23=0,'DB1'!$R$17*(1+'DB1'!$O$17),AG23+'DB1'!$R$17*(100%-(1+'DB1'!$O$17))/SUMPRODUCT('TS1'!$F$55:$BM$55,'TS1'!$F$58:$BM$58)),))</f>
        <v>0</v>
      </c>
      <c r="AI23" s="133">
        <f>IF(AI14=0,,IF(AI14&gt;0,IF(AH23=0,'DB1'!$R$17*(1+'DB1'!$O$17),AH23+'DB1'!$R$17*(100%-(1+'DB1'!$O$17))/SUMPRODUCT('TS1'!$F$55:$BM$55,'TS1'!$F$58:$BM$58)),))</f>
        <v>0</v>
      </c>
      <c r="AJ23" s="133">
        <f>IF(AJ14=0,,IF(AJ14&gt;0,IF(AI23=0,'DB1'!$R$17*(1+'DB1'!$O$17),AI23+'DB1'!$R$17*(100%-(1+'DB1'!$O$17))/SUMPRODUCT('TS1'!$F$55:$BM$55,'TS1'!$F$58:$BM$58)),))</f>
        <v>0</v>
      </c>
      <c r="AK23" s="133">
        <f>IF(AK14=0,,IF(AK14&gt;0,IF(AJ23=0,'DB1'!$R$17*(1+'DB1'!$O$17),AJ23+'DB1'!$R$17*(100%-(1+'DB1'!$O$17))/SUMPRODUCT('TS1'!$F$55:$BM$55,'TS1'!$F$58:$BM$58)),))</f>
        <v>0</v>
      </c>
      <c r="AL23" s="133">
        <f>IF(AL14=0,,IF(AL14&gt;0,IF(AK23=0,'DB1'!$R$17*(1+'DB1'!$O$17),AK23+'DB1'!$R$17*(100%-(1+'DB1'!$O$17))/SUMPRODUCT('TS1'!$F$55:$BM$55,'TS1'!$F$58:$BM$58)),))</f>
        <v>0</v>
      </c>
      <c r="AM23" s="133">
        <f>IF(AM14=0,,IF(AM14&gt;0,IF(AL23=0,'DB1'!$R$17*(1+'DB1'!$O$17),AL23+'DB1'!$R$17*(100%-(1+'DB1'!$O$17))/SUMPRODUCT('TS1'!$F$55:$BM$55,'TS1'!$F$58:$BM$58)),))</f>
        <v>0</v>
      </c>
      <c r="AN23" s="133">
        <f>IF(AN14=0,,IF(AN14&gt;0,IF(AM23=0,'DB1'!$R$17*(1+'DB1'!$O$17),AM23+'DB1'!$R$17*(100%-(1+'DB1'!$O$17))/SUMPRODUCT('TS1'!$F$55:$BM$55,'TS1'!$F$58:$BM$58)),))</f>
        <v>0</v>
      </c>
      <c r="AO23" s="133">
        <f>IF(AO14=0,,IF(AO14&gt;0,IF(AN23=0,'DB1'!$R$17*(1+'DB1'!$O$17),AN23+'DB1'!$R$17*(100%-(1+'DB1'!$O$17))/SUMPRODUCT('TS1'!$F$55:$BM$55,'TS1'!$F$58:$BM$58)),))</f>
        <v>0</v>
      </c>
      <c r="AP23" s="133">
        <f>IF(AP14=0,,IF(AP14&gt;0,IF(AO23=0,'DB1'!$R$17*(1+'DB1'!$O$17),AO23+'DB1'!$R$17*(100%-(1+'DB1'!$O$17))/SUMPRODUCT('TS1'!$F$55:$BM$55,'TS1'!$F$58:$BM$58)),))</f>
        <v>0</v>
      </c>
      <c r="AQ23" s="133">
        <f>IF(AQ14=0,,IF(AQ14&gt;0,IF(AP23=0,'DB1'!$R$17*(1+'DB1'!$O$17),AP23+'DB1'!$R$17*(100%-(1+'DB1'!$O$17))/SUMPRODUCT('TS1'!$F$55:$BM$55,'TS1'!$F$58:$BM$58)),))</f>
        <v>0</v>
      </c>
      <c r="AR23" s="133">
        <f>IF(AR14=0,,IF(AR14&gt;0,IF(AQ23=0,'DB1'!$R$17*(1+'DB1'!$O$17),AQ23+'DB1'!$R$17*(100%-(1+'DB1'!$O$17))/SUMPRODUCT('TS1'!$F$55:$BM$55,'TS1'!$F$58:$BM$58)),))</f>
        <v>0</v>
      </c>
      <c r="AS23" s="133">
        <f>IF(AS14=0,,IF(AS14&gt;0,IF(AR23=0,'DB1'!$R$17*(1+'DB1'!$O$17),AR23+'DB1'!$R$17*(100%-(1+'DB1'!$O$17))/SUMPRODUCT('TS1'!$F$55:$BM$55,'TS1'!$F$58:$BM$58)),))</f>
        <v>0</v>
      </c>
      <c r="AT23" s="133">
        <f>IF(AT14=0,,IF(AT14&gt;0,IF(AS23=0,'DB1'!$R$17*(1+'DB1'!$O$17),AS23+'DB1'!$R$17*(100%-(1+'DB1'!$O$17))/SUMPRODUCT('TS1'!$F$55:$BM$55,'TS1'!$F$58:$BM$58)),))</f>
        <v>0</v>
      </c>
      <c r="AU23" s="133">
        <f>IF(AU14=0,,IF(AU14&gt;0,IF(AT23=0,'DB1'!$R$17*(1+'DB1'!$O$17),AT23+'DB1'!$R$17*(100%-(1+'DB1'!$O$17))/SUMPRODUCT('TS1'!$F$55:$BM$55,'TS1'!$F$58:$BM$58)),))</f>
        <v>0</v>
      </c>
      <c r="AV23" s="133">
        <f>IF(AV14=0,,IF(AV14&gt;0,IF(AU23=0,'DB1'!$R$17*(1+'DB1'!$O$17),AU23+'DB1'!$R$17*(100%-(1+'DB1'!$O$17))/SUMPRODUCT('TS1'!$F$55:$BM$55,'TS1'!$F$58:$BM$58)),))</f>
        <v>0</v>
      </c>
      <c r="AW23" s="133">
        <f>IF(AW14=0,,IF(AW14&gt;0,IF(AV23=0,'DB1'!$R$17*(1+'DB1'!$O$17),AV23+'DB1'!$R$17*(100%-(1+'DB1'!$O$17))/SUMPRODUCT('TS1'!$F$55:$BM$55,'TS1'!$F$58:$BM$58)),))</f>
        <v>0</v>
      </c>
      <c r="AX23" s="133">
        <f>IF(AX14=0,,IF(AX14&gt;0,IF(AW23=0,'DB1'!$R$17*(1+'DB1'!$O$17),AW23+'DB1'!$R$17*(100%-(1+'DB1'!$O$17))/SUMPRODUCT('TS1'!$F$55:$BM$55,'TS1'!$F$58:$BM$58)),))</f>
        <v>0</v>
      </c>
      <c r="AY23" s="133">
        <f>IF(AY14=0,,IF(AY14&gt;0,IF(AX23=0,'DB1'!$R$17*(1+'DB1'!$O$17),AX23+'DB1'!$R$17*(100%-(1+'DB1'!$O$17))/SUMPRODUCT('TS1'!$F$55:$BM$55,'TS1'!$F$58:$BM$58)),))</f>
        <v>0</v>
      </c>
      <c r="AZ23" s="133">
        <f>IF(AZ14=0,,IF(AZ14&gt;0,IF(AY23=0,'DB1'!$R$17*(1+'DB1'!$O$17),AY23+'DB1'!$R$17*(100%-(1+'DB1'!$O$17))/SUMPRODUCT('TS1'!$F$55:$BM$55,'TS1'!$F$58:$BM$58)),))</f>
        <v>0</v>
      </c>
      <c r="BA23" s="133">
        <f>IF(BA14=0,,IF(BA14&gt;0,IF(AZ23=0,'DB1'!$R$17*(1+'DB1'!$O$17),AZ23+'DB1'!$R$17*(100%-(1+'DB1'!$O$17))/SUMPRODUCT('TS1'!$F$55:$BM$55,'TS1'!$F$58:$BM$58)),))</f>
        <v>0</v>
      </c>
      <c r="BB23" s="133">
        <f>IF(BB14=0,,IF(BB14&gt;0,IF(BA23=0,'DB1'!$R$17*(1+'DB1'!$O$17),BA23+'DB1'!$R$17*(100%-(1+'DB1'!$O$17))/SUMPRODUCT('TS1'!$F$55:$BM$55,'TS1'!$F$58:$BM$58)),))</f>
        <v>0</v>
      </c>
      <c r="BC23" s="133">
        <f>IF(BC14=0,,IF(BC14&gt;0,IF(BB23=0,'DB1'!$R$17*(1+'DB1'!$O$17),BB23+'DB1'!$R$17*(100%-(1+'DB1'!$O$17))/SUMPRODUCT('TS1'!$F$55:$BM$55,'TS1'!$F$58:$BM$58)),))</f>
        <v>0</v>
      </c>
      <c r="BD23" s="133">
        <f>IF(BD14=0,,IF(BD14&gt;0,IF(BC23=0,'DB1'!$R$17*(1+'DB1'!$O$17),BC23+'DB1'!$R$17*(100%-(1+'DB1'!$O$17))/SUMPRODUCT('TS1'!$F$55:$BM$55,'TS1'!$F$58:$BM$58)),))</f>
        <v>0</v>
      </c>
      <c r="BE23" s="133">
        <f>IF(BE14=0,,IF(BE14&gt;0,IF(BD23=0,'DB1'!$R$17*(1+'DB1'!$O$17),BD23+'DB1'!$R$17*(100%-(1+'DB1'!$O$17))/SUMPRODUCT('TS1'!$F$55:$BM$55,'TS1'!$F$58:$BM$58)),))</f>
        <v>0</v>
      </c>
      <c r="BF23" s="133">
        <f>IF(BF14=0,,IF(BF14&gt;0,IF(BE23=0,'DB1'!$R$17*(1+'DB1'!$O$17),BE23+'DB1'!$R$17*(100%-(1+'DB1'!$O$17))/SUMPRODUCT('TS1'!$F$55:$BM$55,'TS1'!$F$58:$BM$58)),))</f>
        <v>0</v>
      </c>
      <c r="BG23" s="133">
        <f>IF(BG14=0,,IF(BG14&gt;0,IF(BF23=0,'DB1'!$R$17*(1+'DB1'!$O$17),BF23+'DB1'!$R$17*(100%-(1+'DB1'!$O$17))/SUMPRODUCT('TS1'!$F$55:$BM$55,'TS1'!$F$58:$BM$58)),))</f>
        <v>0</v>
      </c>
      <c r="BH23" s="133">
        <f>IF(BH14=0,,IF(BH14&gt;0,IF(BG23=0,'DB1'!$R$17*(1+'DB1'!$O$17),BG23+'DB1'!$R$17*(100%-(1+'DB1'!$O$17))/SUMPRODUCT('TS1'!$F$55:$BM$55,'TS1'!$F$58:$BM$58)),))</f>
        <v>0</v>
      </c>
      <c r="BI23" s="133">
        <f>IF(BI14=0,,IF(BI14&gt;0,IF(BH23=0,'DB1'!$R$17*(1+'DB1'!$O$17),BH23+'DB1'!$R$17*(100%-(1+'DB1'!$O$17))/SUMPRODUCT('TS1'!$F$55:$BM$55,'TS1'!$F$58:$BM$58)),))</f>
        <v>0</v>
      </c>
      <c r="BJ23" s="133">
        <f>IF(BJ14=0,,IF(BJ14&gt;0,IF(BI23=0,'DB1'!$R$17*(1+'DB1'!$O$17),BI23+'DB1'!$R$17*(100%-(1+'DB1'!$O$17))/SUMPRODUCT('TS1'!$F$55:$BM$55,'TS1'!$F$58:$BM$58)),))</f>
        <v>0</v>
      </c>
      <c r="BK23" s="133">
        <f>IF(BK14=0,,IF(BK14&gt;0,IF(BJ23=0,'DB1'!$R$17*(1+'DB1'!$O$17),BJ23+'DB1'!$R$17*(100%-(1+'DB1'!$O$17))/SUMPRODUCT('TS1'!$F$55:$BM$55,'TS1'!$F$58:$BM$58)),))</f>
        <v>0</v>
      </c>
      <c r="BL23" s="133">
        <f>IF(BL14=0,,IF(BL14&gt;0,IF(BK23=0,'DB1'!$R$17*(1+'DB1'!$O$17),BK23+'DB1'!$R$17*(100%-(1+'DB1'!$O$17))/SUMPRODUCT('TS1'!$F$55:$BM$55,'TS1'!$F$58:$BM$58)),))</f>
        <v>0</v>
      </c>
      <c r="BM23" s="133">
        <f>IF(BM14=0,,IF(BM14&gt;0,IF(BL23=0,'DB1'!$R$17*(1+'DB1'!$O$17),BL23+'DB1'!$R$17*(100%-(1+'DB1'!$O$17))/SUMPRODUCT('TS1'!$F$55:$BM$55,'TS1'!$F$58:$BM$58)),))</f>
        <v>0</v>
      </c>
    </row>
    <row r="24" spans="2:65" outlineLevel="1">
      <c r="B24" s="134"/>
      <c r="C24" s="134"/>
      <c r="D24" s="135"/>
      <c r="E24" s="136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  <c r="BI24" s="137"/>
      <c r="BJ24" s="137"/>
      <c r="BK24" s="137"/>
      <c r="BL24" s="137"/>
      <c r="BM24" s="137"/>
    </row>
    <row r="25" spans="2:65" s="163" customFormat="1" outlineLevel="1">
      <c r="B25" s="293" t="s">
        <v>27</v>
      </c>
      <c r="C25" s="293"/>
      <c r="D25" s="294" t="s">
        <v>19</v>
      </c>
      <c r="E25" s="295">
        <f t="shared" ref="E25:E32" si="7">SUM(F25:BM25)</f>
        <v>42595.62591599999</v>
      </c>
      <c r="F25" s="296">
        <f t="shared" ref="F25:AS25" si="8">SUM(F26:F32)</f>
        <v>0</v>
      </c>
      <c r="G25" s="296">
        <f t="shared" si="8"/>
        <v>0</v>
      </c>
      <c r="H25" s="296">
        <f t="shared" si="8"/>
        <v>0</v>
      </c>
      <c r="I25" s="296">
        <f t="shared" si="8"/>
        <v>0</v>
      </c>
      <c r="J25" s="296">
        <f t="shared" si="8"/>
        <v>0</v>
      </c>
      <c r="K25" s="296">
        <f t="shared" si="8"/>
        <v>0</v>
      </c>
      <c r="L25" s="296">
        <f t="shared" si="8"/>
        <v>0</v>
      </c>
      <c r="M25" s="296">
        <f t="shared" si="8"/>
        <v>0</v>
      </c>
      <c r="N25" s="296">
        <f t="shared" si="8"/>
        <v>0</v>
      </c>
      <c r="O25" s="296">
        <f t="shared" si="8"/>
        <v>0</v>
      </c>
      <c r="P25" s="296">
        <f t="shared" si="8"/>
        <v>0</v>
      </c>
      <c r="Q25" s="296">
        <f t="shared" si="8"/>
        <v>0</v>
      </c>
      <c r="R25" s="296">
        <f t="shared" si="8"/>
        <v>0</v>
      </c>
      <c r="S25" s="296">
        <f t="shared" si="8"/>
        <v>0</v>
      </c>
      <c r="T25" s="296">
        <f t="shared" si="8"/>
        <v>1703.7</v>
      </c>
      <c r="U25" s="296">
        <f t="shared" si="8"/>
        <v>1737.8512919106108</v>
      </c>
      <c r="V25" s="296">
        <f t="shared" si="8"/>
        <v>1772.0025838212218</v>
      </c>
      <c r="W25" s="296">
        <f t="shared" si="8"/>
        <v>1806.1538757318326</v>
      </c>
      <c r="X25" s="296">
        <f t="shared" si="8"/>
        <v>1840.3051676424434</v>
      </c>
      <c r="Y25" s="296">
        <f t="shared" si="8"/>
        <v>1874.4564595530544</v>
      </c>
      <c r="Z25" s="296">
        <f t="shared" si="8"/>
        <v>1908.6077514636654</v>
      </c>
      <c r="AA25" s="296">
        <f t="shared" si="8"/>
        <v>1942.7590433742762</v>
      </c>
      <c r="AB25" s="296">
        <f t="shared" si="8"/>
        <v>1976.9103352848872</v>
      </c>
      <c r="AC25" s="296">
        <f t="shared" si="8"/>
        <v>2011.061627195498</v>
      </c>
      <c r="AD25" s="296">
        <f t="shared" si="8"/>
        <v>2045.2129191061088</v>
      </c>
      <c r="AE25" s="296">
        <f t="shared" si="8"/>
        <v>2079.3642110167198</v>
      </c>
      <c r="AF25" s="296">
        <f t="shared" si="8"/>
        <v>2230.1129009474248</v>
      </c>
      <c r="AG25" s="296">
        <f t="shared" si="8"/>
        <v>3461.1864509474249</v>
      </c>
      <c r="AH25" s="296">
        <f t="shared" si="8"/>
        <v>3461.1864509474249</v>
      </c>
      <c r="AI25" s="296">
        <f t="shared" si="8"/>
        <v>2230.1129009474248</v>
      </c>
      <c r="AJ25" s="296">
        <f t="shared" si="8"/>
        <v>2230.1129009474248</v>
      </c>
      <c r="AK25" s="296">
        <f t="shared" si="8"/>
        <v>2230.1129009474248</v>
      </c>
      <c r="AL25" s="296">
        <f t="shared" si="8"/>
        <v>2230.1129009474248</v>
      </c>
      <c r="AM25" s="296">
        <f t="shared" si="8"/>
        <v>1824.3032432676994</v>
      </c>
      <c r="AN25" s="296">
        <f t="shared" si="8"/>
        <v>0</v>
      </c>
      <c r="AO25" s="296">
        <f t="shared" si="8"/>
        <v>0</v>
      </c>
      <c r="AP25" s="296">
        <f t="shared" si="8"/>
        <v>0</v>
      </c>
      <c r="AQ25" s="296">
        <f t="shared" si="8"/>
        <v>0</v>
      </c>
      <c r="AR25" s="296">
        <f t="shared" si="8"/>
        <v>0</v>
      </c>
      <c r="AS25" s="296">
        <f t="shared" si="8"/>
        <v>0</v>
      </c>
      <c r="AT25" s="296">
        <f t="shared" ref="AT25:BM25" si="9">SUM(AT26:AT32)</f>
        <v>0</v>
      </c>
      <c r="AU25" s="296">
        <f t="shared" si="9"/>
        <v>0</v>
      </c>
      <c r="AV25" s="296">
        <f t="shared" si="9"/>
        <v>0</v>
      </c>
      <c r="AW25" s="296">
        <f t="shared" si="9"/>
        <v>0</v>
      </c>
      <c r="AX25" s="296">
        <f t="shared" si="9"/>
        <v>0</v>
      </c>
      <c r="AY25" s="296">
        <f t="shared" si="9"/>
        <v>0</v>
      </c>
      <c r="AZ25" s="296">
        <f t="shared" si="9"/>
        <v>0</v>
      </c>
      <c r="BA25" s="296">
        <f t="shared" si="9"/>
        <v>0</v>
      </c>
      <c r="BB25" s="296">
        <f t="shared" si="9"/>
        <v>0</v>
      </c>
      <c r="BC25" s="296">
        <f t="shared" si="9"/>
        <v>0</v>
      </c>
      <c r="BD25" s="296">
        <f t="shared" si="9"/>
        <v>0</v>
      </c>
      <c r="BE25" s="296">
        <f t="shared" si="9"/>
        <v>0</v>
      </c>
      <c r="BF25" s="296">
        <f t="shared" si="9"/>
        <v>0</v>
      </c>
      <c r="BG25" s="296">
        <f t="shared" si="9"/>
        <v>0</v>
      </c>
      <c r="BH25" s="296">
        <f t="shared" si="9"/>
        <v>0</v>
      </c>
      <c r="BI25" s="296">
        <f t="shared" si="9"/>
        <v>0</v>
      </c>
      <c r="BJ25" s="296">
        <f t="shared" si="9"/>
        <v>0</v>
      </c>
      <c r="BK25" s="296">
        <f t="shared" si="9"/>
        <v>0</v>
      </c>
      <c r="BL25" s="296">
        <f t="shared" si="9"/>
        <v>0</v>
      </c>
      <c r="BM25" s="296">
        <f t="shared" si="9"/>
        <v>0</v>
      </c>
    </row>
    <row r="26" spans="2:65" outlineLevel="1">
      <c r="B26" s="130" t="str">
        <f t="shared" ref="B26:B32" si="10">B17</f>
        <v>КВАРТИРЫ</v>
      </c>
      <c r="C26" s="28"/>
      <c r="D26" s="131" t="s">
        <v>19</v>
      </c>
      <c r="E26" s="132">
        <f t="shared" si="7"/>
        <v>37437.978815999988</v>
      </c>
      <c r="F26" s="551">
        <f t="shared" ref="F26:H26" si="11">F8*F17/10^3</f>
        <v>0</v>
      </c>
      <c r="G26" s="551">
        <f t="shared" si="11"/>
        <v>0</v>
      </c>
      <c r="H26" s="551">
        <f t="shared" si="11"/>
        <v>0</v>
      </c>
      <c r="I26" s="551">
        <f t="shared" ref="I26:AK26" si="12">I8*I17/10^3</f>
        <v>0</v>
      </c>
      <c r="J26" s="551">
        <f t="shared" si="12"/>
        <v>0</v>
      </c>
      <c r="K26" s="551">
        <f t="shared" si="12"/>
        <v>0</v>
      </c>
      <c r="L26" s="551">
        <f t="shared" si="12"/>
        <v>0</v>
      </c>
      <c r="M26" s="551">
        <f t="shared" si="12"/>
        <v>0</v>
      </c>
      <c r="N26" s="133">
        <f>N8*N17/10^3</f>
        <v>0</v>
      </c>
      <c r="O26" s="133">
        <f t="shared" si="12"/>
        <v>0</v>
      </c>
      <c r="P26" s="133">
        <f t="shared" si="12"/>
        <v>0</v>
      </c>
      <c r="Q26" s="133">
        <f t="shared" si="12"/>
        <v>0</v>
      </c>
      <c r="R26" s="133">
        <f t="shared" si="12"/>
        <v>0</v>
      </c>
      <c r="S26" s="133">
        <f t="shared" si="12"/>
        <v>0</v>
      </c>
      <c r="T26" s="133">
        <f>T8*T17/10^3</f>
        <v>1568.7</v>
      </c>
      <c r="U26" s="133">
        <f t="shared" si="12"/>
        <v>1602.8512919106108</v>
      </c>
      <c r="V26" s="133">
        <f t="shared" si="12"/>
        <v>1637.0025838212218</v>
      </c>
      <c r="W26" s="133">
        <f t="shared" si="12"/>
        <v>1671.1538757318326</v>
      </c>
      <c r="X26" s="133">
        <f t="shared" si="12"/>
        <v>1705.3051676424434</v>
      </c>
      <c r="Y26" s="133">
        <f t="shared" si="12"/>
        <v>1739.4564595530544</v>
      </c>
      <c r="Z26" s="133">
        <f t="shared" si="12"/>
        <v>1773.6077514636654</v>
      </c>
      <c r="AA26" s="133">
        <f t="shared" si="12"/>
        <v>1807.7590433742762</v>
      </c>
      <c r="AB26" s="133">
        <f t="shared" si="12"/>
        <v>1841.9103352848872</v>
      </c>
      <c r="AC26" s="133">
        <f t="shared" si="12"/>
        <v>1876.061627195498</v>
      </c>
      <c r="AD26" s="133">
        <f t="shared" si="12"/>
        <v>1910.2129191061088</v>
      </c>
      <c r="AE26" s="133">
        <f t="shared" si="12"/>
        <v>1944.3642110167198</v>
      </c>
      <c r="AF26" s="133">
        <f t="shared" si="12"/>
        <v>2095.1129009474248</v>
      </c>
      <c r="AG26" s="133">
        <f t="shared" si="12"/>
        <v>2095.1129009474248</v>
      </c>
      <c r="AH26" s="133">
        <f t="shared" si="12"/>
        <v>2095.1129009474248</v>
      </c>
      <c r="AI26" s="133">
        <f t="shared" si="12"/>
        <v>2095.1129009474248</v>
      </c>
      <c r="AJ26" s="133">
        <f t="shared" si="12"/>
        <v>2095.1129009474248</v>
      </c>
      <c r="AK26" s="133">
        <f t="shared" si="12"/>
        <v>2095.1129009474248</v>
      </c>
      <c r="AL26" s="133">
        <f t="shared" ref="AL26:BM26" si="13">AL8*AL17/10^3</f>
        <v>2095.1129009474248</v>
      </c>
      <c r="AM26" s="133">
        <f t="shared" si="13"/>
        <v>1693.8032432676994</v>
      </c>
      <c r="AN26" s="133">
        <f t="shared" si="13"/>
        <v>0</v>
      </c>
      <c r="AO26" s="133">
        <f t="shared" si="13"/>
        <v>0</v>
      </c>
      <c r="AP26" s="133">
        <f t="shared" si="13"/>
        <v>0</v>
      </c>
      <c r="AQ26" s="133">
        <f t="shared" si="13"/>
        <v>0</v>
      </c>
      <c r="AR26" s="133">
        <f t="shared" si="13"/>
        <v>0</v>
      </c>
      <c r="AS26" s="133">
        <f t="shared" si="13"/>
        <v>0</v>
      </c>
      <c r="AT26" s="133">
        <f t="shared" si="13"/>
        <v>0</v>
      </c>
      <c r="AU26" s="133">
        <f t="shared" si="13"/>
        <v>0</v>
      </c>
      <c r="AV26" s="133">
        <f t="shared" si="13"/>
        <v>0</v>
      </c>
      <c r="AW26" s="133">
        <f t="shared" si="13"/>
        <v>0</v>
      </c>
      <c r="AX26" s="133">
        <f t="shared" si="13"/>
        <v>0</v>
      </c>
      <c r="AY26" s="133">
        <f t="shared" si="13"/>
        <v>0</v>
      </c>
      <c r="AZ26" s="133">
        <f t="shared" si="13"/>
        <v>0</v>
      </c>
      <c r="BA26" s="133">
        <f t="shared" si="13"/>
        <v>0</v>
      </c>
      <c r="BB26" s="133">
        <f t="shared" si="13"/>
        <v>0</v>
      </c>
      <c r="BC26" s="133">
        <f t="shared" si="13"/>
        <v>0</v>
      </c>
      <c r="BD26" s="133">
        <f t="shared" si="13"/>
        <v>0</v>
      </c>
      <c r="BE26" s="133">
        <f t="shared" si="13"/>
        <v>0</v>
      </c>
      <c r="BF26" s="133">
        <f t="shared" si="13"/>
        <v>0</v>
      </c>
      <c r="BG26" s="133">
        <f t="shared" si="13"/>
        <v>0</v>
      </c>
      <c r="BH26" s="133">
        <f t="shared" si="13"/>
        <v>0</v>
      </c>
      <c r="BI26" s="133">
        <f t="shared" si="13"/>
        <v>0</v>
      </c>
      <c r="BJ26" s="133">
        <f t="shared" si="13"/>
        <v>0</v>
      </c>
      <c r="BK26" s="133">
        <f t="shared" si="13"/>
        <v>0</v>
      </c>
      <c r="BL26" s="133">
        <f t="shared" si="13"/>
        <v>0</v>
      </c>
      <c r="BM26" s="133">
        <f t="shared" si="13"/>
        <v>0</v>
      </c>
    </row>
    <row r="27" spans="2:65" hidden="1" outlineLevel="1">
      <c r="B27" s="130" t="str">
        <f t="shared" si="10"/>
        <v>АПАРТАМЕНТЫ</v>
      </c>
      <c r="C27" s="28"/>
      <c r="D27" s="131" t="s">
        <v>19</v>
      </c>
      <c r="E27" s="132">
        <f t="shared" si="7"/>
        <v>0</v>
      </c>
      <c r="F27" s="551">
        <f t="shared" ref="F27:H27" si="14">F9*F18/10^3</f>
        <v>0</v>
      </c>
      <c r="G27" s="551">
        <f t="shared" si="14"/>
        <v>0</v>
      </c>
      <c r="H27" s="551">
        <f t="shared" si="14"/>
        <v>0</v>
      </c>
      <c r="I27" s="551">
        <f t="shared" ref="I27:AK27" si="15">I9*I18/10^3</f>
        <v>0</v>
      </c>
      <c r="J27" s="551">
        <f t="shared" si="15"/>
        <v>0</v>
      </c>
      <c r="K27" s="551">
        <f t="shared" si="15"/>
        <v>0</v>
      </c>
      <c r="L27" s="551">
        <f t="shared" si="15"/>
        <v>0</v>
      </c>
      <c r="M27" s="551">
        <f t="shared" si="15"/>
        <v>0</v>
      </c>
      <c r="N27" s="133">
        <f t="shared" si="15"/>
        <v>0</v>
      </c>
      <c r="O27" s="133">
        <f t="shared" si="15"/>
        <v>0</v>
      </c>
      <c r="P27" s="133">
        <f t="shared" si="15"/>
        <v>0</v>
      </c>
      <c r="Q27" s="133">
        <f t="shared" si="15"/>
        <v>0</v>
      </c>
      <c r="R27" s="133">
        <f t="shared" si="15"/>
        <v>0</v>
      </c>
      <c r="S27" s="133">
        <f t="shared" si="15"/>
        <v>0</v>
      </c>
      <c r="T27" s="133">
        <f t="shared" si="15"/>
        <v>0</v>
      </c>
      <c r="U27" s="133">
        <f t="shared" si="15"/>
        <v>0</v>
      </c>
      <c r="V27" s="133">
        <f t="shared" si="15"/>
        <v>0</v>
      </c>
      <c r="W27" s="133">
        <f t="shared" si="15"/>
        <v>0</v>
      </c>
      <c r="X27" s="133">
        <f t="shared" si="15"/>
        <v>0</v>
      </c>
      <c r="Y27" s="133">
        <f t="shared" si="15"/>
        <v>0</v>
      </c>
      <c r="Z27" s="133">
        <f t="shared" si="15"/>
        <v>0</v>
      </c>
      <c r="AA27" s="133">
        <f t="shared" si="15"/>
        <v>0</v>
      </c>
      <c r="AB27" s="133">
        <f t="shared" si="15"/>
        <v>0</v>
      </c>
      <c r="AC27" s="133">
        <f t="shared" si="15"/>
        <v>0</v>
      </c>
      <c r="AD27" s="133">
        <f t="shared" si="15"/>
        <v>0</v>
      </c>
      <c r="AE27" s="133">
        <f t="shared" si="15"/>
        <v>0</v>
      </c>
      <c r="AF27" s="133">
        <f t="shared" si="15"/>
        <v>0</v>
      </c>
      <c r="AG27" s="133">
        <f t="shared" si="15"/>
        <v>0</v>
      </c>
      <c r="AH27" s="133">
        <f t="shared" si="15"/>
        <v>0</v>
      </c>
      <c r="AI27" s="133">
        <f t="shared" si="15"/>
        <v>0</v>
      </c>
      <c r="AJ27" s="133">
        <f t="shared" si="15"/>
        <v>0</v>
      </c>
      <c r="AK27" s="133">
        <f t="shared" si="15"/>
        <v>0</v>
      </c>
      <c r="AL27" s="133">
        <f t="shared" ref="AL27:BM27" si="16">AL9*AL18/10^3</f>
        <v>0</v>
      </c>
      <c r="AM27" s="133">
        <f t="shared" si="16"/>
        <v>0</v>
      </c>
      <c r="AN27" s="133">
        <f t="shared" si="16"/>
        <v>0</v>
      </c>
      <c r="AO27" s="133">
        <f t="shared" si="16"/>
        <v>0</v>
      </c>
      <c r="AP27" s="133">
        <f t="shared" si="16"/>
        <v>0</v>
      </c>
      <c r="AQ27" s="133">
        <f t="shared" si="16"/>
        <v>0</v>
      </c>
      <c r="AR27" s="133">
        <f t="shared" si="16"/>
        <v>0</v>
      </c>
      <c r="AS27" s="133">
        <f t="shared" si="16"/>
        <v>0</v>
      </c>
      <c r="AT27" s="133">
        <f t="shared" si="16"/>
        <v>0</v>
      </c>
      <c r="AU27" s="133">
        <f t="shared" si="16"/>
        <v>0</v>
      </c>
      <c r="AV27" s="133">
        <f t="shared" si="16"/>
        <v>0</v>
      </c>
      <c r="AW27" s="133">
        <f t="shared" si="16"/>
        <v>0</v>
      </c>
      <c r="AX27" s="133">
        <f t="shared" si="16"/>
        <v>0</v>
      </c>
      <c r="AY27" s="133">
        <f t="shared" si="16"/>
        <v>0</v>
      </c>
      <c r="AZ27" s="133">
        <f t="shared" si="16"/>
        <v>0</v>
      </c>
      <c r="BA27" s="133">
        <f t="shared" si="16"/>
        <v>0</v>
      </c>
      <c r="BB27" s="133">
        <f t="shared" si="16"/>
        <v>0</v>
      </c>
      <c r="BC27" s="133">
        <f t="shared" si="16"/>
        <v>0</v>
      </c>
      <c r="BD27" s="133">
        <f t="shared" si="16"/>
        <v>0</v>
      </c>
      <c r="BE27" s="133">
        <f t="shared" si="16"/>
        <v>0</v>
      </c>
      <c r="BF27" s="133">
        <f t="shared" si="16"/>
        <v>0</v>
      </c>
      <c r="BG27" s="133">
        <f t="shared" si="16"/>
        <v>0</v>
      </c>
      <c r="BH27" s="133">
        <f t="shared" si="16"/>
        <v>0</v>
      </c>
      <c r="BI27" s="133">
        <f t="shared" si="16"/>
        <v>0</v>
      </c>
      <c r="BJ27" s="133">
        <f t="shared" si="16"/>
        <v>0</v>
      </c>
      <c r="BK27" s="133">
        <f t="shared" si="16"/>
        <v>0</v>
      </c>
      <c r="BL27" s="133">
        <f t="shared" si="16"/>
        <v>0</v>
      </c>
      <c r="BM27" s="133">
        <f t="shared" si="16"/>
        <v>0</v>
      </c>
    </row>
    <row r="28" spans="2:65" ht="15" hidden="1" outlineLevel="1">
      <c r="B28" s="130" t="str">
        <f t="shared" si="10"/>
        <v>ОФИСЫ</v>
      </c>
      <c r="C28" s="28"/>
      <c r="D28" s="131" t="s">
        <v>19</v>
      </c>
      <c r="E28" s="132">
        <f t="shared" si="7"/>
        <v>0</v>
      </c>
      <c r="F28" s="551">
        <f t="shared" ref="F28:H28" si="17">F10*F19/10^3</f>
        <v>0</v>
      </c>
      <c r="G28" s="551">
        <f t="shared" si="17"/>
        <v>0</v>
      </c>
      <c r="H28" s="551">
        <f t="shared" si="17"/>
        <v>0</v>
      </c>
      <c r="I28" s="551">
        <f t="shared" ref="I28:AK28" si="18">I10*I19/10^3</f>
        <v>0</v>
      </c>
      <c r="J28" s="551">
        <f t="shared" si="18"/>
        <v>0</v>
      </c>
      <c r="K28" s="551">
        <f t="shared" si="18"/>
        <v>0</v>
      </c>
      <c r="L28" s="551">
        <f t="shared" si="18"/>
        <v>0</v>
      </c>
      <c r="M28" s="551">
        <f t="shared" si="18"/>
        <v>0</v>
      </c>
      <c r="N28" s="133">
        <f t="shared" si="18"/>
        <v>0</v>
      </c>
      <c r="O28" s="133">
        <f t="shared" si="18"/>
        <v>0</v>
      </c>
      <c r="P28" s="133">
        <f t="shared" si="18"/>
        <v>0</v>
      </c>
      <c r="Q28" s="133">
        <f t="shared" si="18"/>
        <v>0</v>
      </c>
      <c r="R28" s="133">
        <f t="shared" si="18"/>
        <v>0</v>
      </c>
      <c r="S28" s="133">
        <f t="shared" si="18"/>
        <v>0</v>
      </c>
      <c r="T28" s="133">
        <f t="shared" si="18"/>
        <v>0</v>
      </c>
      <c r="U28" s="133">
        <f t="shared" si="18"/>
        <v>0</v>
      </c>
      <c r="V28" s="133">
        <f t="shared" si="18"/>
        <v>0</v>
      </c>
      <c r="W28" s="133">
        <f t="shared" si="18"/>
        <v>0</v>
      </c>
      <c r="X28" s="133">
        <f t="shared" si="18"/>
        <v>0</v>
      </c>
      <c r="Y28" s="133">
        <f t="shared" si="18"/>
        <v>0</v>
      </c>
      <c r="Z28" s="133">
        <f t="shared" si="18"/>
        <v>0</v>
      </c>
      <c r="AA28" s="133">
        <f t="shared" si="18"/>
        <v>0</v>
      </c>
      <c r="AB28" s="133">
        <f t="shared" si="18"/>
        <v>0</v>
      </c>
      <c r="AC28" s="133">
        <f t="shared" si="18"/>
        <v>0</v>
      </c>
      <c r="AD28" s="133">
        <f t="shared" si="18"/>
        <v>0</v>
      </c>
      <c r="AE28" s="133">
        <f t="shared" si="18"/>
        <v>0</v>
      </c>
      <c r="AF28" s="1402">
        <f t="shared" si="18"/>
        <v>0</v>
      </c>
      <c r="AG28" s="133">
        <f t="shared" si="18"/>
        <v>0</v>
      </c>
      <c r="AH28" s="133">
        <f t="shared" si="18"/>
        <v>0</v>
      </c>
      <c r="AI28" s="133">
        <f t="shared" si="18"/>
        <v>0</v>
      </c>
      <c r="AJ28" s="133">
        <f t="shared" si="18"/>
        <v>0</v>
      </c>
      <c r="AK28" s="133">
        <f t="shared" si="18"/>
        <v>0</v>
      </c>
      <c r="AL28" s="133">
        <f t="shared" ref="AL28:BM28" si="19">AL10*AL19/10^3</f>
        <v>0</v>
      </c>
      <c r="AM28" s="133">
        <f t="shared" si="19"/>
        <v>0</v>
      </c>
      <c r="AN28" s="133">
        <f t="shared" si="19"/>
        <v>0</v>
      </c>
      <c r="AO28" s="133">
        <f t="shared" si="19"/>
        <v>0</v>
      </c>
      <c r="AP28" s="133">
        <f t="shared" si="19"/>
        <v>0</v>
      </c>
      <c r="AQ28" s="133">
        <f t="shared" si="19"/>
        <v>0</v>
      </c>
      <c r="AR28" s="133">
        <f t="shared" si="19"/>
        <v>0</v>
      </c>
      <c r="AS28" s="133">
        <f t="shared" si="19"/>
        <v>0</v>
      </c>
      <c r="AT28" s="133">
        <f t="shared" si="19"/>
        <v>0</v>
      </c>
      <c r="AU28" s="133">
        <f t="shared" si="19"/>
        <v>0</v>
      </c>
      <c r="AV28" s="133">
        <f t="shared" si="19"/>
        <v>0</v>
      </c>
      <c r="AW28" s="133">
        <f t="shared" si="19"/>
        <v>0</v>
      </c>
      <c r="AX28" s="133">
        <f t="shared" si="19"/>
        <v>0</v>
      </c>
      <c r="AY28" s="133">
        <f t="shared" si="19"/>
        <v>0</v>
      </c>
      <c r="AZ28" s="133">
        <f t="shared" si="19"/>
        <v>0</v>
      </c>
      <c r="BA28" s="133">
        <f t="shared" si="19"/>
        <v>0</v>
      </c>
      <c r="BB28" s="133">
        <f t="shared" si="19"/>
        <v>0</v>
      </c>
      <c r="BC28" s="133">
        <f t="shared" si="19"/>
        <v>0</v>
      </c>
      <c r="BD28" s="133">
        <f t="shared" si="19"/>
        <v>0</v>
      </c>
      <c r="BE28" s="133">
        <f t="shared" si="19"/>
        <v>0</v>
      </c>
      <c r="BF28" s="133">
        <f t="shared" si="19"/>
        <v>0</v>
      </c>
      <c r="BG28" s="133">
        <f t="shared" si="19"/>
        <v>0</v>
      </c>
      <c r="BH28" s="133">
        <f t="shared" si="19"/>
        <v>0</v>
      </c>
      <c r="BI28" s="133">
        <f t="shared" si="19"/>
        <v>0</v>
      </c>
      <c r="BJ28" s="133">
        <f t="shared" si="19"/>
        <v>0</v>
      </c>
      <c r="BK28" s="133">
        <f t="shared" si="19"/>
        <v>0</v>
      </c>
      <c r="BL28" s="133">
        <f t="shared" si="19"/>
        <v>0</v>
      </c>
      <c r="BM28" s="133">
        <f t="shared" si="19"/>
        <v>0</v>
      </c>
    </row>
    <row r="29" spans="2:65" outlineLevel="1">
      <c r="B29" s="130" t="str">
        <f t="shared" si="10"/>
        <v>РИТЕЙЛ</v>
      </c>
      <c r="C29" s="28"/>
      <c r="D29" s="131" t="s">
        <v>19</v>
      </c>
      <c r="E29" s="132">
        <f t="shared" si="7"/>
        <v>2462.1471000000001</v>
      </c>
      <c r="F29" s="551">
        <f t="shared" ref="F29:H29" si="20">F11*F20/10^3</f>
        <v>0</v>
      </c>
      <c r="G29" s="551">
        <f t="shared" si="20"/>
        <v>0</v>
      </c>
      <c r="H29" s="551">
        <f t="shared" si="20"/>
        <v>0</v>
      </c>
      <c r="I29" s="551">
        <f t="shared" ref="I29:AK29" si="21">I11*I20/10^3</f>
        <v>0</v>
      </c>
      <c r="J29" s="551">
        <f t="shared" si="21"/>
        <v>0</v>
      </c>
      <c r="K29" s="551">
        <f t="shared" si="21"/>
        <v>0</v>
      </c>
      <c r="L29" s="551">
        <f t="shared" si="21"/>
        <v>0</v>
      </c>
      <c r="M29" s="551">
        <f t="shared" si="21"/>
        <v>0</v>
      </c>
      <c r="N29" s="133">
        <f t="shared" si="21"/>
        <v>0</v>
      </c>
      <c r="O29" s="133">
        <f t="shared" si="21"/>
        <v>0</v>
      </c>
      <c r="P29" s="133">
        <f t="shared" si="21"/>
        <v>0</v>
      </c>
      <c r="Q29" s="133">
        <f t="shared" si="21"/>
        <v>0</v>
      </c>
      <c r="R29" s="133">
        <f t="shared" si="21"/>
        <v>0</v>
      </c>
      <c r="S29" s="133">
        <f t="shared" si="21"/>
        <v>0</v>
      </c>
      <c r="T29" s="133">
        <f t="shared" si="21"/>
        <v>0</v>
      </c>
      <c r="U29" s="133">
        <f t="shared" si="21"/>
        <v>0</v>
      </c>
      <c r="V29" s="133">
        <f t="shared" si="21"/>
        <v>0</v>
      </c>
      <c r="W29" s="133">
        <f t="shared" si="21"/>
        <v>0</v>
      </c>
      <c r="X29" s="133">
        <f t="shared" si="21"/>
        <v>0</v>
      </c>
      <c r="Y29" s="133">
        <f t="shared" si="21"/>
        <v>0</v>
      </c>
      <c r="Z29" s="133">
        <f t="shared" si="21"/>
        <v>0</v>
      </c>
      <c r="AA29" s="133">
        <f t="shared" si="21"/>
        <v>0</v>
      </c>
      <c r="AB29" s="133">
        <f t="shared" si="21"/>
        <v>0</v>
      </c>
      <c r="AC29" s="133">
        <f t="shared" si="21"/>
        <v>0</v>
      </c>
      <c r="AD29" s="133">
        <f t="shared" si="21"/>
        <v>0</v>
      </c>
      <c r="AE29" s="133">
        <f t="shared" si="21"/>
        <v>0</v>
      </c>
      <c r="AF29" s="133">
        <f t="shared" si="21"/>
        <v>0</v>
      </c>
      <c r="AG29" s="133">
        <f t="shared" si="21"/>
        <v>1231.0735500000001</v>
      </c>
      <c r="AH29" s="133">
        <f t="shared" si="21"/>
        <v>1231.0735500000001</v>
      </c>
      <c r="AI29" s="133">
        <f t="shared" si="21"/>
        <v>0</v>
      </c>
      <c r="AJ29" s="133">
        <f t="shared" si="21"/>
        <v>0</v>
      </c>
      <c r="AK29" s="133">
        <f t="shared" si="21"/>
        <v>0</v>
      </c>
      <c r="AL29" s="133">
        <f t="shared" ref="AL29:BM29" si="22">AL11*AL20/10^3</f>
        <v>0</v>
      </c>
      <c r="AM29" s="133">
        <f t="shared" si="22"/>
        <v>0</v>
      </c>
      <c r="AN29" s="133">
        <f t="shared" si="22"/>
        <v>0</v>
      </c>
      <c r="AO29" s="133">
        <f t="shared" si="22"/>
        <v>0</v>
      </c>
      <c r="AP29" s="133">
        <f t="shared" si="22"/>
        <v>0</v>
      </c>
      <c r="AQ29" s="133">
        <f t="shared" si="22"/>
        <v>0</v>
      </c>
      <c r="AR29" s="133">
        <f t="shared" si="22"/>
        <v>0</v>
      </c>
      <c r="AS29" s="133">
        <f t="shared" si="22"/>
        <v>0</v>
      </c>
      <c r="AT29" s="133">
        <f t="shared" si="22"/>
        <v>0</v>
      </c>
      <c r="AU29" s="133">
        <f t="shared" si="22"/>
        <v>0</v>
      </c>
      <c r="AV29" s="133">
        <f t="shared" si="22"/>
        <v>0</v>
      </c>
      <c r="AW29" s="133">
        <f t="shared" si="22"/>
        <v>0</v>
      </c>
      <c r="AX29" s="133">
        <f t="shared" si="22"/>
        <v>0</v>
      </c>
      <c r="AY29" s="133">
        <f t="shared" si="22"/>
        <v>0</v>
      </c>
      <c r="AZ29" s="133">
        <f t="shared" si="22"/>
        <v>0</v>
      </c>
      <c r="BA29" s="133">
        <f t="shared" si="22"/>
        <v>0</v>
      </c>
      <c r="BB29" s="133">
        <f t="shared" si="22"/>
        <v>0</v>
      </c>
      <c r="BC29" s="133">
        <f t="shared" si="22"/>
        <v>0</v>
      </c>
      <c r="BD29" s="133">
        <f t="shared" si="22"/>
        <v>0</v>
      </c>
      <c r="BE29" s="133">
        <f t="shared" si="22"/>
        <v>0</v>
      </c>
      <c r="BF29" s="133">
        <f t="shared" si="22"/>
        <v>0</v>
      </c>
      <c r="BG29" s="133">
        <f t="shared" si="22"/>
        <v>0</v>
      </c>
      <c r="BH29" s="133">
        <f t="shared" si="22"/>
        <v>0</v>
      </c>
      <c r="BI29" s="133">
        <f t="shared" si="22"/>
        <v>0</v>
      </c>
      <c r="BJ29" s="133">
        <f t="shared" si="22"/>
        <v>0</v>
      </c>
      <c r="BK29" s="133">
        <f t="shared" si="22"/>
        <v>0</v>
      </c>
      <c r="BL29" s="133">
        <f t="shared" si="22"/>
        <v>0</v>
      </c>
      <c r="BM29" s="133">
        <f t="shared" si="22"/>
        <v>0</v>
      </c>
    </row>
    <row r="30" spans="2:65" hidden="1" outlineLevel="1">
      <c r="B30" s="130" t="str">
        <f t="shared" si="10"/>
        <v>ТЦ</v>
      </c>
      <c r="C30" s="28"/>
      <c r="D30" s="131" t="s">
        <v>19</v>
      </c>
      <c r="E30" s="132">
        <f t="shared" si="7"/>
        <v>0</v>
      </c>
      <c r="F30" s="551">
        <f t="shared" ref="F30:H30" si="23">F12*F21/10^3</f>
        <v>0</v>
      </c>
      <c r="G30" s="551">
        <f t="shared" si="23"/>
        <v>0</v>
      </c>
      <c r="H30" s="551">
        <f t="shared" si="23"/>
        <v>0</v>
      </c>
      <c r="I30" s="551">
        <f t="shared" ref="I30:AK30" si="24">I12*I21/10^3</f>
        <v>0</v>
      </c>
      <c r="J30" s="551">
        <f t="shared" si="24"/>
        <v>0</v>
      </c>
      <c r="K30" s="551">
        <f t="shared" si="24"/>
        <v>0</v>
      </c>
      <c r="L30" s="551">
        <f t="shared" si="24"/>
        <v>0</v>
      </c>
      <c r="M30" s="551">
        <f t="shared" si="24"/>
        <v>0</v>
      </c>
      <c r="N30" s="133">
        <f t="shared" si="24"/>
        <v>0</v>
      </c>
      <c r="O30" s="133">
        <f t="shared" si="24"/>
        <v>0</v>
      </c>
      <c r="P30" s="133">
        <f t="shared" si="24"/>
        <v>0</v>
      </c>
      <c r="Q30" s="133">
        <f t="shared" si="24"/>
        <v>0</v>
      </c>
      <c r="R30" s="133">
        <f t="shared" si="24"/>
        <v>0</v>
      </c>
      <c r="S30" s="133">
        <f t="shared" si="24"/>
        <v>0</v>
      </c>
      <c r="T30" s="133">
        <f t="shared" si="24"/>
        <v>0</v>
      </c>
      <c r="U30" s="133">
        <f t="shared" si="24"/>
        <v>0</v>
      </c>
      <c r="V30" s="133">
        <f t="shared" si="24"/>
        <v>0</v>
      </c>
      <c r="W30" s="133">
        <f t="shared" si="24"/>
        <v>0</v>
      </c>
      <c r="X30" s="133">
        <f t="shared" si="24"/>
        <v>0</v>
      </c>
      <c r="Y30" s="133">
        <f t="shared" si="24"/>
        <v>0</v>
      </c>
      <c r="Z30" s="133">
        <f t="shared" si="24"/>
        <v>0</v>
      </c>
      <c r="AA30" s="133">
        <f t="shared" si="24"/>
        <v>0</v>
      </c>
      <c r="AB30" s="133">
        <f t="shared" si="24"/>
        <v>0</v>
      </c>
      <c r="AC30" s="133">
        <f t="shared" si="24"/>
        <v>0</v>
      </c>
      <c r="AD30" s="133">
        <f t="shared" si="24"/>
        <v>0</v>
      </c>
      <c r="AE30" s="133">
        <f t="shared" si="24"/>
        <v>0</v>
      </c>
      <c r="AF30" s="133">
        <f t="shared" si="24"/>
        <v>0</v>
      </c>
      <c r="AG30" s="133">
        <f t="shared" si="24"/>
        <v>0</v>
      </c>
      <c r="AH30" s="133">
        <f t="shared" si="24"/>
        <v>0</v>
      </c>
      <c r="AI30" s="133">
        <f t="shared" si="24"/>
        <v>0</v>
      </c>
      <c r="AJ30" s="133">
        <f t="shared" si="24"/>
        <v>0</v>
      </c>
      <c r="AK30" s="133">
        <f t="shared" si="24"/>
        <v>0</v>
      </c>
      <c r="AL30" s="133">
        <f t="shared" ref="AL30:BM30" si="25">AL12*AL21/10^3</f>
        <v>0</v>
      </c>
      <c r="AM30" s="133">
        <f t="shared" si="25"/>
        <v>0</v>
      </c>
      <c r="AN30" s="133">
        <f t="shared" si="25"/>
        <v>0</v>
      </c>
      <c r="AO30" s="133">
        <f t="shared" si="25"/>
        <v>0</v>
      </c>
      <c r="AP30" s="133">
        <f t="shared" si="25"/>
        <v>0</v>
      </c>
      <c r="AQ30" s="133">
        <f t="shared" si="25"/>
        <v>0</v>
      </c>
      <c r="AR30" s="133">
        <f t="shared" si="25"/>
        <v>0</v>
      </c>
      <c r="AS30" s="133">
        <f t="shared" si="25"/>
        <v>0</v>
      </c>
      <c r="AT30" s="133">
        <f t="shared" si="25"/>
        <v>0</v>
      </c>
      <c r="AU30" s="133">
        <f t="shared" si="25"/>
        <v>0</v>
      </c>
      <c r="AV30" s="133">
        <f t="shared" si="25"/>
        <v>0</v>
      </c>
      <c r="AW30" s="133">
        <f t="shared" si="25"/>
        <v>0</v>
      </c>
      <c r="AX30" s="133">
        <f t="shared" si="25"/>
        <v>0</v>
      </c>
      <c r="AY30" s="133">
        <f t="shared" si="25"/>
        <v>0</v>
      </c>
      <c r="AZ30" s="133">
        <f t="shared" si="25"/>
        <v>0</v>
      </c>
      <c r="BA30" s="133">
        <f t="shared" si="25"/>
        <v>0</v>
      </c>
      <c r="BB30" s="133">
        <f t="shared" si="25"/>
        <v>0</v>
      </c>
      <c r="BC30" s="133">
        <f t="shared" si="25"/>
        <v>0</v>
      </c>
      <c r="BD30" s="133">
        <f t="shared" si="25"/>
        <v>0</v>
      </c>
      <c r="BE30" s="133">
        <f t="shared" si="25"/>
        <v>0</v>
      </c>
      <c r="BF30" s="133">
        <f t="shared" si="25"/>
        <v>0</v>
      </c>
      <c r="BG30" s="133">
        <f t="shared" si="25"/>
        <v>0</v>
      </c>
      <c r="BH30" s="133">
        <f t="shared" si="25"/>
        <v>0</v>
      </c>
      <c r="BI30" s="133">
        <f t="shared" si="25"/>
        <v>0</v>
      </c>
      <c r="BJ30" s="133">
        <f t="shared" si="25"/>
        <v>0</v>
      </c>
      <c r="BK30" s="133">
        <f t="shared" si="25"/>
        <v>0</v>
      </c>
      <c r="BL30" s="133">
        <f t="shared" si="25"/>
        <v>0</v>
      </c>
      <c r="BM30" s="133">
        <f t="shared" si="25"/>
        <v>0</v>
      </c>
    </row>
    <row r="31" spans="2:65" outlineLevel="1">
      <c r="B31" s="130" t="str">
        <f t="shared" si="10"/>
        <v>ПАРКИНГ ЖИЛЬЕ</v>
      </c>
      <c r="C31" s="28"/>
      <c r="D31" s="131" t="s">
        <v>19</v>
      </c>
      <c r="E31" s="132">
        <f t="shared" si="7"/>
        <v>2695.5</v>
      </c>
      <c r="F31" s="551">
        <f t="shared" ref="F31:H31" si="26">F13*F22/10^3</f>
        <v>0</v>
      </c>
      <c r="G31" s="551">
        <f t="shared" si="26"/>
        <v>0</v>
      </c>
      <c r="H31" s="551">
        <f t="shared" si="26"/>
        <v>0</v>
      </c>
      <c r="I31" s="551">
        <f t="shared" ref="I31:AK31" si="27">I13*I22/10^3</f>
        <v>0</v>
      </c>
      <c r="J31" s="551">
        <f t="shared" si="27"/>
        <v>0</v>
      </c>
      <c r="K31" s="551">
        <f t="shared" si="27"/>
        <v>0</v>
      </c>
      <c r="L31" s="551">
        <f t="shared" si="27"/>
        <v>0</v>
      </c>
      <c r="M31" s="551">
        <f t="shared" si="27"/>
        <v>0</v>
      </c>
      <c r="N31" s="133">
        <f t="shared" si="27"/>
        <v>0</v>
      </c>
      <c r="O31" s="133">
        <f t="shared" si="27"/>
        <v>0</v>
      </c>
      <c r="P31" s="133">
        <f t="shared" si="27"/>
        <v>0</v>
      </c>
      <c r="Q31" s="133">
        <f t="shared" si="27"/>
        <v>0</v>
      </c>
      <c r="R31" s="133">
        <f t="shared" si="27"/>
        <v>0</v>
      </c>
      <c r="S31" s="133">
        <f t="shared" si="27"/>
        <v>0</v>
      </c>
      <c r="T31" s="133">
        <f t="shared" si="27"/>
        <v>135</v>
      </c>
      <c r="U31" s="133">
        <f t="shared" si="27"/>
        <v>135</v>
      </c>
      <c r="V31" s="133">
        <f t="shared" si="27"/>
        <v>135</v>
      </c>
      <c r="W31" s="133">
        <f t="shared" si="27"/>
        <v>135</v>
      </c>
      <c r="X31" s="133">
        <f t="shared" si="27"/>
        <v>135</v>
      </c>
      <c r="Y31" s="133">
        <f t="shared" si="27"/>
        <v>135</v>
      </c>
      <c r="Z31" s="133">
        <f t="shared" si="27"/>
        <v>135</v>
      </c>
      <c r="AA31" s="133">
        <f t="shared" si="27"/>
        <v>135</v>
      </c>
      <c r="AB31" s="133">
        <f t="shared" si="27"/>
        <v>135</v>
      </c>
      <c r="AC31" s="133">
        <f t="shared" si="27"/>
        <v>135</v>
      </c>
      <c r="AD31" s="133">
        <f t="shared" si="27"/>
        <v>135</v>
      </c>
      <c r="AE31" s="133">
        <f t="shared" si="27"/>
        <v>135</v>
      </c>
      <c r="AF31" s="133">
        <f t="shared" si="27"/>
        <v>135</v>
      </c>
      <c r="AG31" s="133">
        <f t="shared" si="27"/>
        <v>135</v>
      </c>
      <c r="AH31" s="133">
        <f t="shared" si="27"/>
        <v>135</v>
      </c>
      <c r="AI31" s="133">
        <f t="shared" si="27"/>
        <v>135</v>
      </c>
      <c r="AJ31" s="133">
        <f t="shared" si="27"/>
        <v>135</v>
      </c>
      <c r="AK31" s="133">
        <f t="shared" si="27"/>
        <v>135</v>
      </c>
      <c r="AL31" s="133">
        <f t="shared" ref="AL31:BM31" si="28">AL13*AL22/10^3</f>
        <v>135</v>
      </c>
      <c r="AM31" s="133">
        <f t="shared" si="28"/>
        <v>130.5</v>
      </c>
      <c r="AN31" s="133">
        <f t="shared" si="28"/>
        <v>0</v>
      </c>
      <c r="AO31" s="133">
        <f t="shared" si="28"/>
        <v>0</v>
      </c>
      <c r="AP31" s="133">
        <f t="shared" si="28"/>
        <v>0</v>
      </c>
      <c r="AQ31" s="133">
        <f t="shared" si="28"/>
        <v>0</v>
      </c>
      <c r="AR31" s="133">
        <f t="shared" si="28"/>
        <v>0</v>
      </c>
      <c r="AS31" s="133">
        <f t="shared" si="28"/>
        <v>0</v>
      </c>
      <c r="AT31" s="133">
        <f t="shared" si="28"/>
        <v>0</v>
      </c>
      <c r="AU31" s="133">
        <f t="shared" si="28"/>
        <v>0</v>
      </c>
      <c r="AV31" s="133">
        <f t="shared" si="28"/>
        <v>0</v>
      </c>
      <c r="AW31" s="133">
        <f t="shared" si="28"/>
        <v>0</v>
      </c>
      <c r="AX31" s="133">
        <f t="shared" si="28"/>
        <v>0</v>
      </c>
      <c r="AY31" s="133">
        <f t="shared" si="28"/>
        <v>0</v>
      </c>
      <c r="AZ31" s="133">
        <f t="shared" si="28"/>
        <v>0</v>
      </c>
      <c r="BA31" s="133">
        <f t="shared" si="28"/>
        <v>0</v>
      </c>
      <c r="BB31" s="133">
        <f t="shared" si="28"/>
        <v>0</v>
      </c>
      <c r="BC31" s="133">
        <f t="shared" si="28"/>
        <v>0</v>
      </c>
      <c r="BD31" s="133">
        <f t="shared" si="28"/>
        <v>0</v>
      </c>
      <c r="BE31" s="133">
        <f t="shared" si="28"/>
        <v>0</v>
      </c>
      <c r="BF31" s="133">
        <f t="shared" si="28"/>
        <v>0</v>
      </c>
      <c r="BG31" s="133">
        <f t="shared" si="28"/>
        <v>0</v>
      </c>
      <c r="BH31" s="133">
        <f t="shared" si="28"/>
        <v>0</v>
      </c>
      <c r="BI31" s="133">
        <f t="shared" si="28"/>
        <v>0</v>
      </c>
      <c r="BJ31" s="133">
        <f t="shared" si="28"/>
        <v>0</v>
      </c>
      <c r="BK31" s="133">
        <f t="shared" si="28"/>
        <v>0</v>
      </c>
      <c r="BL31" s="133">
        <f t="shared" si="28"/>
        <v>0</v>
      </c>
      <c r="BM31" s="133">
        <f t="shared" si="28"/>
        <v>0</v>
      </c>
    </row>
    <row r="32" spans="2:65" hidden="1" outlineLevel="1">
      <c r="B32" s="130" t="str">
        <f t="shared" si="10"/>
        <v>ПАРКИНГ ОФИС</v>
      </c>
      <c r="C32" s="28"/>
      <c r="D32" s="131" t="s">
        <v>19</v>
      </c>
      <c r="E32" s="132">
        <f t="shared" si="7"/>
        <v>0</v>
      </c>
      <c r="F32" s="551">
        <f t="shared" ref="F32:H32" si="29">F14*F23/10^3</f>
        <v>0</v>
      </c>
      <c r="G32" s="551">
        <f t="shared" si="29"/>
        <v>0</v>
      </c>
      <c r="H32" s="551">
        <f t="shared" si="29"/>
        <v>0</v>
      </c>
      <c r="I32" s="551">
        <f t="shared" ref="I32:AK32" si="30">I14*I23/10^3</f>
        <v>0</v>
      </c>
      <c r="J32" s="551">
        <f t="shared" si="30"/>
        <v>0</v>
      </c>
      <c r="K32" s="551">
        <f t="shared" si="30"/>
        <v>0</v>
      </c>
      <c r="L32" s="551">
        <f t="shared" si="30"/>
        <v>0</v>
      </c>
      <c r="M32" s="551">
        <f t="shared" si="30"/>
        <v>0</v>
      </c>
      <c r="N32" s="551">
        <f t="shared" si="30"/>
        <v>0</v>
      </c>
      <c r="O32" s="551">
        <f t="shared" si="30"/>
        <v>0</v>
      </c>
      <c r="P32" s="551">
        <f t="shared" si="30"/>
        <v>0</v>
      </c>
      <c r="Q32" s="133">
        <f t="shared" si="30"/>
        <v>0</v>
      </c>
      <c r="R32" s="133">
        <f t="shared" si="30"/>
        <v>0</v>
      </c>
      <c r="S32" s="133">
        <f t="shared" si="30"/>
        <v>0</v>
      </c>
      <c r="T32" s="133">
        <f t="shared" si="30"/>
        <v>0</v>
      </c>
      <c r="U32" s="133">
        <f t="shared" si="30"/>
        <v>0</v>
      </c>
      <c r="V32" s="133">
        <f t="shared" si="30"/>
        <v>0</v>
      </c>
      <c r="W32" s="133">
        <f t="shared" si="30"/>
        <v>0</v>
      </c>
      <c r="X32" s="133">
        <f t="shared" si="30"/>
        <v>0</v>
      </c>
      <c r="Y32" s="133">
        <f t="shared" si="30"/>
        <v>0</v>
      </c>
      <c r="Z32" s="133">
        <f t="shared" si="30"/>
        <v>0</v>
      </c>
      <c r="AA32" s="133">
        <f t="shared" si="30"/>
        <v>0</v>
      </c>
      <c r="AB32" s="133">
        <f t="shared" si="30"/>
        <v>0</v>
      </c>
      <c r="AC32" s="133">
        <f t="shared" si="30"/>
        <v>0</v>
      </c>
      <c r="AD32" s="133">
        <f t="shared" si="30"/>
        <v>0</v>
      </c>
      <c r="AE32" s="133">
        <f t="shared" si="30"/>
        <v>0</v>
      </c>
      <c r="AF32" s="133">
        <f t="shared" si="30"/>
        <v>0</v>
      </c>
      <c r="AG32" s="133">
        <f t="shared" si="30"/>
        <v>0</v>
      </c>
      <c r="AH32" s="133">
        <f t="shared" si="30"/>
        <v>0</v>
      </c>
      <c r="AI32" s="133">
        <f t="shared" si="30"/>
        <v>0</v>
      </c>
      <c r="AJ32" s="133">
        <f t="shared" si="30"/>
        <v>0</v>
      </c>
      <c r="AK32" s="133">
        <f t="shared" si="30"/>
        <v>0</v>
      </c>
      <c r="AL32" s="133">
        <f t="shared" ref="AL32:BM32" si="31">AL14*AL23/10^3</f>
        <v>0</v>
      </c>
      <c r="AM32" s="133">
        <f t="shared" si="31"/>
        <v>0</v>
      </c>
      <c r="AN32" s="133">
        <f t="shared" si="31"/>
        <v>0</v>
      </c>
      <c r="AO32" s="133">
        <f t="shared" si="31"/>
        <v>0</v>
      </c>
      <c r="AP32" s="133">
        <f t="shared" si="31"/>
        <v>0</v>
      </c>
      <c r="AQ32" s="133">
        <f t="shared" si="31"/>
        <v>0</v>
      </c>
      <c r="AR32" s="133">
        <f t="shared" si="31"/>
        <v>0</v>
      </c>
      <c r="AS32" s="133">
        <f t="shared" si="31"/>
        <v>0</v>
      </c>
      <c r="AT32" s="133">
        <f t="shared" si="31"/>
        <v>0</v>
      </c>
      <c r="AU32" s="133">
        <f t="shared" si="31"/>
        <v>0</v>
      </c>
      <c r="AV32" s="133">
        <f t="shared" si="31"/>
        <v>0</v>
      </c>
      <c r="AW32" s="133">
        <f t="shared" si="31"/>
        <v>0</v>
      </c>
      <c r="AX32" s="133">
        <f t="shared" si="31"/>
        <v>0</v>
      </c>
      <c r="AY32" s="133">
        <f t="shared" si="31"/>
        <v>0</v>
      </c>
      <c r="AZ32" s="133">
        <f t="shared" si="31"/>
        <v>0</v>
      </c>
      <c r="BA32" s="133">
        <f t="shared" si="31"/>
        <v>0</v>
      </c>
      <c r="BB32" s="133">
        <f t="shared" si="31"/>
        <v>0</v>
      </c>
      <c r="BC32" s="133">
        <f t="shared" si="31"/>
        <v>0</v>
      </c>
      <c r="BD32" s="133">
        <f t="shared" si="31"/>
        <v>0</v>
      </c>
      <c r="BE32" s="133">
        <f t="shared" si="31"/>
        <v>0</v>
      </c>
      <c r="BF32" s="133">
        <f t="shared" si="31"/>
        <v>0</v>
      </c>
      <c r="BG32" s="133">
        <f t="shared" si="31"/>
        <v>0</v>
      </c>
      <c r="BH32" s="133">
        <f t="shared" si="31"/>
        <v>0</v>
      </c>
      <c r="BI32" s="133">
        <f t="shared" si="31"/>
        <v>0</v>
      </c>
      <c r="BJ32" s="133">
        <f t="shared" si="31"/>
        <v>0</v>
      </c>
      <c r="BK32" s="133">
        <f t="shared" si="31"/>
        <v>0</v>
      </c>
      <c r="BL32" s="133">
        <f t="shared" si="31"/>
        <v>0</v>
      </c>
      <c r="BM32" s="133">
        <f t="shared" si="31"/>
        <v>0</v>
      </c>
    </row>
    <row r="33" spans="1:65">
      <c r="E33" s="138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</row>
    <row r="34" spans="1:65">
      <c r="A34" s="124"/>
      <c r="B34" s="177" t="s">
        <v>321</v>
      </c>
      <c r="C34" s="177"/>
      <c r="D34" s="178" t="s">
        <v>19</v>
      </c>
      <c r="E34" s="179">
        <f t="shared" ref="E34:E47" si="32">SUM(F34:BM34)</f>
        <v>42595.62591599999</v>
      </c>
      <c r="F34" s="180"/>
      <c r="G34" s="180">
        <f>IF(SUM($E$175:F175)&gt;0,SUM($F$35:G35,$F$42:G42,$F$43:G43,$F$44:G44,$F$45:G45,$F$46:G46,)-SUM(F$34:$F34),0)</f>
        <v>0</v>
      </c>
      <c r="H34" s="180">
        <f>IF(SUM($E$175:G175)&gt;0,SUM($F$35:H35,$F$42:H42,$F$43:H43,$F$44:H44,$F$45:H45,$F$46:H46,)-SUM($F$34:G34),0)</f>
        <v>0</v>
      </c>
      <c r="I34" s="180">
        <f>IF(SUM($E$175:H175)&gt;0,SUM($F$35:I35,$F$42:I42,$F$43:I43,$F$44:I44,$F$45:I45,$F$46:I46,)-SUM($F$34:H34),0)</f>
        <v>0</v>
      </c>
      <c r="J34" s="180">
        <f>IF(SUM($E$175:I175)&gt;0,SUM($F$35:J35,$F$42:J42,$F$43:J43,$F$44:J44,$F$45:J45,$F$46:J46,)-SUM($F$34:I34),0)</f>
        <v>0</v>
      </c>
      <c r="K34" s="180">
        <f>IF(SUM($E$175:J175)&gt;0,SUM($F$35:K35,$F$42:K42,$F$43:K43,$F$44:K44,$F$45:K45,$F$46:K46,)-SUM($F$34:J34),0)</f>
        <v>0</v>
      </c>
      <c r="L34" s="180">
        <f>IF(SUM($E$175:K175)&gt;0,SUM($F$35:L35,$F$42:L42,$F$43:L43,$F$44:L44,$F$45:L45,$F$46:L46,)-SUM($F$34:K34),0)</f>
        <v>0</v>
      </c>
      <c r="M34" s="180">
        <f>IF(SUM($E$175:L175)&gt;0,SUM($F$35:M35,$F$42:M42,$F$43:M43,$F$44:M44,$F$45:M45,$F$46:M46,)-SUM($F$34:L34),0)</f>
        <v>0</v>
      </c>
      <c r="N34" s="180">
        <f>IF(SUM($E$175:M175)&gt;0,SUM($F$35:N35,$F$42:N42,$F$43:N43,$F$44:N44,$F$45:N45,$F$46:N46,)-SUM($F$34:M34),0)</f>
        <v>0</v>
      </c>
      <c r="O34" s="180">
        <f>IF(SUM($E$175:N175)&gt;0,SUM($F$35:O35,$F$42:O42,$F$43:O43,$F$44:O44,$F$45:O45,$F$46:O46,)-SUM($F$34:N34),0)</f>
        <v>0</v>
      </c>
      <c r="P34" s="180">
        <f>IF(SUM($E$175:O175)&gt;0,SUM($F$35:P35,$F$42:P42,$F$43:P43,$F$44:P44,$F$45:P45,$F$46:P46,)-SUM($F$34:O34),0)</f>
        <v>0</v>
      </c>
      <c r="Q34" s="180">
        <f>IF(SUM($E$175:P175)&gt;0,SUM($F$35:Q35,$F$42:Q42,$F$43:Q43,$F$44:Q44,$F$45:Q45,$F$46:Q46,)-SUM($F$34:P34),0)</f>
        <v>0</v>
      </c>
      <c r="R34" s="180">
        <f>IF(SUM($E$175:Q175)&gt;0,SUM($F$35:R35,$F$42:R42,$F$43:R43,$F$44:R44,$F$45:R45,$F$46:R46,)-SUM($F$34:Q34),0)</f>
        <v>0</v>
      </c>
      <c r="S34" s="180">
        <f>IF(SUM($E$175:R175)&gt;0,SUM($F$35:S35,$F$42:S42,$F$43:S43,$F$44:S44,$F$45:S45,$F$46:S46,)-SUM($F$34:R34),0)</f>
        <v>0</v>
      </c>
      <c r="T34" s="180">
        <f>IF(SUM($E$175:S175)&gt;0,SUM($F$35:T35,$F$42:T42,$F$43:T43,$F$44:T44,$F$45:T45,$F$46:T46,)-SUM($F$34:S34),0)</f>
        <v>0</v>
      </c>
      <c r="U34" s="180">
        <f>IF(SUM($E$175:T175)&gt;0,SUM($F$35:U35,$F$42:U42,$F$43:U43,$F$44:U44,$F$45:U45,$F$46:U46,)-SUM($F$34:T34),0)</f>
        <v>0</v>
      </c>
      <c r="V34" s="180">
        <f>IF(SUM($E$175:U175)&gt;0,SUM($F$35:V35,$F$42:V42,$F$43:V43,$F$44:V44,$F$45:V45,$F$46:V46,)-SUM($F$34:U34),0)</f>
        <v>0</v>
      </c>
      <c r="W34" s="180">
        <f>IF(SUM($E$175:V175)&gt;0,SUM($F$35:W35,$F$42:W42,$F$43:W43,$F$44:W44,$F$45:W45,$F$46:W46,)-SUM($F$34:V34),0)</f>
        <v>0</v>
      </c>
      <c r="X34" s="180">
        <f>IF(SUM($E$175:W175)&gt;0,SUM($F$35:X35,$F$42:X42,$F$43:X43,$F$44:X44,$F$45:X45,$F$46:X46,)-SUM($F$34:W34),0)</f>
        <v>0</v>
      </c>
      <c r="Y34" s="180">
        <f>IF(SUM($E$175:X175)&gt;0,SUM($F$35:Y35,$F$42:Y42,$F$43:Y43,$F$44:Y44,$F$45:Y45,$F$46:Y46,)-SUM($F$34:X34),0)</f>
        <v>0</v>
      </c>
      <c r="Z34" s="180">
        <f>IF(SUM($E$175:Y175)&gt;0,SUM($F$35:Z35,$F$42:Z42,$F$43:Z43,$F$44:Z44,$F$45:Z45,$F$46:Z46,)-SUM($F$34:Y34),0)</f>
        <v>0</v>
      </c>
      <c r="AA34" s="180">
        <f>IF(SUM($E$175:Z175)&gt;0,SUM($F$35:AA35,$F$42:AA42,$F$43:AA43,$F$44:AA44,$F$45:AA45,$F$46:AA46,)-SUM($F$34:Z34),0)</f>
        <v>0</v>
      </c>
      <c r="AB34" s="180">
        <f>IF(SUM($E$175:AA175)&gt;0,SUM($F$35:AB35,$F$42:AB42,$F$43:AB43,$F$44:AB44,$F$45:AB45,$F$46:AB46,)-SUM($F$34:AA34),0)</f>
        <v>0</v>
      </c>
      <c r="AC34" s="180">
        <f>IF(SUM($E$175:AB175)&gt;0,SUM($F$35:AC35,$F$42:AC42,$F$43:AC43,$F$44:AC44,$F$45:AC45,$F$46:AC46,)-SUM($F$34:AB34),0)</f>
        <v>0</v>
      </c>
      <c r="AD34" s="180">
        <f>IF(SUM($E$175:AC175)&gt;0,SUM($F$35:AD35,$F$42:AD42,$F$43:AD43,$F$44:AD44,$F$45:AD45,$F$46:AD46,)-SUM($F$34:AC34),0)</f>
        <v>0</v>
      </c>
      <c r="AE34" s="180">
        <f>IF(SUM($E$175:AD175)&gt;0,SUM($F$35:AE35,$F$42:AE42,$F$43:AE43,$F$44:AE44,$F$45:AE45,$F$46:AE46,)-SUM($F$34:AD34),0)</f>
        <v>0</v>
      </c>
      <c r="AF34" s="180">
        <f>IF(SUM($E$175:AE175)&gt;0,SUM($F$35:AF35,$F$42:AF42,$F$43:AF43,$F$44:AF44,$F$45:AF45,$F$46:AF46,)-SUM($F$34:AE34),0)</f>
        <v>24259.464296763515</v>
      </c>
      <c r="AG34" s="180">
        <f>IF(SUM($E$175:AF175)&gt;0,SUM($F$35:AG35,$F$42:AG42,$F$43:AG43,$F$44:AG44,$F$45:AG45,$F$46:AG46,)-SUM($F$34:AF34),0)</f>
        <v>3461.1864509474253</v>
      </c>
      <c r="AH34" s="180">
        <f>IF(SUM($E$175:AG175)&gt;0,SUM($F$35:AH35,$F$42:AH42,$F$43:AH43,$F$44:AH44,$F$45:AH45,$F$46:AH46,)-SUM($F$34:AG34),0)</f>
        <v>3461.1864509474253</v>
      </c>
      <c r="AI34" s="180">
        <f>IF(SUM($E$175:AH175)&gt;0,SUM($F$35:AI35,$F$42:AI42,$F$43:AI43,$F$44:AI44,$F$45:AI45,$F$46:AI46,)-SUM($F$34:AH34),0)</f>
        <v>2230.1129009474244</v>
      </c>
      <c r="AJ34" s="180">
        <f>IF(SUM($E$175:AI175)&gt;0,SUM($F$35:AJ35,$F$42:AJ42,$F$43:AJ43,$F$44:AJ44,$F$45:AJ45,$F$46:AJ46,)-SUM($F$34:AI34),0)</f>
        <v>2230.1129009474244</v>
      </c>
      <c r="AK34" s="180">
        <f>IF(SUM($E$175:AJ175)&gt;0,SUM($F$35:AK35,$F$42:AK42,$F$43:AK43,$F$44:AK44,$F$45:AK45,$F$46:AK46,)-SUM($F$34:AJ34),0)</f>
        <v>2230.1129009474244</v>
      </c>
      <c r="AL34" s="180">
        <f>IF(SUM($E$175:AK175)&gt;0,SUM($F$35:AL35,$F$42:AL42,$F$43:AL43,$F$44:AL44,$F$45:AL45,$F$46:AL46,)-SUM($F$34:AK34),0)</f>
        <v>2230.1129009474244</v>
      </c>
      <c r="AM34" s="180">
        <f>IF(SUM($E$175:AL175)&gt;0,SUM($F$35:AM35,$F$42:AM42,$F$43:AM43,$F$44:AM44,$F$45:AM45,$F$46:AM46,)-SUM($F$34:AL34),0)</f>
        <v>1946.0461405716123</v>
      </c>
      <c r="AN34" s="180">
        <f>IF(SUM($E$175:AM175)&gt;0,SUM($F$35:AN35,$F$42:AN42,$F$43:AN43,$F$44:AN44,$F$45:AN45,$F$46:AN46,)-SUM($F$34:AM34),0)</f>
        <v>547.29097298031411</v>
      </c>
      <c r="AO34" s="180">
        <f>IF(SUM($E$175:AN175)&gt;0,SUM($F$35:AO35,$F$42:AO42,$F$43:AO43,$F$44:AO44,$F$45:AO45,$F$46:AO46,)-SUM($F$34:AN34),0)</f>
        <v>0</v>
      </c>
      <c r="AP34" s="180">
        <f>IF(SUM($E$175:AO175)&gt;0,SUM($F$35:AP35,$F$42:AP42,$F$43:AP43,$F$44:AP44,$F$45:AP45,$F$46:AP46,)-SUM($F$34:AO34),0)</f>
        <v>0</v>
      </c>
      <c r="AQ34" s="180">
        <f>IF(SUM($E$175:AP175)&gt;0,SUM($F$35:AQ35,$F$42:AQ42,$F$43:AQ43,$F$44:AQ44,$F$45:AQ45,$F$46:AQ46,)-SUM($F$34:AP34),0)</f>
        <v>0</v>
      </c>
      <c r="AR34" s="180">
        <f>IF(SUM($E$175:AQ175)&gt;0,SUM($F$35:AR35,$F$42:AR42,$F$43:AR43,$F$44:AR44,$F$45:AR45,$F$46:AR46,)-SUM($F$34:AQ34),0)</f>
        <v>0</v>
      </c>
      <c r="AS34" s="180">
        <f>IF(SUM($E$175:AR175)&gt;0,SUM($F$35:AS35,$F$42:AS42,$F$43:AS43,$F$44:AS44,$F$45:AS45,$F$46:AS46,)-SUM($F$34:AR34),0)</f>
        <v>0</v>
      </c>
      <c r="AT34" s="180">
        <f>IF(SUM($E$175:AS175)&gt;0,SUM($F$35:AT35,$F$42:AT42,$F$43:AT43,$F$44:AT44,$F$45:AT45,$F$46:AT46,)-SUM($F$34:AS34),0)</f>
        <v>0</v>
      </c>
      <c r="AU34" s="180">
        <f>IF(SUM($E$175:AT175)&gt;0,SUM($F$35:AU35,$F$42:AU42,$F$43:AU43,$F$44:AU44,$F$45:AU45,$F$46:AU46,)-SUM($F$34:AT34),0)</f>
        <v>0</v>
      </c>
      <c r="AV34" s="180">
        <f>IF(SUM($E$175:AU175)&gt;0,SUM($F$35:AV35,$F$42:AV42,$F$43:AV43,$F$44:AV44,$F$45:AV45,$F$46:AV46,)-SUM($F$34:AU34),0)</f>
        <v>0</v>
      </c>
      <c r="AW34" s="180">
        <f>IF(SUM($E$175:AV175)&gt;0,SUM($F$35:AW35,$F$42:AW42,$F$43:AW43,$F$44:AW44,$F$45:AW45,$F$46:AW46,)-SUM($F$34:AV34),0)</f>
        <v>0</v>
      </c>
      <c r="AX34" s="180">
        <f>IF(SUM($E$175:AW175)&gt;0,SUM($F$35:AX35,$F$42:AX42,$F$43:AX43,$F$44:AX44,$F$45:AX45,$F$46:AX46,)-SUM($F$34:AW34),0)</f>
        <v>0</v>
      </c>
      <c r="AY34" s="180">
        <f>IF(SUM($E$175:AX175)&gt;0,SUM($F$35:AY35,$F$42:AY42,$F$43:AY43,$F$44:AY44,$F$45:AY45,$F$46:AY46,)-SUM($F$34:AX34),0)</f>
        <v>0</v>
      </c>
      <c r="AZ34" s="180">
        <f>IF(SUM($E$175:AY175)&gt;0,SUM($F$35:AZ35,$F$42:AZ42,$F$43:AZ43,$F$44:AZ44,$F$45:AZ45,$F$46:AZ46,)-SUM($F$34:AY34),0)</f>
        <v>0</v>
      </c>
      <c r="BA34" s="180">
        <f>IF(SUM($E$175:AZ175)&gt;0,SUM($F$35:BA35,$F$42:BA42,$F$43:BA43,$F$44:BA44,$F$45:BA45,$F$46:BA46,)-SUM($F$34:AZ34),0)</f>
        <v>0</v>
      </c>
      <c r="BB34" s="180">
        <f>IF(SUM($E$175:BA175)&gt;0,SUM($F$35:BB35,$F$42:BB42,$F$43:BB43,$F$44:BB44,$F$45:BB45,$F$46:BB46,)-SUM($F$34:BA34),0)</f>
        <v>0</v>
      </c>
      <c r="BC34" s="180">
        <f>IF(SUM($E$175:BB175)&gt;0,SUM($F$35:BC35,$F$42:BC42,$F$43:BC43,$F$44:BC44,$F$45:BC45,$F$46:BC46,)-SUM($F$34:BB34),0)</f>
        <v>0</v>
      </c>
      <c r="BD34" s="180">
        <f>IF(SUM($E$175:BC175)&gt;0,SUM($F$35:BD35,$F$42:BD42,$F$43:BD43,$F$44:BD44,$F$45:BD45,$F$46:BD46,)-SUM($F$34:BC34),0)</f>
        <v>0</v>
      </c>
      <c r="BE34" s="180">
        <f>IF(SUM($E$175:BD175)&gt;0,SUM($F$35:BE35,$F$42:BE42,$F$43:BE43,$F$44:BE44,$F$45:BE45,$F$46:BE46,)-SUM($F$34:BD34),0)</f>
        <v>0</v>
      </c>
      <c r="BF34" s="180">
        <f>IF(SUM($E$175:BE175)&gt;0,SUM($F$35:BF35,$F$42:BF42,$F$43:BF43,$F$44:BF44,$F$45:BF45,$F$46:BF46,)-SUM($F$34:BE34),0)</f>
        <v>0</v>
      </c>
      <c r="BG34" s="180">
        <f>IF(SUM($E$175:BF175)&gt;0,SUM($F$35:BG35,$F$42:BG42,$F$43:BG43,$F$44:BG44,$F$45:BG45,$F$46:BG46,)-SUM($F$34:BF34),0)</f>
        <v>0</v>
      </c>
      <c r="BH34" s="180">
        <f>IF(SUM($E$175:BG175)&gt;0,SUM($F$35:BH35,$F$42:BH42,$F$43:BH43,$F$44:BH44,$F$45:BH45,$F$46:BH46,)-SUM($F$34:BG34),0)</f>
        <v>0</v>
      </c>
      <c r="BI34" s="180">
        <f>IF(SUM($E$175:BH175)&gt;0,SUM($F$35:BI35,$F$42:BI42,$F$43:BI43,$F$44:BI44,$F$45:BI45,$F$46:BI46,)-SUM($F$34:BH34),0)</f>
        <v>0</v>
      </c>
      <c r="BJ34" s="180">
        <f>IF(SUM($E$175:BI175)&gt;0,SUM($F$35:BJ35,$F$42:BJ42,$F$43:BJ43,$F$44:BJ44,$F$45:BJ45,$F$46:BJ46,)-SUM($F$34:BI34),0)</f>
        <v>0</v>
      </c>
      <c r="BK34" s="180">
        <f>IF(SUM($E$175:BJ175)&gt;0,SUM($F$35:BK35,$F$42:BK42,$F$43:BK43,$F$44:BK44,$F$45:BK45,$F$46:BK46,)-SUM($F$34:BJ34),0)</f>
        <v>0</v>
      </c>
      <c r="BL34" s="180">
        <f>IF(SUM($E$175:BK175)&gt;0,SUM($F$35:BL35,$F$42:BL42,$F$43:BL43,$F$44:BL44,$F$45:BL45,$F$46:BL46,)-SUM($F$34:BK34),0)</f>
        <v>0</v>
      </c>
      <c r="BM34" s="180">
        <f>IF(SUM($E$175:BL175)&gt;0,SUM($F$35:BM35,$F$42:BM42,$F$43:BM43,$F$44:BM44,$F$45:BM45,$F$46:BM46,)-SUM($F$34:BL34),0)</f>
        <v>0</v>
      </c>
    </row>
    <row r="35" spans="1:65">
      <c r="B35" s="140" t="str">
        <f t="shared" ref="B35" si="33">B26</f>
        <v>КВАРТИРЫ</v>
      </c>
      <c r="C35" s="200"/>
      <c r="D35" s="131" t="s">
        <v>19</v>
      </c>
      <c r="E35" s="141">
        <f t="shared" si="32"/>
        <v>37437.978815999988</v>
      </c>
      <c r="F35" s="202"/>
      <c r="G35" s="202">
        <f>(G26*'DB1'!$N8+SUM($F26:F26)-SUM('CF1'!$F35:F35))</f>
        <v>0</v>
      </c>
      <c r="H35" s="202">
        <f>(H26*'DB1'!$N8+SUM($F26:G26)-SUM('CF1'!$F35:G35))</f>
        <v>0</v>
      </c>
      <c r="I35" s="202">
        <f>(I26*'DB1'!$N8+SUM($F26:H26)-SUM('CF1'!$F35:H35))</f>
        <v>0</v>
      </c>
      <c r="J35" s="202">
        <f>(J26*'DB1'!$N8+SUM($F26:I26)-SUM('CF1'!$F35:I35))</f>
        <v>0</v>
      </c>
      <c r="K35" s="202">
        <f>(K26*'DB1'!$N8+SUM($F26:J26)-SUM('CF1'!$F35:J35))</f>
        <v>0</v>
      </c>
      <c r="L35" s="202">
        <f>(L26*'DB1'!$N8+SUM($F26:K26)-SUM('CF1'!$F35:K35))</f>
        <v>0</v>
      </c>
      <c r="M35" s="202">
        <f>(M26*'DB1'!$N8+SUM($F26:L26)-SUM('CF1'!$F35:L35))</f>
        <v>0</v>
      </c>
      <c r="N35" s="142">
        <f t="shared" ref="N35:R35" si="34">N39+N41+N26*(1-N36)</f>
        <v>0</v>
      </c>
      <c r="O35" s="142">
        <f t="shared" si="34"/>
        <v>0</v>
      </c>
      <c r="P35" s="142">
        <f t="shared" si="34"/>
        <v>0</v>
      </c>
      <c r="Q35" s="142">
        <f t="shared" si="34"/>
        <v>0</v>
      </c>
      <c r="R35" s="142">
        <f t="shared" si="34"/>
        <v>0</v>
      </c>
      <c r="S35" s="142">
        <f>S39+S41+S26*(1-S36)</f>
        <v>0</v>
      </c>
      <c r="T35" s="142">
        <f t="shared" ref="T35:AD35" si="35">T39+T41+T26*(1-T36)</f>
        <v>1069.568181818182</v>
      </c>
      <c r="U35" s="142">
        <f t="shared" si="35"/>
        <v>1248.8459481673187</v>
      </c>
      <c r="V35" s="142">
        <f t="shared" si="35"/>
        <v>1324.3638476173967</v>
      </c>
      <c r="W35" s="142">
        <f t="shared" si="35"/>
        <v>1407.4431634436505</v>
      </c>
      <c r="X35" s="142">
        <f t="shared" si="35"/>
        <v>1500.2443003249882</v>
      </c>
      <c r="Y35" s="142">
        <f t="shared" si="35"/>
        <v>1707.4761587536987</v>
      </c>
      <c r="Z35" s="142">
        <f t="shared" si="35"/>
        <v>1808.9472049245551</v>
      </c>
      <c r="AA35" s="142">
        <f t="shared" si="35"/>
        <v>1930.8340753110874</v>
      </c>
      <c r="AB35" s="142">
        <f t="shared" si="35"/>
        <v>2086.7473193904125</v>
      </c>
      <c r="AC35" s="142">
        <f t="shared" si="35"/>
        <v>2376.3754678071646</v>
      </c>
      <c r="AD35" s="142">
        <f t="shared" si="35"/>
        <v>2673.1753875251452</v>
      </c>
      <c r="AE35" s="142">
        <f>(AE26*'DB1'!$N8+SUM($F26:AD26)-SUM('CF1'!$F35:AD35))</f>
        <v>1361.0549477116983</v>
      </c>
      <c r="AF35" s="142">
        <f>(AF26*'DB1'!$N8+SUM($F26:AE26)-SUM('CF1'!$F35:AE35))</f>
        <v>2049.8882939682153</v>
      </c>
      <c r="AG35" s="142">
        <f>(AG26*'DB1'!$N8+SUM($F26:AF26)-SUM('CF1'!$F35:AF35))</f>
        <v>2095.1129009474244</v>
      </c>
      <c r="AH35" s="142">
        <f>(AH26*'DB1'!$N8+SUM($F26:AG26)-SUM('CF1'!$F35:AG35))</f>
        <v>2095.1129009474244</v>
      </c>
      <c r="AI35" s="142">
        <f>(AI26*'DB1'!$N8+SUM($F26:AH26)-SUM('CF1'!$F35:AH35))</f>
        <v>2095.1129009474244</v>
      </c>
      <c r="AJ35" s="142">
        <f>(AJ26*'DB1'!$N8+SUM($F26:AI26)-SUM('CF1'!$F35:AI35))</f>
        <v>2095.1129009474244</v>
      </c>
      <c r="AK35" s="142">
        <f>(AK26*'DB1'!$N8+SUM($F26:AJ26)-SUM('CF1'!$F35:AJ35))</f>
        <v>2095.1129009474244</v>
      </c>
      <c r="AL35" s="142">
        <f>(AL26*'DB1'!$N8+SUM($F26:AK26)-SUM('CF1'!$F35:AK35))</f>
        <v>2095.1129009474244</v>
      </c>
      <c r="AM35" s="142">
        <f>(AM26*'DB1'!$N8+SUM($F26:AL26)-SUM('CF1'!$F35:AL35))</f>
        <v>1814.1961405716138</v>
      </c>
      <c r="AN35" s="142">
        <f>(AN26*'DB1'!$N8+SUM($F26:AM26)-SUM('CF1'!$F35:AM35))</f>
        <v>508.14097298031265</v>
      </c>
      <c r="AO35" s="142">
        <f>(AO26*'DB1'!$N8+SUM($F26:AN26)-SUM('CF1'!$F35:AN35))</f>
        <v>0</v>
      </c>
      <c r="AP35" s="142">
        <f>(AP26*'DB1'!$N8+SUM($F26:AO26)-SUM('CF1'!$F35:AO35))</f>
        <v>0</v>
      </c>
      <c r="AQ35" s="142">
        <f>(AQ26*'DB1'!$N8+SUM($F26:AP26)-SUM('CF1'!$F35:AP35))</f>
        <v>0</v>
      </c>
      <c r="AR35" s="142">
        <f>(AR26*'DB1'!$N8+SUM($F26:AQ26)-SUM('CF1'!$F35:AQ35))</f>
        <v>0</v>
      </c>
      <c r="AS35" s="142">
        <f>(AS26*'DB1'!$N8+SUM($F26:AR26)-SUM('CF1'!$F35:AR35))</f>
        <v>0</v>
      </c>
      <c r="AT35" s="142">
        <f>(AT26*'DB1'!$N8+SUM($F26:AS26)-SUM('CF1'!$F35:AS35))</f>
        <v>0</v>
      </c>
      <c r="AU35" s="142">
        <f>(AU26*'DB1'!$N8+SUM($F26:AT26)-SUM('CF1'!$F35:AT35))</f>
        <v>0</v>
      </c>
      <c r="AV35" s="142">
        <f>(AV26*'DB1'!$N8+SUM($F26:AU26)-SUM('CF1'!$F35:AU35))</f>
        <v>0</v>
      </c>
      <c r="AW35" s="142">
        <f>(AW26*'DB1'!$N8+SUM($F26:AV26)-SUM('CF1'!$F35:AV35))</f>
        <v>0</v>
      </c>
      <c r="AX35" s="142">
        <f>(AX26*'DB1'!$N8+SUM($F26:AW26)-SUM('CF1'!$F35:AW35))</f>
        <v>0</v>
      </c>
      <c r="AY35" s="142">
        <f>(AY26*'DB1'!$N8+SUM($F26:AX26)-SUM('CF1'!$F35:AX35))</f>
        <v>0</v>
      </c>
      <c r="AZ35" s="142">
        <f>(AZ26*'DB1'!$N8+SUM($F26:AY26)-SUM('CF1'!$F35:AY35))</f>
        <v>0</v>
      </c>
      <c r="BA35" s="142">
        <f>(BA26*'DB1'!$N8+SUM($F26:AZ26)-SUM('CF1'!$F35:AZ35))</f>
        <v>0</v>
      </c>
      <c r="BB35" s="142">
        <f>(BB26*'DB1'!$N8+SUM($F26:BA26)-SUM('CF1'!$F35:BA35))</f>
        <v>0</v>
      </c>
      <c r="BC35" s="142">
        <f>(BC26*'DB1'!$N8+SUM($F26:BB26)-SUM('CF1'!$F35:BB35))</f>
        <v>0</v>
      </c>
      <c r="BD35" s="142">
        <f>(BD26*'DB1'!$N8+SUM($F26:BC26)-SUM('CF1'!$F35:BC35))</f>
        <v>0</v>
      </c>
      <c r="BE35" s="142">
        <f>(BE26*'DB1'!$N8+SUM($F26:BD26)-SUM('CF1'!$F35:BD35))</f>
        <v>0</v>
      </c>
      <c r="BF35" s="142">
        <f>(BF26*'DB1'!$N8+SUM($F26:BE26)-SUM('CF1'!$F35:BE35))</f>
        <v>0</v>
      </c>
      <c r="BG35" s="142">
        <f>(BG26*'DB1'!$N8+SUM($F26:BF26)-SUM('CF1'!$F35:BF35))</f>
        <v>0</v>
      </c>
      <c r="BH35" s="142">
        <f>(BH26*'DB1'!$N8+SUM($F26:BG26)-SUM('CF1'!$F35:BG35))</f>
        <v>0</v>
      </c>
      <c r="BI35" s="142">
        <f>(BI26*'DB1'!$N8+SUM($F26:BH26)-SUM('CF1'!$F35:BH35))</f>
        <v>0</v>
      </c>
      <c r="BJ35" s="142">
        <f>(BJ26*'DB1'!$N8+SUM($F26:BI26)-SUM('CF1'!$F35:BI35))</f>
        <v>0</v>
      </c>
      <c r="BK35" s="142">
        <f>(BK26*'DB1'!$N8+SUM($F26:BJ26)-SUM('CF1'!$F35:BJ35))</f>
        <v>0</v>
      </c>
      <c r="BL35" s="142">
        <f>(BL26*'DB1'!$N8+SUM($F26:BK26)-SUM('CF1'!$F35:BK35))</f>
        <v>0</v>
      </c>
      <c r="BM35" s="142">
        <f>(BM26*'DB1'!$N8+SUM($F26:BL26)-SUM('CF1'!$F35:BL35))</f>
        <v>0</v>
      </c>
    </row>
    <row r="36" spans="1:65" hidden="1" outlineLevel="1">
      <c r="B36" s="140"/>
      <c r="C36" s="569" t="s">
        <v>959</v>
      </c>
      <c r="D36" s="131" t="s">
        <v>178</v>
      </c>
      <c r="E36" s="141"/>
      <c r="F36" s="202"/>
      <c r="G36" s="202"/>
      <c r="H36" s="202"/>
      <c r="I36" s="202"/>
      <c r="J36" s="202"/>
      <c r="K36" s="202"/>
      <c r="L36" s="202"/>
      <c r="M36" s="202"/>
      <c r="N36" s="142"/>
      <c r="O36" s="142"/>
      <c r="P36" s="142"/>
      <c r="Q36" s="142"/>
      <c r="R36" s="142"/>
      <c r="S36" s="567">
        <v>0.5</v>
      </c>
      <c r="T36" s="567">
        <v>0.5</v>
      </c>
      <c r="U36" s="567">
        <v>0.4</v>
      </c>
      <c r="V36" s="567">
        <v>0.4</v>
      </c>
      <c r="W36" s="567">
        <v>0.4</v>
      </c>
      <c r="X36" s="567">
        <v>0.4</v>
      </c>
      <c r="Y36" s="567">
        <v>0.3</v>
      </c>
      <c r="Z36" s="567">
        <v>0.3</v>
      </c>
      <c r="AA36" s="567">
        <v>0.3</v>
      </c>
      <c r="AB36" s="567">
        <v>0.3</v>
      </c>
      <c r="AC36" s="567">
        <v>0.2</v>
      </c>
      <c r="AD36" s="567">
        <v>0.2</v>
      </c>
      <c r="AE36" s="567">
        <v>0.2</v>
      </c>
      <c r="AF36" s="567">
        <v>0.2</v>
      </c>
      <c r="AG36" s="568"/>
      <c r="AH36" s="568"/>
      <c r="AI36" s="568"/>
      <c r="AJ36" s="568"/>
      <c r="AK36" s="568"/>
      <c r="AL36" s="568"/>
      <c r="AM36" s="568"/>
      <c r="AN36" s="568"/>
      <c r="AO36" s="568"/>
      <c r="AP36" s="568"/>
      <c r="AQ36" s="568"/>
      <c r="AR36" s="568"/>
      <c r="AS36" s="568"/>
      <c r="AT36" s="568"/>
      <c r="AU36" s="568"/>
      <c r="AV36" s="568"/>
      <c r="AW36" s="568"/>
      <c r="AX36" s="568"/>
      <c r="AY36" s="568"/>
      <c r="AZ36" s="568"/>
      <c r="BA36" s="568"/>
      <c r="BB36" s="568"/>
      <c r="BC36" s="568"/>
      <c r="BD36" s="568"/>
      <c r="BE36" s="568"/>
      <c r="BF36" s="568"/>
      <c r="BG36" s="568"/>
      <c r="BH36" s="568"/>
      <c r="BI36" s="568"/>
      <c r="BJ36" s="568"/>
      <c r="BK36" s="568"/>
      <c r="BL36" s="568"/>
      <c r="BM36" s="568"/>
    </row>
    <row r="37" spans="1:65" hidden="1" outlineLevel="1">
      <c r="B37" s="140"/>
      <c r="C37" s="569" t="s">
        <v>963</v>
      </c>
      <c r="D37" s="131" t="s">
        <v>19</v>
      </c>
      <c r="E37" s="141"/>
      <c r="F37" s="202"/>
      <c r="G37" s="202"/>
      <c r="H37" s="202"/>
      <c r="I37" s="202"/>
      <c r="J37" s="202"/>
      <c r="K37" s="202"/>
      <c r="L37" s="202"/>
      <c r="M37" s="202"/>
      <c r="N37" s="142">
        <f t="shared" ref="N37:AH37" si="36">N26*N36*N174</f>
        <v>0</v>
      </c>
      <c r="O37" s="142">
        <f t="shared" si="36"/>
        <v>0</v>
      </c>
      <c r="P37" s="142">
        <f t="shared" si="36"/>
        <v>0</v>
      </c>
      <c r="Q37" s="142">
        <f t="shared" si="36"/>
        <v>0</v>
      </c>
      <c r="R37" s="142">
        <f t="shared" si="36"/>
        <v>0</v>
      </c>
      <c r="S37" s="142">
        <f t="shared" si="36"/>
        <v>0</v>
      </c>
      <c r="T37" s="142">
        <f t="shared" si="36"/>
        <v>784.35</v>
      </c>
      <c r="U37" s="142">
        <f t="shared" si="36"/>
        <v>641.14051676424435</v>
      </c>
      <c r="V37" s="142">
        <f t="shared" si="36"/>
        <v>654.8010335284888</v>
      </c>
      <c r="W37" s="142">
        <f t="shared" si="36"/>
        <v>668.46155029273314</v>
      </c>
      <c r="X37" s="142">
        <f t="shared" si="36"/>
        <v>682.12206705697736</v>
      </c>
      <c r="Y37" s="142">
        <f t="shared" si="36"/>
        <v>521.8369378659163</v>
      </c>
      <c r="Z37" s="142">
        <f t="shared" si="36"/>
        <v>532.08232543909958</v>
      </c>
      <c r="AA37" s="142">
        <f t="shared" si="36"/>
        <v>542.32771301228286</v>
      </c>
      <c r="AB37" s="142">
        <f t="shared" si="36"/>
        <v>552.57310058546614</v>
      </c>
      <c r="AC37" s="142">
        <f t="shared" si="36"/>
        <v>375.21232543909963</v>
      </c>
      <c r="AD37" s="142">
        <f t="shared" si="36"/>
        <v>382.0425838212218</v>
      </c>
      <c r="AE37" s="142">
        <f t="shared" si="36"/>
        <v>388.87284220334396</v>
      </c>
      <c r="AF37" s="142">
        <f t="shared" si="36"/>
        <v>0</v>
      </c>
      <c r="AG37" s="142">
        <f t="shared" si="36"/>
        <v>0</v>
      </c>
      <c r="AH37" s="142">
        <f t="shared" si="36"/>
        <v>0</v>
      </c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</row>
    <row r="38" spans="1:65" hidden="1" outlineLevel="1">
      <c r="B38" s="140"/>
      <c r="C38" s="569" t="s">
        <v>960</v>
      </c>
      <c r="D38" s="131" t="s">
        <v>178</v>
      </c>
      <c r="E38" s="141"/>
      <c r="F38" s="202"/>
      <c r="G38" s="202"/>
      <c r="H38" s="202"/>
      <c r="I38" s="202"/>
      <c r="J38" s="202"/>
      <c r="K38" s="202"/>
      <c r="L38" s="202"/>
      <c r="M38" s="202"/>
      <c r="N38" s="142"/>
      <c r="O38" s="142"/>
      <c r="P38" s="142"/>
      <c r="Q38" s="142"/>
      <c r="R38" s="142"/>
      <c r="S38" s="567">
        <v>0.3</v>
      </c>
      <c r="T38" s="567">
        <v>0.3</v>
      </c>
      <c r="U38" s="567">
        <v>0.3</v>
      </c>
      <c r="V38" s="567">
        <v>0.3</v>
      </c>
      <c r="W38" s="567">
        <v>0.3</v>
      </c>
      <c r="X38" s="567">
        <v>0.3</v>
      </c>
      <c r="Y38" s="567">
        <v>0.3</v>
      </c>
      <c r="Z38" s="567">
        <v>0.3</v>
      </c>
      <c r="AA38" s="567">
        <v>0.3</v>
      </c>
      <c r="AB38" s="567">
        <v>0.3</v>
      </c>
      <c r="AC38" s="567">
        <v>0.3</v>
      </c>
      <c r="AD38" s="567">
        <v>0.3</v>
      </c>
      <c r="AE38" s="567">
        <v>0.3</v>
      </c>
      <c r="AF38" s="567">
        <v>0.3</v>
      </c>
      <c r="AG38" s="568"/>
      <c r="AH38" s="568"/>
      <c r="AI38" s="568"/>
      <c r="AJ38" s="568"/>
      <c r="AK38" s="568"/>
      <c r="AL38" s="568"/>
      <c r="AM38" s="568"/>
      <c r="AN38" s="568"/>
      <c r="AO38" s="568"/>
      <c r="AP38" s="568"/>
      <c r="AQ38" s="568"/>
      <c r="AR38" s="568"/>
      <c r="AS38" s="568"/>
      <c r="AT38" s="568"/>
      <c r="AU38" s="568"/>
      <c r="AV38" s="568"/>
      <c r="AW38" s="568"/>
      <c r="AX38" s="568"/>
      <c r="AY38" s="568"/>
      <c r="AZ38" s="568"/>
      <c r="BA38" s="568"/>
      <c r="BB38" s="568"/>
      <c r="BC38" s="568"/>
      <c r="BD38" s="568"/>
      <c r="BE38" s="568"/>
      <c r="BF38" s="568"/>
      <c r="BG38" s="568"/>
      <c r="BH38" s="568"/>
      <c r="BI38" s="568"/>
      <c r="BJ38" s="568"/>
      <c r="BK38" s="568"/>
      <c r="BL38" s="568"/>
      <c r="BM38" s="568"/>
    </row>
    <row r="39" spans="1:65" hidden="1" outlineLevel="1">
      <c r="B39" s="140"/>
      <c r="C39" s="569" t="s">
        <v>960</v>
      </c>
      <c r="D39" s="131" t="s">
        <v>19</v>
      </c>
      <c r="E39" s="141"/>
      <c r="F39" s="202"/>
      <c r="G39" s="202"/>
      <c r="H39" s="202"/>
      <c r="I39" s="202"/>
      <c r="J39" s="202"/>
      <c r="K39" s="202"/>
      <c r="L39" s="202"/>
      <c r="M39" s="202"/>
      <c r="N39" s="142">
        <f t="shared" ref="N39:R39" si="37">N37*N38</f>
        <v>0</v>
      </c>
      <c r="O39" s="142">
        <f t="shared" si="37"/>
        <v>0</v>
      </c>
      <c r="P39" s="142">
        <f t="shared" si="37"/>
        <v>0</v>
      </c>
      <c r="Q39" s="142">
        <f t="shared" si="37"/>
        <v>0</v>
      </c>
      <c r="R39" s="142">
        <f t="shared" si="37"/>
        <v>0</v>
      </c>
      <c r="S39" s="142">
        <f>S37*S38</f>
        <v>0</v>
      </c>
      <c r="T39" s="142">
        <f t="shared" ref="T39:AD39" si="38">T37*T38</f>
        <v>235.30500000000001</v>
      </c>
      <c r="U39" s="142">
        <f t="shared" si="38"/>
        <v>192.3421550292733</v>
      </c>
      <c r="V39" s="142">
        <f t="shared" si="38"/>
        <v>196.44031005854663</v>
      </c>
      <c r="W39" s="142">
        <f t="shared" si="38"/>
        <v>200.53846508781993</v>
      </c>
      <c r="X39" s="142">
        <f t="shared" si="38"/>
        <v>204.6366201170932</v>
      </c>
      <c r="Y39" s="142">
        <f t="shared" si="38"/>
        <v>156.55108135977488</v>
      </c>
      <c r="Z39" s="142">
        <f t="shared" si="38"/>
        <v>159.62469763172987</v>
      </c>
      <c r="AA39" s="142">
        <f t="shared" si="38"/>
        <v>162.69831390368486</v>
      </c>
      <c r="AB39" s="142">
        <f t="shared" si="38"/>
        <v>165.77193017563982</v>
      </c>
      <c r="AC39" s="142">
        <f t="shared" si="38"/>
        <v>112.56369763172988</v>
      </c>
      <c r="AD39" s="142">
        <f t="shared" si="38"/>
        <v>114.61277514636653</v>
      </c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</row>
    <row r="40" spans="1:65" hidden="1" outlineLevel="1">
      <c r="B40" s="140"/>
      <c r="C40" s="569" t="s">
        <v>961</v>
      </c>
      <c r="D40" s="131" t="s">
        <v>19</v>
      </c>
      <c r="E40" s="141"/>
      <c r="F40" s="202"/>
      <c r="G40" s="202"/>
      <c r="H40" s="202"/>
      <c r="I40" s="202"/>
      <c r="J40" s="202"/>
      <c r="K40" s="202"/>
      <c r="L40" s="202"/>
      <c r="M40" s="202"/>
      <c r="N40" s="142">
        <f t="shared" ref="N40:R40" si="39">N37-N39</f>
        <v>0</v>
      </c>
      <c r="O40" s="142">
        <f t="shared" si="39"/>
        <v>0</v>
      </c>
      <c r="P40" s="142">
        <f t="shared" si="39"/>
        <v>0</v>
      </c>
      <c r="Q40" s="142">
        <f t="shared" si="39"/>
        <v>0</v>
      </c>
      <c r="R40" s="142">
        <f t="shared" si="39"/>
        <v>0</v>
      </c>
      <c r="S40" s="142">
        <f>S37-S39</f>
        <v>0</v>
      </c>
      <c r="T40" s="142">
        <f t="shared" ref="T40:AD40" si="40">T37-T39</f>
        <v>549.04500000000007</v>
      </c>
      <c r="U40" s="142">
        <f t="shared" si="40"/>
        <v>448.79836173497108</v>
      </c>
      <c r="V40" s="142">
        <f t="shared" si="40"/>
        <v>458.36072346994217</v>
      </c>
      <c r="W40" s="142">
        <f t="shared" si="40"/>
        <v>467.92308520491321</v>
      </c>
      <c r="X40" s="142">
        <f t="shared" si="40"/>
        <v>477.48544693988413</v>
      </c>
      <c r="Y40" s="142">
        <f t="shared" si="40"/>
        <v>365.28585650614139</v>
      </c>
      <c r="Z40" s="142">
        <f t="shared" si="40"/>
        <v>372.4576278073697</v>
      </c>
      <c r="AA40" s="142">
        <f t="shared" si="40"/>
        <v>379.62939910859802</v>
      </c>
      <c r="AB40" s="142">
        <f t="shared" si="40"/>
        <v>386.80117040982634</v>
      </c>
      <c r="AC40" s="142">
        <f t="shared" si="40"/>
        <v>262.64862780736973</v>
      </c>
      <c r="AD40" s="142">
        <f t="shared" si="40"/>
        <v>267.42980867485528</v>
      </c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</row>
    <row r="41" spans="1:65" hidden="1" outlineLevel="1">
      <c r="B41" s="140"/>
      <c r="C41" s="569" t="s">
        <v>962</v>
      </c>
      <c r="D41" s="131" t="s">
        <v>19</v>
      </c>
      <c r="E41" s="141"/>
      <c r="F41" s="202"/>
      <c r="G41" s="202"/>
      <c r="H41" s="202"/>
      <c r="I41" s="202"/>
      <c r="J41" s="202"/>
      <c r="K41" s="202"/>
      <c r="L41" s="202"/>
      <c r="M41" s="202"/>
      <c r="N41" s="142">
        <f>N40/SUM(N174:$AD$174)</f>
        <v>0</v>
      </c>
      <c r="O41" s="142">
        <f>O40/SUM(O174:$AD$174)</f>
        <v>0</v>
      </c>
      <c r="P41" s="142">
        <f>P40/SUM(P174:$AD$174)</f>
        <v>0</v>
      </c>
      <c r="Q41" s="142">
        <f>Q40/SUM(Q174:$AD$174)</f>
        <v>0</v>
      </c>
      <c r="R41" s="142">
        <f>R40/SUM(R174:$AD$174)</f>
        <v>0</v>
      </c>
      <c r="S41" s="142">
        <f>S40/SUM(S174:$AD$174)</f>
        <v>0</v>
      </c>
      <c r="T41" s="142">
        <f>T40/SUM(T174:$AD$174)+S41</f>
        <v>49.913181818181826</v>
      </c>
      <c r="U41" s="142">
        <f>U40/SUM(U174:$AD$174)+T41</f>
        <v>94.793017991678937</v>
      </c>
      <c r="V41" s="142">
        <f>V40/SUM(V174:$AD$174)+U41</f>
        <v>145.72198726611697</v>
      </c>
      <c r="W41" s="142">
        <f>W40/SUM(W174:$AD$174)+V41</f>
        <v>204.21237291673111</v>
      </c>
      <c r="X41" s="142">
        <f>X40/SUM(X174:$AD$174)+W41</f>
        <v>272.42457962242884</v>
      </c>
      <c r="Y41" s="142">
        <f>Y40/SUM(Y174:$AD$174)+X41</f>
        <v>333.30555570678575</v>
      </c>
      <c r="Z41" s="142">
        <f>Z40/SUM(Z174:$AD$174)+Y41</f>
        <v>407.79708126825972</v>
      </c>
      <c r="AA41" s="142">
        <f>AA40/SUM(AA174:$AD$174)+Z41</f>
        <v>502.70443104540925</v>
      </c>
      <c r="AB41" s="142">
        <f>AB40/SUM(AB174:$AD$174)+AA41</f>
        <v>631.6381545153514</v>
      </c>
      <c r="AC41" s="142">
        <f>AC40/SUM(AC174:$AD$174)+AB41</f>
        <v>762.96246841903621</v>
      </c>
      <c r="AD41" s="142">
        <f>AD40/SUM(AD174:$AD$174)+AC41</f>
        <v>1030.3922770938916</v>
      </c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</row>
    <row r="42" spans="1:65" collapsed="1">
      <c r="B42" s="140" t="str">
        <f t="shared" ref="B42:B47" si="41">B27</f>
        <v>АПАРТАМЕНТЫ</v>
      </c>
      <c r="C42" s="200"/>
      <c r="D42" s="131" t="s">
        <v>19</v>
      </c>
      <c r="E42" s="141">
        <f t="shared" si="32"/>
        <v>0</v>
      </c>
      <c r="F42" s="202"/>
      <c r="G42" s="202">
        <f>(G27*'DB1'!$N9+SUM($F27:F27)-SUM('CF1'!$F42:F42))</f>
        <v>0</v>
      </c>
      <c r="H42" s="202">
        <f>(H27*'DB1'!$N9+SUM($F27:G27)-SUM('CF1'!$F42:G42))</f>
        <v>0</v>
      </c>
      <c r="I42" s="202">
        <f>(I27*'DB1'!$N9+SUM($F27:H27)-SUM('CF1'!$F42:H42))</f>
        <v>0</v>
      </c>
      <c r="J42" s="202">
        <f>(J27*'DB1'!$N9+SUM($F27:I27)-SUM('CF1'!$F42:I42))</f>
        <v>0</v>
      </c>
      <c r="K42" s="202">
        <f>(K27*'DB1'!$N9+SUM($F27:J27)-SUM('CF1'!$F42:J42))</f>
        <v>0</v>
      </c>
      <c r="L42" s="202">
        <f>(L27*'DB1'!$N9+SUM($F27:K27)-SUM('CF1'!$F42:K42))</f>
        <v>0</v>
      </c>
      <c r="M42" s="202">
        <f>(M27*'DB1'!$N9+SUM($F27:L27)-SUM('CF1'!$F42:L42))</f>
        <v>0</v>
      </c>
      <c r="N42" s="142">
        <f>(N27*'DB1'!$N9+SUM($F27:M27)-SUM('CF1'!$F42:M42))</f>
        <v>0</v>
      </c>
      <c r="O42" s="142">
        <f>(O27*'DB1'!$N9+SUM($F27:N27)-SUM('CF1'!$F42:N42))</f>
        <v>0</v>
      </c>
      <c r="P42" s="142">
        <f>(P27*'DB1'!$N9+SUM($F27:O27)-SUM('CF1'!$F42:O42))</f>
        <v>0</v>
      </c>
      <c r="Q42" s="142">
        <f>(Q27*'DB1'!$N9+SUM($F27:P27)-SUM('CF1'!$F42:P42))</f>
        <v>0</v>
      </c>
      <c r="R42" s="142">
        <f>(R27*'DB1'!$N9+SUM($F27:Q27)-SUM('CF1'!$F42:Q42))</f>
        <v>0</v>
      </c>
      <c r="S42" s="142">
        <f>(S27*'DB1'!$N9+SUM($F27:R27)-SUM('CF1'!$F42:R42))</f>
        <v>0</v>
      </c>
      <c r="T42" s="142">
        <f>(T27*'DB1'!$N9+SUM($F27:S27)-SUM('CF1'!$F42:S42))</f>
        <v>0</v>
      </c>
      <c r="U42" s="142">
        <f>(U27*'DB1'!$N9+SUM($F27:T27)-SUM('CF1'!$F42:T42))</f>
        <v>0</v>
      </c>
      <c r="V42" s="142">
        <f>(V27*'DB1'!$N9+SUM($F27:U27)-SUM('CF1'!$F42:U42))</f>
        <v>0</v>
      </c>
      <c r="W42" s="142">
        <f>(W27*'DB1'!$N9+SUM($F27:V27)-SUM('CF1'!$F42:V42))</f>
        <v>0</v>
      </c>
      <c r="X42" s="142">
        <f>(X27*'DB1'!$N9+SUM($F27:W27)-SUM('CF1'!$F42:W42))</f>
        <v>0</v>
      </c>
      <c r="Y42" s="142">
        <f>(Y27*'DB1'!$N9+SUM($F27:X27)-SUM('CF1'!$F42:X42))</f>
        <v>0</v>
      </c>
      <c r="Z42" s="142">
        <f>(Z27*'DB1'!$N9+SUM($F27:Y27)-SUM('CF1'!$F42:Y42))</f>
        <v>0</v>
      </c>
      <c r="AA42" s="142">
        <f>(AA27*'DB1'!$N9+SUM($F27:Z27)-SUM('CF1'!$F42:Z42))</f>
        <v>0</v>
      </c>
      <c r="AB42" s="142">
        <f>(AB27*'DB1'!$N9+SUM($F27:AA27)-SUM('CF1'!$F42:AA42))</f>
        <v>0</v>
      </c>
      <c r="AC42" s="142">
        <f>(AC27*'DB1'!$N9+SUM($F27:AB27)-SUM('CF1'!$F42:AB42))</f>
        <v>0</v>
      </c>
      <c r="AD42" s="142">
        <f>(AD27*'DB1'!$N9+SUM($F27:AC27)-SUM('CF1'!$F42:AC42))</f>
        <v>0</v>
      </c>
      <c r="AE42" s="142">
        <f>(AE27*'DB1'!$N9+SUM($F27:AD27)-SUM('CF1'!$F42:AD42))</f>
        <v>0</v>
      </c>
      <c r="AF42" s="142">
        <f>(AF27*'DB1'!$N9+SUM($F27:AE27)-SUM('CF1'!$F42:AE42))</f>
        <v>0</v>
      </c>
      <c r="AG42" s="142">
        <f>(AG27*'DB1'!$N9+SUM($F27:AF27)-SUM('CF1'!$F42:AF42))</f>
        <v>0</v>
      </c>
      <c r="AH42" s="142">
        <f>(AH27*'DB1'!$N9+SUM($F27:AG27)-SUM('CF1'!$F42:AG42))</f>
        <v>0</v>
      </c>
      <c r="AI42" s="142">
        <f>(AI27*'DB1'!$N9+SUM($F27:AH27)-SUM('CF1'!$F42:AH42))</f>
        <v>0</v>
      </c>
      <c r="AJ42" s="142">
        <f>(AJ27*'DB1'!$N9+SUM($F27:AI27)-SUM('CF1'!$F42:AI42))</f>
        <v>0</v>
      </c>
      <c r="AK42" s="142">
        <f>(AK27*'DB1'!$N9+SUM($F27:AJ27)-SUM('CF1'!$F42:AJ42))</f>
        <v>0</v>
      </c>
      <c r="AL42" s="142">
        <f>(AL27*'DB1'!$N9+SUM($F27:AK27)-SUM('CF1'!$F42:AK42))</f>
        <v>0</v>
      </c>
      <c r="AM42" s="142">
        <f>(AM27*'DB1'!$N9+SUM($F27:AL27)-SUM('CF1'!$F42:AL42))</f>
        <v>0</v>
      </c>
      <c r="AN42" s="142">
        <f>(AN27*'DB1'!$N9+SUM($F27:AM27)-SUM('CF1'!$F42:AM42))</f>
        <v>0</v>
      </c>
      <c r="AO42" s="142">
        <f>(AO27*'DB1'!$N9+SUM($F27:AN27)-SUM('CF1'!$F42:AN42))</f>
        <v>0</v>
      </c>
      <c r="AP42" s="142">
        <f>(AP27*'DB1'!$N9+SUM($F27:AO27)-SUM('CF1'!$F42:AO42))</f>
        <v>0</v>
      </c>
      <c r="AQ42" s="142">
        <f>(AQ27*'DB1'!$N9+SUM($F27:AP27)-SUM('CF1'!$F42:AP42))</f>
        <v>0</v>
      </c>
      <c r="AR42" s="142">
        <f>(AR27*'DB1'!$N9+SUM($F27:AQ27)-SUM('CF1'!$F42:AQ42))</f>
        <v>0</v>
      </c>
      <c r="AS42" s="142">
        <f>(AS27*'DB1'!$N9+SUM($F27:AR27)-SUM('CF1'!$F42:AR42))</f>
        <v>0</v>
      </c>
      <c r="AT42" s="142">
        <f>(AT27*'DB1'!$N9+SUM($F27:AS27)-SUM('CF1'!$F42:AS42))</f>
        <v>0</v>
      </c>
      <c r="AU42" s="142">
        <f>(AU27*'DB1'!$N9+SUM($F27:AT27)-SUM('CF1'!$F42:AT42))</f>
        <v>0</v>
      </c>
      <c r="AV42" s="142">
        <f>(AV27*'DB1'!$N9+SUM($F27:AU27)-SUM('CF1'!$F42:AU42))</f>
        <v>0</v>
      </c>
      <c r="AW42" s="142">
        <f>(AW27*'DB1'!$N9+SUM($F27:AV27)-SUM('CF1'!$F42:AV42))</f>
        <v>0</v>
      </c>
      <c r="AX42" s="142">
        <f>(AX27*'DB1'!$N9+SUM($F27:AW27)-SUM('CF1'!$F42:AW42))</f>
        <v>0</v>
      </c>
      <c r="AY42" s="142">
        <f>(AY27*'DB1'!$N9+SUM($F27:AX27)-SUM('CF1'!$F42:AX42))</f>
        <v>0</v>
      </c>
      <c r="AZ42" s="142">
        <f>(AZ27*'DB1'!$N9+SUM($F27:AY27)-SUM('CF1'!$F42:AY42))</f>
        <v>0</v>
      </c>
      <c r="BA42" s="142">
        <f>(BA27*'DB1'!$N9+SUM($F27:AZ27)-SUM('CF1'!$F42:AZ42))</f>
        <v>0</v>
      </c>
      <c r="BB42" s="142">
        <f>(BB27*'DB1'!$N9+SUM($F27:BA27)-SUM('CF1'!$F42:BA42))</f>
        <v>0</v>
      </c>
      <c r="BC42" s="142">
        <f>(BC27*'DB1'!$N9+SUM($F27:BB27)-SUM('CF1'!$F42:BB42))</f>
        <v>0</v>
      </c>
      <c r="BD42" s="142">
        <f>(BD27*'DB1'!$N9+SUM($F27:BC27)-SUM('CF1'!$F42:BC42))</f>
        <v>0</v>
      </c>
      <c r="BE42" s="142">
        <f>(BE27*'DB1'!$N9+SUM($F27:BD27)-SUM('CF1'!$F42:BD42))</f>
        <v>0</v>
      </c>
      <c r="BF42" s="142">
        <f>(BF27*'DB1'!$N9+SUM($F27:BE27)-SUM('CF1'!$F42:BE42))</f>
        <v>0</v>
      </c>
      <c r="BG42" s="142">
        <f>(BG27*'DB1'!$N9+SUM($F27:BF27)-SUM('CF1'!$F42:BF42))</f>
        <v>0</v>
      </c>
      <c r="BH42" s="142">
        <f>(BH27*'DB1'!$N9+SUM($F27:BG27)-SUM('CF1'!$F42:BG42))</f>
        <v>0</v>
      </c>
      <c r="BI42" s="142">
        <f>(BI27*'DB1'!$N9+SUM($F27:BH27)-SUM('CF1'!$F42:BH42))</f>
        <v>0</v>
      </c>
      <c r="BJ42" s="142">
        <f>(BJ27*'DB1'!$N9+SUM($F27:BI27)-SUM('CF1'!$F42:BI42))</f>
        <v>0</v>
      </c>
      <c r="BK42" s="142">
        <f>(BK27*'DB1'!$N9+SUM($F27:BJ27)-SUM('CF1'!$F42:BJ42))</f>
        <v>0</v>
      </c>
      <c r="BL42" s="142">
        <f>(BL27*'DB1'!$N9+SUM($F27:BK27)-SUM('CF1'!$F42:BK42))</f>
        <v>0</v>
      </c>
      <c r="BM42" s="142">
        <f>(BM27*'DB1'!$N9+SUM($F27:BL27)-SUM('CF1'!$F42:BL42))</f>
        <v>0</v>
      </c>
    </row>
    <row r="43" spans="1:65">
      <c r="B43" s="140" t="str">
        <f t="shared" si="41"/>
        <v>ОФИСЫ</v>
      </c>
      <c r="C43" s="200"/>
      <c r="D43" s="131" t="s">
        <v>19</v>
      </c>
      <c r="E43" s="141">
        <f t="shared" si="32"/>
        <v>0</v>
      </c>
      <c r="F43" s="202"/>
      <c r="G43" s="202">
        <f>(G28*'DB1'!$N10+SUM($F28:F28)-SUM('CF1'!$F43:F43))</f>
        <v>0</v>
      </c>
      <c r="H43" s="202">
        <f>(H28*'DB1'!$N10+SUM($F28:G28)-SUM('CF1'!$F43:G43))</f>
        <v>0</v>
      </c>
      <c r="I43" s="202">
        <f>(I28*'DB1'!$N10+SUM($F28:H28)-SUM('CF1'!$F43:H43))</f>
        <v>0</v>
      </c>
      <c r="J43" s="202">
        <f>(J28*'DB1'!$N10+SUM($F28:I28)-SUM('CF1'!$F43:I43))</f>
        <v>0</v>
      </c>
      <c r="K43" s="202">
        <f>(K28*'DB1'!$N10+SUM($F28:J28)-SUM('CF1'!$F43:J43))</f>
        <v>0</v>
      </c>
      <c r="L43" s="202">
        <f>(L28*'DB1'!$N10+SUM($F28:K28)-SUM('CF1'!$F43:K43))</f>
        <v>0</v>
      </c>
      <c r="M43" s="202">
        <f>(M28*'DB1'!$N10+SUM($F28:L28)-SUM('CF1'!$F43:L43))</f>
        <v>0</v>
      </c>
      <c r="N43" s="142">
        <f>(N28*'DB1'!$N10+SUM($F28:M28)-SUM('CF1'!$F43:M43))</f>
        <v>0</v>
      </c>
      <c r="O43" s="142">
        <f>(O28*'DB1'!$N10+SUM($F28:N28)-SUM('CF1'!$F43:N43))</f>
        <v>0</v>
      </c>
      <c r="P43" s="142">
        <f>(P28*'DB1'!$N10+SUM($F28:O28)-SUM('CF1'!$F43:O43))</f>
        <v>0</v>
      </c>
      <c r="Q43" s="142">
        <f>(Q28*'DB1'!$N10+SUM($F28:P28)-SUM('CF1'!$F43:P43))</f>
        <v>0</v>
      </c>
      <c r="R43" s="142">
        <f>(R28*'DB1'!$N10+SUM($F28:Q28)-SUM('CF1'!$F43:Q43))</f>
        <v>0</v>
      </c>
      <c r="S43" s="142">
        <f>(S28*'DB1'!$N10+SUM($F28:R28)-SUM('CF1'!$F43:R43))</f>
        <v>0</v>
      </c>
      <c r="T43" s="142">
        <f>(T28*'DB1'!$N10+SUM($F28:S28)-SUM('CF1'!$F43:S43))</f>
        <v>0</v>
      </c>
      <c r="U43" s="142">
        <f>(U28*'DB1'!$N10+SUM($F28:T28)-SUM('CF1'!$F43:T43))</f>
        <v>0</v>
      </c>
      <c r="V43" s="142">
        <f>(V28*'DB1'!$N10+SUM($F28:U28)-SUM('CF1'!$F43:U43))</f>
        <v>0</v>
      </c>
      <c r="W43" s="142">
        <f>(W28*'DB1'!$N10+SUM($F28:V28)-SUM('CF1'!$F43:V43))</f>
        <v>0</v>
      </c>
      <c r="X43" s="142">
        <f>(X28*'DB1'!$N10+SUM($F28:W28)-SUM('CF1'!$F43:W43))</f>
        <v>0</v>
      </c>
      <c r="Y43" s="142">
        <f>(Y28*'DB1'!$N10+SUM($F28:X28)-SUM('CF1'!$F43:X43))</f>
        <v>0</v>
      </c>
      <c r="Z43" s="142">
        <f>(Z28*'DB1'!$N10+SUM($F28:Y28)-SUM('CF1'!$F43:Y43))</f>
        <v>0</v>
      </c>
      <c r="AA43" s="142">
        <f>(AA28*'DB1'!$N10+SUM($F28:Z28)-SUM('CF1'!$F43:Z43))</f>
        <v>0</v>
      </c>
      <c r="AB43" s="142">
        <f>(AB28*'DB1'!$N10+SUM($F28:AA28)-SUM('CF1'!$F43:AA43))</f>
        <v>0</v>
      </c>
      <c r="AC43" s="142">
        <f>(AC28*'DB1'!$N10+SUM($F28:AB28)-SUM('CF1'!$F43:AB43))</f>
        <v>0</v>
      </c>
      <c r="AD43" s="142">
        <f>(AD28*'DB1'!$N10+SUM($F28:AC28)-SUM('CF1'!$F43:AC43))</f>
        <v>0</v>
      </c>
      <c r="AE43" s="142">
        <f>(AE28*'DB1'!$N10+SUM($F28:AD28)-SUM('CF1'!$F43:AD43))</f>
        <v>0</v>
      </c>
      <c r="AF43" s="142">
        <f>(AF28*'DB1'!$N10+SUM($F28:AE28)-SUM('CF1'!$F43:AE43))</f>
        <v>0</v>
      </c>
      <c r="AG43" s="142">
        <f>(AG28*'DB1'!$N10+SUM($F28:AF28)-SUM('CF1'!$F43:AF43))</f>
        <v>0</v>
      </c>
      <c r="AH43" s="142">
        <f>(AH28*'DB1'!$N10+SUM($F28:AG28)-SUM('CF1'!$F43:AG43))</f>
        <v>0</v>
      </c>
      <c r="AI43" s="142">
        <f>(AI28*'DB1'!$N10+SUM($F28:AH28)-SUM('CF1'!$F43:AH43))</f>
        <v>0</v>
      </c>
      <c r="AJ43" s="142">
        <f>(AJ28*'DB1'!$N10+SUM($F28:AI28)-SUM('CF1'!$F43:AI43))</f>
        <v>0</v>
      </c>
      <c r="AK43" s="142">
        <f>(AK28*'DB1'!$N10+SUM($F28:AJ28)-SUM('CF1'!$F43:AJ43))</f>
        <v>0</v>
      </c>
      <c r="AL43" s="142">
        <f>(AL28*'DB1'!$N10+SUM($F28:AK28)-SUM('CF1'!$F43:AK43))</f>
        <v>0</v>
      </c>
      <c r="AM43" s="142">
        <f>(AM28*'DB1'!$N10+SUM($F28:AL28)-SUM('CF1'!$F43:AL43))</f>
        <v>0</v>
      </c>
      <c r="AN43" s="142">
        <f>(AN28*'DB1'!$N10+SUM($F28:AM28)-SUM('CF1'!$F43:AM43))</f>
        <v>0</v>
      </c>
      <c r="AO43" s="142">
        <f>(AO28*'DB1'!$N10+SUM($F28:AN28)-SUM('CF1'!$F43:AN43))</f>
        <v>0</v>
      </c>
      <c r="AP43" s="142">
        <f>(AP28*'DB1'!$N10+SUM($F28:AO28)-SUM('CF1'!$F43:AO43))</f>
        <v>0</v>
      </c>
      <c r="AQ43" s="142">
        <f>(AQ28*'DB1'!$N10+SUM($F28:AP28)-SUM('CF1'!$F43:AP43))</f>
        <v>0</v>
      </c>
      <c r="AR43" s="142">
        <f>(AR28*'DB1'!$N10+SUM($F28:AQ28)-SUM('CF1'!$F43:AQ43))</f>
        <v>0</v>
      </c>
      <c r="AS43" s="142">
        <f>(AS28*'DB1'!$N10+SUM($F28:AR28)-SUM('CF1'!$F43:AR43))</f>
        <v>0</v>
      </c>
      <c r="AT43" s="142">
        <f>(AT28*'DB1'!$N10+SUM($F28:AS28)-SUM('CF1'!$F43:AS43))</f>
        <v>0</v>
      </c>
      <c r="AU43" s="142">
        <f>(AU28*'DB1'!$N10+SUM($F28:AT28)-SUM('CF1'!$F43:AT43))</f>
        <v>0</v>
      </c>
      <c r="AV43" s="142">
        <f>(AV28*'DB1'!$N10+SUM($F28:AU28)-SUM('CF1'!$F43:AU43))</f>
        <v>0</v>
      </c>
      <c r="AW43" s="142">
        <f>(AW28*'DB1'!$N10+SUM($F28:AV28)-SUM('CF1'!$F43:AV43))</f>
        <v>0</v>
      </c>
      <c r="AX43" s="142">
        <f>(AX28*'DB1'!$N10+SUM($F28:AW28)-SUM('CF1'!$F43:AW43))</f>
        <v>0</v>
      </c>
      <c r="AY43" s="142">
        <f>(AY28*'DB1'!$N10+SUM($F28:AX28)-SUM('CF1'!$F43:AX43))</f>
        <v>0</v>
      </c>
      <c r="AZ43" s="142">
        <f>(AZ28*'DB1'!$N10+SUM($F28:AY28)-SUM('CF1'!$F43:AY43))</f>
        <v>0</v>
      </c>
      <c r="BA43" s="142">
        <f>(BA28*'DB1'!$N10+SUM($F28:AZ28)-SUM('CF1'!$F43:AZ43))</f>
        <v>0</v>
      </c>
      <c r="BB43" s="142">
        <f>(BB28*'DB1'!$N10+SUM($F28:BA28)-SUM('CF1'!$F43:BA43))</f>
        <v>0</v>
      </c>
      <c r="BC43" s="142">
        <f>(BC28*'DB1'!$N10+SUM($F28:BB28)-SUM('CF1'!$F43:BB43))</f>
        <v>0</v>
      </c>
      <c r="BD43" s="142">
        <f>(BD28*'DB1'!$N10+SUM($F28:BC28)-SUM('CF1'!$F43:BC43))</f>
        <v>0</v>
      </c>
      <c r="BE43" s="142">
        <f>(BE28*'DB1'!$N10+SUM($F28:BD28)-SUM('CF1'!$F43:BD43))</f>
        <v>0</v>
      </c>
      <c r="BF43" s="142">
        <f>(BF28*'DB1'!$N10+SUM($F28:BE28)-SUM('CF1'!$F43:BE43))</f>
        <v>0</v>
      </c>
      <c r="BG43" s="142">
        <f>(BG28*'DB1'!$N10+SUM($F28:BF28)-SUM('CF1'!$F43:BF43))</f>
        <v>0</v>
      </c>
      <c r="BH43" s="142">
        <f>(BH28*'DB1'!$N10+SUM($F28:BG28)-SUM('CF1'!$F43:BG43))</f>
        <v>0</v>
      </c>
      <c r="BI43" s="142">
        <f>(BI28*'DB1'!$N10+SUM($F28:BH28)-SUM('CF1'!$F43:BH43))</f>
        <v>0</v>
      </c>
      <c r="BJ43" s="142">
        <f>(BJ28*'DB1'!$N10+SUM($F28:BI28)-SUM('CF1'!$F43:BI43))</f>
        <v>0</v>
      </c>
      <c r="BK43" s="142">
        <f>(BK28*'DB1'!$N10+SUM($F28:BJ28)-SUM('CF1'!$F43:BJ43))</f>
        <v>0</v>
      </c>
      <c r="BL43" s="142">
        <f>(BL28*'DB1'!$N10+SUM($F28:BK28)-SUM('CF1'!$F43:BK43))</f>
        <v>0</v>
      </c>
      <c r="BM43" s="142">
        <f>(BM28*'DB1'!$N10+SUM($F28:BL28)-SUM('CF1'!$F43:BL43))</f>
        <v>0</v>
      </c>
    </row>
    <row r="44" spans="1:65">
      <c r="B44" s="140" t="str">
        <f t="shared" si="41"/>
        <v>РИТЕЙЛ</v>
      </c>
      <c r="C44" s="200"/>
      <c r="D44" s="131" t="s">
        <v>19</v>
      </c>
      <c r="E44" s="141">
        <f t="shared" si="32"/>
        <v>2462.1471000000001</v>
      </c>
      <c r="F44" s="202"/>
      <c r="G44" s="202">
        <f>DETAILS!L12/1000000</f>
        <v>0</v>
      </c>
      <c r="H44" s="202">
        <f>DETAILS!M12/1000000</f>
        <v>0</v>
      </c>
      <c r="I44" s="202">
        <f>DETAILS!N12/1000000</f>
        <v>0</v>
      </c>
      <c r="J44" s="202">
        <f>DETAILS!O12/1000000</f>
        <v>0</v>
      </c>
      <c r="K44" s="202">
        <f>DETAILS!P12/1000000</f>
        <v>0</v>
      </c>
      <c r="L44" s="202">
        <f>DETAILS!Q12/1000000</f>
        <v>0</v>
      </c>
      <c r="M44" s="202">
        <f>DETAILS!R12/1000000</f>
        <v>0</v>
      </c>
      <c r="N44" s="142">
        <f>DETAILS!S12/1000000</f>
        <v>0</v>
      </c>
      <c r="O44" s="142">
        <f>DETAILS!T12/1000000</f>
        <v>0</v>
      </c>
      <c r="P44" s="142">
        <f>DETAILS!U12/1000000</f>
        <v>0</v>
      </c>
      <c r="Q44" s="142">
        <f>DETAILS!V12/1000000</f>
        <v>0</v>
      </c>
      <c r="R44" s="142">
        <f>DETAILS!W12/1000000</f>
        <v>0</v>
      </c>
      <c r="S44" s="142">
        <f>DETAILS!X12/1000000</f>
        <v>0</v>
      </c>
      <c r="T44" s="142">
        <f>DETAILS!Y12/1000000</f>
        <v>0</v>
      </c>
      <c r="U44" s="142">
        <f>DETAILS!Z12/1000000</f>
        <v>0</v>
      </c>
      <c r="V44" s="142">
        <f>DETAILS!AA12/1000000</f>
        <v>0</v>
      </c>
      <c r="W44" s="142">
        <f>DETAILS!AB12/1000000</f>
        <v>0</v>
      </c>
      <c r="X44" s="142">
        <f>DETAILS!AC12/1000000</f>
        <v>0</v>
      </c>
      <c r="Y44" s="142">
        <f>DETAILS!AD12/1000000</f>
        <v>0</v>
      </c>
      <c r="Z44" s="142">
        <f>DETAILS!AE12/1000000</f>
        <v>0</v>
      </c>
      <c r="AA44" s="142">
        <f>DETAILS!AF12/1000000</f>
        <v>0</v>
      </c>
      <c r="AB44" s="142">
        <f>DETAILS!AG12/1000000</f>
        <v>0</v>
      </c>
      <c r="AC44" s="142">
        <f>DETAILS!AH12/1000000</f>
        <v>0</v>
      </c>
      <c r="AD44" s="142">
        <f>DETAILS!AI12/1000000</f>
        <v>0</v>
      </c>
      <c r="AE44" s="142">
        <f>DETAILS!AJ12/1000000</f>
        <v>0</v>
      </c>
      <c r="AF44" s="142">
        <f>DETAILS!AK12/1000000</f>
        <v>0</v>
      </c>
      <c r="AG44" s="142">
        <f>DETAILS!AL12/1000000</f>
        <v>1231.0735500000001</v>
      </c>
      <c r="AH44" s="142">
        <f>DETAILS!AM12/1000000</f>
        <v>1231.0735500000001</v>
      </c>
      <c r="AI44" s="142">
        <f>DETAILS!AN12/1000000</f>
        <v>0</v>
      </c>
      <c r="AJ44" s="142">
        <f>DETAILS!AO12/1000000</f>
        <v>0</v>
      </c>
      <c r="AK44" s="142">
        <f>DETAILS!AP12/1000000</f>
        <v>0</v>
      </c>
      <c r="AL44" s="142">
        <f>DETAILS!AQ12/1000000</f>
        <v>0</v>
      </c>
      <c r="AM44" s="142">
        <f>DETAILS!AR12/1000000</f>
        <v>0</v>
      </c>
      <c r="AN44" s="142">
        <f>DETAILS!AS12/1000000</f>
        <v>0</v>
      </c>
      <c r="AO44" s="142">
        <f>DETAILS!AT12/1000000</f>
        <v>0</v>
      </c>
      <c r="AP44" s="142">
        <f>DETAILS!AU12/1000000</f>
        <v>0</v>
      </c>
      <c r="AQ44" s="142">
        <f>DETAILS!AV12/1000000</f>
        <v>0</v>
      </c>
      <c r="AR44" s="142">
        <f>DETAILS!AW12/1000000</f>
        <v>0</v>
      </c>
      <c r="AS44" s="142">
        <f>DETAILS!AX12/1000000</f>
        <v>0</v>
      </c>
      <c r="AT44" s="142">
        <f>DETAILS!AY12/1000000</f>
        <v>0</v>
      </c>
      <c r="AU44" s="142">
        <f>DETAILS!AZ12/1000000</f>
        <v>0</v>
      </c>
      <c r="AV44" s="142">
        <f>DETAILS!BA12/1000000</f>
        <v>0</v>
      </c>
      <c r="AW44" s="142">
        <f>DETAILS!BB12/1000000</f>
        <v>0</v>
      </c>
      <c r="AX44" s="142">
        <f>DETAILS!BC12/1000000</f>
        <v>0</v>
      </c>
      <c r="AY44" s="142">
        <f>DETAILS!BD12/1000000</f>
        <v>0</v>
      </c>
      <c r="AZ44" s="142">
        <f>DETAILS!BE12/1000000</f>
        <v>0</v>
      </c>
      <c r="BA44" s="142">
        <f>DETAILS!BF12/1000000</f>
        <v>0</v>
      </c>
      <c r="BB44" s="142">
        <f>DETAILS!BG12/1000000</f>
        <v>0</v>
      </c>
      <c r="BC44" s="142">
        <f>DETAILS!BH12/1000000</f>
        <v>0</v>
      </c>
      <c r="BD44" s="142">
        <f>DETAILS!BI12/1000000</f>
        <v>0</v>
      </c>
      <c r="BE44" s="142">
        <f>DETAILS!BJ12/1000000</f>
        <v>0</v>
      </c>
      <c r="BF44" s="142">
        <f>DETAILS!BK12/1000000</f>
        <v>0</v>
      </c>
      <c r="BG44" s="142">
        <f>DETAILS!BL12/1000000</f>
        <v>0</v>
      </c>
      <c r="BH44" s="142">
        <f>DETAILS!BM12/1000000</f>
        <v>0</v>
      </c>
      <c r="BI44" s="142">
        <f>DETAILS!BN12/1000000</f>
        <v>0</v>
      </c>
      <c r="BJ44" s="142">
        <f>DETAILS!BO12/1000000</f>
        <v>0</v>
      </c>
      <c r="BK44" s="142">
        <f>DETAILS!BP12/1000000</f>
        <v>0</v>
      </c>
      <c r="BL44" s="142">
        <f>DETAILS!BQ12/1000000</f>
        <v>0</v>
      </c>
      <c r="BM44" s="142">
        <f>DETAILS!BR12/1000000</f>
        <v>0</v>
      </c>
    </row>
    <row r="45" spans="1:65" hidden="1">
      <c r="B45" s="140" t="str">
        <f t="shared" si="41"/>
        <v>ТЦ</v>
      </c>
      <c r="C45" s="200"/>
      <c r="D45" s="131" t="s">
        <v>19</v>
      </c>
      <c r="E45" s="141">
        <f t="shared" si="32"/>
        <v>0</v>
      </c>
      <c r="F45" s="202"/>
      <c r="G45" s="202">
        <f>G30*'DB1'!$N$12+SUM($F30:F30)-SUM($F45:F45)</f>
        <v>0</v>
      </c>
      <c r="H45" s="202">
        <f>H30*'DB1'!$N$12+SUM($F30:G30)-SUM($F45:G45)</f>
        <v>0</v>
      </c>
      <c r="I45" s="202">
        <f>I30*'DB1'!$N$12+SUM($F30:H30)-SUM($F45:H45)</f>
        <v>0</v>
      </c>
      <c r="J45" s="202">
        <f>J30*'DB1'!$N$12+SUM($F30:I30)-SUM($F45:I45)</f>
        <v>0</v>
      </c>
      <c r="K45" s="202">
        <f>K30*'DB1'!$N$12+SUM($F30:J30)-SUM($F45:J45)</f>
        <v>0</v>
      </c>
      <c r="L45" s="202">
        <f>L30*'DB1'!$N$12+SUM($F30:K30)-SUM($F45:K45)</f>
        <v>0</v>
      </c>
      <c r="M45" s="202">
        <f>M30*'DB1'!$N$12+SUM($F30:L30)-SUM($F45:L45)</f>
        <v>0</v>
      </c>
      <c r="N45" s="142">
        <f>N30*'DB1'!$N$12+SUM($F30:M30)-SUM($F45:M45)</f>
        <v>0</v>
      </c>
      <c r="O45" s="142">
        <f>O30*'DB1'!$N$12+SUM($F30:N30)-SUM($F45:N45)</f>
        <v>0</v>
      </c>
      <c r="P45" s="142">
        <f>P30*'DB1'!$N$12+SUM($F30:O30)-SUM($F45:O45)</f>
        <v>0</v>
      </c>
      <c r="Q45" s="142">
        <f>Q30*'DB1'!$N$12+SUM($F30:P30)-SUM($F45:P45)</f>
        <v>0</v>
      </c>
      <c r="R45" s="142">
        <f>R30*'DB1'!$N$12+SUM($F30:Q30)-SUM($F45:Q45)</f>
        <v>0</v>
      </c>
      <c r="S45" s="142">
        <f>S30*'DB1'!$N$12+SUM($F30:R30)-SUM($F45:R45)</f>
        <v>0</v>
      </c>
      <c r="T45" s="142">
        <f>T30*'DB1'!$N$12+SUM($F30:S30)-SUM($F45:S45)</f>
        <v>0</v>
      </c>
      <c r="U45" s="142">
        <f>U30*'DB1'!$N$12+SUM($F30:T30)-SUM($F45:T45)</f>
        <v>0</v>
      </c>
      <c r="V45" s="142">
        <f>V30*'DB1'!$N$12+SUM($F30:U30)-SUM($F45:U45)</f>
        <v>0</v>
      </c>
      <c r="W45" s="142">
        <f>W30*'DB1'!$N$12+SUM($F30:V30)-SUM($F45:V45)</f>
        <v>0</v>
      </c>
      <c r="X45" s="142">
        <f>X30*'DB1'!$N$12+SUM($F30:W30)-SUM($F45:W45)</f>
        <v>0</v>
      </c>
      <c r="Y45" s="142">
        <f>Y30*'DB1'!$N$12+SUM($F30:X30)-SUM($F45:X45)</f>
        <v>0</v>
      </c>
      <c r="Z45" s="142">
        <f>Z30*'DB1'!$N$12+SUM($F30:Y30)-SUM($F45:Y45)</f>
        <v>0</v>
      </c>
      <c r="AA45" s="142">
        <f>AA30*'DB1'!$N$12+SUM($F30:Z30)-SUM($F45:Z45)</f>
        <v>0</v>
      </c>
      <c r="AB45" s="142">
        <f>AB30*'DB1'!$N$12+SUM($F30:AA30)-SUM($F45:AA45)</f>
        <v>0</v>
      </c>
      <c r="AC45" s="142">
        <f>AC30*'DB1'!$N$12+SUM($F30:AB30)-SUM($F45:AB45)</f>
        <v>0</v>
      </c>
      <c r="AD45" s="142">
        <f>AD30*'DB1'!$N$12+SUM($F30:AC30)-SUM($F45:AC45)</f>
        <v>0</v>
      </c>
      <c r="AE45" s="142">
        <f>AE30*'DB1'!$N$12+SUM($F30:AD30)-SUM($F45:AD45)</f>
        <v>0</v>
      </c>
      <c r="AF45" s="142">
        <f>AF30*'DB1'!$N$12+SUM($F30:AE30)-SUM($F45:AE45)</f>
        <v>0</v>
      </c>
      <c r="AG45" s="142">
        <f>AG30*'DB1'!$N$12+SUM($F30:AF30)-SUM($F45:AF45)</f>
        <v>0</v>
      </c>
      <c r="AH45" s="142">
        <f>AH30*'DB1'!$N$12+SUM($F30:AG30)-SUM($F45:AG45)</f>
        <v>0</v>
      </c>
      <c r="AI45" s="142">
        <f>AI30*'DB1'!$N$12+SUM($F30:AH30)-SUM($F45:AH45)</f>
        <v>0</v>
      </c>
      <c r="AJ45" s="142">
        <f>AJ30*'DB1'!$N$12+SUM($F30:AI30)-SUM($F45:AI45)</f>
        <v>0</v>
      </c>
      <c r="AK45" s="142">
        <f>AK30*'DB1'!$N$12+SUM($F30:AJ30)-SUM($F45:AJ45)</f>
        <v>0</v>
      </c>
      <c r="AL45" s="142">
        <f>AL30*'DB1'!$N$12+SUM($F30:AK30)-SUM($F45:AK45)</f>
        <v>0</v>
      </c>
      <c r="AM45" s="142">
        <f>AM30*'DB1'!$N$12+SUM($F30:AL30)-SUM($F45:AL45)</f>
        <v>0</v>
      </c>
      <c r="AN45" s="142">
        <f>AN30*'DB1'!$N$12+SUM($F30:AM30)-SUM($F45:AM45)</f>
        <v>0</v>
      </c>
      <c r="AO45" s="142">
        <f>AO30*'DB1'!$N$12+SUM($F30:AN30)-SUM($F45:AN45)</f>
        <v>0</v>
      </c>
      <c r="AP45" s="142">
        <f>AP30*'DB1'!$N$12+SUM($F30:AO30)-SUM($F45:AO45)</f>
        <v>0</v>
      </c>
      <c r="AQ45" s="142">
        <f>AQ30*'DB1'!$N$12+SUM($F30:AP30)-SUM($F45:AP45)</f>
        <v>0</v>
      </c>
      <c r="AR45" s="142">
        <f>AR30*'DB1'!$N$12+SUM($F30:AQ30)-SUM($F45:AQ45)</f>
        <v>0</v>
      </c>
      <c r="AS45" s="142">
        <f>AS30*'DB1'!$N$12+SUM($F30:AR30)-SUM($F45:AR45)</f>
        <v>0</v>
      </c>
      <c r="AT45" s="142">
        <f>AT30*'DB1'!$N$12+SUM($F30:AS30)-SUM($F45:AS45)</f>
        <v>0</v>
      </c>
      <c r="AU45" s="142">
        <f>AU30*'DB1'!$N$12+SUM($F30:AT30)-SUM($F45:AT45)</f>
        <v>0</v>
      </c>
      <c r="AV45" s="142">
        <f>AV30*'DB1'!$N$12+SUM($F30:AU30)-SUM($F45:AU45)</f>
        <v>0</v>
      </c>
      <c r="AW45" s="142">
        <f>AW30*'DB1'!$N$12+SUM($F30:AV30)-SUM($F45:AV45)</f>
        <v>0</v>
      </c>
      <c r="AX45" s="142">
        <f>AX30*'DB1'!$N$12+SUM($F30:AW30)-SUM($F45:AW45)</f>
        <v>0</v>
      </c>
      <c r="AY45" s="142">
        <f>AY30*'DB1'!$N$12+SUM($F30:AX30)-SUM($F45:AX45)</f>
        <v>0</v>
      </c>
      <c r="AZ45" s="142">
        <f>AZ30*'DB1'!$N$12+SUM($F30:AY30)-SUM($F45:AY45)</f>
        <v>0</v>
      </c>
      <c r="BA45" s="142">
        <f>BA30*'DB1'!$N$12+SUM($F30:AZ30)-SUM($F45:AZ45)</f>
        <v>0</v>
      </c>
      <c r="BB45" s="142">
        <f>BB30*'DB1'!$N$12+SUM($F30:BA30)-SUM($F45:BA45)</f>
        <v>0</v>
      </c>
      <c r="BC45" s="142">
        <f>BC30*'DB1'!$N$12+SUM($F30:BB30)-SUM($F45:BB45)</f>
        <v>0</v>
      </c>
      <c r="BD45" s="142">
        <f>BD30*'DB1'!$N$12+SUM($F30:BC30)-SUM($F45:BC45)</f>
        <v>0</v>
      </c>
      <c r="BE45" s="142">
        <f>BE30*'DB1'!$N$12+SUM($F30:BD30)-SUM($F45:BD45)</f>
        <v>0</v>
      </c>
      <c r="BF45" s="142">
        <f>BF30*'DB1'!$N$12+SUM($F30:BE30)-SUM($F45:BE45)</f>
        <v>0</v>
      </c>
      <c r="BG45" s="142">
        <f>BG30*'DB1'!$N$12+SUM($F30:BF30)-SUM($F45:BF45)</f>
        <v>0</v>
      </c>
      <c r="BH45" s="142">
        <f>BH30*'DB1'!$N$12+SUM($F30:BG30)-SUM($F45:BG45)</f>
        <v>0</v>
      </c>
      <c r="BI45" s="142">
        <f>BI30*'DB1'!$N$12+SUM($F30:BH30)-SUM($F45:BH45)</f>
        <v>0</v>
      </c>
      <c r="BJ45" s="142">
        <f>BJ30*'DB1'!$N$12+SUM($F30:BI30)-SUM($F45:BI45)</f>
        <v>0</v>
      </c>
      <c r="BK45" s="142">
        <f>BK30*'DB1'!$N$12+SUM($F30:BJ30)-SUM($F45:BJ45)</f>
        <v>0</v>
      </c>
      <c r="BL45" s="142">
        <f>BL30*'DB1'!$N$12+SUM($F30:BK30)-SUM($F45:BK45)</f>
        <v>0</v>
      </c>
      <c r="BM45" s="142">
        <f>BM30*'DB1'!$N$12+SUM($F30:BL30)-SUM($F45:BL45)</f>
        <v>0</v>
      </c>
    </row>
    <row r="46" spans="1:65">
      <c r="B46" s="140" t="str">
        <f t="shared" si="41"/>
        <v>ПАРКИНГ ЖИЛЬЕ</v>
      </c>
      <c r="C46" s="200"/>
      <c r="D46" s="131" t="s">
        <v>19</v>
      </c>
      <c r="E46" s="141">
        <f t="shared" si="32"/>
        <v>2695.5</v>
      </c>
      <c r="F46" s="202"/>
      <c r="G46" s="202">
        <f>DETAILS!L14/1000000</f>
        <v>0</v>
      </c>
      <c r="H46" s="202">
        <f>DETAILS!M14/1000000</f>
        <v>0</v>
      </c>
      <c r="I46" s="202">
        <f>DETAILS!N14/1000000</f>
        <v>0</v>
      </c>
      <c r="J46" s="202">
        <f>DETAILS!O14/1000000</f>
        <v>0</v>
      </c>
      <c r="K46" s="202">
        <f>DETAILS!P14/1000000</f>
        <v>0</v>
      </c>
      <c r="L46" s="202">
        <f>DETAILS!Q14/1000000</f>
        <v>0</v>
      </c>
      <c r="M46" s="202">
        <f>DETAILS!R14/1000000</f>
        <v>0</v>
      </c>
      <c r="N46" s="142">
        <f>DETAILS!S14/1000000</f>
        <v>0</v>
      </c>
      <c r="O46" s="142">
        <f>DETAILS!T14/1000000</f>
        <v>0</v>
      </c>
      <c r="P46" s="142">
        <f>DETAILS!U14/1000000</f>
        <v>0</v>
      </c>
      <c r="Q46" s="142">
        <f>DETAILS!V14/1000000</f>
        <v>0</v>
      </c>
      <c r="R46" s="142">
        <f>DETAILS!W14/1000000</f>
        <v>0</v>
      </c>
      <c r="S46" s="142">
        <f>DETAILS!X14/1000000</f>
        <v>0</v>
      </c>
      <c r="T46" s="142">
        <f>DETAILS!Y14/1000000</f>
        <v>94.5</v>
      </c>
      <c r="U46" s="142">
        <f>DETAILS!Z14/1000000</f>
        <v>135</v>
      </c>
      <c r="V46" s="142">
        <f>DETAILS!AA14/1000000</f>
        <v>135</v>
      </c>
      <c r="W46" s="142">
        <f>DETAILS!AB14/1000000</f>
        <v>135</v>
      </c>
      <c r="X46" s="142">
        <f>DETAILS!AC14/1000000</f>
        <v>135</v>
      </c>
      <c r="Y46" s="142">
        <f>DETAILS!AD14/1000000</f>
        <v>135</v>
      </c>
      <c r="Z46" s="142">
        <f>DETAILS!AE14/1000000</f>
        <v>135</v>
      </c>
      <c r="AA46" s="142">
        <f>DETAILS!AF14/1000000</f>
        <v>135</v>
      </c>
      <c r="AB46" s="142">
        <f>DETAILS!AG14/1000000</f>
        <v>135</v>
      </c>
      <c r="AC46" s="142">
        <f>DETAILS!AH14/1000000</f>
        <v>135</v>
      </c>
      <c r="AD46" s="142">
        <f>DETAILS!AI14/1000000</f>
        <v>135</v>
      </c>
      <c r="AE46" s="142">
        <f>DETAILS!AJ14/1000000</f>
        <v>135</v>
      </c>
      <c r="AF46" s="142">
        <f>DETAILS!AK14/1000000</f>
        <v>135</v>
      </c>
      <c r="AG46" s="142">
        <f>DETAILS!AL14/1000000</f>
        <v>135</v>
      </c>
      <c r="AH46" s="142">
        <f>DETAILS!AM14/1000000</f>
        <v>135</v>
      </c>
      <c r="AI46" s="142">
        <f>DETAILS!AN14/1000000</f>
        <v>135</v>
      </c>
      <c r="AJ46" s="142">
        <f>DETAILS!AO14/1000000</f>
        <v>135</v>
      </c>
      <c r="AK46" s="142">
        <f>DETAILS!AP14/1000000</f>
        <v>135</v>
      </c>
      <c r="AL46" s="142">
        <f>DETAILS!AQ14/1000000</f>
        <v>135</v>
      </c>
      <c r="AM46" s="142">
        <f>DETAILS!AR14/1000000</f>
        <v>131.84999999999991</v>
      </c>
      <c r="AN46" s="142">
        <f>DETAILS!AS14/1000000</f>
        <v>39.150000000000091</v>
      </c>
      <c r="AO46" s="142">
        <f>DETAILS!AT14/1000000</f>
        <v>0</v>
      </c>
      <c r="AP46" s="142">
        <f>DETAILS!AU14/1000000</f>
        <v>0</v>
      </c>
      <c r="AQ46" s="142">
        <f>DETAILS!AV14/1000000</f>
        <v>0</v>
      </c>
      <c r="AR46" s="142">
        <f>DETAILS!AW14/1000000</f>
        <v>0</v>
      </c>
      <c r="AS46" s="142">
        <f>DETAILS!AX14/1000000</f>
        <v>0</v>
      </c>
      <c r="AT46" s="142">
        <f>DETAILS!AY14/1000000</f>
        <v>0</v>
      </c>
      <c r="AU46" s="142">
        <f>DETAILS!AZ14/1000000</f>
        <v>0</v>
      </c>
      <c r="AV46" s="142">
        <f>DETAILS!BA14/1000000</f>
        <v>0</v>
      </c>
      <c r="AW46" s="142">
        <f>DETAILS!BB14/1000000</f>
        <v>0</v>
      </c>
      <c r="AX46" s="142">
        <f>DETAILS!BC14/1000000</f>
        <v>0</v>
      </c>
      <c r="AY46" s="142">
        <f>DETAILS!BD14/1000000</f>
        <v>0</v>
      </c>
      <c r="AZ46" s="142">
        <f>DETAILS!BE14/1000000</f>
        <v>0</v>
      </c>
      <c r="BA46" s="142">
        <f>DETAILS!BF14/1000000</f>
        <v>0</v>
      </c>
      <c r="BB46" s="142">
        <f>DETAILS!BG14/1000000</f>
        <v>0</v>
      </c>
      <c r="BC46" s="142">
        <f>DETAILS!BH14/1000000</f>
        <v>0</v>
      </c>
      <c r="BD46" s="142">
        <f>DETAILS!BI14/1000000</f>
        <v>0</v>
      </c>
      <c r="BE46" s="142">
        <f>DETAILS!BJ14/1000000</f>
        <v>0</v>
      </c>
      <c r="BF46" s="142">
        <f>DETAILS!BK14/1000000</f>
        <v>0</v>
      </c>
      <c r="BG46" s="142">
        <f>DETAILS!BL14/1000000</f>
        <v>0</v>
      </c>
      <c r="BH46" s="142">
        <f>DETAILS!BM14/1000000</f>
        <v>0</v>
      </c>
      <c r="BI46" s="142">
        <f>DETAILS!BN14/1000000</f>
        <v>0</v>
      </c>
      <c r="BJ46" s="142">
        <f>DETAILS!BO14/1000000</f>
        <v>0</v>
      </c>
      <c r="BK46" s="142">
        <f>DETAILS!BP14/1000000</f>
        <v>0</v>
      </c>
      <c r="BL46" s="142">
        <f>DETAILS!BQ14/1000000</f>
        <v>0</v>
      </c>
      <c r="BM46" s="142">
        <f>DETAILS!BR14/1000000</f>
        <v>0</v>
      </c>
    </row>
    <row r="47" spans="1:65" hidden="1">
      <c r="B47" s="140" t="str">
        <f t="shared" si="41"/>
        <v>ПАРКИНГ ОФИС</v>
      </c>
      <c r="C47" s="197"/>
      <c r="D47" s="131" t="s">
        <v>19</v>
      </c>
      <c r="E47" s="141">
        <f t="shared" si="32"/>
        <v>0</v>
      </c>
      <c r="F47" s="202"/>
      <c r="G47" s="202">
        <f>G32*'DB1'!$N$17+SUM($F32:F32)-SUM($F47:F47)</f>
        <v>0</v>
      </c>
      <c r="H47" s="202">
        <f>H32*'DB1'!$N$17+SUM($F32:G32)-SUM($F47:G47)</f>
        <v>0</v>
      </c>
      <c r="I47" s="202">
        <f>I32*'DB1'!$N$17+SUM($F32:H32)-SUM($F47:H47)</f>
        <v>0</v>
      </c>
      <c r="J47" s="202">
        <f>J32*'DB1'!$N$17+SUM($F32:I32)-SUM($F47:I47)</f>
        <v>0</v>
      </c>
      <c r="K47" s="202">
        <f>K32*'DB1'!$N$17+SUM($F32:J32)-SUM($F47:J47)</f>
        <v>0</v>
      </c>
      <c r="L47" s="202">
        <f>L32*'DB1'!$N$17+SUM($F32:K32)-SUM($F47:K47)</f>
        <v>0</v>
      </c>
      <c r="M47" s="202">
        <f>M32*'DB1'!$N$17+SUM($F32:L32)-SUM($F47:L47)</f>
        <v>0</v>
      </c>
      <c r="N47" s="142">
        <f>N32*'DB1'!$N$17+SUM($F32:M32)-SUM($F47:M47)</f>
        <v>0</v>
      </c>
      <c r="O47" s="142">
        <f>O32*'DB1'!$N$17+SUM($F32:N32)-SUM($F47:N47)</f>
        <v>0</v>
      </c>
      <c r="P47" s="142">
        <f>P32*'DB1'!$N$17+SUM($F32:O32)-SUM($F47:O47)</f>
        <v>0</v>
      </c>
      <c r="Q47" s="142">
        <f>Q32*'DB1'!$N$17+SUM($F32:P32)-SUM($F47:P47)</f>
        <v>0</v>
      </c>
      <c r="R47" s="142">
        <f>R32*'DB1'!$N$17+SUM($F32:Q32)-SUM($F47:Q47)</f>
        <v>0</v>
      </c>
      <c r="S47" s="142">
        <f>S32*'DB1'!$N$17+SUM($F32:R32)-SUM($F47:R47)</f>
        <v>0</v>
      </c>
      <c r="T47" s="142">
        <f>T32*'DB1'!$N$17+SUM($F32:S32)-SUM($F47:S47)</f>
        <v>0</v>
      </c>
      <c r="U47" s="142">
        <f>U32*'DB1'!$N$17+SUM($F32:T32)-SUM($F47:T47)</f>
        <v>0</v>
      </c>
      <c r="V47" s="142">
        <f>V32*'DB1'!$N$17+SUM($F32:U32)-SUM($F47:U47)</f>
        <v>0</v>
      </c>
      <c r="W47" s="142">
        <f>W32*'DB1'!$N$17+SUM($F32:V32)-SUM($F47:V47)</f>
        <v>0</v>
      </c>
      <c r="X47" s="142">
        <f>X32*'DB1'!$N$17+SUM($F32:W32)-SUM($F47:W47)</f>
        <v>0</v>
      </c>
      <c r="Y47" s="142">
        <f>Y32*'DB1'!$N$17+SUM($F32:X32)-SUM($F47:X47)</f>
        <v>0</v>
      </c>
      <c r="Z47" s="142">
        <f>Z32*'DB1'!$N$17+SUM($F32:Y32)-SUM($F47:Y47)</f>
        <v>0</v>
      </c>
      <c r="AA47" s="142">
        <f>AA32*'DB1'!$N$17+SUM($F32:Z32)-SUM($F47:Z47)</f>
        <v>0</v>
      </c>
      <c r="AB47" s="142">
        <f>AB32*'DB1'!$N$17+SUM($F32:AA32)-SUM($F47:AA47)</f>
        <v>0</v>
      </c>
      <c r="AC47" s="142">
        <f>AC32*'DB1'!$N$17+SUM($F32:AB32)-SUM($F47:AB47)</f>
        <v>0</v>
      </c>
      <c r="AD47" s="142">
        <f>AD32*'DB1'!$N$17+SUM($F32:AC32)-SUM($F47:AC47)</f>
        <v>0</v>
      </c>
      <c r="AE47" s="142">
        <f>AE32*'DB1'!$N$17+SUM($F32:AD32)-SUM($F47:AD47)</f>
        <v>0</v>
      </c>
      <c r="AF47" s="142">
        <f>AF32*'DB1'!$N$17+SUM($F32:AE32)-SUM($F47:AE47)</f>
        <v>0</v>
      </c>
      <c r="AG47" s="142">
        <f>AG32*'DB1'!$N$17+SUM($F32:AF32)-SUM($F47:AF47)</f>
        <v>0</v>
      </c>
      <c r="AH47" s="142">
        <f>AH32*'DB1'!$N$17+SUM($F32:AG32)-SUM($F47:AG47)</f>
        <v>0</v>
      </c>
      <c r="AI47" s="142">
        <f>AI32*'DB1'!$N$17+SUM($F32:AH32)-SUM($F47:AH47)</f>
        <v>0</v>
      </c>
      <c r="AJ47" s="142">
        <f>AJ32*'DB1'!$N$17+SUM($F32:AI32)-SUM($F47:AI47)</f>
        <v>0</v>
      </c>
      <c r="AK47" s="142">
        <f>AK32*'DB1'!$N$17+SUM($F32:AJ32)-SUM($F47:AJ47)</f>
        <v>0</v>
      </c>
      <c r="AL47" s="142">
        <f>AL32*'DB1'!$N$17+SUM($F32:AK32)-SUM($F47:AK47)</f>
        <v>0</v>
      </c>
      <c r="AM47" s="142">
        <f>AM32*'DB1'!$N$17+SUM($F32:AL32)-SUM($F47:AL47)</f>
        <v>0</v>
      </c>
      <c r="AN47" s="142">
        <f>AN32*'DB1'!$N$17+SUM($F32:AM32)-SUM($F47:AM47)</f>
        <v>0</v>
      </c>
      <c r="AO47" s="142">
        <f>AO32*'DB1'!$N$17+SUM($F32:AN32)-SUM($F47:AN47)</f>
        <v>0</v>
      </c>
      <c r="AP47" s="142">
        <f>AP32*'DB1'!$N$17+SUM($F32:AO32)-SUM($F47:AO47)</f>
        <v>0</v>
      </c>
      <c r="AQ47" s="142">
        <f>AQ32*'DB1'!$N$17+SUM($F32:AP32)-SUM($F47:AP47)</f>
        <v>0</v>
      </c>
      <c r="AR47" s="142">
        <f>AR32*'DB1'!$N$17+SUM($F32:AQ32)-SUM($F47:AQ47)</f>
        <v>0</v>
      </c>
      <c r="AS47" s="142">
        <f>AS32*'DB1'!$N$17+SUM($F32:AR32)-SUM($F47:AR47)</f>
        <v>0</v>
      </c>
      <c r="AT47" s="142">
        <f>AT32*'DB1'!$N$17+SUM($F32:AS32)-SUM($F47:AS47)</f>
        <v>0</v>
      </c>
      <c r="AU47" s="142">
        <f>AU32*'DB1'!$N$17+SUM($F32:AT32)-SUM($F47:AT47)</f>
        <v>0</v>
      </c>
      <c r="AV47" s="142">
        <f>AV32*'DB1'!$N$17+SUM($F32:AU32)-SUM($F47:AU47)</f>
        <v>0</v>
      </c>
      <c r="AW47" s="142">
        <f>AW32*'DB1'!$N$17+SUM($F32:AV32)-SUM($F47:AV47)</f>
        <v>0</v>
      </c>
      <c r="AX47" s="142">
        <f>AX32*'DB1'!$N$17+SUM($F32:AW32)-SUM($F47:AW47)</f>
        <v>0</v>
      </c>
      <c r="AY47" s="142">
        <f>AY32*'DB1'!$N$17+SUM($F32:AX32)-SUM($F47:AX47)</f>
        <v>0</v>
      </c>
      <c r="AZ47" s="142">
        <f>AZ32*'DB1'!$N$17+SUM($F32:AY32)-SUM($F47:AY47)</f>
        <v>0</v>
      </c>
      <c r="BA47" s="142">
        <f>BA32*'DB1'!$N$17+SUM($F32:AZ32)-SUM($F47:AZ47)</f>
        <v>0</v>
      </c>
      <c r="BB47" s="142">
        <f>BB32*'DB1'!$N$17+SUM($F32:BA32)-SUM($F47:BA47)</f>
        <v>0</v>
      </c>
      <c r="BC47" s="142">
        <f>BC32*'DB1'!$N$17+SUM($F32:BB32)-SUM($F47:BB47)</f>
        <v>0</v>
      </c>
      <c r="BD47" s="142">
        <f>BD32*'DB1'!$N$17+SUM($F32:BC32)-SUM($F47:BC47)</f>
        <v>0</v>
      </c>
      <c r="BE47" s="142">
        <f>BE32*'DB1'!$N$17+SUM($F32:BD32)-SUM($F47:BD47)</f>
        <v>0</v>
      </c>
      <c r="BF47" s="142">
        <f>BF32*'DB1'!$N$17+SUM($F32:BE32)-SUM($F47:BE47)</f>
        <v>0</v>
      </c>
      <c r="BG47" s="142">
        <f>BG32*'DB1'!$N$17+SUM($F32:BF32)-SUM($F47:BF47)</f>
        <v>0</v>
      </c>
      <c r="BH47" s="142">
        <f>BH32*'DB1'!$N$17+SUM($F32:BG32)-SUM($F47:BG47)</f>
        <v>0</v>
      </c>
      <c r="BI47" s="142">
        <f>BI32*'DB1'!$N$17+SUM($F32:BH32)-SUM($F47:BH47)</f>
        <v>0</v>
      </c>
      <c r="BJ47" s="142">
        <f>BJ32*'DB1'!$N$17+SUM($F32:BI32)-SUM($F47:BI47)</f>
        <v>0</v>
      </c>
      <c r="BK47" s="142">
        <f>BK32*'DB1'!$N$17+SUM($F32:BJ32)-SUM($F47:BJ47)</f>
        <v>0</v>
      </c>
      <c r="BL47" s="142">
        <f>BL32*'DB1'!$N$17+SUM($F32:BK32)-SUM($F47:BK47)</f>
        <v>0</v>
      </c>
      <c r="BM47" s="142">
        <f>BM32*'DB1'!$N$17+SUM($F32:BL32)-SUM($F47:BL47)</f>
        <v>0</v>
      </c>
    </row>
    <row r="48" spans="1:65">
      <c r="E48" s="138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39"/>
      <c r="BF48" s="139"/>
      <c r="BG48" s="139"/>
      <c r="BH48" s="139"/>
      <c r="BI48" s="139"/>
      <c r="BJ48" s="139"/>
      <c r="BK48" s="139"/>
      <c r="BL48" s="139"/>
      <c r="BM48" s="139"/>
    </row>
    <row r="49" spans="1:65">
      <c r="E49" s="138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</row>
    <row r="50" spans="1:65">
      <c r="A50" s="149"/>
      <c r="B50" s="177" t="s">
        <v>30</v>
      </c>
      <c r="C50" s="177"/>
      <c r="D50" s="178" t="s">
        <v>19</v>
      </c>
      <c r="E50" s="179">
        <f>SUM(F50:BM50)</f>
        <v>-3239.046059496452</v>
      </c>
      <c r="F50" s="180">
        <f>SUM(F53:F56)</f>
        <v>-0.18152285999999998</v>
      </c>
      <c r="G50" s="180">
        <f t="shared" ref="G50:AS50" si="42">SUM(G51:G56)</f>
        <v>-0.55836329000000007</v>
      </c>
      <c r="H50" s="180">
        <f t="shared" si="42"/>
        <v>-0.28356999999999999</v>
      </c>
      <c r="I50" s="180">
        <f t="shared" ref="I50" si="43">SUM(I51:I56)</f>
        <v>-0.29047000000000001</v>
      </c>
      <c r="J50" s="180">
        <f t="shared" ref="J50" si="44">SUM(J51:J56)</f>
        <v>-0.33546999999999999</v>
      </c>
      <c r="K50" s="180">
        <f t="shared" ref="K50" si="45">SUM(K51:K56)</f>
        <v>-0.3448</v>
      </c>
      <c r="L50" s="180">
        <f t="shared" ref="L50" si="46">SUM(L51:L56)</f>
        <v>-0.63933561999999999</v>
      </c>
      <c r="M50" s="180">
        <f t="shared" ref="M50" si="47">SUM(M51:M56)</f>
        <v>-0.68847999999999998</v>
      </c>
      <c r="N50" s="180">
        <f t="shared" si="42"/>
        <v>-2.5783841626923079</v>
      </c>
      <c r="O50" s="180">
        <f t="shared" si="42"/>
        <v>-8.0783841626923092</v>
      </c>
      <c r="P50" s="180">
        <f t="shared" si="42"/>
        <v>-7.0783841626923083</v>
      </c>
      <c r="Q50" s="180">
        <f t="shared" si="42"/>
        <v>-4.0783841626923074</v>
      </c>
      <c r="R50" s="180">
        <f t="shared" si="42"/>
        <v>-17.578384162692309</v>
      </c>
      <c r="S50" s="180">
        <f t="shared" si="42"/>
        <v>-11.828384162692307</v>
      </c>
      <c r="T50" s="180">
        <f t="shared" si="42"/>
        <v>-79.129936244239474</v>
      </c>
      <c r="U50" s="180">
        <f t="shared" si="42"/>
        <v>-115.97079988060312</v>
      </c>
      <c r="V50" s="180">
        <f t="shared" si="42"/>
        <v>-125.20146606726686</v>
      </c>
      <c r="W50" s="180">
        <f t="shared" si="42"/>
        <v>-128.37321784417011</v>
      </c>
      <c r="X50" s="180">
        <f t="shared" si="42"/>
        <v>-131.8625491088728</v>
      </c>
      <c r="Y50" s="180">
        <f t="shared" si="42"/>
        <v>-135.76019685788896</v>
      </c>
      <c r="Z50" s="180">
        <f t="shared" si="42"/>
        <v>-144.4639349118948</v>
      </c>
      <c r="AA50" s="180">
        <f t="shared" si="42"/>
        <v>-148.72571885107078</v>
      </c>
      <c r="AB50" s="180">
        <f t="shared" si="42"/>
        <v>-153.84496740730515</v>
      </c>
      <c r="AC50" s="180">
        <f t="shared" si="42"/>
        <v>-160.39332365863677</v>
      </c>
      <c r="AD50" s="180">
        <f t="shared" si="42"/>
        <v>-172.55770589214038</v>
      </c>
      <c r="AE50" s="180">
        <f t="shared" si="42"/>
        <v>-209.10626117501252</v>
      </c>
      <c r="AF50" s="180">
        <f t="shared" si="42"/>
        <v>-138.62215952413081</v>
      </c>
      <c r="AG50" s="180">
        <f t="shared" si="42"/>
        <v>-168.08076301690451</v>
      </c>
      <c r="AH50" s="180">
        <f t="shared" si="42"/>
        <v>-212.9773701340313</v>
      </c>
      <c r="AI50" s="180">
        <f t="shared" si="42"/>
        <v>-212.44976718403129</v>
      </c>
      <c r="AJ50" s="180">
        <f t="shared" si="42"/>
        <v>-160.74467808403128</v>
      </c>
      <c r="AK50" s="180">
        <f t="shared" si="42"/>
        <v>-160.74467808403128</v>
      </c>
      <c r="AL50" s="180">
        <f t="shared" si="42"/>
        <v>-160.56467808403127</v>
      </c>
      <c r="AM50" s="180">
        <f t="shared" si="42"/>
        <v>-160.20941197082374</v>
      </c>
      <c r="AN50" s="180">
        <f t="shared" si="42"/>
        <v>-81.733937904007774</v>
      </c>
      <c r="AO50" s="180">
        <f t="shared" si="42"/>
        <v>-22.986220865173131</v>
      </c>
      <c r="AP50" s="180">
        <f t="shared" si="42"/>
        <v>0</v>
      </c>
      <c r="AQ50" s="180">
        <f t="shared" si="42"/>
        <v>0</v>
      </c>
      <c r="AR50" s="180">
        <f t="shared" si="42"/>
        <v>0</v>
      </c>
      <c r="AS50" s="180">
        <f t="shared" si="42"/>
        <v>0</v>
      </c>
      <c r="AT50" s="180">
        <f t="shared" ref="AT50:BM50" si="48">SUM(AT51:AT56)</f>
        <v>0</v>
      </c>
      <c r="AU50" s="180">
        <f t="shared" si="48"/>
        <v>0</v>
      </c>
      <c r="AV50" s="180">
        <f t="shared" si="48"/>
        <v>0</v>
      </c>
      <c r="AW50" s="180">
        <f t="shared" si="48"/>
        <v>0</v>
      </c>
      <c r="AX50" s="180">
        <f t="shared" si="48"/>
        <v>0</v>
      </c>
      <c r="AY50" s="180">
        <f t="shared" si="48"/>
        <v>0</v>
      </c>
      <c r="AZ50" s="180">
        <f t="shared" si="48"/>
        <v>0</v>
      </c>
      <c r="BA50" s="180">
        <f t="shared" si="48"/>
        <v>0</v>
      </c>
      <c r="BB50" s="180">
        <f t="shared" si="48"/>
        <v>0</v>
      </c>
      <c r="BC50" s="180">
        <f t="shared" si="48"/>
        <v>0</v>
      </c>
      <c r="BD50" s="180">
        <f t="shared" si="48"/>
        <v>0</v>
      </c>
      <c r="BE50" s="180">
        <f t="shared" si="48"/>
        <v>0</v>
      </c>
      <c r="BF50" s="180">
        <f t="shared" si="48"/>
        <v>0</v>
      </c>
      <c r="BG50" s="180">
        <f t="shared" si="48"/>
        <v>0</v>
      </c>
      <c r="BH50" s="180">
        <f t="shared" si="48"/>
        <v>0</v>
      </c>
      <c r="BI50" s="180">
        <f t="shared" si="48"/>
        <v>0</v>
      </c>
      <c r="BJ50" s="180">
        <f t="shared" si="48"/>
        <v>0</v>
      </c>
      <c r="BK50" s="180">
        <f t="shared" si="48"/>
        <v>0</v>
      </c>
      <c r="BL50" s="180">
        <f t="shared" si="48"/>
        <v>0</v>
      </c>
      <c r="BM50" s="180">
        <f t="shared" si="48"/>
        <v>0</v>
      </c>
    </row>
    <row r="51" spans="1:65">
      <c r="A51" s="149"/>
      <c r="B51" s="140" t="s">
        <v>25</v>
      </c>
      <c r="C51" s="27"/>
      <c r="D51" s="131" t="s">
        <v>19</v>
      </c>
      <c r="E51" s="141">
        <f>SUM(G51:BM51)</f>
        <v>-1277.8687774799994</v>
      </c>
      <c r="F51" s="202">
        <f>DETAILS!K95/1000000</f>
        <v>0</v>
      </c>
      <c r="G51" s="202">
        <f>DETAILS!L95/1000000</f>
        <v>0</v>
      </c>
      <c r="H51" s="202">
        <f>DETAILS!M95/1000000</f>
        <v>0</v>
      </c>
      <c r="I51" s="202">
        <f>DETAILS!N95/1000000</f>
        <v>0</v>
      </c>
      <c r="J51" s="202">
        <f>DETAILS!O95/1000000</f>
        <v>0</v>
      </c>
      <c r="K51" s="202">
        <f>DETAILS!P95/1000000</f>
        <v>0</v>
      </c>
      <c r="L51" s="202">
        <f>DETAILS!Q95/1000000</f>
        <v>0</v>
      </c>
      <c r="M51" s="202">
        <f>DETAILS!R95/1000000</f>
        <v>0</v>
      </c>
      <c r="N51" s="142">
        <f>DETAILS!S95/1000000</f>
        <v>0</v>
      </c>
      <c r="O51" s="142">
        <f>DETAILS!T95/1000000</f>
        <v>0</v>
      </c>
      <c r="P51" s="142">
        <f>DETAILS!U95/1000000</f>
        <v>0</v>
      </c>
      <c r="Q51" s="142">
        <f>DETAILS!V95/1000000</f>
        <v>0</v>
      </c>
      <c r="R51" s="142">
        <f>DETAILS!W95/1000000</f>
        <v>0</v>
      </c>
      <c r="S51" s="142">
        <f>DETAILS!X95/1000000</f>
        <v>0</v>
      </c>
      <c r="T51" s="142">
        <f>DETAILS!Y95/1000000</f>
        <v>0</v>
      </c>
      <c r="U51" s="142">
        <f>DETAILS!Z95/1000000</f>
        <v>-34.922045454545461</v>
      </c>
      <c r="V51" s="142">
        <f>DETAILS!AA95/1000000</f>
        <v>-41.515378445019564</v>
      </c>
      <c r="W51" s="142">
        <f>DETAILS!AB95/1000000</f>
        <v>-43.780915428521894</v>
      </c>
      <c r="X51" s="142">
        <f>DETAILS!AC95/1000000</f>
        <v>-46.273294903309512</v>
      </c>
      <c r="Y51" s="142">
        <f>DETAILS!AD95/1000000</f>
        <v>-49.057329009749644</v>
      </c>
      <c r="Z51" s="142">
        <f>DETAILS!AE95/1000000</f>
        <v>-55.274284762610954</v>
      </c>
      <c r="AA51" s="142">
        <f>DETAILS!AF95/1000000</f>
        <v>-58.318416147736649</v>
      </c>
      <c r="AB51" s="142">
        <f>DETAILS!AG95/1000000</f>
        <v>-61.975022259332619</v>
      </c>
      <c r="AC51" s="142">
        <f>DETAILS!AH95/1000000</f>
        <v>-66.652419581712365</v>
      </c>
      <c r="AD51" s="142">
        <f>DETAILS!AI95/1000000</f>
        <v>-75.341264034214944</v>
      </c>
      <c r="AE51" s="142">
        <f>DETAILS!AJ95/1000000</f>
        <v>-84.245261625754338</v>
      </c>
      <c r="AF51" s="142">
        <f>DETAILS!AK95/1000000</f>
        <v>-44.881648431350946</v>
      </c>
      <c r="AG51" s="142">
        <f>DETAILS!AL95/1000000</f>
        <v>-65.546648819046439</v>
      </c>
      <c r="AH51" s="142">
        <f>DETAILS!AM95/1000000</f>
        <v>-103.83559352842273</v>
      </c>
      <c r="AI51" s="142">
        <f>DETAILS!AN95/1000000</f>
        <v>-103.83559352842273</v>
      </c>
      <c r="AJ51" s="142">
        <f>DETAILS!AO95/1000000</f>
        <v>-66.903387028422728</v>
      </c>
      <c r="AK51" s="142">
        <f>DETAILS!AP95/1000000</f>
        <v>-66.903387028422728</v>
      </c>
      <c r="AL51" s="142">
        <f>DETAILS!AQ95/1000000</f>
        <v>-66.903387028422728</v>
      </c>
      <c r="AM51" s="142">
        <f>DETAILS!AR95/1000000</f>
        <v>-66.903387028422728</v>
      </c>
      <c r="AN51" s="142">
        <f>DETAILS!AS95/1000000</f>
        <v>-58.381384217148408</v>
      </c>
      <c r="AO51" s="142">
        <f>DETAILS!AT95/1000000</f>
        <v>-16.41872918940938</v>
      </c>
      <c r="AP51" s="142">
        <f>DETAILS!AU95/1000000</f>
        <v>0</v>
      </c>
      <c r="AQ51" s="142">
        <f>DETAILS!AV95/1000000</f>
        <v>0</v>
      </c>
      <c r="AR51" s="142">
        <f>DETAILS!AW95/1000000</f>
        <v>0</v>
      </c>
      <c r="AS51" s="142">
        <f>DETAILS!AX95/1000000</f>
        <v>0</v>
      </c>
      <c r="AT51" s="142">
        <f>DETAILS!AY95/1000000</f>
        <v>0</v>
      </c>
      <c r="AU51" s="142">
        <f>DETAILS!AZ95/1000000</f>
        <v>0</v>
      </c>
      <c r="AV51" s="142">
        <f>DETAILS!BA95/1000000</f>
        <v>0</v>
      </c>
      <c r="AW51" s="142">
        <f>DETAILS!BB95/1000000</f>
        <v>0</v>
      </c>
      <c r="AX51" s="142">
        <f>DETAILS!BC95/1000000</f>
        <v>0</v>
      </c>
      <c r="AY51" s="142">
        <f>DETAILS!BD95/1000000</f>
        <v>0</v>
      </c>
      <c r="AZ51" s="142">
        <f>DETAILS!BE95/1000000</f>
        <v>0</v>
      </c>
      <c r="BA51" s="142">
        <f>DETAILS!BF95/1000000</f>
        <v>0</v>
      </c>
      <c r="BB51" s="142">
        <f>DETAILS!BG95/1000000</f>
        <v>0</v>
      </c>
      <c r="BC51" s="142">
        <f>DETAILS!BH95/1000000</f>
        <v>0</v>
      </c>
      <c r="BD51" s="142">
        <f>DETAILS!BI95/1000000</f>
        <v>0</v>
      </c>
      <c r="BE51" s="142">
        <f>DETAILS!BJ95/1000000</f>
        <v>0</v>
      </c>
      <c r="BF51" s="142">
        <f>DETAILS!BK95/1000000</f>
        <v>0</v>
      </c>
      <c r="BG51" s="142">
        <f>DETAILS!BL95/1000000</f>
        <v>0</v>
      </c>
      <c r="BH51" s="142">
        <f>DETAILS!BM95/1000000</f>
        <v>0</v>
      </c>
      <c r="BI51" s="142">
        <f>DETAILS!BN95/1000000</f>
        <v>0</v>
      </c>
      <c r="BJ51" s="142">
        <f>DETAILS!BO95/1000000</f>
        <v>0</v>
      </c>
      <c r="BK51" s="142">
        <f>DETAILS!BP95/1000000</f>
        <v>0</v>
      </c>
      <c r="BL51" s="142">
        <f>DETAILS!BQ95/1000000</f>
        <v>0</v>
      </c>
      <c r="BM51" s="142">
        <f>DETAILS!BR95/1000000</f>
        <v>0</v>
      </c>
    </row>
    <row r="52" spans="1:65">
      <c r="A52" s="149"/>
      <c r="B52" s="140" t="s">
        <v>40</v>
      </c>
      <c r="C52" s="27"/>
      <c r="D52" s="131" t="s">
        <v>19</v>
      </c>
      <c r="E52" s="141">
        <f>SUM(G52:BM52)</f>
        <v>-511.1475109919997</v>
      </c>
      <c r="F52" s="202">
        <f>DETAILS!K96/1000000</f>
        <v>0</v>
      </c>
      <c r="G52" s="202">
        <f>DETAILS!L96/1000000</f>
        <v>0</v>
      </c>
      <c r="H52" s="202">
        <f>DETAILS!M96/1000000</f>
        <v>0</v>
      </c>
      <c r="I52" s="202">
        <f>DETAILS!N96/1000000</f>
        <v>0</v>
      </c>
      <c r="J52" s="202">
        <f>DETAILS!O96/1000000</f>
        <v>0</v>
      </c>
      <c r="K52" s="202">
        <f>DETAILS!P96/1000000</f>
        <v>0</v>
      </c>
      <c r="L52" s="202">
        <f>DETAILS!Q96/1000000</f>
        <v>0</v>
      </c>
      <c r="M52" s="202">
        <f>DETAILS!R96/1000000</f>
        <v>0</v>
      </c>
      <c r="N52" s="142">
        <f>DETAILS!S96/1000000</f>
        <v>0</v>
      </c>
      <c r="O52" s="142">
        <f>DETAILS!T96/1000000</f>
        <v>0</v>
      </c>
      <c r="P52" s="142">
        <f>DETAILS!U96/1000000</f>
        <v>0</v>
      </c>
      <c r="Q52" s="142">
        <f>DETAILS!V96/1000000</f>
        <v>0</v>
      </c>
      <c r="R52" s="142">
        <f>DETAILS!W96/1000000</f>
        <v>0</v>
      </c>
      <c r="S52" s="142">
        <f>DETAILS!X96/1000000</f>
        <v>0</v>
      </c>
      <c r="T52" s="142">
        <f>DETAILS!Y96/1000000</f>
        <v>0</v>
      </c>
      <c r="U52" s="142">
        <f>DETAILS!Z96/1000000</f>
        <v>-13.968818181818184</v>
      </c>
      <c r="V52" s="142">
        <f>DETAILS!AA96/1000000</f>
        <v>-16.606151378007826</v>
      </c>
      <c r="W52" s="142">
        <f>DETAILS!AB96/1000000</f>
        <v>-17.512366171408761</v>
      </c>
      <c r="X52" s="142">
        <f>DETAILS!AC96/1000000</f>
        <v>-18.509317961323806</v>
      </c>
      <c r="Y52" s="142">
        <f>DETAILS!AD96/1000000</f>
        <v>-19.622931603899858</v>
      </c>
      <c r="Z52" s="142">
        <f>DETAILS!AE96/1000000</f>
        <v>-22.109713905044384</v>
      </c>
      <c r="AA52" s="142">
        <f>DETAILS!AF96/1000000</f>
        <v>-23.327366459094662</v>
      </c>
      <c r="AB52" s="142">
        <f>DETAILS!AG96/1000000</f>
        <v>-24.79000890373305</v>
      </c>
      <c r="AC52" s="142">
        <f>DETAILS!AH96/1000000</f>
        <v>-26.66096783268495</v>
      </c>
      <c r="AD52" s="142">
        <f>DETAILS!AI96/1000000</f>
        <v>-30.136505613685976</v>
      </c>
      <c r="AE52" s="142">
        <f>DETAILS!AJ96/1000000</f>
        <v>-33.698104650301737</v>
      </c>
      <c r="AF52" s="142">
        <f>DETAILS!AK96/1000000</f>
        <v>-17.952659372540381</v>
      </c>
      <c r="AG52" s="142">
        <f>DETAILS!AL96/1000000</f>
        <v>-26.218659527618581</v>
      </c>
      <c r="AH52" s="142">
        <f>DETAILS!AM96/1000000</f>
        <v>-41.534237411369091</v>
      </c>
      <c r="AI52" s="142">
        <f>DETAILS!AN96/1000000</f>
        <v>-41.534237411369091</v>
      </c>
      <c r="AJ52" s="142">
        <f>DETAILS!AO96/1000000</f>
        <v>-26.761354811369095</v>
      </c>
      <c r="AK52" s="142">
        <f>DETAILS!AP96/1000000</f>
        <v>-26.761354811369095</v>
      </c>
      <c r="AL52" s="142">
        <f>DETAILS!AQ96/1000000</f>
        <v>-26.761354811369095</v>
      </c>
      <c r="AM52" s="142">
        <f>DETAILS!AR96/1000000</f>
        <v>-26.761354811369095</v>
      </c>
      <c r="AN52" s="142">
        <f>DETAILS!AS96/1000000</f>
        <v>-23.352553686859366</v>
      </c>
      <c r="AO52" s="142">
        <f>DETAILS!AT96/1000000</f>
        <v>-6.567491675763752</v>
      </c>
      <c r="AP52" s="142">
        <f>DETAILS!AU96/1000000</f>
        <v>0</v>
      </c>
      <c r="AQ52" s="142">
        <f>DETAILS!AV96/1000000</f>
        <v>0</v>
      </c>
      <c r="AR52" s="142">
        <f>DETAILS!AW96/1000000</f>
        <v>0</v>
      </c>
      <c r="AS52" s="142">
        <f>DETAILS!AX96/1000000</f>
        <v>0</v>
      </c>
      <c r="AT52" s="142">
        <f>DETAILS!AY96/1000000</f>
        <v>0</v>
      </c>
      <c r="AU52" s="142">
        <f>DETAILS!AZ96/1000000</f>
        <v>0</v>
      </c>
      <c r="AV52" s="142">
        <f>DETAILS!BA96/1000000</f>
        <v>0</v>
      </c>
      <c r="AW52" s="142">
        <f>DETAILS!BB96/1000000</f>
        <v>0</v>
      </c>
      <c r="AX52" s="142">
        <f>DETAILS!BC96/1000000</f>
        <v>0</v>
      </c>
      <c r="AY52" s="142">
        <f>DETAILS!BD96/1000000</f>
        <v>0</v>
      </c>
      <c r="AZ52" s="142">
        <f>DETAILS!BE96/1000000</f>
        <v>0</v>
      </c>
      <c r="BA52" s="142">
        <f>DETAILS!BF96/1000000</f>
        <v>0</v>
      </c>
      <c r="BB52" s="142">
        <f>DETAILS!BG96/1000000</f>
        <v>0</v>
      </c>
      <c r="BC52" s="142">
        <f>DETAILS!BH96/1000000</f>
        <v>0</v>
      </c>
      <c r="BD52" s="142">
        <f>DETAILS!BI96/1000000</f>
        <v>0</v>
      </c>
      <c r="BE52" s="142">
        <f>DETAILS!BJ96/1000000</f>
        <v>0</v>
      </c>
      <c r="BF52" s="142">
        <f>DETAILS!BK96/1000000</f>
        <v>0</v>
      </c>
      <c r="BG52" s="142">
        <f>DETAILS!BL96/1000000</f>
        <v>0</v>
      </c>
      <c r="BH52" s="142">
        <f>DETAILS!BM96/1000000</f>
        <v>0</v>
      </c>
      <c r="BI52" s="142">
        <f>DETAILS!BN96/1000000</f>
        <v>0</v>
      </c>
      <c r="BJ52" s="142">
        <f>DETAILS!BO96/1000000</f>
        <v>0</v>
      </c>
      <c r="BK52" s="142">
        <f>DETAILS!BP96/1000000</f>
        <v>0</v>
      </c>
      <c r="BL52" s="142">
        <f>DETAILS!BQ96/1000000</f>
        <v>0</v>
      </c>
      <c r="BM52" s="142">
        <f>DETAILS!BR96/1000000</f>
        <v>0</v>
      </c>
    </row>
    <row r="53" spans="1:65">
      <c r="A53" s="149"/>
      <c r="B53" s="140" t="s">
        <v>26</v>
      </c>
      <c r="C53" s="27"/>
      <c r="D53" s="131" t="s">
        <v>19</v>
      </c>
      <c r="E53" s="141">
        <f>SUM(F53:BM53)</f>
        <v>-1277.8687774799996</v>
      </c>
      <c r="F53" s="202">
        <f>SUMIFS(DETAILS!K$107:K$122,DETAILS!$C$107:$C$122,'CF1'!$D$2)/1000000</f>
        <v>0</v>
      </c>
      <c r="G53" s="202">
        <f>SUMIFS(DETAILS!L$107:L$122,DETAILS!$C$107:$C$122,'CF1'!$D$2)/1000000</f>
        <v>0</v>
      </c>
      <c r="H53" s="202">
        <f>SUMIFS(DETAILS!M$107:M$122,DETAILS!$C$107:$C$122,'CF1'!$D$2)/1000000</f>
        <v>0</v>
      </c>
      <c r="I53" s="202">
        <f>SUMIFS(DETAILS!N$107:N$122,DETAILS!$C$107:$C$122,'CF1'!$D$2)/1000000</f>
        <v>0</v>
      </c>
      <c r="J53" s="202">
        <f>SUMIFS(DETAILS!O$107:O$122,DETAILS!$C$107:$C$122,'CF1'!$D$2)/1000000</f>
        <v>0</v>
      </c>
      <c r="K53" s="202">
        <f>SUMIFS(DETAILS!P$107:P$122,DETAILS!$C$107:$C$122,'CF1'!$D$2)/1000000</f>
        <v>0</v>
      </c>
      <c r="L53" s="202">
        <f>SUMIFS(DETAILS!Q$107:Q$122,DETAILS!$C$107:$C$122,'CF1'!$D$2)/1000000</f>
        <v>0</v>
      </c>
      <c r="M53" s="202">
        <f>SUMIFS(DETAILS!R$107:R$122,DETAILS!$C$107:$C$122,'CF1'!$D$2)/1000000</f>
        <v>0</v>
      </c>
      <c r="N53" s="142">
        <f>SUMIFS(DETAILS!S$107:S$122,DETAILS!$C$107:$C$122,'CF1'!$D$2)/1000000</f>
        <v>0</v>
      </c>
      <c r="O53" s="142">
        <f>SUMIFS(DETAILS!T$107:T$122,DETAILS!$C$107:$C$122,'CF1'!$D$2)/1000000</f>
        <v>-1.5</v>
      </c>
      <c r="P53" s="142">
        <f>SUMIFS(DETAILS!U$107:U$122,DETAILS!$C$107:$C$122,'CF1'!$D$2)/1000000</f>
        <v>-0.5</v>
      </c>
      <c r="Q53" s="142">
        <f>SUMIFS(DETAILS!V$107:V$122,DETAILS!$C$107:$C$122,'CF1'!$D$2)/1000000</f>
        <v>-1.5</v>
      </c>
      <c r="R53" s="142">
        <f>SUMIFS(DETAILS!W$107:W$122,DETAILS!$C$107:$C$122,'CF1'!$D$2)/1000000</f>
        <v>-15</v>
      </c>
      <c r="S53" s="142">
        <f>SUMIFS(DETAILS!X$107:X$122,DETAILS!$C$107:$C$122,'CF1'!$D$2)/1000000</f>
        <v>-9.25</v>
      </c>
      <c r="T53" s="142">
        <f>SUMIFS(DETAILS!Y$107:Y$122,DETAILS!$C$107:$C$122,'CF1'!$D$2)/1000000</f>
        <v>-73.953438874</v>
      </c>
      <c r="U53" s="142">
        <f>SUMIFS(DETAILS!Z$107:Z$122,DETAILS!$C$107:$C$122,'CF1'!$D$2)/1000000</f>
        <v>-61.903438873999995</v>
      </c>
      <c r="V53" s="142">
        <f>SUMIFS(DETAILS!AA$107:AA$122,DETAILS!$C$107:$C$122,'CF1'!$D$2)/1000000</f>
        <v>-61.903438873999995</v>
      </c>
      <c r="W53" s="142">
        <f>SUMIFS(DETAILS!AB$107:AB$122,DETAILS!$C$107:$C$122,'CF1'!$D$2)/1000000</f>
        <v>-61.903438873999995</v>
      </c>
      <c r="X53" s="142">
        <f>SUMIFS(DETAILS!AC$107:AC$122,DETAILS!$C$107:$C$122,'CF1'!$D$2)/1000000</f>
        <v>-61.903438873999995</v>
      </c>
      <c r="Y53" s="142">
        <f>SUMIFS(DETAILS!AD$107:AD$122,DETAILS!$C$107:$C$122,'CF1'!$D$2)/1000000</f>
        <v>-61.903438873999995</v>
      </c>
      <c r="Z53" s="142">
        <f>SUMIFS(DETAILS!AE$107:AE$122,DETAILS!$C$107:$C$122,'CF1'!$D$2)/1000000</f>
        <v>-61.903438873999995</v>
      </c>
      <c r="AA53" s="142">
        <f>SUMIFS(DETAILS!AF$107:AF$122,DETAILS!$C$107:$C$122,'CF1'!$D$2)/1000000</f>
        <v>-61.903438873999995</v>
      </c>
      <c r="AB53" s="142">
        <f>SUMIFS(DETAILS!AG$107:AG$122,DETAILS!$C$107:$C$122,'CF1'!$D$2)/1000000</f>
        <v>-61.903438873999995</v>
      </c>
      <c r="AC53" s="142">
        <f>SUMIFS(DETAILS!AH$107:AH$122,DETAILS!$C$107:$C$122,'CF1'!$D$2)/1000000</f>
        <v>-61.903438873999995</v>
      </c>
      <c r="AD53" s="142">
        <f>SUMIFS(DETAILS!AI$107:AI$122,DETAILS!$C$107:$C$122,'CF1'!$D$2)/1000000</f>
        <v>-61.903438873999995</v>
      </c>
      <c r="AE53" s="142">
        <f>SUMIFS(DETAILS!AJ$107:AJ$122,DETAILS!$C$107:$C$122,'CF1'!$D$2)/1000000</f>
        <v>-61.903438873999995</v>
      </c>
      <c r="AF53" s="142">
        <f>SUMIFS(DETAILS!AK$107:AK$122,DETAILS!$C$107:$C$122,'CF1'!$D$2)/1000000</f>
        <v>-61.903438873999995</v>
      </c>
      <c r="AG53" s="142">
        <f>SUMIFS(DETAILS!AL$107:AL$122,DETAILS!$C$107:$C$122,'CF1'!$D$2)/1000000</f>
        <v>-61.903438873999995</v>
      </c>
      <c r="AH53" s="142">
        <f>SUMIFS(DETAILS!AM$107:AM$122,DETAILS!$C$107:$C$122,'CF1'!$D$2)/1000000</f>
        <v>-61.903438873999995</v>
      </c>
      <c r="AI53" s="142">
        <f>SUMIFS(DETAILS!AN$107:AN$122,DETAILS!$C$107:$C$122,'CF1'!$D$2)/1000000</f>
        <v>-61.903438873999995</v>
      </c>
      <c r="AJ53" s="142">
        <f>SUMIFS(DETAILS!AO$107:AO$122,DETAILS!$C$107:$C$122,'CF1'!$D$2)/1000000</f>
        <v>-61.903438873999995</v>
      </c>
      <c r="AK53" s="142">
        <f>SUMIFS(DETAILS!AP$107:AP$122,DETAILS!$C$107:$C$122,'CF1'!$D$2)/1000000</f>
        <v>-61.903438873999995</v>
      </c>
      <c r="AL53" s="142">
        <f>SUMIFS(DETAILS!AQ$107:AQ$122,DETAILS!$C$107:$C$122,'CF1'!$D$2)/1000000</f>
        <v>-61.903438873999995</v>
      </c>
      <c r="AM53" s="142">
        <f>SUMIFS(DETAILS!AR$107:AR$122,DETAILS!$C$107:$C$122,'CF1'!$D$2)/1000000</f>
        <v>-61.903438873999995</v>
      </c>
      <c r="AN53" s="142">
        <f>SUMIFS(DETAILS!AS$107:AS$122,DETAILS!$C$107:$C$122,'CF1'!$D$2)/1000000</f>
        <v>0</v>
      </c>
      <c r="AO53" s="142">
        <f>SUMIFS(DETAILS!AT$107:AT$122,DETAILS!$C$107:$C$122,'CF1'!$D$2)/1000000</f>
        <v>0</v>
      </c>
      <c r="AP53" s="142">
        <f>SUMIFS(DETAILS!AU$107:AU$122,DETAILS!$C$107:$C$122,'CF1'!$D$2)/1000000</f>
        <v>0</v>
      </c>
      <c r="AQ53" s="142">
        <f>SUMIFS(DETAILS!AV$107:AV$122,DETAILS!$C$107:$C$122,'CF1'!$D$2)/1000000</f>
        <v>0</v>
      </c>
      <c r="AR53" s="142">
        <f>SUMIFS(DETAILS!AW$107:AW$122,DETAILS!$C$107:$C$122,'CF1'!$D$2)/1000000</f>
        <v>0</v>
      </c>
      <c r="AS53" s="142">
        <f>SUMIFS(DETAILS!AX$107:AX$122,DETAILS!$C$107:$C$122,'CF1'!$D$2)/1000000</f>
        <v>0</v>
      </c>
      <c r="AT53" s="142">
        <f>SUMIFS(DETAILS!AY$107:AY$122,DETAILS!$C$107:$C$122,'CF1'!$D$2)/1000000</f>
        <v>0</v>
      </c>
      <c r="AU53" s="142">
        <f>SUMIFS(DETAILS!AZ$107:AZ$122,DETAILS!$C$107:$C$122,'CF1'!$D$2)/1000000</f>
        <v>0</v>
      </c>
      <c r="AV53" s="142">
        <f>SUMIFS(DETAILS!BA$107:BA$122,DETAILS!$C$107:$C$122,'CF1'!$D$2)/1000000</f>
        <v>0</v>
      </c>
      <c r="AW53" s="142">
        <f>SUMIFS(DETAILS!BB$107:BB$122,DETAILS!$C$107:$C$122,'CF1'!$D$2)/1000000</f>
        <v>0</v>
      </c>
      <c r="AX53" s="142">
        <f>SUMIFS(DETAILS!BC$107:BC$122,DETAILS!$C$107:$C$122,'CF1'!$D$2)/1000000</f>
        <v>0</v>
      </c>
      <c r="AY53" s="142">
        <f>SUMIFS(DETAILS!BD$107:BD$122,DETAILS!$C$107:$C$122,'CF1'!$D$2)/1000000</f>
        <v>0</v>
      </c>
      <c r="AZ53" s="142">
        <f>SUMIFS(DETAILS!BE$107:BE$122,DETAILS!$C$107:$C$122,'CF1'!$D$2)/1000000</f>
        <v>0</v>
      </c>
      <c r="BA53" s="142">
        <f>SUMIFS(DETAILS!BF$107:BF$122,DETAILS!$C$107:$C$122,'CF1'!$D$2)/1000000</f>
        <v>0</v>
      </c>
      <c r="BB53" s="142">
        <f>SUMIFS(DETAILS!BG$107:BG$122,DETAILS!$C$107:$C$122,'CF1'!$D$2)/1000000</f>
        <v>0</v>
      </c>
      <c r="BC53" s="142">
        <f>SUMIFS(DETAILS!BH$107:BH$122,DETAILS!$C$107:$C$122,'CF1'!$D$2)/1000000</f>
        <v>0</v>
      </c>
      <c r="BD53" s="142">
        <f>SUMIFS(DETAILS!BI$107:BI$122,DETAILS!$C$107:$C$122,'CF1'!$D$2)/1000000</f>
        <v>0</v>
      </c>
      <c r="BE53" s="142">
        <f>SUMIFS(DETAILS!BJ$107:BJ$122,DETAILS!$C$107:$C$122,'CF1'!$D$2)/1000000</f>
        <v>0</v>
      </c>
      <c r="BF53" s="142">
        <f>SUMIFS(DETAILS!BK$107:BK$122,DETAILS!$C$107:$C$122,'CF1'!$D$2)/1000000</f>
        <v>0</v>
      </c>
      <c r="BG53" s="142">
        <f>SUMIFS(DETAILS!BL$107:BL$122,DETAILS!$C$107:$C$122,'CF1'!$D$2)/1000000</f>
        <v>0</v>
      </c>
      <c r="BH53" s="142">
        <f>SUMIFS(DETAILS!BM$107:BM$122,DETAILS!$C$107:$C$122,'CF1'!$D$2)/1000000</f>
        <v>0</v>
      </c>
      <c r="BI53" s="142">
        <f>SUMIFS(DETAILS!BN$107:BN$122,DETAILS!$C$107:$C$122,'CF1'!$D$2)/1000000</f>
        <v>0</v>
      </c>
      <c r="BJ53" s="142">
        <f>SUMIFS(DETAILS!BO$107:BO$122,DETAILS!$C$107:$C$122,'CF1'!$D$2)/1000000</f>
        <v>0</v>
      </c>
      <c r="BK53" s="142">
        <f>SUMIFS(DETAILS!BP$107:BP$122,DETAILS!$C$107:$C$122,'CF1'!$D$2)/1000000</f>
        <v>0</v>
      </c>
      <c r="BL53" s="142">
        <f>SUMIFS(DETAILS!BQ$107:BQ$122,DETAILS!$C$107:$C$122,'CF1'!$D$2)/1000000</f>
        <v>0</v>
      </c>
      <c r="BM53" s="142">
        <f>SUMIFS(DETAILS!BR$107:BR$122,DETAILS!$C$107:$C$122,'CF1'!$D$2)/1000000</f>
        <v>0</v>
      </c>
    </row>
    <row r="54" spans="1:65">
      <c r="A54" s="149"/>
      <c r="B54" s="140" t="s">
        <v>39</v>
      </c>
      <c r="C54" s="27"/>
      <c r="D54" s="131" t="s">
        <v>19</v>
      </c>
      <c r="E54" s="141">
        <f>SUM(F54:BM54)</f>
        <v>-17.415830952</v>
      </c>
      <c r="F54" s="202">
        <f>SUMIFS(DETAILS!K$269:K$276,DETAILS!$C$269:$C$276,'CF1'!$D$2)/10^6-F62</f>
        <v>0</v>
      </c>
      <c r="G54" s="202">
        <f>SUMIFS(DETAILS!L$269:L$276,DETAILS!$C$269:$C$276,'CF1'!$D$2)/10^6-G62</f>
        <v>0</v>
      </c>
      <c r="H54" s="202">
        <f>SUMIFS(DETAILS!M$269:M$276,DETAILS!$C$269:$C$276,'CF1'!$D$2)/10^6-H62</f>
        <v>0</v>
      </c>
      <c r="I54" s="202">
        <f>SUMIFS(DETAILS!N$269:N$276,DETAILS!$C$269:$C$276,'CF1'!$D$2)/10^6-I62</f>
        <v>0</v>
      </c>
      <c r="J54" s="202">
        <f>SUMIFS(DETAILS!O$269:O$276,DETAILS!$C$269:$C$276,'CF1'!$D$2)/10^6-J62</f>
        <v>0</v>
      </c>
      <c r="K54" s="202">
        <f>SUMIFS(DETAILS!P$269:P$276,DETAILS!$C$269:$C$276,'CF1'!$D$2)/10^6-K62</f>
        <v>0</v>
      </c>
      <c r="L54" s="202">
        <f>SUMIFS(DETAILS!Q$269:Q$276,DETAILS!$C$269:$C$276,'CF1'!$D$2)/10^6-L62</f>
        <v>0</v>
      </c>
      <c r="M54" s="202">
        <f>SUMIFS(DETAILS!R$269:R$276,DETAILS!$C$269:$C$276,'CF1'!$D$2)/10^6-M62</f>
        <v>0</v>
      </c>
      <c r="N54" s="142">
        <f>SUMIFS(DETAILS!S$269:S$276,DETAILS!$C$269:$C$276,'CF1'!$D$2)/10^6-N62</f>
        <v>0</v>
      </c>
      <c r="O54" s="142">
        <f>SUMIFS(DETAILS!T$269:T$276,DETAILS!$C$269:$C$276,'CF1'!$D$2)/10^6-O62</f>
        <v>0</v>
      </c>
      <c r="P54" s="142">
        <f>SUMIFS(DETAILS!U$269:U$276,DETAILS!$C$269:$C$276,'CF1'!$D$2)/10^6-P62</f>
        <v>0</v>
      </c>
      <c r="Q54" s="142">
        <f>SUMIFS(DETAILS!V$269:V$276,DETAILS!$C$269:$C$276,'CF1'!$D$2)/10^6-Q62</f>
        <v>0</v>
      </c>
      <c r="R54" s="142">
        <f>SUMIFS(DETAILS!W$269:W$276,DETAILS!$C$269:$C$276,'CF1'!$D$2)/10^6-R62</f>
        <v>0</v>
      </c>
      <c r="S54" s="142">
        <f>SUMIFS(DETAILS!X$269:X$276,DETAILS!$C$269:$C$276,'CF1'!$D$2)/10^6-S62</f>
        <v>0</v>
      </c>
      <c r="T54" s="142">
        <f>SUMIFS(DETAILS!Y$269:Y$276,DETAILS!$C$269:$C$276,'CF1'!$D$2)/10^6-T62</f>
        <v>0</v>
      </c>
      <c r="U54" s="142">
        <f>SUMIFS(DETAILS!Z$269:Z$276,DETAILS!$C$269:$C$276,'CF1'!$D$2)/10^6-U62</f>
        <v>0</v>
      </c>
      <c r="V54" s="142">
        <f>SUMIFS(DETAILS!AA$269:AA$276,DETAILS!$C$269:$C$276,'CF1'!$D$2)/10^6-V62</f>
        <v>0</v>
      </c>
      <c r="W54" s="142">
        <f>SUMIFS(DETAILS!AB$269:AB$276,DETAILS!$C$269:$C$276,'CF1'!$D$2)/10^6-W62</f>
        <v>0</v>
      </c>
      <c r="X54" s="142">
        <f>SUMIFS(DETAILS!AC$269:AC$276,DETAILS!$C$269:$C$276,'CF1'!$D$2)/10^6-X62</f>
        <v>0</v>
      </c>
      <c r="Y54" s="142">
        <f>SUMIFS(DETAILS!AD$269:AD$276,DETAILS!$C$269:$C$276,'CF1'!$D$2)/10^6-Y62</f>
        <v>0</v>
      </c>
      <c r="Z54" s="142">
        <f>SUMIFS(DETAILS!AE$269:AE$276,DETAILS!$C$269:$C$276,'CF1'!$D$2)/10^6-Z62</f>
        <v>0</v>
      </c>
      <c r="AA54" s="142">
        <f>SUMIFS(DETAILS!AF$269:AF$276,DETAILS!$C$269:$C$276,'CF1'!$D$2)/10^6-AA62</f>
        <v>0</v>
      </c>
      <c r="AB54" s="142">
        <f>SUMIFS(DETAILS!AG$269:AG$276,DETAILS!$C$269:$C$276,'CF1'!$D$2)/10^6-AB62</f>
        <v>0</v>
      </c>
      <c r="AC54" s="142">
        <f>SUMIFS(DETAILS!AH$269:AH$276,DETAILS!$C$269:$C$276,'CF1'!$D$2)/10^6-AC62</f>
        <v>0</v>
      </c>
      <c r="AD54" s="142">
        <f>SUMIFS(DETAILS!AI$269:AI$276,DETAILS!$C$269:$C$276,'CF1'!$D$2)/10^6-AD62</f>
        <v>0</v>
      </c>
      <c r="AE54" s="142">
        <f>SUMIFS(DETAILS!AJ$269:AJ$276,DETAILS!$C$269:$C$276,'CF1'!$D$2)/10^6-AE62</f>
        <v>0</v>
      </c>
      <c r="AF54" s="142">
        <f>SUMIFS(DETAILS!AK$269:AK$276,DETAILS!$C$269:$C$276,'CF1'!$D$2)/10^6-AF62</f>
        <v>-8.7079154760000002</v>
      </c>
      <c r="AG54" s="142">
        <f>SUMIFS(DETAILS!AL$269:AL$276,DETAILS!$C$269:$C$276,'CF1'!$D$2)/10^6-AG62</f>
        <v>-8.7079154760000002</v>
      </c>
      <c r="AH54" s="142">
        <f>SUMIFS(DETAILS!AM$269:AM$276,DETAILS!$C$269:$C$276,'CF1'!$D$2)/10^6-AH62</f>
        <v>0</v>
      </c>
      <c r="AI54" s="142">
        <f>SUMIFS(DETAILS!AN$269:AN$276,DETAILS!$C$269:$C$276,'CF1'!$D$2)/10^6-AI62</f>
        <v>0</v>
      </c>
      <c r="AJ54" s="142">
        <f>SUMIFS(DETAILS!AO$269:AO$276,DETAILS!$C$269:$C$276,'CF1'!$D$2)/10^6-AJ62</f>
        <v>0</v>
      </c>
      <c r="AK54" s="142">
        <f>SUMIFS(DETAILS!AP$269:AP$276,DETAILS!$C$269:$C$276,'CF1'!$D$2)/10^6-AK62</f>
        <v>0</v>
      </c>
      <c r="AL54" s="142">
        <f>SUMIFS(DETAILS!AQ$269:AQ$276,DETAILS!$C$269:$C$276,'CF1'!$D$2)/10^6-AL62</f>
        <v>0</v>
      </c>
      <c r="AM54" s="142">
        <f>SUMIFS(DETAILS!AR$269:AR$276,DETAILS!$C$269:$C$276,'CF1'!$D$2)/10^6-AM62</f>
        <v>0</v>
      </c>
      <c r="AN54" s="142">
        <f>SUMIFS(DETAILS!AS$269:AS$276,DETAILS!$C$269:$C$276,'CF1'!$D$2)/10^6-AN62</f>
        <v>0</v>
      </c>
      <c r="AO54" s="142">
        <f>SUMIFS(DETAILS!AT$269:AT$276,DETAILS!$C$269:$C$276,'CF1'!$D$2)/10^6-AO62</f>
        <v>0</v>
      </c>
      <c r="AP54" s="142">
        <f>SUMIFS(DETAILS!AU$269:AU$276,DETAILS!$C$269:$C$276,'CF1'!$D$2)/10^6-AP62</f>
        <v>0</v>
      </c>
      <c r="AQ54" s="142">
        <f>SUMIFS(DETAILS!AV$269:AV$276,DETAILS!$C$269:$C$276,'CF1'!$D$2)/10^6-AQ62</f>
        <v>0</v>
      </c>
      <c r="AR54" s="142">
        <f>SUMIFS(DETAILS!AW$269:AW$276,DETAILS!$C$269:$C$276,'CF1'!$D$2)/10^6-AR62</f>
        <v>0</v>
      </c>
      <c r="AS54" s="142">
        <f>SUMIFS(DETAILS!AX$269:AX$276,DETAILS!$C$269:$C$276,'CF1'!$D$2)/10^6-AS62</f>
        <v>0</v>
      </c>
      <c r="AT54" s="142">
        <f>SUMIFS(DETAILS!AY$269:AY$276,DETAILS!$C$269:$C$276,'CF1'!$D$2)/10^6-AT62</f>
        <v>0</v>
      </c>
      <c r="AU54" s="142">
        <f>SUMIFS(DETAILS!AZ$269:AZ$276,DETAILS!$C$269:$C$276,'CF1'!$D$2)/10^6-AU62</f>
        <v>0</v>
      </c>
      <c r="AV54" s="142">
        <f>SUMIFS(DETAILS!BA$269:BA$276,DETAILS!$C$269:$C$276,'CF1'!$D$2)/10^6-AV62</f>
        <v>0</v>
      </c>
      <c r="AW54" s="142">
        <f>SUMIFS(DETAILS!BB$269:BB$276,DETAILS!$C$269:$C$276,'CF1'!$D$2)/10^6-AW62</f>
        <v>0</v>
      </c>
      <c r="AX54" s="142">
        <f>SUMIFS(DETAILS!BC$269:BC$276,DETAILS!$C$269:$C$276,'CF1'!$D$2)/10^6-AX62</f>
        <v>0</v>
      </c>
      <c r="AY54" s="142">
        <f>SUMIFS(DETAILS!BD$269:BD$276,DETAILS!$C$269:$C$276,'CF1'!$D$2)/10^6-AY62</f>
        <v>0</v>
      </c>
      <c r="AZ54" s="142">
        <f>SUMIFS(DETAILS!BE$269:BE$276,DETAILS!$C$269:$C$276,'CF1'!$D$2)/10^6-AZ62</f>
        <v>0</v>
      </c>
      <c r="BA54" s="142">
        <f>SUMIFS(DETAILS!BF$269:BF$276,DETAILS!$C$269:$C$276,'CF1'!$D$2)/10^6-BA62</f>
        <v>0</v>
      </c>
      <c r="BB54" s="142">
        <f>SUMIFS(DETAILS!BG$269:BG$276,DETAILS!$C$269:$C$276,'CF1'!$D$2)/10^6-BB62</f>
        <v>0</v>
      </c>
      <c r="BC54" s="142">
        <f>SUMIFS(DETAILS!BH$269:BH$276,DETAILS!$C$269:$C$276,'CF1'!$D$2)/10^6-BC62</f>
        <v>0</v>
      </c>
      <c r="BD54" s="142">
        <f>SUMIFS(DETAILS!BI$269:BI$276,DETAILS!$C$269:$C$276,'CF1'!$D$2)/10^6-BD62</f>
        <v>0</v>
      </c>
      <c r="BE54" s="142">
        <f>SUMIFS(DETAILS!BJ$269:BJ$276,DETAILS!$C$269:$C$276,'CF1'!$D$2)/10^6-BE62</f>
        <v>0</v>
      </c>
      <c r="BF54" s="142">
        <f>SUMIFS(DETAILS!BK$269:BK$276,DETAILS!$C$269:$C$276,'CF1'!$D$2)/10^6-BF62</f>
        <v>0</v>
      </c>
      <c r="BG54" s="142">
        <f>SUMIFS(DETAILS!BL$269:BL$276,DETAILS!$C$269:$C$276,'CF1'!$D$2)/10^6-BG62</f>
        <v>0</v>
      </c>
      <c r="BH54" s="142">
        <f>SUMIFS(DETAILS!BM$269:BM$276,DETAILS!$C$269:$C$276,'CF1'!$D$2)/10^6-BH62</f>
        <v>0</v>
      </c>
      <c r="BI54" s="142">
        <f>SUMIFS(DETAILS!BN$269:BN$276,DETAILS!$C$269:$C$276,'CF1'!$D$2)/10^6-BI62</f>
        <v>0</v>
      </c>
      <c r="BJ54" s="142">
        <f>SUMIFS(DETAILS!BO$269:BO$276,DETAILS!$C$269:$C$276,'CF1'!$D$2)/10^6-BJ62</f>
        <v>0</v>
      </c>
      <c r="BK54" s="142">
        <f>SUMIFS(DETAILS!BP$269:BP$276,DETAILS!$C$269:$C$276,'CF1'!$D$2)/10^6-BK62</f>
        <v>0</v>
      </c>
      <c r="BL54" s="142">
        <f>SUMIFS(DETAILS!BQ$269:BQ$276,DETAILS!$C$269:$C$276,'CF1'!$D$2)/10^6-BL62</f>
        <v>0</v>
      </c>
      <c r="BM54" s="142">
        <f>SUMIFS(DETAILS!BR$269:BR$276,DETAILS!$C$269:$C$276,'CF1'!$D$2)/10^6-BM62</f>
        <v>0</v>
      </c>
    </row>
    <row r="55" spans="1:65">
      <c r="A55" s="149"/>
      <c r="B55" s="140" t="s">
        <v>141</v>
      </c>
      <c r="C55" s="27"/>
      <c r="D55" s="131" t="s">
        <v>19</v>
      </c>
      <c r="E55" s="141">
        <f>SUM(F55:BM55)</f>
        <v>-76.745162592452829</v>
      </c>
      <c r="F55" s="202">
        <f>DETAILS!K98/1000000</f>
        <v>0</v>
      </c>
      <c r="G55" s="202">
        <f>DETAILS!L98/1000000</f>
        <v>0</v>
      </c>
      <c r="H55" s="202">
        <f>DETAILS!M98/1000000</f>
        <v>0</v>
      </c>
      <c r="I55" s="202">
        <f>DETAILS!N98/1000000</f>
        <v>0</v>
      </c>
      <c r="J55" s="202">
        <f>DETAILS!O98/1000000</f>
        <v>0</v>
      </c>
      <c r="K55" s="202">
        <f>DETAILS!P98/1000000</f>
        <v>0</v>
      </c>
      <c r="L55" s="202">
        <f>DETAILS!Q98/1000000</f>
        <v>0</v>
      </c>
      <c r="M55" s="202">
        <f>DETAILS!R98/1000000</f>
        <v>0</v>
      </c>
      <c r="N55" s="142">
        <f>DETAILS!S98/1000000</f>
        <v>0</v>
      </c>
      <c r="O55" s="142">
        <f>DETAILS!T98/1000000</f>
        <v>0</v>
      </c>
      <c r="P55" s="142">
        <f>DETAILS!U98/1000000</f>
        <v>0</v>
      </c>
      <c r="Q55" s="142">
        <f>DETAILS!V98/1000000</f>
        <v>0</v>
      </c>
      <c r="R55" s="142">
        <f>DETAILS!W98/1000000</f>
        <v>0</v>
      </c>
      <c r="S55" s="142">
        <f>DETAILS!X98/1000000</f>
        <v>0</v>
      </c>
      <c r="T55" s="142">
        <f>DETAILS!Y98/1000000</f>
        <v>-2.5981132075471702</v>
      </c>
      <c r="U55" s="142">
        <f>DETAILS!Z98/1000000</f>
        <v>-2.5981132075471702</v>
      </c>
      <c r="V55" s="142">
        <f>DETAILS!AA98/1000000</f>
        <v>-2.5981132075471702</v>
      </c>
      <c r="W55" s="142">
        <f>DETAILS!AB98/1000000</f>
        <v>-2.5981132075471702</v>
      </c>
      <c r="X55" s="142">
        <f>DETAILS!AC98/1000000</f>
        <v>-2.5981132075471702</v>
      </c>
      <c r="Y55" s="142">
        <f>DETAILS!AD98/1000000</f>
        <v>-2.5981132075471702</v>
      </c>
      <c r="Z55" s="142">
        <f>DETAILS!AE98/1000000</f>
        <v>-2.5981132075471702</v>
      </c>
      <c r="AA55" s="142">
        <f>DETAILS!AF98/1000000</f>
        <v>-2.5981132075471702</v>
      </c>
      <c r="AB55" s="142">
        <f>DETAILS!AG98/1000000</f>
        <v>-2.5981132075471702</v>
      </c>
      <c r="AC55" s="142">
        <f>DETAILS!AH98/1000000</f>
        <v>-2.5981132075471702</v>
      </c>
      <c r="AD55" s="142">
        <f>DETAILS!AI98/1000000</f>
        <v>-2.5981132075471702</v>
      </c>
      <c r="AE55" s="142">
        <f>DETAILS!AJ98/1000000</f>
        <v>-26.681071862264144</v>
      </c>
      <c r="AF55" s="142">
        <f>DETAILS!AK98/1000000</f>
        <v>-2.5981132075471702</v>
      </c>
      <c r="AG55" s="142">
        <f>DETAILS!AL98/1000000</f>
        <v>-3.1257161575471692</v>
      </c>
      <c r="AH55" s="142">
        <f>DETAILS!AM98/1000000</f>
        <v>-3.1257161575471692</v>
      </c>
      <c r="AI55" s="142">
        <f>DETAILS!AN98/1000000</f>
        <v>-2.5981132075471702</v>
      </c>
      <c r="AJ55" s="142">
        <f>DETAILS!AO98/1000000</f>
        <v>-2.5981132075471702</v>
      </c>
      <c r="AK55" s="142">
        <f>DETAILS!AP98/1000000</f>
        <v>-2.5981132075471702</v>
      </c>
      <c r="AL55" s="142">
        <f>DETAILS!AQ98/1000000</f>
        <v>-2.5981132075471702</v>
      </c>
      <c r="AM55" s="142">
        <f>DETAILS!AR98/1000000</f>
        <v>-2.2428470943396142</v>
      </c>
      <c r="AN55" s="142">
        <f>DETAILS!AS98/1000000</f>
        <v>0</v>
      </c>
      <c r="AO55" s="142">
        <f>DETAILS!AT98/1000000</f>
        <v>0</v>
      </c>
      <c r="AP55" s="142">
        <f>DETAILS!AU98/1000000</f>
        <v>0</v>
      </c>
      <c r="AQ55" s="142">
        <f>DETAILS!AV98/1000000</f>
        <v>0</v>
      </c>
      <c r="AR55" s="142">
        <f>DETAILS!AW98/1000000</f>
        <v>0</v>
      </c>
      <c r="AS55" s="142">
        <f>DETAILS!AX98/1000000</f>
        <v>0</v>
      </c>
      <c r="AT55" s="142">
        <f>DETAILS!AY98/1000000</f>
        <v>0</v>
      </c>
      <c r="AU55" s="142">
        <f>DETAILS!AZ98/1000000</f>
        <v>0</v>
      </c>
      <c r="AV55" s="142">
        <f>DETAILS!BA98/1000000</f>
        <v>0</v>
      </c>
      <c r="AW55" s="142">
        <f>DETAILS!BB98/1000000</f>
        <v>0</v>
      </c>
      <c r="AX55" s="142">
        <f>DETAILS!BC98/1000000</f>
        <v>0</v>
      </c>
      <c r="AY55" s="142">
        <f>DETAILS!BD98/1000000</f>
        <v>0</v>
      </c>
      <c r="AZ55" s="142">
        <f>DETAILS!BE98/1000000</f>
        <v>0</v>
      </c>
      <c r="BA55" s="142">
        <f>DETAILS!BF98/1000000</f>
        <v>0</v>
      </c>
      <c r="BB55" s="142">
        <f>DETAILS!BG98/1000000</f>
        <v>0</v>
      </c>
      <c r="BC55" s="142">
        <f>DETAILS!BH98/1000000</f>
        <v>0</v>
      </c>
      <c r="BD55" s="142">
        <f>DETAILS!BI98/1000000</f>
        <v>0</v>
      </c>
      <c r="BE55" s="142">
        <f>DETAILS!BJ98/1000000</f>
        <v>0</v>
      </c>
      <c r="BF55" s="142">
        <f>DETAILS!BK98/1000000</f>
        <v>0</v>
      </c>
      <c r="BG55" s="142">
        <f>DETAILS!BL98/1000000</f>
        <v>0</v>
      </c>
      <c r="BH55" s="142">
        <f>DETAILS!BM98/1000000</f>
        <v>0</v>
      </c>
      <c r="BI55" s="142">
        <f>DETAILS!BN98/1000000</f>
        <v>0</v>
      </c>
      <c r="BJ55" s="142">
        <f>DETAILS!BO98/1000000</f>
        <v>0</v>
      </c>
      <c r="BK55" s="142">
        <f>DETAILS!BP98/1000000</f>
        <v>0</v>
      </c>
      <c r="BL55" s="142">
        <f>DETAILS!BQ98/1000000</f>
        <v>0</v>
      </c>
      <c r="BM55" s="142">
        <f>DETAILS!BR98/1000000</f>
        <v>0</v>
      </c>
    </row>
    <row r="56" spans="1:65">
      <c r="A56" s="149"/>
      <c r="B56" s="140" t="s">
        <v>6</v>
      </c>
      <c r="C56" s="27"/>
      <c r="D56" s="131" t="s">
        <v>19</v>
      </c>
      <c r="E56" s="141">
        <f>SUM(F56:BM56)</f>
        <v>-78.000000000000014</v>
      </c>
      <c r="F56" s="202">
        <f>SUMIFS(DETAILS!K$47:K$93,DETAILS!$C$47:$C$93,1)/1000000</f>
        <v>-0.18152285999999998</v>
      </c>
      <c r="G56" s="202">
        <f>SUMIFS(DETAILS!L$47:L$93,DETAILS!$C$47:$C$93,1)/1000000</f>
        <v>-0.55836329000000007</v>
      </c>
      <c r="H56" s="202">
        <f>SUMIFS(DETAILS!M$47:M$93,DETAILS!$C$47:$C$93,1)/1000000</f>
        <v>-0.28356999999999999</v>
      </c>
      <c r="I56" s="202">
        <f>SUMIFS(DETAILS!N$47:N$93,DETAILS!$C$47:$C$93,1)/1000000</f>
        <v>-0.29047000000000001</v>
      </c>
      <c r="J56" s="202">
        <f>SUMIFS(DETAILS!O$47:O$93,DETAILS!$C$47:$C$93,1)/1000000</f>
        <v>-0.33546999999999999</v>
      </c>
      <c r="K56" s="202">
        <f>SUMIFS(DETAILS!P$47:P$93,DETAILS!$C$47:$C$93,1)/1000000</f>
        <v>-0.3448</v>
      </c>
      <c r="L56" s="202">
        <f>SUMIFS(DETAILS!Q$47:Q$93,DETAILS!$C$47:$C$93,1)/1000000</f>
        <v>-0.63933561999999999</v>
      </c>
      <c r="M56" s="202">
        <f>SUMIFS(DETAILS!R$47:R$93,DETAILS!$C$47:$C$93,1)/1000000</f>
        <v>-0.68847999999999998</v>
      </c>
      <c r="N56" s="142">
        <f>SUMIFS(DETAILS!S$47:S$93,DETAILS!$C$47:$C$93,1)/1000000</f>
        <v>-2.5783841626923079</v>
      </c>
      <c r="O56" s="142">
        <f>SUMIFS(DETAILS!T$47:T$93,DETAILS!$C$47:$C$93,1)/1000000</f>
        <v>-6.5783841626923083</v>
      </c>
      <c r="P56" s="142">
        <f>SUMIFS(DETAILS!U$47:U$93,DETAILS!$C$47:$C$93,1)/1000000</f>
        <v>-6.5783841626923083</v>
      </c>
      <c r="Q56" s="142">
        <f>SUMIFS(DETAILS!V$47:V$93,DETAILS!$C$47:$C$93,1)/1000000</f>
        <v>-2.5783841626923079</v>
      </c>
      <c r="R56" s="142">
        <f>SUMIFS(DETAILS!W$47:W$93,DETAILS!$C$47:$C$93,1)/1000000</f>
        <v>-2.5783841626923079</v>
      </c>
      <c r="S56" s="142">
        <f>SUMIFS(DETAILS!X$47:X$93,DETAILS!$C$47:$C$93,1)/1000000</f>
        <v>-2.5783841626923079</v>
      </c>
      <c r="T56" s="142">
        <f>SUMIFS(DETAILS!Y$47:Y$93,DETAILS!$C$47:$C$93,1)/1000000</f>
        <v>-2.5783841626923079</v>
      </c>
      <c r="U56" s="142">
        <f>SUMIFS(DETAILS!Z$47:Z$93,DETAILS!$C$47:$C$93,1)/1000000</f>
        <v>-2.5783841626923079</v>
      </c>
      <c r="V56" s="142">
        <f>SUMIFS(DETAILS!AA$47:AA$93,DETAILS!$C$47:$C$93,1)/1000000</f>
        <v>-2.5783841626923079</v>
      </c>
      <c r="W56" s="142">
        <f>SUMIFS(DETAILS!AB$47:AB$93,DETAILS!$C$47:$C$93,1)/1000000</f>
        <v>-2.5783841626923079</v>
      </c>
      <c r="X56" s="142">
        <f>SUMIFS(DETAILS!AC$47:AC$93,DETAILS!$C$47:$C$93,1)/1000000</f>
        <v>-2.5783841626923079</v>
      </c>
      <c r="Y56" s="142">
        <f>SUMIFS(DETAILS!AD$47:AD$93,DETAILS!$C$47:$C$93,1)/1000000</f>
        <v>-2.5783841626923079</v>
      </c>
      <c r="Z56" s="142">
        <f>SUMIFS(DETAILS!AE$47:AE$93,DETAILS!$C$47:$C$93,1)/1000000</f>
        <v>-2.5783841626923079</v>
      </c>
      <c r="AA56" s="142">
        <f>SUMIFS(DETAILS!AF$47:AF$93,DETAILS!$C$47:$C$93,1)/1000000</f>
        <v>-2.5783841626923079</v>
      </c>
      <c r="AB56" s="142">
        <f>SUMIFS(DETAILS!AG$47:AG$93,DETAILS!$C$47:$C$93,1)/1000000</f>
        <v>-2.5783841626923079</v>
      </c>
      <c r="AC56" s="142">
        <f>SUMIFS(DETAILS!AH$47:AH$93,DETAILS!$C$47:$C$93,1)/1000000</f>
        <v>-2.5783841626923079</v>
      </c>
      <c r="AD56" s="142">
        <f>SUMIFS(DETAILS!AI$47:AI$93,DETAILS!$C$47:$C$93,1)/1000000</f>
        <v>-2.5783841626923079</v>
      </c>
      <c r="AE56" s="142">
        <f>SUMIFS(DETAILS!AJ$47:AJ$93,DETAILS!$C$47:$C$93,1)/1000000</f>
        <v>-2.5783841626923079</v>
      </c>
      <c r="AF56" s="142">
        <f>SUMIFS(DETAILS!AK$47:AK$93,DETAILS!$C$47:$C$93,1)/1000000</f>
        <v>-2.5783841626923079</v>
      </c>
      <c r="AG56" s="142">
        <f>SUMIFS(DETAILS!AL$47:AL$93,DETAILS!$C$47:$C$93,1)/1000000</f>
        <v>-2.5783841626923079</v>
      </c>
      <c r="AH56" s="142">
        <f>SUMIFS(DETAILS!AM$47:AM$93,DETAILS!$C$47:$C$93,1)/1000000</f>
        <v>-2.5783841626923079</v>
      </c>
      <c r="AI56" s="142">
        <f>SUMIFS(DETAILS!AN$47:AN$93,DETAILS!$C$47:$C$93,1)/1000000</f>
        <v>-2.5783841626923079</v>
      </c>
      <c r="AJ56" s="142">
        <f>SUMIFS(DETAILS!AO$47:AO$93,DETAILS!$C$47:$C$93,1)/1000000</f>
        <v>-2.5783841626923079</v>
      </c>
      <c r="AK56" s="142">
        <f>SUMIFS(DETAILS!AP$47:AP$93,DETAILS!$C$47:$C$93,1)/1000000</f>
        <v>-2.5783841626923079</v>
      </c>
      <c r="AL56" s="142">
        <f>SUMIFS(DETAILS!AQ$47:AQ$93,DETAILS!$C$47:$C$93,1)/1000000</f>
        <v>-2.3983841626923081</v>
      </c>
      <c r="AM56" s="142">
        <f>SUMIFS(DETAILS!AR$47:AR$93,DETAILS!$C$47:$C$93,1)/1000000</f>
        <v>-2.3983841626923081</v>
      </c>
      <c r="AN56" s="142">
        <f>SUMIFS(DETAILS!AS$47:AS$93,DETAILS!$C$47:$C$93,1)/1000000</f>
        <v>0</v>
      </c>
      <c r="AO56" s="142">
        <f>SUMIFS(DETAILS!AT$47:AT$93,DETAILS!$C$47:$C$93,1)/1000000</f>
        <v>0</v>
      </c>
      <c r="AP56" s="142">
        <f>SUMIFS(DETAILS!AU$47:AU$93,DETAILS!$C$47:$C$93,1)/1000000</f>
        <v>0</v>
      </c>
      <c r="AQ56" s="142">
        <f>SUMIFS(DETAILS!AV$47:AV$93,DETAILS!$C$47:$C$93,1)/1000000</f>
        <v>0</v>
      </c>
      <c r="AR56" s="142">
        <f>SUMIFS(DETAILS!AW$47:AW$93,DETAILS!$C$47:$C$93,1)/1000000</f>
        <v>0</v>
      </c>
      <c r="AS56" s="142">
        <f>SUMIFS(DETAILS!AX$47:AX$93,DETAILS!$C$47:$C$93,1)/1000000</f>
        <v>0</v>
      </c>
      <c r="AT56" s="142">
        <f>SUMIFS(DETAILS!AY$47:AY$93,DETAILS!$C$47:$C$93,1)/1000000</f>
        <v>0</v>
      </c>
      <c r="AU56" s="142">
        <f>SUMIFS(DETAILS!AZ$47:AZ$93,DETAILS!$C$47:$C$93,1)/1000000</f>
        <v>0</v>
      </c>
      <c r="AV56" s="142">
        <f>SUMIFS(DETAILS!BA$47:BA$93,DETAILS!$C$47:$C$93,1)/1000000</f>
        <v>0</v>
      </c>
      <c r="AW56" s="142">
        <f>SUMIFS(DETAILS!BB$47:BB$93,DETAILS!$C$47:$C$93,1)/1000000</f>
        <v>0</v>
      </c>
      <c r="AX56" s="142">
        <f>SUMIFS(DETAILS!BC$47:BC$93,DETAILS!$C$47:$C$93,1)/1000000</f>
        <v>0</v>
      </c>
      <c r="AY56" s="142">
        <f>SUMIFS(DETAILS!BD$47:BD$93,DETAILS!$C$47:$C$93,1)/1000000</f>
        <v>0</v>
      </c>
      <c r="AZ56" s="142">
        <f>SUMIFS(DETAILS!BE$47:BE$93,DETAILS!$C$47:$C$93,1)/1000000</f>
        <v>0</v>
      </c>
      <c r="BA56" s="142">
        <f>SUMIFS(DETAILS!BF$47:BF$93,DETAILS!$C$47:$C$93,1)/1000000</f>
        <v>0</v>
      </c>
      <c r="BB56" s="142">
        <f>SUMIFS(DETAILS!BG$47:BG$93,DETAILS!$C$47:$C$93,1)/1000000</f>
        <v>0</v>
      </c>
      <c r="BC56" s="142">
        <f>SUMIFS(DETAILS!BH$47:BH$93,DETAILS!$C$47:$C$93,1)/1000000</f>
        <v>0</v>
      </c>
      <c r="BD56" s="142">
        <f>SUMIFS(DETAILS!BI$47:BI$93,DETAILS!$C$47:$C$93,1)/1000000</f>
        <v>0</v>
      </c>
      <c r="BE56" s="142">
        <f>SUMIFS(DETAILS!BJ$47:BJ$93,DETAILS!$C$47:$C$93,1)/1000000</f>
        <v>0</v>
      </c>
      <c r="BF56" s="142">
        <f>SUMIFS(DETAILS!BK$47:BK$93,DETAILS!$C$47:$C$93,1)/1000000</f>
        <v>0</v>
      </c>
      <c r="BG56" s="142">
        <f>SUMIFS(DETAILS!BL$47:BL$93,DETAILS!$C$47:$C$93,1)/1000000</f>
        <v>0</v>
      </c>
      <c r="BH56" s="142">
        <f>SUMIFS(DETAILS!BM$47:BM$93,DETAILS!$C$47:$C$93,1)/1000000</f>
        <v>0</v>
      </c>
      <c r="BI56" s="142">
        <f>SUMIFS(DETAILS!BN$47:BN$93,DETAILS!$C$47:$C$93,1)/1000000</f>
        <v>0</v>
      </c>
      <c r="BJ56" s="142">
        <f>SUMIFS(DETAILS!BO$47:BO$93,DETAILS!$C$47:$C$93,1)/1000000</f>
        <v>0</v>
      </c>
      <c r="BK56" s="142">
        <f>SUMIFS(DETAILS!BP$47:BP$93,DETAILS!$C$47:$C$93,1)/1000000</f>
        <v>0</v>
      </c>
      <c r="BL56" s="142">
        <f>SUMIFS(DETAILS!BQ$47:BQ$93,DETAILS!$C$47:$C$93,1)/1000000</f>
        <v>0</v>
      </c>
      <c r="BM56" s="142">
        <f>SUMIFS(DETAILS!BR$47:BR$93,DETAILS!$C$47:$C$93,1)/1000000</f>
        <v>0</v>
      </c>
    </row>
    <row r="57" spans="1:65">
      <c r="A57" s="149"/>
      <c r="E57" s="138"/>
      <c r="F57" s="139"/>
      <c r="G57" s="139"/>
      <c r="H57" s="139"/>
      <c r="I57" s="139"/>
      <c r="J57" s="394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  <c r="AK57" s="139"/>
      <c r="AL57" s="139"/>
      <c r="AM57" s="139"/>
      <c r="AN57" s="139"/>
      <c r="AO57" s="139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AZ57" s="139"/>
      <c r="BA57" s="139"/>
      <c r="BB57" s="139"/>
      <c r="BC57" s="139"/>
      <c r="BD57" s="139"/>
      <c r="BE57" s="139"/>
      <c r="BF57" s="139"/>
      <c r="BG57" s="139"/>
      <c r="BH57" s="139"/>
      <c r="BI57" s="139"/>
      <c r="BJ57" s="139"/>
      <c r="BK57" s="139"/>
      <c r="BL57" s="139"/>
      <c r="BM57" s="139"/>
    </row>
    <row r="58" spans="1:65">
      <c r="A58" s="149"/>
      <c r="E58" s="395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39"/>
      <c r="BE58" s="139"/>
      <c r="BF58" s="139"/>
      <c r="BG58" s="139"/>
      <c r="BH58" s="139"/>
      <c r="BI58" s="139"/>
      <c r="BJ58" s="139"/>
      <c r="BK58" s="139"/>
      <c r="BL58" s="139"/>
      <c r="BM58" s="139"/>
    </row>
    <row r="59" spans="1:65">
      <c r="A59" s="149"/>
      <c r="B59" s="177" t="s">
        <v>13</v>
      </c>
      <c r="C59" s="177"/>
      <c r="D59" s="178" t="s">
        <v>19</v>
      </c>
      <c r="E59" s="179">
        <f t="shared" ref="E59:E74" si="49">SUM(F59:BM59)</f>
        <v>-25152.285841475346</v>
      </c>
      <c r="F59" s="180">
        <f t="shared" ref="F59:AK59" si="50">SUM(F60:F74)</f>
        <v>0</v>
      </c>
      <c r="G59" s="180">
        <f t="shared" si="50"/>
        <v>0</v>
      </c>
      <c r="H59" s="180">
        <f t="shared" si="50"/>
        <v>0</v>
      </c>
      <c r="I59" s="180">
        <f t="shared" si="50"/>
        <v>0</v>
      </c>
      <c r="J59" s="180">
        <f t="shared" si="50"/>
        <v>0</v>
      </c>
      <c r="K59" s="180">
        <f t="shared" si="50"/>
        <v>0</v>
      </c>
      <c r="L59" s="180">
        <f t="shared" si="50"/>
        <v>0</v>
      </c>
      <c r="M59" s="180">
        <f t="shared" si="50"/>
        <v>0</v>
      </c>
      <c r="N59" s="180">
        <f t="shared" si="50"/>
        <v>-74.788427692339724</v>
      </c>
      <c r="O59" s="180">
        <f t="shared" si="50"/>
        <v>-124.21790769233969</v>
      </c>
      <c r="P59" s="180">
        <f t="shared" si="50"/>
        <v>-3365.4757076923397</v>
      </c>
      <c r="Q59" s="180">
        <f t="shared" si="50"/>
        <v>-627.12699519233979</v>
      </c>
      <c r="R59" s="180">
        <f t="shared" si="50"/>
        <v>-888.0251671323399</v>
      </c>
      <c r="S59" s="180">
        <f t="shared" si="50"/>
        <v>-1496.8068600880993</v>
      </c>
      <c r="T59" s="180">
        <f t="shared" si="50"/>
        <v>-2204.1135568268687</v>
      </c>
      <c r="U59" s="180">
        <f t="shared" si="50"/>
        <v>-1912.284973144499</v>
      </c>
      <c r="V59" s="180">
        <f t="shared" si="50"/>
        <v>-1912.284973144499</v>
      </c>
      <c r="W59" s="180">
        <f t="shared" si="50"/>
        <v>-1338.0152918952629</v>
      </c>
      <c r="X59" s="180">
        <f t="shared" si="50"/>
        <v>-1344.3772073712628</v>
      </c>
      <c r="Y59" s="180">
        <f t="shared" si="50"/>
        <v>-1344.3772073712628</v>
      </c>
      <c r="Z59" s="180">
        <f t="shared" si="50"/>
        <v>-1344.3772073712628</v>
      </c>
      <c r="AA59" s="180">
        <f t="shared" si="50"/>
        <v>-1344.3772073712628</v>
      </c>
      <c r="AB59" s="180">
        <f t="shared" si="50"/>
        <v>-1353.0851228472629</v>
      </c>
      <c r="AC59" s="180">
        <f t="shared" si="50"/>
        <v>-1536.9679725872629</v>
      </c>
      <c r="AD59" s="180">
        <f t="shared" si="50"/>
        <v>-1416.2728468272628</v>
      </c>
      <c r="AE59" s="180">
        <f t="shared" si="50"/>
        <v>-1353.0851228472629</v>
      </c>
      <c r="AF59" s="180">
        <f t="shared" si="50"/>
        <v>-72.587842386801512</v>
      </c>
      <c r="AG59" s="180">
        <f t="shared" si="50"/>
        <v>-68.070672086801522</v>
      </c>
      <c r="AH59" s="180">
        <f t="shared" si="50"/>
        <v>-31.567571562461811</v>
      </c>
      <c r="AI59" s="180">
        <f t="shared" si="50"/>
        <v>-3.4424999999999998E-7</v>
      </c>
      <c r="AJ59" s="180">
        <f t="shared" si="50"/>
        <v>0</v>
      </c>
      <c r="AK59" s="180">
        <f t="shared" si="50"/>
        <v>0</v>
      </c>
      <c r="AL59" s="180">
        <f t="shared" ref="AL59:BM59" si="51">SUM(AL60:AL74)</f>
        <v>0</v>
      </c>
      <c r="AM59" s="180">
        <f t="shared" si="51"/>
        <v>0</v>
      </c>
      <c r="AN59" s="180">
        <f t="shared" si="51"/>
        <v>0</v>
      </c>
      <c r="AO59" s="180">
        <f t="shared" si="51"/>
        <v>0</v>
      </c>
      <c r="AP59" s="180">
        <f t="shared" si="51"/>
        <v>0</v>
      </c>
      <c r="AQ59" s="180">
        <f t="shared" si="51"/>
        <v>0</v>
      </c>
      <c r="AR59" s="180">
        <f t="shared" si="51"/>
        <v>0</v>
      </c>
      <c r="AS59" s="180">
        <f t="shared" si="51"/>
        <v>0</v>
      </c>
      <c r="AT59" s="180">
        <f t="shared" si="51"/>
        <v>0</v>
      </c>
      <c r="AU59" s="180">
        <f t="shared" si="51"/>
        <v>0</v>
      </c>
      <c r="AV59" s="180">
        <f t="shared" si="51"/>
        <v>0</v>
      </c>
      <c r="AW59" s="180">
        <f t="shared" si="51"/>
        <v>0</v>
      </c>
      <c r="AX59" s="180">
        <f t="shared" si="51"/>
        <v>0</v>
      </c>
      <c r="AY59" s="180">
        <f t="shared" si="51"/>
        <v>0</v>
      </c>
      <c r="AZ59" s="180">
        <f t="shared" si="51"/>
        <v>0</v>
      </c>
      <c r="BA59" s="180">
        <f t="shared" si="51"/>
        <v>0</v>
      </c>
      <c r="BB59" s="180">
        <f t="shared" si="51"/>
        <v>0</v>
      </c>
      <c r="BC59" s="180">
        <f t="shared" si="51"/>
        <v>0</v>
      </c>
      <c r="BD59" s="180">
        <f t="shared" si="51"/>
        <v>0</v>
      </c>
      <c r="BE59" s="180">
        <f t="shared" si="51"/>
        <v>0</v>
      </c>
      <c r="BF59" s="180">
        <f t="shared" si="51"/>
        <v>0</v>
      </c>
      <c r="BG59" s="180">
        <f t="shared" si="51"/>
        <v>0</v>
      </c>
      <c r="BH59" s="180">
        <f t="shared" si="51"/>
        <v>0</v>
      </c>
      <c r="BI59" s="180">
        <f t="shared" si="51"/>
        <v>0</v>
      </c>
      <c r="BJ59" s="180">
        <f t="shared" si="51"/>
        <v>0</v>
      </c>
      <c r="BK59" s="180">
        <f t="shared" si="51"/>
        <v>0</v>
      </c>
      <c r="BL59" s="180">
        <f t="shared" si="51"/>
        <v>0</v>
      </c>
      <c r="BM59" s="180">
        <f t="shared" si="51"/>
        <v>0</v>
      </c>
    </row>
    <row r="60" spans="1:65">
      <c r="A60" s="149"/>
      <c r="B60" s="140" t="s">
        <v>31</v>
      </c>
      <c r="C60" s="27"/>
      <c r="D60" s="131" t="s">
        <v>19</v>
      </c>
      <c r="E60" s="141">
        <f t="shared" si="49"/>
        <v>-3314.8457539823703</v>
      </c>
      <c r="F60" s="202">
        <f>SUMIFS(DETAILS!K$138:K$146,DETAILS!$C$138:$C$146,'CF1'!$D$2)/10^6</f>
        <v>0</v>
      </c>
      <c r="G60" s="202">
        <f>SUMIFS(DETAILS!L$138:L$146,DETAILS!$C$138:$C$146,'CF1'!$D$2)/10^6</f>
        <v>0</v>
      </c>
      <c r="H60" s="202">
        <f>SUMIFS(DETAILS!M$138:M$146,DETAILS!$C$138:$C$146,'CF1'!$D$2)/10^6</f>
        <v>0</v>
      </c>
      <c r="I60" s="202">
        <f>SUMIFS(DETAILS!N$138:N$146,DETAILS!$C$138:$C$146,'CF1'!$D$2)/10^6</f>
        <v>0</v>
      </c>
      <c r="J60" s="202">
        <f>SUMIFS(DETAILS!O$138:O$146,DETAILS!$C$138:$C$146,'CF1'!$D$2)/10^6</f>
        <v>0</v>
      </c>
      <c r="K60" s="202">
        <f>SUMIFS(DETAILS!P$138:P$146,DETAILS!$C$138:$C$146,'CF1'!$D$2)/10^6</f>
        <v>0</v>
      </c>
      <c r="L60" s="202">
        <f>SUMIFS(DETAILS!Q$138:Q$146,DETAILS!$C$138:$C$146,'CF1'!$D$2)/10^6</f>
        <v>0</v>
      </c>
      <c r="M60" s="202">
        <f>SUMIFS(DETAILS!R$138:R$146,DETAILS!$C$138:$C$146,'CF1'!$D$2)/10^6</f>
        <v>0</v>
      </c>
      <c r="N60" s="142">
        <f>SUMIFS(DETAILS!S$138:S$146,DETAILS!$C$138:$C$146,'CF1'!$D$2)/10^6</f>
        <v>0</v>
      </c>
      <c r="O60" s="142">
        <f>SUMIFS(DETAILS!T$138:T$146,DETAILS!$C$138:$C$146,'CF1'!$D$2)/10^6</f>
        <v>0</v>
      </c>
      <c r="P60" s="142">
        <f>SUMIFS(DETAILS!U$138:U$146,DETAILS!$C$138:$C$146,'CF1'!$D$2)/10^6</f>
        <v>-3018.5</v>
      </c>
      <c r="Q60" s="142">
        <f>SUMIFS(DETAILS!V$138:V$146,DETAILS!$C$138:$C$146,'CF1'!$D$2)/10^6</f>
        <v>0</v>
      </c>
      <c r="R60" s="142">
        <f>SUMIFS(DETAILS!W$138:W$146,DETAILS!$C$138:$C$146,'CF1'!$D$2)/10^6</f>
        <v>0</v>
      </c>
      <c r="S60" s="142">
        <f>SUMIFS(DETAILS!X$138:X$146,DETAILS!$C$138:$C$146,'CF1'!$D$2)/10^6</f>
        <v>0</v>
      </c>
      <c r="T60" s="142">
        <f>SUMIFS(DETAILS!Y$138:Y$146,DETAILS!$C$138:$C$146,'CF1'!$D$2)/10^6</f>
        <v>-296.34575398237018</v>
      </c>
      <c r="U60" s="142">
        <f>SUMIFS(DETAILS!Z$138:Z$146,DETAILS!$C$138:$C$146,'CF1'!$D$2)/10^6</f>
        <v>0</v>
      </c>
      <c r="V60" s="142">
        <f>SUMIFS(DETAILS!AA$138:AA$146,DETAILS!$C$138:$C$146,'CF1'!$D$2)/10^6</f>
        <v>0</v>
      </c>
      <c r="W60" s="142">
        <f>SUMIFS(DETAILS!AB$138:AB$146,DETAILS!$C$138:$C$146,'CF1'!$D$2)/10^6</f>
        <v>0</v>
      </c>
      <c r="X60" s="142">
        <f>SUMIFS(DETAILS!AC$138:AC$146,DETAILS!$C$138:$C$146,'CF1'!$D$2)/10^6</f>
        <v>0</v>
      </c>
      <c r="Y60" s="142">
        <f>SUMIFS(DETAILS!AD$138:AD$146,DETAILS!$C$138:$C$146,'CF1'!$D$2)/10^6</f>
        <v>0</v>
      </c>
      <c r="Z60" s="142">
        <f>SUMIFS(DETAILS!AE$138:AE$146,DETAILS!$C$138:$C$146,'CF1'!$D$2)/10^6</f>
        <v>0</v>
      </c>
      <c r="AA60" s="142">
        <f>SUMIFS(DETAILS!AF$138:AF$146,DETAILS!$C$138:$C$146,'CF1'!$D$2)/10^6</f>
        <v>0</v>
      </c>
      <c r="AB60" s="142">
        <f>SUMIFS(DETAILS!AG$138:AG$146,DETAILS!$C$138:$C$146,'CF1'!$D$2)/10^6</f>
        <v>0</v>
      </c>
      <c r="AC60" s="142">
        <f>SUMIFS(DETAILS!AH$138:AH$146,DETAILS!$C$138:$C$146,'CF1'!$D$2)/10^6</f>
        <v>0</v>
      </c>
      <c r="AD60" s="142">
        <f>SUMIFS(DETAILS!AI$138:AI$146,DETAILS!$C$138:$C$146,'CF1'!$D$2)/10^6</f>
        <v>0</v>
      </c>
      <c r="AE60" s="142">
        <f>SUMIFS(DETAILS!AJ$138:AJ$146,DETAILS!$C$138:$C$146,'CF1'!$D$2)/10^6</f>
        <v>0</v>
      </c>
      <c r="AF60" s="142">
        <f>SUMIFS(DETAILS!AK$138:AK$146,DETAILS!$C$138:$C$146,'CF1'!$D$2)/10^6</f>
        <v>0</v>
      </c>
      <c r="AG60" s="142">
        <f>SUMIFS(DETAILS!AL$138:AL$146,DETAILS!$C$138:$C$146,'CF1'!$D$2)/10^6</f>
        <v>0</v>
      </c>
      <c r="AH60" s="142">
        <f>SUMIFS(DETAILS!AM$138:AM$146,DETAILS!$C$138:$C$146,'CF1'!$D$2)/10^6</f>
        <v>0</v>
      </c>
      <c r="AI60" s="142">
        <f>SUMIFS(DETAILS!AN$138:AN$146,DETAILS!$C$138:$C$146,'CF1'!$D$2)/10^6</f>
        <v>0</v>
      </c>
      <c r="AJ60" s="142">
        <f>SUMIFS(DETAILS!AO$138:AO$146,DETAILS!$C$138:$C$146,'CF1'!$D$2)/10^6</f>
        <v>0</v>
      </c>
      <c r="AK60" s="142">
        <f>SUMIFS(DETAILS!AP$138:AP$146,DETAILS!$C$138:$C$146,'CF1'!$D$2)/10^6</f>
        <v>0</v>
      </c>
      <c r="AL60" s="142">
        <f>SUMIFS(DETAILS!AQ$138:AQ$146,DETAILS!$C$138:$C$146,'CF1'!$D$2)/10^6</f>
        <v>0</v>
      </c>
      <c r="AM60" s="142">
        <f>SUMIFS(DETAILS!AR$138:AR$146,DETAILS!$C$138:$C$146,'CF1'!$D$2)/10^6</f>
        <v>0</v>
      </c>
      <c r="AN60" s="142">
        <f>SUMIFS(DETAILS!AS$138:AS$146,DETAILS!$C$138:$C$146,'CF1'!$D$2)/10^6</f>
        <v>0</v>
      </c>
      <c r="AO60" s="142">
        <f>SUMIFS(DETAILS!AT$138:AT$146,DETAILS!$C$138:$C$146,'CF1'!$D$2)/10^6</f>
        <v>0</v>
      </c>
      <c r="AP60" s="142">
        <f>SUMIFS(DETAILS!AU$138:AU$146,DETAILS!$C$138:$C$146,'CF1'!$D$2)/10^6</f>
        <v>0</v>
      </c>
      <c r="AQ60" s="142">
        <f>SUMIFS(DETAILS!AV$138:AV$146,DETAILS!$C$138:$C$146,'CF1'!$D$2)/10^6</f>
        <v>0</v>
      </c>
      <c r="AR60" s="142">
        <f>SUMIFS(DETAILS!AW$138:AW$146,DETAILS!$C$138:$C$146,'CF1'!$D$2)/10^6</f>
        <v>0</v>
      </c>
      <c r="AS60" s="142">
        <f>SUMIFS(DETAILS!AX$138:AX$146,DETAILS!$C$138:$C$146,'CF1'!$D$2)/10^6</f>
        <v>0</v>
      </c>
      <c r="AT60" s="142">
        <f>SUMIFS(DETAILS!AY$138:AY$146,DETAILS!$C$138:$C$146,'CF1'!$D$2)/10^6</f>
        <v>0</v>
      </c>
      <c r="AU60" s="142">
        <f>SUMIFS(DETAILS!AZ$138:AZ$146,DETAILS!$C$138:$C$146,'CF1'!$D$2)/10^6</f>
        <v>0</v>
      </c>
      <c r="AV60" s="142">
        <f>SUMIFS(DETAILS!BA$138:BA$146,DETAILS!$C$138:$C$146,'CF1'!$D$2)/10^6</f>
        <v>0</v>
      </c>
      <c r="AW60" s="142">
        <f>SUMIFS(DETAILS!BB$138:BB$146,DETAILS!$C$138:$C$146,'CF1'!$D$2)/10^6</f>
        <v>0</v>
      </c>
      <c r="AX60" s="142">
        <f>SUMIFS(DETAILS!BC$138:BC$146,DETAILS!$C$138:$C$146,'CF1'!$D$2)/10^6</f>
        <v>0</v>
      </c>
      <c r="AY60" s="142">
        <f>SUMIFS(DETAILS!BD$138:BD$146,DETAILS!$C$138:$C$146,'CF1'!$D$2)/10^6</f>
        <v>0</v>
      </c>
      <c r="AZ60" s="142">
        <f>SUMIFS(DETAILS!BE$138:BE$146,DETAILS!$C$138:$C$146,'CF1'!$D$2)/10^6</f>
        <v>0</v>
      </c>
      <c r="BA60" s="142">
        <f>SUMIFS(DETAILS!BF$138:BF$146,DETAILS!$C$138:$C$146,'CF1'!$D$2)/10^6</f>
        <v>0</v>
      </c>
      <c r="BB60" s="142">
        <f>SUMIFS(DETAILS!BG$138:BG$146,DETAILS!$C$138:$C$146,'CF1'!$D$2)/10^6</f>
        <v>0</v>
      </c>
      <c r="BC60" s="142">
        <f>SUMIFS(DETAILS!BH$138:BH$146,DETAILS!$C$138:$C$146,'CF1'!$D$2)/10^6</f>
        <v>0</v>
      </c>
      <c r="BD60" s="142">
        <f>SUMIFS(DETAILS!BI$138:BI$146,DETAILS!$C$138:$C$146,'CF1'!$D$2)/10^6</f>
        <v>0</v>
      </c>
      <c r="BE60" s="142">
        <f>SUMIFS(DETAILS!BJ$138:BJ$146,DETAILS!$C$138:$C$146,'CF1'!$D$2)/10^6</f>
        <v>0</v>
      </c>
      <c r="BF60" s="142">
        <f>SUMIFS(DETAILS!BK$138:BK$146,DETAILS!$C$138:$C$146,'CF1'!$D$2)/10^6</f>
        <v>0</v>
      </c>
      <c r="BG60" s="142">
        <f>SUMIFS(DETAILS!BL$138:BL$146,DETAILS!$C$138:$C$146,'CF1'!$D$2)/10^6</f>
        <v>0</v>
      </c>
      <c r="BH60" s="142">
        <f>SUMIFS(DETAILS!BM$138:BM$146,DETAILS!$C$138:$C$146,'CF1'!$D$2)/10^6</f>
        <v>0</v>
      </c>
      <c r="BI60" s="142">
        <f>SUMIFS(DETAILS!BN$138:BN$146,DETAILS!$C$138:$C$146,'CF1'!$D$2)/10^6</f>
        <v>0</v>
      </c>
      <c r="BJ60" s="142">
        <f>SUMIFS(DETAILS!BO$138:BO$146,DETAILS!$C$138:$C$146,'CF1'!$D$2)/10^6</f>
        <v>0</v>
      </c>
      <c r="BK60" s="142">
        <f>SUMIFS(DETAILS!BP$138:BP$146,DETAILS!$C$138:$C$146,'CF1'!$D$2)/10^6</f>
        <v>0</v>
      </c>
      <c r="BL60" s="142">
        <f>SUMIFS(DETAILS!BQ$138:BQ$146,DETAILS!$C$138:$C$146,'CF1'!$D$2)/10^6</f>
        <v>0</v>
      </c>
      <c r="BM60" s="142">
        <f>SUMIFS(DETAILS!BR$138:BR$146,DETAILS!$C$138:$C$146,'CF1'!$D$2)/10^6</f>
        <v>0</v>
      </c>
    </row>
    <row r="61" spans="1:65">
      <c r="A61" s="149"/>
      <c r="B61" s="140" t="s">
        <v>10</v>
      </c>
      <c r="C61" s="27"/>
      <c r="D61" s="131" t="s">
        <v>19</v>
      </c>
      <c r="E61" s="141">
        <f t="shared" si="49"/>
        <v>-2733.9728699963352</v>
      </c>
      <c r="F61" s="382">
        <f>(DETAILS!K265+DETAILS!K266+DETAILS!K267)/1000000</f>
        <v>0</v>
      </c>
      <c r="G61" s="382">
        <f>(DETAILS!L265+DETAILS!L266+DETAILS!L267)/1000000</f>
        <v>0</v>
      </c>
      <c r="H61" s="382">
        <f>(DETAILS!M265+DETAILS!M266+DETAILS!M267)/1000000</f>
        <v>0</v>
      </c>
      <c r="I61" s="382">
        <f>(DETAILS!N265+DETAILS!N266+DETAILS!N267)/1000000</f>
        <v>0</v>
      </c>
      <c r="J61" s="382">
        <f>(DETAILS!O265+DETAILS!O266+DETAILS!O267)/1000000</f>
        <v>0</v>
      </c>
      <c r="K61" s="382">
        <f>(DETAILS!P265+DETAILS!P266+DETAILS!P267)/1000000</f>
        <v>0</v>
      </c>
      <c r="L61" s="382">
        <f>(DETAILS!Q265+DETAILS!Q266+DETAILS!Q267)/1000000</f>
        <v>0</v>
      </c>
      <c r="M61" s="382">
        <f>(DETAILS!R265+DETAILS!R266+DETAILS!R267)/1000000</f>
        <v>0</v>
      </c>
      <c r="N61" s="144">
        <f>(DETAILS!S265+DETAILS!S266+DETAILS!S267)/1000000</f>
        <v>0</v>
      </c>
      <c r="O61" s="144">
        <f>(DETAILS!T265+DETAILS!T266+DETAILS!T267)/1000000</f>
        <v>0</v>
      </c>
      <c r="P61" s="144">
        <f>(DETAILS!U265+DETAILS!U266+DETAILS!U267)/1000000</f>
        <v>0</v>
      </c>
      <c r="Q61" s="144">
        <f>(DETAILS!V265+DETAILS!V266+DETAILS!V267)/1000000</f>
        <v>0</v>
      </c>
      <c r="R61" s="144">
        <f>(DETAILS!W265+DETAILS!W266+DETAILS!W267)/1000000</f>
        <v>0</v>
      </c>
      <c r="S61" s="144">
        <f>(DETAILS!X265+DETAILS!X266+DETAILS!X267)/1000000</f>
        <v>-598.05656531169802</v>
      </c>
      <c r="T61" s="144">
        <f>(DETAILS!Y265+DETAILS!Y266+DETAILS!Y267)/1000000</f>
        <v>-598.05656531169802</v>
      </c>
      <c r="U61" s="144">
        <f>(DETAILS!Z265+DETAILS!Z266+DETAILS!Z267)/1000000</f>
        <v>-598.05656531169802</v>
      </c>
      <c r="V61" s="144">
        <f>(DETAILS!AA265+DETAILS!AA266+DETAILS!AA267)/1000000</f>
        <v>-598.05656531169802</v>
      </c>
      <c r="W61" s="144">
        <f>(DETAILS!AB265+DETAILS!AB266+DETAILS!AB267)/1000000</f>
        <v>-28.478884062461812</v>
      </c>
      <c r="X61" s="144">
        <f>(DETAILS!AC265+DETAILS!AC266+DETAILS!AC267)/1000000</f>
        <v>-28.478884062461812</v>
      </c>
      <c r="Y61" s="144">
        <f>(DETAILS!AD265+DETAILS!AD266+DETAILS!AD267)/1000000</f>
        <v>-28.478884062461812</v>
      </c>
      <c r="Z61" s="144">
        <f>(DETAILS!AE265+DETAILS!AE266+DETAILS!AE267)/1000000</f>
        <v>-28.478884062461812</v>
      </c>
      <c r="AA61" s="144">
        <f>(DETAILS!AF265+DETAILS!AF266+DETAILS!AF267)/1000000</f>
        <v>-28.478884062461812</v>
      </c>
      <c r="AB61" s="144">
        <f>(DETAILS!AG265+DETAILS!AG266+DETAILS!AG267)/1000000</f>
        <v>-28.478884062461812</v>
      </c>
      <c r="AC61" s="144">
        <f>(DETAILS!AH265+DETAILS!AH266+DETAILS!AH267)/1000000</f>
        <v>-28.478884062461812</v>
      </c>
      <c r="AD61" s="144">
        <f>(DETAILS!AI265+DETAILS!AI266+DETAILS!AI267)/1000000</f>
        <v>-28.478884062461812</v>
      </c>
      <c r="AE61" s="144">
        <f>(DETAILS!AJ265+DETAILS!AJ266+DETAILS!AJ267)/1000000</f>
        <v>-28.478884062461812</v>
      </c>
      <c r="AF61" s="144">
        <f>(DETAILS!AK265+DETAILS!AK266+DETAILS!AK267)/1000000</f>
        <v>-28.478884062461812</v>
      </c>
      <c r="AG61" s="144">
        <f>(DETAILS!AL265+DETAILS!AL266+DETAILS!AL267)/1000000</f>
        <v>-28.478884062461812</v>
      </c>
      <c r="AH61" s="144">
        <f>(DETAILS!AM265+DETAILS!AM266+DETAILS!AM267)/1000000</f>
        <v>-28.478884062461812</v>
      </c>
      <c r="AI61" s="144">
        <f>(DETAILS!AN265+DETAILS!AN266+DETAILS!AN267)/1000000</f>
        <v>0</v>
      </c>
      <c r="AJ61" s="144">
        <f>(DETAILS!AO265+DETAILS!AO266+DETAILS!AO267)/1000000</f>
        <v>0</v>
      </c>
      <c r="AK61" s="144">
        <f>(DETAILS!AP265+DETAILS!AP266+DETAILS!AP267)/1000000</f>
        <v>0</v>
      </c>
      <c r="AL61" s="144">
        <f>(DETAILS!AQ265+DETAILS!AQ266+DETAILS!AQ267)/1000000</f>
        <v>0</v>
      </c>
      <c r="AM61" s="144">
        <f>(DETAILS!AR265+DETAILS!AR266+DETAILS!AR267)/1000000</f>
        <v>0</v>
      </c>
      <c r="AN61" s="144">
        <f>(DETAILS!AS265+DETAILS!AS266+DETAILS!AS267)/1000000</f>
        <v>0</v>
      </c>
      <c r="AO61" s="144">
        <f>(DETAILS!AT265+DETAILS!AT266+DETAILS!AT267)/1000000</f>
        <v>0</v>
      </c>
      <c r="AP61" s="144">
        <f>(DETAILS!AU265+DETAILS!AU266+DETAILS!AU267)/1000000</f>
        <v>0</v>
      </c>
      <c r="AQ61" s="144">
        <f>(DETAILS!AV265+DETAILS!AV266+DETAILS!AV267)/1000000</f>
        <v>0</v>
      </c>
      <c r="AR61" s="144">
        <f>(DETAILS!AW265+DETAILS!AW266+DETAILS!AW267)/1000000</f>
        <v>0</v>
      </c>
      <c r="AS61" s="144">
        <f>(DETAILS!AX265+DETAILS!AX266+DETAILS!AX267)/1000000</f>
        <v>0</v>
      </c>
      <c r="AT61" s="144">
        <f>(DETAILS!AY265+DETAILS!AY266+DETAILS!AY267)/1000000</f>
        <v>0</v>
      </c>
      <c r="AU61" s="144">
        <f>(DETAILS!AZ265+DETAILS!AZ266+DETAILS!AZ267)/1000000</f>
        <v>0</v>
      </c>
      <c r="AV61" s="144">
        <f>(DETAILS!BA265+DETAILS!BA266+DETAILS!BA267)/1000000</f>
        <v>0</v>
      </c>
      <c r="AW61" s="144">
        <f>(DETAILS!BB265+DETAILS!BB266+DETAILS!BB267)/1000000</f>
        <v>0</v>
      </c>
      <c r="AX61" s="144">
        <f>(DETAILS!BC265+DETAILS!BC266+DETAILS!BC267)/1000000</f>
        <v>0</v>
      </c>
      <c r="AY61" s="144">
        <f>(DETAILS!BD265+DETAILS!BD266+DETAILS!BD267)/1000000</f>
        <v>0</v>
      </c>
      <c r="AZ61" s="144">
        <f>(DETAILS!BE265+DETAILS!BE266+DETAILS!BE267)/1000000</f>
        <v>0</v>
      </c>
      <c r="BA61" s="144">
        <f>(DETAILS!BF265+DETAILS!BF266+DETAILS!BF267)/1000000</f>
        <v>0</v>
      </c>
      <c r="BB61" s="144">
        <f>(DETAILS!BG265+DETAILS!BG266+DETAILS!BG267)/1000000</f>
        <v>0</v>
      </c>
      <c r="BC61" s="144">
        <f>(DETAILS!BH265+DETAILS!BH266+DETAILS!BH267)/1000000</f>
        <v>0</v>
      </c>
      <c r="BD61" s="144">
        <f>(DETAILS!BI265+DETAILS!BI266+DETAILS!BI267)/1000000</f>
        <v>0</v>
      </c>
      <c r="BE61" s="144">
        <f>(DETAILS!BJ265+DETAILS!BJ266+DETAILS!BJ267)/1000000</f>
        <v>0</v>
      </c>
      <c r="BF61" s="144">
        <f>(DETAILS!BK265+DETAILS!BK266+DETAILS!BK267)/1000000</f>
        <v>0</v>
      </c>
      <c r="BG61" s="144">
        <f>(DETAILS!BL265+DETAILS!BL266+DETAILS!BL267)/1000000</f>
        <v>0</v>
      </c>
      <c r="BH61" s="144">
        <f>(DETAILS!BM265+DETAILS!BM266+DETAILS!BM267)/1000000</f>
        <v>0</v>
      </c>
      <c r="BI61" s="144">
        <f>(DETAILS!BN265+DETAILS!BN266+DETAILS!BN267)/1000000</f>
        <v>0</v>
      </c>
      <c r="BJ61" s="144">
        <f>(DETAILS!BO265+DETAILS!BO266+DETAILS!BO267)/1000000</f>
        <v>0</v>
      </c>
      <c r="BK61" s="144">
        <f>(DETAILS!BP265+DETAILS!BP266+DETAILS!BP267)/1000000</f>
        <v>0</v>
      </c>
      <c r="BL61" s="144">
        <f>(DETAILS!BQ265+DETAILS!BQ266+DETAILS!BQ267)/1000000</f>
        <v>0</v>
      </c>
      <c r="BM61" s="144">
        <f>(DETAILS!BR265+DETAILS!BR266+DETAILS!BR267)/1000000</f>
        <v>0</v>
      </c>
    </row>
    <row r="62" spans="1:65">
      <c r="A62" s="149"/>
      <c r="B62" s="140" t="s">
        <v>889</v>
      </c>
      <c r="C62" s="27"/>
      <c r="D62" s="131" t="s">
        <v>19</v>
      </c>
      <c r="E62" s="141">
        <f t="shared" si="49"/>
        <v>-121.85494483999997</v>
      </c>
      <c r="F62" s="202">
        <f>SUMIFS(DETAILS!K$269:K$276,DETAILS!$C$269:$C$276,'CF1'!$D$2)/10^6*F174</f>
        <v>0</v>
      </c>
      <c r="G62" s="202">
        <f>SUMIFS(DETAILS!L$269:L$276,DETAILS!$C$269:$C$276,'CF1'!$D$2)/10^6*G174</f>
        <v>0</v>
      </c>
      <c r="H62" s="202">
        <f>SUMIFS(DETAILS!M$269:M$276,DETAILS!$C$269:$C$276,'CF1'!$D$2)/10^6*H174</f>
        <v>0</v>
      </c>
      <c r="I62" s="202">
        <f>SUMIFS(DETAILS!N$269:N$276,DETAILS!$C$269:$C$276,'CF1'!$D$2)/10^6*I174</f>
        <v>0</v>
      </c>
      <c r="J62" s="202">
        <f>SUMIFS(DETAILS!O$269:O$276,DETAILS!$C$269:$C$276,'CF1'!$D$2)/10^6*J174</f>
        <v>0</v>
      </c>
      <c r="K62" s="202">
        <f>SUMIFS(DETAILS!P$269:P$276,DETAILS!$C$269:$C$276,'CF1'!$D$2)/10^6*K174</f>
        <v>0</v>
      </c>
      <c r="L62" s="202">
        <f>SUMIFS(DETAILS!Q$269:Q$276,DETAILS!$C$269:$C$276,'CF1'!$D$2)/10^6*L174</f>
        <v>0</v>
      </c>
      <c r="M62" s="202">
        <f>SUMIFS(DETAILS!R$269:R$276,DETAILS!$C$269:$C$276,'CF1'!$D$2)/10^6*M174</f>
        <v>0</v>
      </c>
      <c r="N62" s="142">
        <f>SUMIFS(DETAILS!S$269:S$276,DETAILS!$C$269:$C$276,'CF1'!$D$2)/10^6*N174</f>
        <v>-2.7679931880000002</v>
      </c>
      <c r="O62" s="142">
        <f>SUMIFS(DETAILS!T$269:T$276,DETAILS!$C$269:$C$276,'CF1'!$D$2)/10^6*O174</f>
        <v>-3.059993188</v>
      </c>
      <c r="P62" s="142">
        <f>SUMIFS(DETAILS!U$269:U$276,DETAILS!$C$269:$C$276,'CF1'!$D$2)/10^6*P174</f>
        <v>-3.059993188</v>
      </c>
      <c r="Q62" s="142">
        <f>SUMIFS(DETAILS!V$269:V$276,DETAILS!$C$269:$C$276,'CF1'!$D$2)/10^6*Q174</f>
        <v>-3.059993188</v>
      </c>
      <c r="R62" s="142">
        <f>SUMIFS(DETAILS!W$269:W$276,DETAILS!$C$269:$C$276,'CF1'!$D$2)/10^6*R174</f>
        <v>-3.3519931880000002</v>
      </c>
      <c r="S62" s="142">
        <f>SUMIFS(DETAILS!X$269:X$276,DETAILS!$C$269:$C$276,'CF1'!$D$2)/10^6*S174</f>
        <v>-2.059993188</v>
      </c>
      <c r="T62" s="142">
        <f>SUMIFS(DETAILS!Y$269:Y$276,DETAILS!$C$269:$C$276,'CF1'!$D$2)/10^6*T174</f>
        <v>0</v>
      </c>
      <c r="U62" s="142">
        <f>SUMIFS(DETAILS!Z$269:Z$276,DETAILS!$C$269:$C$276,'CF1'!$D$2)/10^6*U174</f>
        <v>0</v>
      </c>
      <c r="V62" s="142">
        <f>SUMIFS(DETAILS!AA$269:AA$276,DETAILS!$C$269:$C$276,'CF1'!$D$2)/10^6*V174</f>
        <v>0</v>
      </c>
      <c r="W62" s="142">
        <f>SUMIFS(DETAILS!AB$269:AB$276,DETAILS!$C$269:$C$276,'CF1'!$D$2)/10^6*W174</f>
        <v>0</v>
      </c>
      <c r="X62" s="142">
        <f>SUMIFS(DETAILS!AC$269:AC$276,DETAILS!$C$269:$C$276,'CF1'!$D$2)/10^6*X174</f>
        <v>-8.7079154760000002</v>
      </c>
      <c r="Y62" s="142">
        <f>SUMIFS(DETAILS!AD$269:AD$276,DETAILS!$C$269:$C$276,'CF1'!$D$2)/10^6*Y174</f>
        <v>-8.7079154760000002</v>
      </c>
      <c r="Z62" s="142">
        <f>SUMIFS(DETAILS!AE$269:AE$276,DETAILS!$C$269:$C$276,'CF1'!$D$2)/10^6*Z174</f>
        <v>-8.7079154760000002</v>
      </c>
      <c r="AA62" s="142">
        <f>SUMIFS(DETAILS!AF$269:AF$276,DETAILS!$C$269:$C$276,'CF1'!$D$2)/10^6*AA174</f>
        <v>-8.7079154760000002</v>
      </c>
      <c r="AB62" s="142">
        <f>SUMIFS(DETAILS!AG$269:AG$276,DETAILS!$C$269:$C$276,'CF1'!$D$2)/10^6*AB174</f>
        <v>-17.415830952</v>
      </c>
      <c r="AC62" s="142">
        <f>SUMIFS(DETAILS!AH$269:AH$276,DETAILS!$C$269:$C$276,'CF1'!$D$2)/10^6*AC174</f>
        <v>-17.415830952</v>
      </c>
      <c r="AD62" s="142">
        <f>SUMIFS(DETAILS!AI$269:AI$276,DETAILS!$C$269:$C$276,'CF1'!$D$2)/10^6*AD174</f>
        <v>-17.415830952</v>
      </c>
      <c r="AE62" s="142">
        <f>SUMIFS(DETAILS!AJ$269:AJ$276,DETAILS!$C$269:$C$276,'CF1'!$D$2)/10^6*AE174</f>
        <v>-17.415830952</v>
      </c>
      <c r="AF62" s="142">
        <f>SUMIFS(DETAILS!AK$269:AK$276,DETAILS!$C$269:$C$276,'CF1'!$D$2)/10^6*AF174</f>
        <v>0</v>
      </c>
      <c r="AG62" s="142">
        <f>SUMIFS(DETAILS!AL$269:AL$276,DETAILS!$C$269:$C$276,'CF1'!$D$2)/10^6*AG174</f>
        <v>0</v>
      </c>
      <c r="AH62" s="142">
        <f>SUMIFS(DETAILS!AM$269:AM$276,DETAILS!$C$269:$C$276,'CF1'!$D$2)/10^6*AH174</f>
        <v>0</v>
      </c>
      <c r="AI62" s="142">
        <f>SUMIFS(DETAILS!AN$269:AN$276,DETAILS!$C$269:$C$276,'CF1'!$D$2)/10^6*AI174</f>
        <v>0</v>
      </c>
      <c r="AJ62" s="142">
        <f>SUMIFS(DETAILS!AO$269:AO$276,DETAILS!$C$269:$C$276,'CF1'!$D$2)/10^6*AJ174</f>
        <v>0</v>
      </c>
      <c r="AK62" s="142">
        <f>SUMIFS(DETAILS!AP$269:AP$276,DETAILS!$C$269:$C$276,'CF1'!$D$2)/10^6*AK174</f>
        <v>0</v>
      </c>
      <c r="AL62" s="142">
        <f>SUMIFS(DETAILS!AQ$269:AQ$276,DETAILS!$C$269:$C$276,'CF1'!$D$2)/10^6*AL174</f>
        <v>0</v>
      </c>
      <c r="AM62" s="142">
        <f>SUMIFS(DETAILS!AR$269:AR$276,DETAILS!$C$269:$C$276,'CF1'!$D$2)/10^6*AM174</f>
        <v>0</v>
      </c>
      <c r="AN62" s="142">
        <f>SUMIFS(DETAILS!AS$269:AS$276,DETAILS!$C$269:$C$276,'CF1'!$D$2)/10^6*AN174</f>
        <v>0</v>
      </c>
      <c r="AO62" s="142">
        <f>SUMIFS(DETAILS!AT$269:AT$276,DETAILS!$C$269:$C$276,'CF1'!$D$2)/10^6*AO174</f>
        <v>0</v>
      </c>
      <c r="AP62" s="142">
        <f>SUMIFS(DETAILS!AU$269:AU$276,DETAILS!$C$269:$C$276,'CF1'!$D$2)/10^6*AP174</f>
        <v>0</v>
      </c>
      <c r="AQ62" s="142">
        <f>SUMIFS(DETAILS!AV$269:AV$276,DETAILS!$C$269:$C$276,'CF1'!$D$2)/10^6*AQ174</f>
        <v>0</v>
      </c>
      <c r="AR62" s="142">
        <f>SUMIFS(DETAILS!AW$269:AW$276,DETAILS!$C$269:$C$276,'CF1'!$D$2)/10^6*AR174</f>
        <v>0</v>
      </c>
      <c r="AS62" s="142">
        <f>SUMIFS(DETAILS!AX$269:AX$276,DETAILS!$C$269:$C$276,'CF1'!$D$2)/10^6*AS174</f>
        <v>0</v>
      </c>
      <c r="AT62" s="142">
        <f>SUMIFS(DETAILS!AY$269:AY$276,DETAILS!$C$269:$C$276,'CF1'!$D$2)/10^6*AT174</f>
        <v>0</v>
      </c>
      <c r="AU62" s="142">
        <f>SUMIFS(DETAILS!AZ$269:AZ$276,DETAILS!$C$269:$C$276,'CF1'!$D$2)/10^6*AU174</f>
        <v>0</v>
      </c>
      <c r="AV62" s="142">
        <f>SUMIFS(DETAILS!BA$269:BA$276,DETAILS!$C$269:$C$276,'CF1'!$D$2)/10^6*AV174</f>
        <v>0</v>
      </c>
      <c r="AW62" s="142">
        <f>SUMIFS(DETAILS!BB$269:BB$276,DETAILS!$C$269:$C$276,'CF1'!$D$2)/10^6*AW174</f>
        <v>0</v>
      </c>
      <c r="AX62" s="142">
        <f>SUMIFS(DETAILS!BC$269:BC$276,DETAILS!$C$269:$C$276,'CF1'!$D$2)/10^6*AX174</f>
        <v>0</v>
      </c>
      <c r="AY62" s="142">
        <f>SUMIFS(DETAILS!BD$269:BD$276,DETAILS!$C$269:$C$276,'CF1'!$D$2)/10^6*AY174</f>
        <v>0</v>
      </c>
      <c r="AZ62" s="142">
        <f>SUMIFS(DETAILS!BE$269:BE$276,DETAILS!$C$269:$C$276,'CF1'!$D$2)/10^6*AZ174</f>
        <v>0</v>
      </c>
      <c r="BA62" s="142">
        <f>SUMIFS(DETAILS!BF$269:BF$276,DETAILS!$C$269:$C$276,'CF1'!$D$2)/10^6*BA174</f>
        <v>0</v>
      </c>
      <c r="BB62" s="142">
        <f>SUMIFS(DETAILS!BG$269:BG$276,DETAILS!$C$269:$C$276,'CF1'!$D$2)/10^6*BB174</f>
        <v>0</v>
      </c>
      <c r="BC62" s="142">
        <f>SUMIFS(DETAILS!BH$269:BH$276,DETAILS!$C$269:$C$276,'CF1'!$D$2)/10^6*BC174</f>
        <v>0</v>
      </c>
      <c r="BD62" s="142">
        <f>SUMIFS(DETAILS!BI$269:BI$276,DETAILS!$C$269:$C$276,'CF1'!$D$2)/10^6*BD174</f>
        <v>0</v>
      </c>
      <c r="BE62" s="142">
        <f>SUMIFS(DETAILS!BJ$269:BJ$276,DETAILS!$C$269:$C$276,'CF1'!$D$2)/10^6*BE174</f>
        <v>0</v>
      </c>
      <c r="BF62" s="142">
        <f>SUMIFS(DETAILS!BK$269:BK$276,DETAILS!$C$269:$C$276,'CF1'!$D$2)/10^6*BF174</f>
        <v>0</v>
      </c>
      <c r="BG62" s="142">
        <f>SUMIFS(DETAILS!BL$269:BL$276,DETAILS!$C$269:$C$276,'CF1'!$D$2)/10^6*BG174</f>
        <v>0</v>
      </c>
      <c r="BH62" s="142">
        <f>SUMIFS(DETAILS!BM$269:BM$276,DETAILS!$C$269:$C$276,'CF1'!$D$2)/10^6*BH174</f>
        <v>0</v>
      </c>
      <c r="BI62" s="142">
        <f>SUMIFS(DETAILS!BN$269:BN$276,DETAILS!$C$269:$C$276,'CF1'!$D$2)/10^6*BI174</f>
        <v>0</v>
      </c>
      <c r="BJ62" s="142">
        <f>SUMIFS(DETAILS!BO$269:BO$276,DETAILS!$C$269:$C$276,'CF1'!$D$2)/10^6*BJ174</f>
        <v>0</v>
      </c>
      <c r="BK62" s="142">
        <f>SUMIFS(DETAILS!BP$269:BP$276,DETAILS!$C$269:$C$276,'CF1'!$D$2)/10^6*BK174</f>
        <v>0</v>
      </c>
      <c r="BL62" s="142">
        <f>SUMIFS(DETAILS!BQ$269:BQ$276,DETAILS!$C$269:$C$276,'CF1'!$D$2)/10^6*BL174</f>
        <v>0</v>
      </c>
      <c r="BM62" s="142">
        <f>SUMIFS(DETAILS!BR$269:BR$276,DETAILS!$C$269:$C$276,'CF1'!$D$2)/10^6*BM174</f>
        <v>0</v>
      </c>
    </row>
    <row r="63" spans="1:65">
      <c r="A63" s="149"/>
      <c r="B63" s="140" t="str">
        <f>'DB1'!B31</f>
        <v>ПРОЕКТИРОВАНИЕ (К+П+РД)</v>
      </c>
      <c r="C63" s="27"/>
      <c r="D63" s="131" t="s">
        <v>19</v>
      </c>
      <c r="E63" s="141">
        <f t="shared" si="49"/>
        <v>-908.34544000000028</v>
      </c>
      <c r="F63" s="202">
        <f>SUMIFS(DETAILS!K$148:K$222,DETAILS!$C$148:$C$222,'CF1'!$D$2)/10^6</f>
        <v>0</v>
      </c>
      <c r="G63" s="202">
        <f>SUMIFS(DETAILS!L$148:L$222,DETAILS!$C$148:$C$222,'CF1'!$D$2)/10^6</f>
        <v>0</v>
      </c>
      <c r="H63" s="202">
        <f>SUMIFS(DETAILS!M$148:M$222,DETAILS!$C$148:$C$222,'CF1'!$D$2)/10^6</f>
        <v>0</v>
      </c>
      <c r="I63" s="202">
        <f>SUMIFS(DETAILS!N$148:N$222,DETAILS!$C$148:$C$222,'CF1'!$D$2)/10^6</f>
        <v>0</v>
      </c>
      <c r="J63" s="202">
        <f>SUMIFS(DETAILS!O$148:O$222,DETAILS!$C$148:$C$222,'CF1'!$D$2)/10^6</f>
        <v>0</v>
      </c>
      <c r="K63" s="202">
        <f>SUMIFS(DETAILS!P$148:P$222,DETAILS!$C$148:$C$222,'CF1'!$D$2)/10^6</f>
        <v>0</v>
      </c>
      <c r="L63" s="202">
        <f>SUMIFS(DETAILS!Q$148:Q$222,DETAILS!$C$148:$C$222,'CF1'!$D$2)/10^6</f>
        <v>0</v>
      </c>
      <c r="M63" s="202">
        <f>SUMIFS(DETAILS!R$148:R$222,DETAILS!$C$148:$C$222,'CF1'!$D$2)/10^6</f>
        <v>0</v>
      </c>
      <c r="N63" s="142">
        <f>SUMIFS(DETAILS!S$148:S$222,DETAILS!$C$148:$C$222,'CF1'!$D$2)/10^6</f>
        <v>-26.682650666666664</v>
      </c>
      <c r="O63" s="142">
        <f>SUMIFS(DETAILS!T$148:T$222,DETAILS!$C$148:$C$222,'CF1'!$D$2)/10^6</f>
        <v>-61.832650666666666</v>
      </c>
      <c r="P63" s="142">
        <f>SUMIFS(DETAILS!U$148:U$222,DETAILS!$C$148:$C$222,'CF1'!$D$2)/10^6</f>
        <v>-101.33265066666665</v>
      </c>
      <c r="Q63" s="142">
        <f>SUMIFS(DETAILS!V$148:V$222,DETAILS!$C$148:$C$222,'CF1'!$D$2)/10^6</f>
        <v>-105.58265066666665</v>
      </c>
      <c r="R63" s="142">
        <f>SUMIFS(DETAILS!W$148:W$222,DETAILS!$C$148:$C$222,'CF1'!$D$2)/10^6</f>
        <v>-243.33265066666667</v>
      </c>
      <c r="S63" s="142">
        <f>SUMIFS(DETAILS!X$148:X$222,DETAILS!$C$148:$C$222,'CF1'!$D$2)/10^6</f>
        <v>-6.75</v>
      </c>
      <c r="T63" s="142">
        <f>SUMIFS(DETAILS!Y$148:Y$222,DETAILS!$C$148:$C$222,'CF1'!$D$2)/10^6</f>
        <v>-20.375302666666663</v>
      </c>
      <c r="U63" s="142">
        <f>SUMIFS(DETAILS!Z$148:Z$222,DETAILS!$C$148:$C$222,'CF1'!$D$2)/10^6</f>
        <v>-20.375302666666663</v>
      </c>
      <c r="V63" s="142">
        <f>SUMIFS(DETAILS!AA$148:AA$222,DETAILS!$C$148:$C$222,'CF1'!$D$2)/10^6</f>
        <v>-20.375302666666663</v>
      </c>
      <c r="W63" s="142">
        <f>SUMIFS(DETAILS!AB$148:AB$222,DETAILS!$C$148:$C$222,'CF1'!$D$2)/10^6</f>
        <v>-20.375302666666663</v>
      </c>
      <c r="X63" s="142">
        <f>SUMIFS(DETAILS!AC$148:AC$222,DETAILS!$C$148:$C$222,'CF1'!$D$2)/10^6</f>
        <v>-20.375302666666663</v>
      </c>
      <c r="Y63" s="142">
        <f>SUMIFS(DETAILS!AD$148:AD$222,DETAILS!$C$148:$C$222,'CF1'!$D$2)/10^6</f>
        <v>-20.375302666666663</v>
      </c>
      <c r="Z63" s="142">
        <f>SUMIFS(DETAILS!AE$148:AE$222,DETAILS!$C$148:$C$222,'CF1'!$D$2)/10^6</f>
        <v>-20.375302666666663</v>
      </c>
      <c r="AA63" s="142">
        <f>SUMIFS(DETAILS!AF$148:AF$222,DETAILS!$C$148:$C$222,'CF1'!$D$2)/10^6</f>
        <v>-20.375302666666663</v>
      </c>
      <c r="AB63" s="142">
        <f>SUMIFS(DETAILS!AG$148:AG$222,DETAILS!$C$148:$C$222,'CF1'!$D$2)/10^6</f>
        <v>-20.375302666666663</v>
      </c>
      <c r="AC63" s="142">
        <f>SUMIFS(DETAILS!AH$148:AH$222,DETAILS!$C$148:$C$222,'CF1'!$D$2)/10^6</f>
        <v>-138.70385733333333</v>
      </c>
      <c r="AD63" s="142">
        <f>SUMIFS(DETAILS!AI$148:AI$222,DETAILS!$C$148:$C$222,'CF1'!$D$2)/10^6</f>
        <v>-20.375302666666663</v>
      </c>
      <c r="AE63" s="142">
        <f>SUMIFS(DETAILS!AJ$148:AJ$222,DETAILS!$C$148:$C$222,'CF1'!$D$2)/10^6</f>
        <v>-20.375302666666663</v>
      </c>
      <c r="AF63" s="142">
        <f>SUMIFS(DETAILS!AK$148:AK$222,DETAILS!$C$148:$C$222,'CF1'!$D$2)/10^6</f>
        <v>0</v>
      </c>
      <c r="AG63" s="142">
        <f>SUMIFS(DETAILS!AL$148:AL$222,DETAILS!$C$148:$C$222,'CF1'!$D$2)/10^6</f>
        <v>0</v>
      </c>
      <c r="AH63" s="142">
        <f>SUMIFS(DETAILS!AM$148:AM$222,DETAILS!$C$148:$C$222,'CF1'!$D$2)/10^6</f>
        <v>0</v>
      </c>
      <c r="AI63" s="142">
        <f>SUMIFS(DETAILS!AN$148:AN$222,DETAILS!$C$148:$C$222,'CF1'!$D$2)/10^6</f>
        <v>0</v>
      </c>
      <c r="AJ63" s="142">
        <f>SUMIFS(DETAILS!AO$148:AO$222,DETAILS!$C$148:$C$222,'CF1'!$D$2)/10^6</f>
        <v>0</v>
      </c>
      <c r="AK63" s="142">
        <f>SUMIFS(DETAILS!AP$148:AP$222,DETAILS!$C$148:$C$222,'CF1'!$D$2)/10^6</f>
        <v>0</v>
      </c>
      <c r="AL63" s="142">
        <f>SUMIFS(DETAILS!AQ$148:AQ$222,DETAILS!$C$148:$C$222,'CF1'!$D$2)/10^6</f>
        <v>0</v>
      </c>
      <c r="AM63" s="142">
        <f>SUMIFS(DETAILS!AR$148:AR$222,DETAILS!$C$148:$C$222,'CF1'!$D$2)/10^6</f>
        <v>0</v>
      </c>
      <c r="AN63" s="142">
        <f>SUMIFS(DETAILS!AS$148:AS$222,DETAILS!$C$148:$C$222,'CF1'!$D$2)/10^6</f>
        <v>0</v>
      </c>
      <c r="AO63" s="142">
        <f>SUMIFS(DETAILS!AT$148:AT$222,DETAILS!$C$148:$C$222,'CF1'!$D$2)/10^6</f>
        <v>0</v>
      </c>
      <c r="AP63" s="142">
        <f>SUMIFS(DETAILS!AU$148:AU$222,DETAILS!$C$148:$C$222,'CF1'!$D$2)/10^6</f>
        <v>0</v>
      </c>
      <c r="AQ63" s="142">
        <f>SUMIFS(DETAILS!AV$148:AV$222,DETAILS!$C$148:$C$222,'CF1'!$D$2)/10^6</f>
        <v>0</v>
      </c>
      <c r="AR63" s="142">
        <f>SUMIFS(DETAILS!AW$148:AW$222,DETAILS!$C$148:$C$222,'CF1'!$D$2)/10^6</f>
        <v>0</v>
      </c>
      <c r="AS63" s="142">
        <f>SUMIFS(DETAILS!AX$148:AX$222,DETAILS!$C$148:$C$222,'CF1'!$D$2)/10^6</f>
        <v>0</v>
      </c>
      <c r="AT63" s="142">
        <f>SUMIFS(DETAILS!AY$148:AY$222,DETAILS!$C$148:$C$222,'CF1'!$D$2)/10^6</f>
        <v>0</v>
      </c>
      <c r="AU63" s="142">
        <f>SUMIFS(DETAILS!AZ$148:AZ$222,DETAILS!$C$148:$C$222,'CF1'!$D$2)/10^6</f>
        <v>0</v>
      </c>
      <c r="AV63" s="142">
        <f>SUMIFS(DETAILS!BA$148:BA$222,DETAILS!$C$148:$C$222,'CF1'!$D$2)/10^6</f>
        <v>0</v>
      </c>
      <c r="AW63" s="142">
        <f>SUMIFS(DETAILS!BB$148:BB$222,DETAILS!$C$148:$C$222,'CF1'!$D$2)/10^6</f>
        <v>0</v>
      </c>
      <c r="AX63" s="142">
        <f>SUMIFS(DETAILS!BC$148:BC$222,DETAILS!$C$148:$C$222,'CF1'!$D$2)/10^6</f>
        <v>0</v>
      </c>
      <c r="AY63" s="142">
        <f>SUMIFS(DETAILS!BD$148:BD$222,DETAILS!$C$148:$C$222,'CF1'!$D$2)/10^6</f>
        <v>0</v>
      </c>
      <c r="AZ63" s="142">
        <f>SUMIFS(DETAILS!BE$148:BE$222,DETAILS!$C$148:$C$222,'CF1'!$D$2)/10^6</f>
        <v>0</v>
      </c>
      <c r="BA63" s="142">
        <f>SUMIFS(DETAILS!BF$148:BF$222,DETAILS!$C$148:$C$222,'CF1'!$D$2)/10^6</f>
        <v>0</v>
      </c>
      <c r="BB63" s="142">
        <f>SUMIFS(DETAILS!BG$148:BG$222,DETAILS!$C$148:$C$222,'CF1'!$D$2)/10^6</f>
        <v>0</v>
      </c>
      <c r="BC63" s="142">
        <f>SUMIFS(DETAILS!BH$148:BH$222,DETAILS!$C$148:$C$222,'CF1'!$D$2)/10^6</f>
        <v>0</v>
      </c>
      <c r="BD63" s="142">
        <f>SUMIFS(DETAILS!BI$148:BI$222,DETAILS!$C$148:$C$222,'CF1'!$D$2)/10^6</f>
        <v>0</v>
      </c>
      <c r="BE63" s="142">
        <f>SUMIFS(DETAILS!BJ$148:BJ$222,DETAILS!$C$148:$C$222,'CF1'!$D$2)/10^6</f>
        <v>0</v>
      </c>
      <c r="BF63" s="142">
        <f>SUMIFS(DETAILS!BK$148:BK$222,DETAILS!$C$148:$C$222,'CF1'!$D$2)/10^6</f>
        <v>0</v>
      </c>
      <c r="BG63" s="142">
        <f>SUMIFS(DETAILS!BL$148:BL$222,DETAILS!$C$148:$C$222,'CF1'!$D$2)/10^6</f>
        <v>0</v>
      </c>
      <c r="BH63" s="142">
        <f>SUMIFS(DETAILS!BM$148:BM$222,DETAILS!$C$148:$C$222,'CF1'!$D$2)/10^6</f>
        <v>0</v>
      </c>
      <c r="BI63" s="142">
        <f>SUMIFS(DETAILS!BN$148:BN$222,DETAILS!$C$148:$C$222,'CF1'!$D$2)/10^6</f>
        <v>0</v>
      </c>
      <c r="BJ63" s="142">
        <f>SUMIFS(DETAILS!BO$148:BO$222,DETAILS!$C$148:$C$222,'CF1'!$D$2)/10^6</f>
        <v>0</v>
      </c>
      <c r="BK63" s="142">
        <f>SUMIFS(DETAILS!BP$148:BP$222,DETAILS!$C$148:$C$222,'CF1'!$D$2)/10^6</f>
        <v>0</v>
      </c>
      <c r="BL63" s="142">
        <f>SUMIFS(DETAILS!BQ$148:BQ$222,DETAILS!$C$148:$C$222,'CF1'!$D$2)/10^6</f>
        <v>0</v>
      </c>
      <c r="BM63" s="142">
        <f>SUMIFS(DETAILS!BR$148:BR$222,DETAILS!$C$148:$C$222,'CF1'!$D$2)/10^6</f>
        <v>0</v>
      </c>
    </row>
    <row r="64" spans="1:65">
      <c r="A64" s="149"/>
      <c r="B64" s="140" t="str">
        <f>'DB1'!B32</f>
        <v>СОГЛАСОВАНИЯ</v>
      </c>
      <c r="C64" s="27"/>
      <c r="D64" s="131" t="s">
        <v>19</v>
      </c>
      <c r="E64" s="141">
        <f t="shared" si="49"/>
        <v>-113.54318000000004</v>
      </c>
      <c r="F64" s="202">
        <f>SUMIFS(DETAILS!K$224:K$263,DETAILS!$C$224:$C$263,'CF1'!$D$2)/10^6</f>
        <v>0</v>
      </c>
      <c r="G64" s="202">
        <f>SUMIFS(DETAILS!L$224:L$263,DETAILS!$C$224:$C$263,'CF1'!$D$2)/10^6</f>
        <v>0</v>
      </c>
      <c r="H64" s="202">
        <f>SUMIFS(DETAILS!M$224:M$263,DETAILS!$C$224:$C$263,'CF1'!$D$2)/10^6</f>
        <v>0</v>
      </c>
      <c r="I64" s="202">
        <f>SUMIFS(DETAILS!N$224:N$263,DETAILS!$C$224:$C$263,'CF1'!$D$2)/10^6</f>
        <v>0</v>
      </c>
      <c r="J64" s="202">
        <f>SUMIFS(DETAILS!O$224:O$263,DETAILS!$C$224:$C$263,'CF1'!$D$2)/10^6</f>
        <v>0</v>
      </c>
      <c r="K64" s="202">
        <f>SUMIFS(DETAILS!P$224:P$263,DETAILS!$C$224:$C$263,'CF1'!$D$2)/10^6</f>
        <v>0</v>
      </c>
      <c r="L64" s="202">
        <f>SUMIFS(DETAILS!Q$224:Q$263,DETAILS!$C$224:$C$263,'CF1'!$D$2)/10^6</f>
        <v>0</v>
      </c>
      <c r="M64" s="202">
        <f>SUMIFS(DETAILS!R$224:R$263,DETAILS!$C$224:$C$263,'CF1'!$D$2)/10^6</f>
        <v>0</v>
      </c>
      <c r="N64" s="142">
        <f>SUMIFS(DETAILS!S$224:S$263,DETAILS!$C$224:$C$263,'CF1'!$D$2)/10^6</f>
        <v>-8.1382650000000005</v>
      </c>
      <c r="O64" s="142">
        <f>SUMIFS(DETAILS!T$224:T$263,DETAILS!$C$224:$C$263,'CF1'!$D$2)/10^6</f>
        <v>-21.162265000000001</v>
      </c>
      <c r="P64" s="142">
        <f>SUMIFS(DETAILS!U$224:U$263,DETAILS!$C$224:$C$263,'CF1'!$D$2)/10^6</f>
        <v>-7.9522649999999997</v>
      </c>
      <c r="Q64" s="142">
        <f>SUMIFS(DETAILS!V$224:V$263,DETAILS!$C$224:$C$263,'CF1'!$D$2)/10^6</f>
        <v>-23.832265</v>
      </c>
      <c r="R64" s="142">
        <f>SUMIFS(DETAILS!W$224:W$263,DETAILS!$C$224:$C$263,'CF1'!$D$2)/10^6</f>
        <v>-13.632265</v>
      </c>
      <c r="S64" s="142">
        <f>SUMIFS(DETAILS!X$224:X$263,DETAILS!$C$224:$C$263,'CF1'!$D$2)/10^6</f>
        <v>-15.832265</v>
      </c>
      <c r="T64" s="142">
        <f>SUMIFS(DETAILS!Y$224:Y$263,DETAILS!$C$224:$C$263,'CF1'!$D$2)/10^6</f>
        <v>-1.9161325</v>
      </c>
      <c r="U64" s="142">
        <f>SUMIFS(DETAILS!Z$224:Z$263,DETAILS!$C$224:$C$263,'CF1'!$D$2)/10^6</f>
        <v>-1.9161325</v>
      </c>
      <c r="V64" s="142">
        <f>SUMIFS(DETAILS!AA$224:AA$263,DETAILS!$C$224:$C$263,'CF1'!$D$2)/10^6</f>
        <v>-1.9161325</v>
      </c>
      <c r="W64" s="142">
        <f>SUMIFS(DETAILS!AB$224:AB$263,DETAILS!$C$224:$C$263,'CF1'!$D$2)/10^6</f>
        <v>-1.9161325</v>
      </c>
      <c r="X64" s="142">
        <f>SUMIFS(DETAILS!AC$224:AC$263,DETAILS!$C$224:$C$263,'CF1'!$D$2)/10^6</f>
        <v>-1.9161325</v>
      </c>
      <c r="Y64" s="142">
        <f>SUMIFS(DETAILS!AD$224:AD$263,DETAILS!$C$224:$C$263,'CF1'!$D$2)/10^6</f>
        <v>-1.9161325</v>
      </c>
      <c r="Z64" s="142">
        <f>SUMIFS(DETAILS!AE$224:AE$263,DETAILS!$C$224:$C$263,'CF1'!$D$2)/10^6</f>
        <v>-1.9161325</v>
      </c>
      <c r="AA64" s="142">
        <f>SUMIFS(DETAILS!AF$224:AF$263,DETAILS!$C$224:$C$263,'CF1'!$D$2)/10^6</f>
        <v>-1.9161325</v>
      </c>
      <c r="AB64" s="142">
        <f>SUMIFS(DETAILS!AG$224:AG$263,DETAILS!$C$224:$C$263,'CF1'!$D$2)/10^6</f>
        <v>-1.9161325</v>
      </c>
      <c r="AC64" s="142">
        <f>SUMIFS(DETAILS!AH$224:AH$263,DETAILS!$C$224:$C$263,'CF1'!$D$2)/10^6</f>
        <v>-1.9161325</v>
      </c>
      <c r="AD64" s="142">
        <f>SUMIFS(DETAILS!AI$224:AI$263,DETAILS!$C$224:$C$263,'CF1'!$D$2)/10^6</f>
        <v>-1.9161325</v>
      </c>
      <c r="AE64" s="142">
        <f>SUMIFS(DETAILS!AJ$224:AJ$263,DETAILS!$C$224:$C$263,'CF1'!$D$2)/10^6</f>
        <v>-1.9161325</v>
      </c>
      <c r="AF64" s="142">
        <f>SUMIFS(DETAILS!AK$224:AK$263,DETAILS!$C$224:$C$263,'CF1'!$D$2)/10^6</f>
        <v>0</v>
      </c>
      <c r="AG64" s="142">
        <f>SUMIFS(DETAILS!AL$224:AL$263,DETAILS!$C$224:$C$263,'CF1'!$D$2)/10^6</f>
        <v>0</v>
      </c>
      <c r="AH64" s="142">
        <f>SUMIFS(DETAILS!AM$224:AM$263,DETAILS!$C$224:$C$263,'CF1'!$D$2)/10^6</f>
        <v>0</v>
      </c>
      <c r="AI64" s="142">
        <f>SUMIFS(DETAILS!AN$224:AN$263,DETAILS!$C$224:$C$263,'CF1'!$D$2)/10^6</f>
        <v>0</v>
      </c>
      <c r="AJ64" s="142">
        <f>SUMIFS(DETAILS!AO$224:AO$263,DETAILS!$C$224:$C$263,'CF1'!$D$2)/10^6</f>
        <v>0</v>
      </c>
      <c r="AK64" s="142">
        <f>SUMIFS(DETAILS!AP$224:AP$263,DETAILS!$C$224:$C$263,'CF1'!$D$2)/10^6</f>
        <v>0</v>
      </c>
      <c r="AL64" s="142">
        <f>SUMIFS(DETAILS!AQ$224:AQ$263,DETAILS!$C$224:$C$263,'CF1'!$D$2)/10^6</f>
        <v>0</v>
      </c>
      <c r="AM64" s="142">
        <f>SUMIFS(DETAILS!AR$224:AR$263,DETAILS!$C$224:$C$263,'CF1'!$D$2)/10^6</f>
        <v>0</v>
      </c>
      <c r="AN64" s="142">
        <f>SUMIFS(DETAILS!AS$224:AS$263,DETAILS!$C$224:$C$263,'CF1'!$D$2)/10^6</f>
        <v>0</v>
      </c>
      <c r="AO64" s="142">
        <f>SUMIFS(DETAILS!AT$224:AT$263,DETAILS!$C$224:$C$263,'CF1'!$D$2)/10^6</f>
        <v>0</v>
      </c>
      <c r="AP64" s="142">
        <f>SUMIFS(DETAILS!AU$224:AU$263,DETAILS!$C$224:$C$263,'CF1'!$D$2)/10^6</f>
        <v>0</v>
      </c>
      <c r="AQ64" s="142">
        <f>SUMIFS(DETAILS!AV$224:AV$263,DETAILS!$C$224:$C$263,'CF1'!$D$2)/10^6</f>
        <v>0</v>
      </c>
      <c r="AR64" s="142">
        <f>SUMIFS(DETAILS!AW$224:AW$263,DETAILS!$C$224:$C$263,'CF1'!$D$2)/10^6</f>
        <v>0</v>
      </c>
      <c r="AS64" s="142">
        <f>SUMIFS(DETAILS!AX$224:AX$263,DETAILS!$C$224:$C$263,'CF1'!$D$2)/10^6</f>
        <v>0</v>
      </c>
      <c r="AT64" s="142">
        <f>SUMIFS(DETAILS!AY$224:AY$263,DETAILS!$C$224:$C$263,'CF1'!$D$2)/10^6</f>
        <v>0</v>
      </c>
      <c r="AU64" s="142">
        <f>SUMIFS(DETAILS!AZ$224:AZ$263,DETAILS!$C$224:$C$263,'CF1'!$D$2)/10^6</f>
        <v>0</v>
      </c>
      <c r="AV64" s="142">
        <f>SUMIFS(DETAILS!BA$224:BA$263,DETAILS!$C$224:$C$263,'CF1'!$D$2)/10^6</f>
        <v>0</v>
      </c>
      <c r="AW64" s="142">
        <f>SUMIFS(DETAILS!BB$224:BB$263,DETAILS!$C$224:$C$263,'CF1'!$D$2)/10^6</f>
        <v>0</v>
      </c>
      <c r="AX64" s="142">
        <f>SUMIFS(DETAILS!BC$224:BC$263,DETAILS!$C$224:$C$263,'CF1'!$D$2)/10^6</f>
        <v>0</v>
      </c>
      <c r="AY64" s="142">
        <f>SUMIFS(DETAILS!BD$224:BD$263,DETAILS!$C$224:$C$263,'CF1'!$D$2)/10^6</f>
        <v>0</v>
      </c>
      <c r="AZ64" s="142">
        <f>SUMIFS(DETAILS!BE$224:BE$263,DETAILS!$C$224:$C$263,'CF1'!$D$2)/10^6</f>
        <v>0</v>
      </c>
      <c r="BA64" s="142">
        <f>SUMIFS(DETAILS!BF$224:BF$263,DETAILS!$C$224:$C$263,'CF1'!$D$2)/10^6</f>
        <v>0</v>
      </c>
      <c r="BB64" s="142">
        <f>SUMIFS(DETAILS!BG$224:BG$263,DETAILS!$C$224:$C$263,'CF1'!$D$2)/10^6</f>
        <v>0</v>
      </c>
      <c r="BC64" s="142">
        <f>SUMIFS(DETAILS!BH$224:BH$263,DETAILS!$C$224:$C$263,'CF1'!$D$2)/10^6</f>
        <v>0</v>
      </c>
      <c r="BD64" s="142">
        <f>SUMIFS(DETAILS!BI$224:BI$263,DETAILS!$C$224:$C$263,'CF1'!$D$2)/10^6</f>
        <v>0</v>
      </c>
      <c r="BE64" s="142">
        <f>SUMIFS(DETAILS!BJ$224:BJ$263,DETAILS!$C$224:$C$263,'CF1'!$D$2)/10^6</f>
        <v>0</v>
      </c>
      <c r="BF64" s="142">
        <f>SUMIFS(DETAILS!BK$224:BK$263,DETAILS!$C$224:$C$263,'CF1'!$D$2)/10^6</f>
        <v>0</v>
      </c>
      <c r="BG64" s="142">
        <f>SUMIFS(DETAILS!BL$224:BL$263,DETAILS!$C$224:$C$263,'CF1'!$D$2)/10^6</f>
        <v>0</v>
      </c>
      <c r="BH64" s="142">
        <f>SUMIFS(DETAILS!BM$224:BM$263,DETAILS!$C$224:$C$263,'CF1'!$D$2)/10^6</f>
        <v>0</v>
      </c>
      <c r="BI64" s="142">
        <f>SUMIFS(DETAILS!BN$224:BN$263,DETAILS!$C$224:$C$263,'CF1'!$D$2)/10^6</f>
        <v>0</v>
      </c>
      <c r="BJ64" s="142">
        <f>SUMIFS(DETAILS!BO$224:BO$263,DETAILS!$C$224:$C$263,'CF1'!$D$2)/10^6</f>
        <v>0</v>
      </c>
      <c r="BK64" s="142">
        <f>SUMIFS(DETAILS!BP$224:BP$263,DETAILS!$C$224:$C$263,'CF1'!$D$2)/10^6</f>
        <v>0</v>
      </c>
      <c r="BL64" s="142">
        <f>SUMIFS(DETAILS!BQ$224:BQ$263,DETAILS!$C$224:$C$263,'CF1'!$D$2)/10^6</f>
        <v>0</v>
      </c>
      <c r="BM64" s="142">
        <f>SUMIFS(DETAILS!BR$224:BR$263,DETAILS!$C$224:$C$263,'CF1'!$D$2)/10^6</f>
        <v>0</v>
      </c>
    </row>
    <row r="65" spans="1:65">
      <c r="A65" s="149"/>
      <c r="B65" s="140" t="str">
        <f>'DB1'!B33</f>
        <v>СМР жилье</v>
      </c>
      <c r="C65" s="27"/>
      <c r="D65" s="131" t="s">
        <v>19</v>
      </c>
      <c r="E65" s="141">
        <f t="shared" si="49"/>
        <v>-15555.415659999993</v>
      </c>
      <c r="F65" s="202">
        <f>SUMIFS(DETAILS!K$288:K$317,DETAILS!$C$288:$C$317,'CF1'!$D$2)/10^6</f>
        <v>0</v>
      </c>
      <c r="G65" s="202">
        <f>SUMIFS(DETAILS!L$288:L$317,DETAILS!$C$288:$C$317,'CF1'!$D$2)/10^6</f>
        <v>0</v>
      </c>
      <c r="H65" s="202">
        <f>SUMIFS(DETAILS!M$288:M$317,DETAILS!$C$288:$C$317,'CF1'!$D$2)/10^6</f>
        <v>0</v>
      </c>
      <c r="I65" s="202">
        <f>SUMIFS(DETAILS!N$288:N$317,DETAILS!$C$288:$C$317,'CF1'!$D$2)/10^6</f>
        <v>0</v>
      </c>
      <c r="J65" s="202">
        <f>SUMIFS(DETAILS!O$288:O$317,DETAILS!$C$288:$C$317,'CF1'!$D$2)/10^6</f>
        <v>0</v>
      </c>
      <c r="K65" s="202">
        <f>SUMIFS(DETAILS!P$288:P$317,DETAILS!$C$288:$C$317,'CF1'!$D$2)/10^6</f>
        <v>0</v>
      </c>
      <c r="L65" s="202">
        <f>SUMIFS(DETAILS!Q$288:Q$317,DETAILS!$C$288:$C$317,'CF1'!$D$2)/10^6</f>
        <v>0</v>
      </c>
      <c r="M65" s="202">
        <f>SUMIFS(DETAILS!R$288:R$317,DETAILS!$C$288:$C$317,'CF1'!$D$2)/10^6</f>
        <v>0</v>
      </c>
      <c r="N65" s="142">
        <f>SUMIFS(DETAILS!S$288:S$317,DETAILS!$C$288:$C$317,'CF1'!$D$2)/10^6</f>
        <v>0</v>
      </c>
      <c r="O65" s="142">
        <f>SUMIFS(DETAILS!T$288:T$317,DETAILS!$C$288:$C$317,'CF1'!$D$2)/10^6</f>
        <v>0</v>
      </c>
      <c r="P65" s="142">
        <f>SUMIFS(DETAILS!U$288:U$317,DETAILS!$C$288:$C$317,'CF1'!$D$2)/10^6</f>
        <v>-174.5</v>
      </c>
      <c r="Q65" s="142">
        <f>SUMIFS(DETAILS!V$288:V$317,DETAILS!$C$288:$C$317,'CF1'!$D$2)/10^6</f>
        <v>-411.5</v>
      </c>
      <c r="R65" s="142">
        <f>SUMIFS(DETAILS!W$288:W$317,DETAILS!$C$288:$C$317,'CF1'!$D$2)/10^6</f>
        <v>-365</v>
      </c>
      <c r="S65" s="142">
        <f>SUMIFS(DETAILS!X$288:X$317,DETAILS!$C$288:$C$317,'CF1'!$D$2)/10^6</f>
        <v>-240</v>
      </c>
      <c r="T65" s="142">
        <f>SUMIFS(DETAILS!Y$288:Y$317,DETAILS!$C$288:$C$317,'CF1'!$D$2)/10^6</f>
        <v>-1197.0346383333331</v>
      </c>
      <c r="U65" s="142">
        <f>SUMIFS(DETAILS!Z$288:Z$317,DETAILS!$C$288:$C$317,'CF1'!$D$2)/10^6</f>
        <v>-1197.0346383333331</v>
      </c>
      <c r="V65" s="142">
        <f>SUMIFS(DETAILS!AA$288:AA$317,DETAILS!$C$288:$C$317,'CF1'!$D$2)/10^6</f>
        <v>-1197.0346383333331</v>
      </c>
      <c r="W65" s="142">
        <f>SUMIFS(DETAILS!AB$288:AB$317,DETAILS!$C$288:$C$317,'CF1'!$D$2)/10^6</f>
        <v>-1197.0346383333331</v>
      </c>
      <c r="X65" s="142">
        <f>SUMIFS(DETAILS!AC$288:AC$317,DETAILS!$C$288:$C$317,'CF1'!$D$2)/10^6</f>
        <v>-1197.0346383333331</v>
      </c>
      <c r="Y65" s="142">
        <f>SUMIFS(DETAILS!AD$288:AD$317,DETAILS!$C$288:$C$317,'CF1'!$D$2)/10^6</f>
        <v>-1197.0346383333331</v>
      </c>
      <c r="Z65" s="142">
        <f>SUMIFS(DETAILS!AE$288:AE$317,DETAILS!$C$288:$C$317,'CF1'!$D$2)/10^6</f>
        <v>-1197.0346383333331</v>
      </c>
      <c r="AA65" s="142">
        <f>SUMIFS(DETAILS!AF$288:AF$317,DETAILS!$C$288:$C$317,'CF1'!$D$2)/10^6</f>
        <v>-1197.0346383333331</v>
      </c>
      <c r="AB65" s="142">
        <f>SUMIFS(DETAILS!AG$288:AG$317,DETAILS!$C$288:$C$317,'CF1'!$D$2)/10^6</f>
        <v>-1197.0346383333331</v>
      </c>
      <c r="AC65" s="142">
        <f>SUMIFS(DETAILS!AH$288:AH$317,DETAILS!$C$288:$C$317,'CF1'!$D$2)/10^6</f>
        <v>-1197.0346383333331</v>
      </c>
      <c r="AD65" s="142">
        <f>SUMIFS(DETAILS!AI$288:AI$317,DETAILS!$C$288:$C$317,'CF1'!$D$2)/10^6</f>
        <v>-1197.0346383333331</v>
      </c>
      <c r="AE65" s="142">
        <f>SUMIFS(DETAILS!AJ$288:AJ$317,DETAILS!$C$288:$C$317,'CF1'!$D$2)/10^6</f>
        <v>-1197.0346383333331</v>
      </c>
      <c r="AF65" s="142">
        <f>SUMIFS(DETAILS!AK$288:AK$317,DETAILS!$C$288:$C$317,'CF1'!$D$2)/10^6</f>
        <v>0</v>
      </c>
      <c r="AG65" s="142">
        <f>SUMIFS(DETAILS!AL$288:AL$317,DETAILS!$C$288:$C$317,'CF1'!$D$2)/10^6</f>
        <v>0</v>
      </c>
      <c r="AH65" s="142">
        <f>SUMIFS(DETAILS!AM$288:AM$317,DETAILS!$C$288:$C$317,'CF1'!$D$2)/10^6</f>
        <v>0</v>
      </c>
      <c r="AI65" s="142">
        <f>SUMIFS(DETAILS!AN$288:AN$317,DETAILS!$C$288:$C$317,'CF1'!$D$2)/10^6</f>
        <v>0</v>
      </c>
      <c r="AJ65" s="142">
        <f>SUMIFS(DETAILS!AO$288:AO$317,DETAILS!$C$288:$C$317,'CF1'!$D$2)/10^6</f>
        <v>0</v>
      </c>
      <c r="AK65" s="142">
        <f>SUMIFS(DETAILS!AP$288:AP$317,DETAILS!$C$288:$C$317,'CF1'!$D$2)/10^6</f>
        <v>0</v>
      </c>
      <c r="AL65" s="142">
        <f>SUMIFS(DETAILS!AQ$288:AQ$317,DETAILS!$C$288:$C$317,'CF1'!$D$2)/10^6</f>
        <v>0</v>
      </c>
      <c r="AM65" s="142">
        <f>SUMIFS(DETAILS!AR$288:AR$317,DETAILS!$C$288:$C$317,'CF1'!$D$2)/10^6</f>
        <v>0</v>
      </c>
      <c r="AN65" s="142">
        <f>SUMIFS(DETAILS!AS$288:AS$317,DETAILS!$C$288:$C$317,'CF1'!$D$2)/10^6</f>
        <v>0</v>
      </c>
      <c r="AO65" s="142">
        <f>SUMIFS(DETAILS!AT$288:AT$317,DETAILS!$C$288:$C$317,'CF1'!$D$2)/10^6</f>
        <v>0</v>
      </c>
      <c r="AP65" s="142">
        <f>SUMIFS(DETAILS!AU$288:AU$317,DETAILS!$C$288:$C$317,'CF1'!$D$2)/10^6</f>
        <v>0</v>
      </c>
      <c r="AQ65" s="142">
        <f>SUMIFS(DETAILS!AV$288:AV$317,DETAILS!$C$288:$C$317,'CF1'!$D$2)/10^6</f>
        <v>0</v>
      </c>
      <c r="AR65" s="142">
        <f>SUMIFS(DETAILS!AW$288:AW$317,DETAILS!$C$288:$C$317,'CF1'!$D$2)/10^6</f>
        <v>0</v>
      </c>
      <c r="AS65" s="142">
        <f>SUMIFS(DETAILS!AX$288:AX$317,DETAILS!$C$288:$C$317,'CF1'!$D$2)/10^6</f>
        <v>0</v>
      </c>
      <c r="AT65" s="142">
        <f>SUMIFS(DETAILS!AY$288:AY$317,DETAILS!$C$288:$C$317,'CF1'!$D$2)/10^6</f>
        <v>0</v>
      </c>
      <c r="AU65" s="142">
        <f>SUMIFS(DETAILS!AZ$288:AZ$317,DETAILS!$C$288:$C$317,'CF1'!$D$2)/10^6</f>
        <v>0</v>
      </c>
      <c r="AV65" s="142">
        <f>SUMIFS(DETAILS!BA$288:BA$317,DETAILS!$C$288:$C$317,'CF1'!$D$2)/10^6</f>
        <v>0</v>
      </c>
      <c r="AW65" s="142">
        <f>SUMIFS(DETAILS!BB$288:BB$317,DETAILS!$C$288:$C$317,'CF1'!$D$2)/10^6</f>
        <v>0</v>
      </c>
      <c r="AX65" s="142">
        <f>SUMIFS(DETAILS!BC$288:BC$317,DETAILS!$C$288:$C$317,'CF1'!$D$2)/10^6</f>
        <v>0</v>
      </c>
      <c r="AY65" s="142">
        <f>SUMIFS(DETAILS!BD$288:BD$317,DETAILS!$C$288:$C$317,'CF1'!$D$2)/10^6</f>
        <v>0</v>
      </c>
      <c r="AZ65" s="142">
        <f>SUMIFS(DETAILS!BE$288:BE$317,DETAILS!$C$288:$C$317,'CF1'!$D$2)/10^6</f>
        <v>0</v>
      </c>
      <c r="BA65" s="142">
        <f>SUMIFS(DETAILS!BF$288:BF$317,DETAILS!$C$288:$C$317,'CF1'!$D$2)/10^6</f>
        <v>0</v>
      </c>
      <c r="BB65" s="142">
        <f>SUMIFS(DETAILS!BG$288:BG$317,DETAILS!$C$288:$C$317,'CF1'!$D$2)/10^6</f>
        <v>0</v>
      </c>
      <c r="BC65" s="142">
        <f>SUMIFS(DETAILS!BH$288:BH$317,DETAILS!$C$288:$C$317,'CF1'!$D$2)/10^6</f>
        <v>0</v>
      </c>
      <c r="BD65" s="142">
        <f>SUMIFS(DETAILS!BI$288:BI$317,DETAILS!$C$288:$C$317,'CF1'!$D$2)/10^6</f>
        <v>0</v>
      </c>
      <c r="BE65" s="142">
        <f>SUMIFS(DETAILS!BJ$288:BJ$317,DETAILS!$C$288:$C$317,'CF1'!$D$2)/10^6</f>
        <v>0</v>
      </c>
      <c r="BF65" s="142">
        <f>SUMIFS(DETAILS!BK$288:BK$317,DETAILS!$C$288:$C$317,'CF1'!$D$2)/10^6</f>
        <v>0</v>
      </c>
      <c r="BG65" s="142">
        <f>SUMIFS(DETAILS!BL$288:BL$317,DETAILS!$C$288:$C$317,'CF1'!$D$2)/10^6</f>
        <v>0</v>
      </c>
      <c r="BH65" s="142">
        <f>SUMIFS(DETAILS!BM$288:BM$317,DETAILS!$C$288:$C$317,'CF1'!$D$2)/10^6</f>
        <v>0</v>
      </c>
      <c r="BI65" s="142">
        <f>SUMIFS(DETAILS!BN$288:BN$317,DETAILS!$C$288:$C$317,'CF1'!$D$2)/10^6</f>
        <v>0</v>
      </c>
      <c r="BJ65" s="142">
        <f>SUMIFS(DETAILS!BO$288:BO$317,DETAILS!$C$288:$C$317,'CF1'!$D$2)/10^6</f>
        <v>0</v>
      </c>
      <c r="BK65" s="142">
        <f>SUMIFS(DETAILS!BP$288:BP$317,DETAILS!$C$288:$C$317,'CF1'!$D$2)/10^6</f>
        <v>0</v>
      </c>
      <c r="BL65" s="142">
        <f>SUMIFS(DETAILS!BQ$288:BQ$317,DETAILS!$C$288:$C$317,'CF1'!$D$2)/10^6</f>
        <v>0</v>
      </c>
      <c r="BM65" s="142">
        <f>SUMIFS(DETAILS!BR$288:BR$317,DETAILS!$C$288:$C$317,'CF1'!$D$2)/10^6</f>
        <v>0</v>
      </c>
    </row>
    <row r="66" spans="1:65" hidden="1">
      <c r="A66" s="149"/>
      <c r="B66" s="697" t="str">
        <f>'DB1'!B34</f>
        <v>СМР офисы</v>
      </c>
      <c r="C66" s="27"/>
      <c r="D66" s="131" t="s">
        <v>19</v>
      </c>
      <c r="E66" s="141">
        <f t="shared" si="49"/>
        <v>0</v>
      </c>
      <c r="F66" s="202">
        <f>'DB1'!$J$34*-'TS1'!F25</f>
        <v>0</v>
      </c>
      <c r="G66" s="202">
        <f>'DB1'!$J$34*-'TS1'!G25</f>
        <v>0</v>
      </c>
      <c r="H66" s="202">
        <f>'DB1'!$J$34*-'TS1'!H25</f>
        <v>0</v>
      </c>
      <c r="I66" s="202">
        <f>'DB1'!$J$34*-'TS1'!I25</f>
        <v>0</v>
      </c>
      <c r="J66" s="202">
        <f>'DB1'!$J$34*-'TS1'!J25</f>
        <v>0</v>
      </c>
      <c r="K66" s="202">
        <f>'DB1'!$J$34*-'TS1'!K25</f>
        <v>0</v>
      </c>
      <c r="L66" s="202">
        <f>'DB1'!$J$34*-'TS1'!L25</f>
        <v>0</v>
      </c>
      <c r="M66" s="202">
        <f>'DB1'!$J$34*-'TS1'!M25</f>
        <v>0</v>
      </c>
      <c r="N66" s="142">
        <f>'DB1'!$J$34*-'TS1'!N25</f>
        <v>0</v>
      </c>
      <c r="O66" s="142">
        <f>'DB1'!$J$34*-'TS1'!O25</f>
        <v>0</v>
      </c>
      <c r="P66" s="142">
        <f>'DB1'!$J$34*-'TS1'!P25</f>
        <v>0</v>
      </c>
      <c r="Q66" s="142">
        <f>'DB1'!$J$34*-'TS1'!Q25</f>
        <v>0</v>
      </c>
      <c r="R66" s="142">
        <f>'DB1'!$J$34*-'TS1'!R25</f>
        <v>0</v>
      </c>
      <c r="S66" s="142">
        <f>'DB1'!$J$34*-'TS1'!S25</f>
        <v>0</v>
      </c>
      <c r="T66" s="142">
        <f>'DB1'!$J$34*-'TS1'!T25</f>
        <v>0</v>
      </c>
      <c r="U66" s="142">
        <f>'DB1'!$J$34*-'TS1'!U25</f>
        <v>0</v>
      </c>
      <c r="V66" s="142">
        <f>'DB1'!$J$34*-'TS1'!V25</f>
        <v>0</v>
      </c>
      <c r="W66" s="142">
        <f>'DB1'!$J$34*-'TS1'!W25</f>
        <v>0</v>
      </c>
      <c r="X66" s="142">
        <f>'DB1'!$J$34*-'TS1'!X25</f>
        <v>0</v>
      </c>
      <c r="Y66" s="142">
        <f>'DB1'!$J$34*-'TS1'!Y25</f>
        <v>0</v>
      </c>
      <c r="Z66" s="142">
        <f>'DB1'!$J$34*-'TS1'!Z25</f>
        <v>0</v>
      </c>
      <c r="AA66" s="142">
        <f>'DB1'!$J$34*-'TS1'!AA25</f>
        <v>0</v>
      </c>
      <c r="AB66" s="142">
        <f>'DB1'!$J$34*-'TS1'!AB25</f>
        <v>0</v>
      </c>
      <c r="AC66" s="142">
        <f>'DB1'!$J$34*-'TS1'!AC25</f>
        <v>0</v>
      </c>
      <c r="AD66" s="142">
        <f>'DB1'!$J$34*-'TS1'!AD25</f>
        <v>0</v>
      </c>
      <c r="AE66" s="142">
        <f>'DB1'!$J$34*-'TS1'!AE25</f>
        <v>0</v>
      </c>
      <c r="AF66" s="142">
        <f>'DB1'!$J$34*-'TS1'!AF25</f>
        <v>0</v>
      </c>
      <c r="AG66" s="142">
        <f>'DB1'!$J$34*-'TS1'!AG25</f>
        <v>0</v>
      </c>
      <c r="AH66" s="142">
        <f>'DB1'!$J$34*-'TS1'!AH25</f>
        <v>0</v>
      </c>
      <c r="AI66" s="142">
        <f>'DB1'!$J$34*-'TS1'!AI25</f>
        <v>0</v>
      </c>
      <c r="AJ66" s="142">
        <f>'DB1'!$J$34*-'TS1'!AJ25</f>
        <v>0</v>
      </c>
      <c r="AK66" s="142">
        <f>'DB1'!$J$34*-'TS1'!AK25</f>
        <v>0</v>
      </c>
      <c r="AL66" s="142">
        <f>'DB1'!$J$34*-'TS1'!AL25</f>
        <v>0</v>
      </c>
      <c r="AM66" s="142">
        <f>'DB1'!$J$34*-'TS1'!AM25</f>
        <v>0</v>
      </c>
      <c r="AN66" s="142">
        <f>'DB1'!$J$34*-'TS1'!AN25</f>
        <v>0</v>
      </c>
      <c r="AO66" s="142">
        <f>'DB1'!$J$34*-'TS1'!AO25</f>
        <v>0</v>
      </c>
      <c r="AP66" s="142">
        <f>'DB1'!$J$34*-'TS1'!AP25</f>
        <v>0</v>
      </c>
      <c r="AQ66" s="142">
        <f>'DB1'!$J$34*-'TS1'!AQ25</f>
        <v>0</v>
      </c>
      <c r="AR66" s="142">
        <f>'DB1'!$J$34*-'TS1'!AR25</f>
        <v>0</v>
      </c>
      <c r="AS66" s="142">
        <f>'DB1'!$J$34*-'TS1'!AS25</f>
        <v>0</v>
      </c>
      <c r="AT66" s="142">
        <f>'DB1'!$J$34*-'TS1'!AT25</f>
        <v>0</v>
      </c>
      <c r="AU66" s="142">
        <f>'DB1'!$J$34*-'TS1'!AU25</f>
        <v>0</v>
      </c>
      <c r="AV66" s="142">
        <f>'DB1'!$J$34*-'TS1'!AV25</f>
        <v>0</v>
      </c>
      <c r="AW66" s="142">
        <f>'DB1'!$J$34*-'TS1'!AW25</f>
        <v>0</v>
      </c>
      <c r="AX66" s="142">
        <f>'DB1'!$J$34*-'TS1'!AX25</f>
        <v>0</v>
      </c>
      <c r="AY66" s="142">
        <f>'DB1'!$J$34*-'TS1'!AY25</f>
        <v>0</v>
      </c>
      <c r="AZ66" s="142">
        <f>'DB1'!$J$34*-'TS1'!AZ25</f>
        <v>0</v>
      </c>
      <c r="BA66" s="142">
        <f>'DB1'!$J$34*-'TS1'!BA25</f>
        <v>0</v>
      </c>
      <c r="BB66" s="142">
        <f>'DB1'!$J$34*-'TS1'!BB25</f>
        <v>0</v>
      </c>
      <c r="BC66" s="142">
        <f>'DB1'!$J$34*-'TS1'!BC25</f>
        <v>0</v>
      </c>
      <c r="BD66" s="142">
        <f>'DB1'!$J$34*-'TS1'!BD25</f>
        <v>0</v>
      </c>
      <c r="BE66" s="142">
        <f>'DB1'!$J$34*-'TS1'!BE25</f>
        <v>0</v>
      </c>
      <c r="BF66" s="142">
        <f>'DB1'!$J$34*-'TS1'!BF25</f>
        <v>0</v>
      </c>
      <c r="BG66" s="142">
        <f>'DB1'!$J$34*-'TS1'!BG25</f>
        <v>0</v>
      </c>
      <c r="BH66" s="142">
        <f>'DB1'!$J$34*-'TS1'!BH25</f>
        <v>0</v>
      </c>
      <c r="BI66" s="142">
        <f>'DB1'!$J$34*-'TS1'!BI25</f>
        <v>0</v>
      </c>
      <c r="BJ66" s="142">
        <f>'DB1'!$J$34*-'TS1'!BJ25</f>
        <v>0</v>
      </c>
      <c r="BK66" s="142">
        <f>'DB1'!$J$34*-'TS1'!BK25</f>
        <v>0</v>
      </c>
      <c r="BL66" s="142">
        <f>'DB1'!$J$34*-'TS1'!BL25</f>
        <v>0</v>
      </c>
      <c r="BM66" s="142">
        <f>'DB1'!$J$34*-'TS1'!BM25</f>
        <v>0</v>
      </c>
    </row>
    <row r="67" spans="1:65" hidden="1">
      <c r="A67" s="149"/>
      <c r="B67" s="697" t="str">
        <f>'DB1'!B35</f>
        <v>СМР ТЦ</v>
      </c>
      <c r="C67" s="27"/>
      <c r="D67" s="131" t="s">
        <v>19</v>
      </c>
      <c r="E67" s="141">
        <f t="shared" si="49"/>
        <v>0</v>
      </c>
      <c r="F67" s="202">
        <f>'DB1'!$J$35*-'TS1'!F25</f>
        <v>0</v>
      </c>
      <c r="G67" s="202">
        <f>'DB1'!$J$35*-'TS1'!G25</f>
        <v>0</v>
      </c>
      <c r="H67" s="202">
        <f>'DB1'!$J$35*-'TS1'!H25</f>
        <v>0</v>
      </c>
      <c r="I67" s="202">
        <f>'DB1'!$J$35*-'TS1'!I25</f>
        <v>0</v>
      </c>
      <c r="J67" s="202">
        <f>'DB1'!$J$35*-'TS1'!J25</f>
        <v>0</v>
      </c>
      <c r="K67" s="202">
        <f>'DB1'!$J$35*-'TS1'!K25</f>
        <v>0</v>
      </c>
      <c r="L67" s="202">
        <f>'DB1'!$J$35*-'TS1'!L25</f>
        <v>0</v>
      </c>
      <c r="M67" s="202">
        <f>'DB1'!$J$35*-'TS1'!M25</f>
        <v>0</v>
      </c>
      <c r="N67" s="142">
        <f>'DB1'!$J$35*-'TS1'!N25</f>
        <v>0</v>
      </c>
      <c r="O67" s="142">
        <f>'DB1'!$J$35*-'TS1'!O25</f>
        <v>0</v>
      </c>
      <c r="P67" s="142">
        <f>'DB1'!$J$35*-'TS1'!P25</f>
        <v>0</v>
      </c>
      <c r="Q67" s="142">
        <f>'DB1'!$J$35*-'TS1'!Q25</f>
        <v>0</v>
      </c>
      <c r="R67" s="142">
        <f>'DB1'!$J$35*-'TS1'!R25</f>
        <v>0</v>
      </c>
      <c r="S67" s="142">
        <f>'DB1'!$J$35*-'TS1'!S25</f>
        <v>0</v>
      </c>
      <c r="T67" s="142">
        <f>'DB1'!$J$35*-'TS1'!T25</f>
        <v>0</v>
      </c>
      <c r="U67" s="142">
        <f>'DB1'!$J$35*-'TS1'!U25</f>
        <v>0</v>
      </c>
      <c r="V67" s="142">
        <f>'DB1'!$J$35*-'TS1'!V25</f>
        <v>0</v>
      </c>
      <c r="W67" s="142">
        <f>'DB1'!$J$35*-'TS1'!W25</f>
        <v>0</v>
      </c>
      <c r="X67" s="142">
        <f>'DB1'!$J$35*-'TS1'!X25</f>
        <v>0</v>
      </c>
      <c r="Y67" s="142">
        <f>'DB1'!$J$35*-'TS1'!Y25</f>
        <v>0</v>
      </c>
      <c r="Z67" s="142">
        <f>'DB1'!$J$35*-'TS1'!Z25</f>
        <v>0</v>
      </c>
      <c r="AA67" s="142">
        <f>'DB1'!$J$35*-'TS1'!AA25</f>
        <v>0</v>
      </c>
      <c r="AB67" s="142">
        <f>'DB1'!$J$35*-'TS1'!AB25</f>
        <v>0</v>
      </c>
      <c r="AC67" s="142">
        <f>'DB1'!$J$35*-'TS1'!AC25</f>
        <v>0</v>
      </c>
      <c r="AD67" s="142">
        <f>'DB1'!$J$35*-'TS1'!AD25</f>
        <v>0</v>
      </c>
      <c r="AE67" s="142">
        <f>'DB1'!$J$35*-'TS1'!AE25</f>
        <v>0</v>
      </c>
      <c r="AF67" s="142">
        <f>'DB1'!$J$35*-'TS1'!AF25</f>
        <v>0</v>
      </c>
      <c r="AG67" s="142">
        <f>'DB1'!$J$35*-'TS1'!AG25</f>
        <v>0</v>
      </c>
      <c r="AH67" s="142">
        <f>'DB1'!$J$35*-'TS1'!AH25</f>
        <v>0</v>
      </c>
      <c r="AI67" s="142">
        <f>'DB1'!$J$35*-'TS1'!AI25</f>
        <v>0</v>
      </c>
      <c r="AJ67" s="142">
        <f>'DB1'!$J$35*-'TS1'!AJ25</f>
        <v>0</v>
      </c>
      <c r="AK67" s="142">
        <f>'DB1'!$J$35*-'TS1'!AK25</f>
        <v>0</v>
      </c>
      <c r="AL67" s="142">
        <f>'DB1'!$J$35*-'TS1'!AL25</f>
        <v>0</v>
      </c>
      <c r="AM67" s="142">
        <f>'DB1'!$J$35*-'TS1'!AM25</f>
        <v>0</v>
      </c>
      <c r="AN67" s="142">
        <f>'DB1'!$J$35*-'TS1'!AN25</f>
        <v>0</v>
      </c>
      <c r="AO67" s="142">
        <f>'DB1'!$J$35*-'TS1'!AO25</f>
        <v>0</v>
      </c>
      <c r="AP67" s="142">
        <f>'DB1'!$J$35*-'TS1'!AP25</f>
        <v>0</v>
      </c>
      <c r="AQ67" s="142">
        <f>'DB1'!$J$35*-'TS1'!AQ25</f>
        <v>0</v>
      </c>
      <c r="AR67" s="142">
        <f>'DB1'!$J$35*-'TS1'!AR25</f>
        <v>0</v>
      </c>
      <c r="AS67" s="142">
        <f>'DB1'!$J$35*-'TS1'!AS25</f>
        <v>0</v>
      </c>
      <c r="AT67" s="142">
        <f>'DB1'!$J$35*-'TS1'!AT25</f>
        <v>0</v>
      </c>
      <c r="AU67" s="142">
        <f>'DB1'!$J$35*-'TS1'!AU25</f>
        <v>0</v>
      </c>
      <c r="AV67" s="142">
        <f>'DB1'!$J$35*-'TS1'!AV25</f>
        <v>0</v>
      </c>
      <c r="AW67" s="142">
        <f>'DB1'!$J$35*-'TS1'!AW25</f>
        <v>0</v>
      </c>
      <c r="AX67" s="142">
        <f>'DB1'!$J$35*-'TS1'!AX25</f>
        <v>0</v>
      </c>
      <c r="AY67" s="142">
        <f>'DB1'!$J$35*-'TS1'!AY25</f>
        <v>0</v>
      </c>
      <c r="AZ67" s="142">
        <f>'DB1'!$J$35*-'TS1'!AZ25</f>
        <v>0</v>
      </c>
      <c r="BA67" s="142">
        <f>'DB1'!$J$35*-'TS1'!BA25</f>
        <v>0</v>
      </c>
      <c r="BB67" s="142">
        <f>'DB1'!$J$35*-'TS1'!BB25</f>
        <v>0</v>
      </c>
      <c r="BC67" s="142">
        <f>'DB1'!$J$35*-'TS1'!BC25</f>
        <v>0</v>
      </c>
      <c r="BD67" s="142">
        <f>'DB1'!$J$35*-'TS1'!BD25</f>
        <v>0</v>
      </c>
      <c r="BE67" s="142">
        <f>'DB1'!$J$35*-'TS1'!BE25</f>
        <v>0</v>
      </c>
      <c r="BF67" s="142">
        <f>'DB1'!$J$35*-'TS1'!BF25</f>
        <v>0</v>
      </c>
      <c r="BG67" s="142">
        <f>'DB1'!$J$35*-'TS1'!BG25</f>
        <v>0</v>
      </c>
      <c r="BH67" s="142">
        <f>'DB1'!$J$35*-'TS1'!BH25</f>
        <v>0</v>
      </c>
      <c r="BI67" s="142">
        <f>'DB1'!$J$35*-'TS1'!BI25</f>
        <v>0</v>
      </c>
      <c r="BJ67" s="142">
        <f>'DB1'!$J$35*-'TS1'!BJ25</f>
        <v>0</v>
      </c>
      <c r="BK67" s="142">
        <f>'DB1'!$J$35*-'TS1'!BK25</f>
        <v>0</v>
      </c>
      <c r="BL67" s="142">
        <f>'DB1'!$J$35*-'TS1'!BL25</f>
        <v>0</v>
      </c>
      <c r="BM67" s="142">
        <f>'DB1'!$J$35*-'TS1'!BM25</f>
        <v>0</v>
      </c>
    </row>
    <row r="68" spans="1:65">
      <c r="A68" s="149"/>
      <c r="B68" s="140" t="str">
        <f>'DB1'!B36</f>
        <v>СМР соц. объектов (компенсация)</v>
      </c>
      <c r="C68" s="27"/>
      <c r="D68" s="131" t="s">
        <v>19</v>
      </c>
      <c r="E68" s="141">
        <f t="shared" si="49"/>
        <v>-294.48382761750003</v>
      </c>
      <c r="F68" s="202">
        <f>SUMIFS(DETAILS!K$318:K$324,DETAILS!$C$318:$C$324,'CF1'!$D$2)/10^6</f>
        <v>0</v>
      </c>
      <c r="G68" s="202">
        <f>SUMIFS(DETAILS!L$318:L$324,DETAILS!$C$318:$C$324,'CF1'!$D$2)/10^6</f>
        <v>0</v>
      </c>
      <c r="H68" s="202">
        <f>SUMIFS(DETAILS!M$318:M$324,DETAILS!$C$318:$C$324,'CF1'!$D$2)/10^6</f>
        <v>0</v>
      </c>
      <c r="I68" s="202">
        <f>SUMIFS(DETAILS!N$318:N$324,DETAILS!$C$318:$C$324,'CF1'!$D$2)/10^6</f>
        <v>0</v>
      </c>
      <c r="J68" s="202">
        <f>SUMIFS(DETAILS!O$318:O$324,DETAILS!$C$318:$C$324,'CF1'!$D$2)/10^6</f>
        <v>0</v>
      </c>
      <c r="K68" s="202">
        <f>SUMIFS(DETAILS!P$318:P$324,DETAILS!$C$318:$C$324,'CF1'!$D$2)/10^6</f>
        <v>0</v>
      </c>
      <c r="L68" s="202">
        <f>SUMIFS(DETAILS!Q$318:Q$324,DETAILS!$C$318:$C$324,'CF1'!$D$2)/10^6</f>
        <v>0</v>
      </c>
      <c r="M68" s="202">
        <f>SUMIFS(DETAILS!R$318:R$324,DETAILS!$C$318:$C$324,'CF1'!$D$2)/10^6</f>
        <v>0</v>
      </c>
      <c r="N68" s="142">
        <f>SUMIFS(DETAILS!S$318:S$324,DETAILS!$C$318:$C$324,'CF1'!$D$2)/10^6</f>
        <v>0</v>
      </c>
      <c r="O68" s="142">
        <f>SUMIFS(DETAILS!T$318:T$324,DETAILS!$C$318:$C$324,'CF1'!$D$2)/10^6</f>
        <v>0</v>
      </c>
      <c r="P68" s="142">
        <f>SUMIFS(DETAILS!U$318:U$324,DETAILS!$C$318:$C$324,'CF1'!$D$2)/10^6</f>
        <v>0</v>
      </c>
      <c r="Q68" s="142">
        <f>SUMIFS(DETAILS!V$318:V$324,DETAILS!$C$318:$C$324,'CF1'!$D$2)/10^6</f>
        <v>-3.0281250000000002</v>
      </c>
      <c r="R68" s="142">
        <f>SUMIFS(DETAILS!W$318:W$324,DETAILS!$C$318:$C$324,'CF1'!$D$2)/10^6</f>
        <v>-3.0281250000000002</v>
      </c>
      <c r="S68" s="142">
        <f>SUMIFS(DETAILS!X$318:X$324,DETAILS!$C$318:$C$324,'CF1'!$D$2)/10^6</f>
        <v>-243.00570228000015</v>
      </c>
      <c r="T68" s="142">
        <f>SUMIFS(DETAILS!Y$318:Y$324,DETAILS!$C$318:$C$324,'CF1'!$D$2)/10^6</f>
        <v>-3.0281250000000002</v>
      </c>
      <c r="U68" s="142">
        <f>SUMIFS(DETAILS!Z$318:Z$324,DETAILS!$C$318:$C$324,'CF1'!$D$2)/10^6</f>
        <v>-3.0281250000000002</v>
      </c>
      <c r="V68" s="142">
        <f>SUMIFS(DETAILS!AA$318:AA$324,DETAILS!$C$318:$C$324,'CF1'!$D$2)/10^6</f>
        <v>-3.0281250000000002</v>
      </c>
      <c r="W68" s="142">
        <f>SUMIFS(DETAILS!AB$318:AB$324,DETAILS!$C$318:$C$324,'CF1'!$D$2)/10^6</f>
        <v>-3.0281250000000002</v>
      </c>
      <c r="X68" s="142">
        <f>SUMIFS(DETAILS!AC$318:AC$324,DETAILS!$C$318:$C$324,'CF1'!$D$2)/10^6</f>
        <v>-3.0281250000000002</v>
      </c>
      <c r="Y68" s="142">
        <f>SUMIFS(DETAILS!AD$318:AD$324,DETAILS!$C$318:$C$324,'CF1'!$D$2)/10^6</f>
        <v>-3.0281250000000002</v>
      </c>
      <c r="Z68" s="142">
        <f>SUMIFS(DETAILS!AE$318:AE$324,DETAILS!$C$318:$C$324,'CF1'!$D$2)/10^6</f>
        <v>-3.0281250000000002</v>
      </c>
      <c r="AA68" s="142">
        <f>SUMIFS(DETAILS!AF$318:AF$324,DETAILS!$C$318:$C$324,'CF1'!$D$2)/10^6</f>
        <v>-3.0281250000000002</v>
      </c>
      <c r="AB68" s="142">
        <f>SUMIFS(DETAILS!AG$318:AG$324,DETAILS!$C$318:$C$324,'CF1'!$D$2)/10^6</f>
        <v>-3.0281250000000002</v>
      </c>
      <c r="AC68" s="142">
        <f>SUMIFS(DETAILS!AH$318:AH$324,DETAILS!$C$318:$C$324,'CF1'!$D$2)/10^6</f>
        <v>-3.0281250000000002</v>
      </c>
      <c r="AD68" s="142">
        <f>SUMIFS(DETAILS!AI$318:AI$324,DETAILS!$C$318:$C$324,'CF1'!$D$2)/10^6</f>
        <v>-3.0281250000000002</v>
      </c>
      <c r="AE68" s="142">
        <f>SUMIFS(DETAILS!AJ$318:AJ$324,DETAILS!$C$318:$C$324,'CF1'!$D$2)/10^6</f>
        <v>-3.0281250000000002</v>
      </c>
      <c r="AF68" s="142">
        <f>SUMIFS(DETAILS!AK$318:AK$324,DETAILS!$C$318:$C$324,'CF1'!$D$2)/10^6</f>
        <v>-3.0281250000000002</v>
      </c>
      <c r="AG68" s="142">
        <f>SUMIFS(DETAILS!AL$318:AL$324,DETAILS!$C$318:$C$324,'CF1'!$D$2)/10^6</f>
        <v>-3.0281250000000002</v>
      </c>
      <c r="AH68" s="142">
        <f>SUMIFS(DETAILS!AM$318:AM$324,DETAILS!$C$318:$C$324,'CF1'!$D$2)/10^6</f>
        <v>-3.0281250000000002</v>
      </c>
      <c r="AI68" s="142">
        <f>SUMIFS(DETAILS!AN$318:AN$324,DETAILS!$C$318:$C$324,'CF1'!$D$2)/10^6</f>
        <v>-3.375E-7</v>
      </c>
      <c r="AJ68" s="142">
        <f>SUMIFS(DETAILS!AO$318:AO$324,DETAILS!$C$318:$C$324,'CF1'!$D$2)/10^6</f>
        <v>0</v>
      </c>
      <c r="AK68" s="142">
        <f>SUMIFS(DETAILS!AP$318:AP$324,DETAILS!$C$318:$C$324,'CF1'!$D$2)/10^6</f>
        <v>0</v>
      </c>
      <c r="AL68" s="142">
        <f>SUMIFS(DETAILS!AQ$318:AQ$324,DETAILS!$C$318:$C$324,'CF1'!$D$2)/10^6</f>
        <v>0</v>
      </c>
      <c r="AM68" s="142">
        <f>SUMIFS(DETAILS!AR$318:AR$324,DETAILS!$C$318:$C$324,'CF1'!$D$2)/10^6</f>
        <v>0</v>
      </c>
      <c r="AN68" s="142">
        <f>SUMIFS(DETAILS!AS$318:AS$324,DETAILS!$C$318:$C$324,'CF1'!$D$2)/10^6</f>
        <v>0</v>
      </c>
      <c r="AO68" s="142">
        <f>SUMIFS(DETAILS!AT$318:AT$324,DETAILS!$C$318:$C$324,'CF1'!$D$2)/10^6</f>
        <v>0</v>
      </c>
      <c r="AP68" s="142">
        <f>SUMIFS(DETAILS!AU$318:AU$324,DETAILS!$C$318:$C$324,'CF1'!$D$2)/10^6</f>
        <v>0</v>
      </c>
      <c r="AQ68" s="142">
        <f>SUMIFS(DETAILS!AV$318:AV$324,DETAILS!$C$318:$C$324,'CF1'!$D$2)/10^6</f>
        <v>0</v>
      </c>
      <c r="AR68" s="142">
        <f>SUMIFS(DETAILS!AW$318:AW$324,DETAILS!$C$318:$C$324,'CF1'!$D$2)/10^6</f>
        <v>0</v>
      </c>
      <c r="AS68" s="142">
        <f>SUMIFS(DETAILS!AX$318:AX$324,DETAILS!$C$318:$C$324,'CF1'!$D$2)/10^6</f>
        <v>0</v>
      </c>
      <c r="AT68" s="142">
        <f>SUMIFS(DETAILS!AY$318:AY$324,DETAILS!$C$318:$C$324,'CF1'!$D$2)/10^6</f>
        <v>0</v>
      </c>
      <c r="AU68" s="142">
        <f>SUMIFS(DETAILS!AZ$318:AZ$324,DETAILS!$C$318:$C$324,'CF1'!$D$2)/10^6</f>
        <v>0</v>
      </c>
      <c r="AV68" s="142">
        <f>SUMIFS(DETAILS!BA$318:BA$324,DETAILS!$C$318:$C$324,'CF1'!$D$2)/10^6</f>
        <v>0</v>
      </c>
      <c r="AW68" s="142">
        <f>SUMIFS(DETAILS!BB$318:BB$324,DETAILS!$C$318:$C$324,'CF1'!$D$2)/10^6</f>
        <v>0</v>
      </c>
      <c r="AX68" s="142">
        <f>SUMIFS(DETAILS!BC$318:BC$324,DETAILS!$C$318:$C$324,'CF1'!$D$2)/10^6</f>
        <v>0</v>
      </c>
      <c r="AY68" s="142">
        <f>SUMIFS(DETAILS!BD$318:BD$324,DETAILS!$C$318:$C$324,'CF1'!$D$2)/10^6</f>
        <v>0</v>
      </c>
      <c r="AZ68" s="142">
        <f>SUMIFS(DETAILS!BE$318:BE$324,DETAILS!$C$318:$C$324,'CF1'!$D$2)/10^6</f>
        <v>0</v>
      </c>
      <c r="BA68" s="142">
        <f>SUMIFS(DETAILS!BF$318:BF$324,DETAILS!$C$318:$C$324,'CF1'!$D$2)/10^6</f>
        <v>0</v>
      </c>
      <c r="BB68" s="142">
        <f>SUMIFS(DETAILS!BG$318:BG$324,DETAILS!$C$318:$C$324,'CF1'!$D$2)/10^6</f>
        <v>0</v>
      </c>
      <c r="BC68" s="142">
        <f>SUMIFS(DETAILS!BH$318:BH$324,DETAILS!$C$318:$C$324,'CF1'!$D$2)/10^6</f>
        <v>0</v>
      </c>
      <c r="BD68" s="142">
        <f>SUMIFS(DETAILS!BI$318:BI$324,DETAILS!$C$318:$C$324,'CF1'!$D$2)/10^6</f>
        <v>0</v>
      </c>
      <c r="BE68" s="142">
        <f>SUMIFS(DETAILS!BJ$318:BJ$324,DETAILS!$C$318:$C$324,'CF1'!$D$2)/10^6</f>
        <v>0</v>
      </c>
      <c r="BF68" s="142">
        <f>SUMIFS(DETAILS!BK$318:BK$324,DETAILS!$C$318:$C$324,'CF1'!$D$2)/10^6</f>
        <v>0</v>
      </c>
      <c r="BG68" s="142">
        <f>SUMIFS(DETAILS!BL$318:BL$324,DETAILS!$C$318:$C$324,'CF1'!$D$2)/10^6</f>
        <v>0</v>
      </c>
      <c r="BH68" s="142">
        <f>SUMIFS(DETAILS!BM$318:BM$324,DETAILS!$C$318:$C$324,'CF1'!$D$2)/10^6</f>
        <v>0</v>
      </c>
      <c r="BI68" s="142">
        <f>SUMIFS(DETAILS!BN$318:BN$324,DETAILS!$C$318:$C$324,'CF1'!$D$2)/10^6</f>
        <v>0</v>
      </c>
      <c r="BJ68" s="142">
        <f>SUMIFS(DETAILS!BO$318:BO$324,DETAILS!$C$318:$C$324,'CF1'!$D$2)/10^6</f>
        <v>0</v>
      </c>
      <c r="BK68" s="142">
        <f>SUMIFS(DETAILS!BP$318:BP$324,DETAILS!$C$318:$C$324,'CF1'!$D$2)/10^6</f>
        <v>0</v>
      </c>
      <c r="BL68" s="142">
        <f>SUMIFS(DETAILS!BQ$318:BQ$324,DETAILS!$C$318:$C$324,'CF1'!$D$2)/10^6</f>
        <v>0</v>
      </c>
      <c r="BM68" s="142">
        <f>SUMIFS(DETAILS!BR$318:BR$324,DETAILS!$C$318:$C$324,'CF1'!$D$2)/10^6</f>
        <v>0</v>
      </c>
    </row>
    <row r="69" spans="1:65" hidden="1">
      <c r="A69" s="149"/>
      <c r="B69" s="697" t="s">
        <v>36</v>
      </c>
      <c r="C69" s="27"/>
      <c r="D69" s="131" t="s">
        <v>19</v>
      </c>
      <c r="E69" s="141">
        <f t="shared" si="49"/>
        <v>0</v>
      </c>
      <c r="F69" s="202"/>
      <c r="G69" s="202"/>
      <c r="H69" s="202"/>
      <c r="I69" s="202"/>
      <c r="J69" s="202"/>
      <c r="K69" s="202"/>
      <c r="L69" s="202"/>
      <c r="M69" s="20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2"/>
      <c r="AU69" s="142"/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</row>
    <row r="70" spans="1:65">
      <c r="A70" s="149"/>
      <c r="B70" s="140" t="s">
        <v>33</v>
      </c>
      <c r="C70" s="27"/>
      <c r="D70" s="131" t="s">
        <v>19</v>
      </c>
      <c r="E70" s="141">
        <f t="shared" si="49"/>
        <v>-624.48748999999998</v>
      </c>
      <c r="F70" s="202">
        <f>SUMIFS(DETAILS!K$326:K$342,DETAILS!$C$326:$C$342,'CF1'!$D$2)/10^6</f>
        <v>0</v>
      </c>
      <c r="G70" s="202">
        <f>SUMIFS(DETAILS!L$326:L$342,DETAILS!$C$326:$C$342,'CF1'!$D$2)/10^6</f>
        <v>0</v>
      </c>
      <c r="H70" s="202">
        <f>SUMIFS(DETAILS!M$326:M$342,DETAILS!$C$326:$C$342,'CF1'!$D$2)/10^6</f>
        <v>0</v>
      </c>
      <c r="I70" s="202">
        <f>SUMIFS(DETAILS!N$326:N$342,DETAILS!$C$326:$C$342,'CF1'!$D$2)/10^6</f>
        <v>0</v>
      </c>
      <c r="J70" s="202">
        <f>SUMIFS(DETAILS!O$326:O$342,DETAILS!$C$326:$C$342,'CF1'!$D$2)/10^6</f>
        <v>0</v>
      </c>
      <c r="K70" s="202">
        <f>SUMIFS(DETAILS!P$326:P$342,DETAILS!$C$326:$C$342,'CF1'!$D$2)/10^6</f>
        <v>0</v>
      </c>
      <c r="L70" s="202">
        <f>SUMIFS(DETAILS!Q$326:Q$342,DETAILS!$C$326:$C$342,'CF1'!$D$2)/10^6</f>
        <v>0</v>
      </c>
      <c r="M70" s="202">
        <f>SUMIFS(DETAILS!R$326:R$342,DETAILS!$C$326:$C$342,'CF1'!$D$2)/10^6</f>
        <v>0</v>
      </c>
      <c r="N70" s="142">
        <f>SUMIFS(DETAILS!S$326:S$342,DETAILS!$C$326:$C$342,'CF1'!$D$2)/10^6</f>
        <v>0</v>
      </c>
      <c r="O70" s="142">
        <f>SUMIFS(DETAILS!T$326:T$342,DETAILS!$C$326:$C$342,'CF1'!$D$2)/10^6</f>
        <v>0</v>
      </c>
      <c r="P70" s="142">
        <f>SUMIFS(DETAILS!U$326:U$342,DETAILS!$C$326:$C$342,'CF1'!$D$2)/10^6</f>
        <v>0</v>
      </c>
      <c r="Q70" s="142">
        <f>SUMIFS(DETAILS!V$326:V$342,DETAILS!$C$326:$C$342,'CF1'!$D$2)/10^6</f>
        <v>-1.5</v>
      </c>
      <c r="R70" s="142">
        <f>SUMIFS(DETAILS!W$326:W$342,DETAILS!$C$326:$C$342,'CF1'!$D$2)/10^6</f>
        <v>-189.34624700000001</v>
      </c>
      <c r="S70" s="142">
        <f>SUMIFS(DETAILS!X$326:X$342,DETAILS!$C$326:$C$342,'CF1'!$D$2)/10^6</f>
        <v>-309.74374499999999</v>
      </c>
      <c r="T70" s="142">
        <f>SUMIFS(DETAILS!Y$326:Y$342,DETAILS!$C$326:$C$342,'CF1'!$D$2)/10^6</f>
        <v>0</v>
      </c>
      <c r="U70" s="142">
        <f>SUMIFS(DETAILS!Z$326:Z$342,DETAILS!$C$326:$C$342,'CF1'!$D$2)/10^6</f>
        <v>0</v>
      </c>
      <c r="V70" s="142">
        <f>SUMIFS(DETAILS!AA$326:AA$342,DETAILS!$C$326:$C$342,'CF1'!$D$2)/10^6</f>
        <v>0</v>
      </c>
      <c r="W70" s="142">
        <f>SUMIFS(DETAILS!AB$326:AB$342,DETAILS!$C$326:$C$342,'CF1'!$D$2)/10^6</f>
        <v>0</v>
      </c>
      <c r="X70" s="142">
        <f>SUMIFS(DETAILS!AC$326:AC$342,DETAILS!$C$326:$C$342,'CF1'!$D$2)/10^6</f>
        <v>0</v>
      </c>
      <c r="Y70" s="142">
        <f>SUMIFS(DETAILS!AD$326:AD$342,DETAILS!$C$326:$C$342,'CF1'!$D$2)/10^6</f>
        <v>0</v>
      </c>
      <c r="Z70" s="142">
        <f>SUMIFS(DETAILS!AE$326:AE$342,DETAILS!$C$326:$C$342,'CF1'!$D$2)/10^6</f>
        <v>0</v>
      </c>
      <c r="AA70" s="142">
        <f>SUMIFS(DETAILS!AF$326:AF$342,DETAILS!$C$326:$C$342,'CF1'!$D$2)/10^6</f>
        <v>0</v>
      </c>
      <c r="AB70" s="142">
        <f>SUMIFS(DETAILS!AG$326:AG$342,DETAILS!$C$326:$C$342,'CF1'!$D$2)/10^6</f>
        <v>0</v>
      </c>
      <c r="AC70" s="142">
        <f>SUMIFS(DETAILS!AH$326:AH$342,DETAILS!$C$326:$C$342,'CF1'!$D$2)/10^6</f>
        <v>-61.948748999999999</v>
      </c>
      <c r="AD70" s="142">
        <f>SUMIFS(DETAILS!AI$326:AI$342,DETAILS!$C$326:$C$342,'CF1'!$D$2)/10^6</f>
        <v>-61.948748999999999</v>
      </c>
      <c r="AE70" s="142">
        <f>SUMIFS(DETAILS!AJ$326:AJ$342,DETAILS!$C$326:$C$342,'CF1'!$D$2)/10^6</f>
        <v>0</v>
      </c>
      <c r="AF70" s="142">
        <f>SUMIFS(DETAILS!AK$326:AK$342,DETAILS!$C$326:$C$342,'CF1'!$D$2)/10^6</f>
        <v>0</v>
      </c>
      <c r="AG70" s="142">
        <f>SUMIFS(DETAILS!AL$326:AL$342,DETAILS!$C$326:$C$342,'CF1'!$D$2)/10^6</f>
        <v>0</v>
      </c>
      <c r="AH70" s="142">
        <f>SUMIFS(DETAILS!AM$326:AM$342,DETAILS!$C$326:$C$342,'CF1'!$D$2)/10^6</f>
        <v>0</v>
      </c>
      <c r="AI70" s="142">
        <f>SUMIFS(DETAILS!AN$326:AN$342,DETAILS!$C$326:$C$342,'CF1'!$D$2)/10^6</f>
        <v>0</v>
      </c>
      <c r="AJ70" s="142">
        <f>SUMIFS(DETAILS!AO$326:AO$342,DETAILS!$C$326:$C$342,'CF1'!$D$2)/10^6</f>
        <v>0</v>
      </c>
      <c r="AK70" s="142">
        <f>SUMIFS(DETAILS!AP$326:AP$342,DETAILS!$C$326:$C$342,'CF1'!$D$2)/10^6</f>
        <v>0</v>
      </c>
      <c r="AL70" s="142">
        <f>SUMIFS(DETAILS!AQ$326:AQ$342,DETAILS!$C$326:$C$342,'CF1'!$D$2)/10^6</f>
        <v>0</v>
      </c>
      <c r="AM70" s="142">
        <f>SUMIFS(DETAILS!AR$326:AR$342,DETAILS!$C$326:$C$342,'CF1'!$D$2)/10^6</f>
        <v>0</v>
      </c>
      <c r="AN70" s="142">
        <f>SUMIFS(DETAILS!AS$326:AS$342,DETAILS!$C$326:$C$342,'CF1'!$D$2)/10^6</f>
        <v>0</v>
      </c>
      <c r="AO70" s="142">
        <f>SUMIFS(DETAILS!AT$326:AT$342,DETAILS!$C$326:$C$342,'CF1'!$D$2)/10^6</f>
        <v>0</v>
      </c>
      <c r="AP70" s="142">
        <f>SUMIFS(DETAILS!AU$326:AU$342,DETAILS!$C$326:$C$342,'CF1'!$D$2)/10^6</f>
        <v>0</v>
      </c>
      <c r="AQ70" s="142">
        <f>SUMIFS(DETAILS!AV$326:AV$342,DETAILS!$C$326:$C$342,'CF1'!$D$2)/10^6</f>
        <v>0</v>
      </c>
      <c r="AR70" s="142">
        <f>SUMIFS(DETAILS!AW$326:AW$342,DETAILS!$C$326:$C$342,'CF1'!$D$2)/10^6</f>
        <v>0</v>
      </c>
      <c r="AS70" s="142">
        <f>SUMIFS(DETAILS!AX$326:AX$342,DETAILS!$C$326:$C$342,'CF1'!$D$2)/10^6</f>
        <v>0</v>
      </c>
      <c r="AT70" s="142">
        <f>SUMIFS(DETAILS!AY$326:AY$342,DETAILS!$C$326:$C$342,'CF1'!$D$2)/10^6</f>
        <v>0</v>
      </c>
      <c r="AU70" s="142">
        <f>SUMIFS(DETAILS!AZ$326:AZ$342,DETAILS!$C$326:$C$342,'CF1'!$D$2)/10^6</f>
        <v>0</v>
      </c>
      <c r="AV70" s="142">
        <f>SUMIFS(DETAILS!BA$326:BA$342,DETAILS!$C$326:$C$342,'CF1'!$D$2)/10^6</f>
        <v>0</v>
      </c>
      <c r="AW70" s="142">
        <f>SUMIFS(DETAILS!BB$326:BB$342,DETAILS!$C$326:$C$342,'CF1'!$D$2)/10^6</f>
        <v>0</v>
      </c>
      <c r="AX70" s="142">
        <f>SUMIFS(DETAILS!BC$326:BC$342,DETAILS!$C$326:$C$342,'CF1'!$D$2)/10^6</f>
        <v>0</v>
      </c>
      <c r="AY70" s="142">
        <f>SUMIFS(DETAILS!BD$326:BD$342,DETAILS!$C$326:$C$342,'CF1'!$D$2)/10^6</f>
        <v>0</v>
      </c>
      <c r="AZ70" s="142">
        <f>SUMIFS(DETAILS!BE$326:BE$342,DETAILS!$C$326:$C$342,'CF1'!$D$2)/10^6</f>
        <v>0</v>
      </c>
      <c r="BA70" s="142">
        <f>SUMIFS(DETAILS!BF$326:BF$342,DETAILS!$C$326:$C$342,'CF1'!$D$2)/10^6</f>
        <v>0</v>
      </c>
      <c r="BB70" s="142">
        <f>SUMIFS(DETAILS!BG$326:BG$342,DETAILS!$C$326:$C$342,'CF1'!$D$2)/10^6</f>
        <v>0</v>
      </c>
      <c r="BC70" s="142">
        <f>SUMIFS(DETAILS!BH$326:BH$342,DETAILS!$C$326:$C$342,'CF1'!$D$2)/10^6</f>
        <v>0</v>
      </c>
      <c r="BD70" s="142">
        <f>SUMIFS(DETAILS!BI$326:BI$342,DETAILS!$C$326:$C$342,'CF1'!$D$2)/10^6</f>
        <v>0</v>
      </c>
      <c r="BE70" s="142">
        <f>SUMIFS(DETAILS!BJ$326:BJ$342,DETAILS!$C$326:$C$342,'CF1'!$D$2)/10^6</f>
        <v>0</v>
      </c>
      <c r="BF70" s="142">
        <f>SUMIFS(DETAILS!BK$326:BK$342,DETAILS!$C$326:$C$342,'CF1'!$D$2)/10^6</f>
        <v>0</v>
      </c>
      <c r="BG70" s="142">
        <f>SUMIFS(DETAILS!BL$326:BL$342,DETAILS!$C$326:$C$342,'CF1'!$D$2)/10^6</f>
        <v>0</v>
      </c>
      <c r="BH70" s="142">
        <f>SUMIFS(DETAILS!BM$326:BM$342,DETAILS!$C$326:$C$342,'CF1'!$D$2)/10^6</f>
        <v>0</v>
      </c>
      <c r="BI70" s="142">
        <f>SUMIFS(DETAILS!BN$326:BN$342,DETAILS!$C$326:$C$342,'CF1'!$D$2)/10^6</f>
        <v>0</v>
      </c>
      <c r="BJ70" s="142">
        <f>SUMIFS(DETAILS!BO$326:BO$342,DETAILS!$C$326:$C$342,'CF1'!$D$2)/10^6</f>
        <v>0</v>
      </c>
      <c r="BK70" s="142">
        <f>SUMIFS(DETAILS!BP$326:BP$342,DETAILS!$C$326:$C$342,'CF1'!$D$2)/10^6</f>
        <v>0</v>
      </c>
      <c r="BL70" s="142">
        <f>SUMIFS(DETAILS!BQ$326:BQ$342,DETAILS!$C$326:$C$342,'CF1'!$D$2)/10^6</f>
        <v>0</v>
      </c>
      <c r="BM70" s="142">
        <f>SUMIFS(DETAILS!BR$326:BR$342,DETAILS!$C$326:$C$342,'CF1'!$D$2)/10^6</f>
        <v>0</v>
      </c>
    </row>
    <row r="71" spans="1:65">
      <c r="A71" s="149"/>
      <c r="B71" s="140" t="s">
        <v>346</v>
      </c>
      <c r="C71" s="27"/>
      <c r="D71" s="131" t="s">
        <v>19</v>
      </c>
      <c r="E71" s="141">
        <f>SUM(F71:BM71)</f>
        <v>-113.54317999999995</v>
      </c>
      <c r="F71" s="202">
        <f>SUMIFS(DETAILS!K$344:K$359,DETAILS!$C$344:$C$359,'CF1'!$D$2)/10^6</f>
        <v>0</v>
      </c>
      <c r="G71" s="202">
        <f>SUMIFS(DETAILS!L$344:L$359,DETAILS!$C$344:$C$359,'CF1'!$D$2)/10^6</f>
        <v>0</v>
      </c>
      <c r="H71" s="202">
        <f>SUMIFS(DETAILS!M$344:M$359,DETAILS!$C$344:$C$359,'CF1'!$D$2)/10^6</f>
        <v>0</v>
      </c>
      <c r="I71" s="202">
        <f>SUMIFS(DETAILS!N$344:N$359,DETAILS!$C$344:$C$359,'CF1'!$D$2)/10^6</f>
        <v>0</v>
      </c>
      <c r="J71" s="202">
        <f>SUMIFS(DETAILS!O$344:O$359,DETAILS!$C$344:$C$359,'CF1'!$D$2)/10^6</f>
        <v>0</v>
      </c>
      <c r="K71" s="202">
        <f>SUMIFS(DETAILS!P$344:P$359,DETAILS!$C$344:$C$359,'CF1'!$D$2)/10^6</f>
        <v>0</v>
      </c>
      <c r="L71" s="202">
        <f>SUMIFS(DETAILS!Q$344:Q$359,DETAILS!$C$344:$C$359,'CF1'!$D$2)/10^6</f>
        <v>0</v>
      </c>
      <c r="M71" s="202">
        <f>SUMIFS(DETAILS!R$344:R$359,DETAILS!$C$344:$C$359,'CF1'!$D$2)/10^6</f>
        <v>0</v>
      </c>
      <c r="N71" s="142">
        <f>SUMIFS(DETAILS!S$344:S$359,DETAILS!$C$344:$C$359,'CF1'!$D$2)/10^6</f>
        <v>0</v>
      </c>
      <c r="O71" s="142">
        <f>SUMIFS(DETAILS!T$344:T$359,DETAILS!$C$344:$C$359,'CF1'!$D$2)/10^6</f>
        <v>0</v>
      </c>
      <c r="P71" s="142">
        <f>SUMIFS(DETAILS!U$344:U$359,DETAILS!$C$344:$C$359,'CF1'!$D$2)/10^6</f>
        <v>-7.6</v>
      </c>
      <c r="Q71" s="142">
        <f>SUMIFS(DETAILS!V$344:V$359,DETAILS!$C$344:$C$359,'CF1'!$D$2)/10^6</f>
        <v>-15.6</v>
      </c>
      <c r="R71" s="142">
        <f>SUMIFS(DETAILS!W$344:W$359,DETAILS!$C$344:$C$359,'CF1'!$D$2)/10^6</f>
        <v>-5.2</v>
      </c>
      <c r="S71" s="142">
        <f>SUMIFS(DETAILS!X$344:X$359,DETAILS!$C$344:$C$359,'CF1'!$D$2)/10^6</f>
        <v>-9</v>
      </c>
      <c r="T71" s="142">
        <f>SUMIFS(DETAILS!Y$344:Y$359,DETAILS!$C$344:$C$359,'CF1'!$D$2)/10^6</f>
        <v>-6.9</v>
      </c>
      <c r="U71" s="142">
        <f>SUMIFS(DETAILS!Z$344:Z$359,DETAILS!$C$344:$C$359,'CF1'!$D$2)/10^6</f>
        <v>-11.328598333333332</v>
      </c>
      <c r="V71" s="142">
        <f>SUMIFS(DETAILS!AA$344:AA$359,DETAILS!$C$344:$C$359,'CF1'!$D$2)/10^6</f>
        <v>-11.328598333333332</v>
      </c>
      <c r="W71" s="142">
        <f>SUMIFS(DETAILS!AB$344:AB$359,DETAILS!$C$344:$C$359,'CF1'!$D$2)/10^6</f>
        <v>-6.7285983333333332</v>
      </c>
      <c r="X71" s="142">
        <f>SUMIFS(DETAILS!AC$344:AC$359,DETAILS!$C$344:$C$359,'CF1'!$D$2)/10^6</f>
        <v>-4.4285983333333334</v>
      </c>
      <c r="Y71" s="142">
        <f>SUMIFS(DETAILS!AD$344:AD$359,DETAILS!$C$344:$C$359,'CF1'!$D$2)/10^6</f>
        <v>-4.4285983333333334</v>
      </c>
      <c r="Z71" s="142">
        <f>SUMIFS(DETAILS!AE$344:AE$359,DETAILS!$C$344:$C$359,'CF1'!$D$2)/10^6</f>
        <v>-4.4285983333333334</v>
      </c>
      <c r="AA71" s="142">
        <f>SUMIFS(DETAILS!AF$344:AF$359,DETAILS!$C$344:$C$359,'CF1'!$D$2)/10^6</f>
        <v>-4.4285983333333334</v>
      </c>
      <c r="AB71" s="142">
        <f>SUMIFS(DETAILS!AG$344:AG$359,DETAILS!$C$344:$C$359,'CF1'!$D$2)/10^6</f>
        <v>-4.4285983333333334</v>
      </c>
      <c r="AC71" s="142">
        <f>SUMIFS(DETAILS!AH$344:AH$359,DETAILS!$C$344:$C$359,'CF1'!$D$2)/10^6</f>
        <v>-4.4285983333333334</v>
      </c>
      <c r="AD71" s="142">
        <f>SUMIFS(DETAILS!AI$344:AI$359,DETAILS!$C$344:$C$359,'CF1'!$D$2)/10^6</f>
        <v>-4.4285983333333334</v>
      </c>
      <c r="AE71" s="142">
        <f>SUMIFS(DETAILS!AJ$344:AJ$359,DETAILS!$C$344:$C$359,'CF1'!$D$2)/10^6</f>
        <v>-4.4285983333333334</v>
      </c>
      <c r="AF71" s="142">
        <f>SUMIFS(DETAILS!AK$344:AK$359,DETAILS!$C$344:$C$359,'CF1'!$D$2)/10^6</f>
        <v>-4.4285983333333334</v>
      </c>
      <c r="AG71" s="142">
        <f>SUMIFS(DETAILS!AL$344:AL$359,DETAILS!$C$344:$C$359,'CF1'!$D$2)/10^6</f>
        <v>0</v>
      </c>
      <c r="AH71" s="142">
        <f>SUMIFS(DETAILS!AM$344:AM$359,DETAILS!$C$344:$C$359,'CF1'!$D$2)/10^6</f>
        <v>0</v>
      </c>
      <c r="AI71" s="142">
        <f>SUMIFS(DETAILS!AN$344:AN$359,DETAILS!$C$344:$C$359,'CF1'!$D$2)/10^6</f>
        <v>0</v>
      </c>
      <c r="AJ71" s="142">
        <f>SUMIFS(DETAILS!AO$344:AO$359,DETAILS!$C$344:$C$359,'CF1'!$D$2)/10^6</f>
        <v>0</v>
      </c>
      <c r="AK71" s="142">
        <f>SUMIFS(DETAILS!AP$344:AP$359,DETAILS!$C$344:$C$359,'CF1'!$D$2)/10^6</f>
        <v>0</v>
      </c>
      <c r="AL71" s="142">
        <f>SUMIFS(DETAILS!AQ$344:AQ$359,DETAILS!$C$344:$C$359,'CF1'!$D$2)/10^6</f>
        <v>0</v>
      </c>
      <c r="AM71" s="142">
        <f>SUMIFS(DETAILS!AR$344:AR$359,DETAILS!$C$344:$C$359,'CF1'!$D$2)/10^6</f>
        <v>0</v>
      </c>
      <c r="AN71" s="142">
        <f>SUMIFS(DETAILS!AS$344:AS$359,DETAILS!$C$344:$C$359,'CF1'!$D$2)/10^6</f>
        <v>0</v>
      </c>
      <c r="AO71" s="142">
        <f>SUMIFS(DETAILS!AT$344:AT$359,DETAILS!$C$344:$C$359,'CF1'!$D$2)/10^6</f>
        <v>0</v>
      </c>
      <c r="AP71" s="142">
        <f>SUMIFS(DETAILS!AU$344:AU$359,DETAILS!$C$344:$C$359,'CF1'!$D$2)/10^6</f>
        <v>0</v>
      </c>
      <c r="AQ71" s="142">
        <f>SUMIFS(DETAILS!AV$344:AV$359,DETAILS!$C$344:$C$359,'CF1'!$D$2)/10^6</f>
        <v>0</v>
      </c>
      <c r="AR71" s="142">
        <f>SUMIFS(DETAILS!AW$344:AW$359,DETAILS!$C$344:$C$359,'CF1'!$D$2)/10^6</f>
        <v>0</v>
      </c>
      <c r="AS71" s="142">
        <f>SUMIFS(DETAILS!AX$344:AX$359,DETAILS!$C$344:$C$359,'CF1'!$D$2)/10^6</f>
        <v>0</v>
      </c>
      <c r="AT71" s="142">
        <f>SUMIFS(DETAILS!AY$344:AY$359,DETAILS!$C$344:$C$359,'CF1'!$D$2)/10^6</f>
        <v>0</v>
      </c>
      <c r="AU71" s="142">
        <f>SUMIFS(DETAILS!AZ$344:AZ$359,DETAILS!$C$344:$C$359,'CF1'!$D$2)/10^6</f>
        <v>0</v>
      </c>
      <c r="AV71" s="142">
        <f>SUMIFS(DETAILS!BA$344:BA$359,DETAILS!$C$344:$C$359,'CF1'!$D$2)/10^6</f>
        <v>0</v>
      </c>
      <c r="AW71" s="142">
        <f>SUMIFS(DETAILS!BB$344:BB$359,DETAILS!$C$344:$C$359,'CF1'!$D$2)/10^6</f>
        <v>0</v>
      </c>
      <c r="AX71" s="142">
        <f>SUMIFS(DETAILS!BC$344:BC$359,DETAILS!$C$344:$C$359,'CF1'!$D$2)/10^6</f>
        <v>0</v>
      </c>
      <c r="AY71" s="142">
        <f>SUMIFS(DETAILS!BD$344:BD$359,DETAILS!$C$344:$C$359,'CF1'!$D$2)/10^6</f>
        <v>0</v>
      </c>
      <c r="AZ71" s="142">
        <f>SUMIFS(DETAILS!BE$344:BE$359,DETAILS!$C$344:$C$359,'CF1'!$D$2)/10^6</f>
        <v>0</v>
      </c>
      <c r="BA71" s="142">
        <f>SUMIFS(DETAILS!BF$344:BF$359,DETAILS!$C$344:$C$359,'CF1'!$D$2)/10^6</f>
        <v>0</v>
      </c>
      <c r="BB71" s="142">
        <f>SUMIFS(DETAILS!BG$344:BG$359,DETAILS!$C$344:$C$359,'CF1'!$D$2)/10^6</f>
        <v>0</v>
      </c>
      <c r="BC71" s="142">
        <f>SUMIFS(DETAILS!BH$344:BH$359,DETAILS!$C$344:$C$359,'CF1'!$D$2)/10^6</f>
        <v>0</v>
      </c>
      <c r="BD71" s="142">
        <f>SUMIFS(DETAILS!BI$344:BI$359,DETAILS!$C$344:$C$359,'CF1'!$D$2)/10^6</f>
        <v>0</v>
      </c>
      <c r="BE71" s="142">
        <f>SUMIFS(DETAILS!BJ$344:BJ$359,DETAILS!$C$344:$C$359,'CF1'!$D$2)/10^6</f>
        <v>0</v>
      </c>
      <c r="BF71" s="142">
        <f>SUMIFS(DETAILS!BK$344:BK$359,DETAILS!$C$344:$C$359,'CF1'!$D$2)/10^6</f>
        <v>0</v>
      </c>
      <c r="BG71" s="142">
        <f>SUMIFS(DETAILS!BL$344:BL$359,DETAILS!$C$344:$C$359,'CF1'!$D$2)/10^6</f>
        <v>0</v>
      </c>
      <c r="BH71" s="142">
        <f>SUMIFS(DETAILS!BM$344:BM$359,DETAILS!$C$344:$C$359,'CF1'!$D$2)/10^6</f>
        <v>0</v>
      </c>
      <c r="BI71" s="142">
        <f>SUMIFS(DETAILS!BN$344:BN$359,DETAILS!$C$344:$C$359,'CF1'!$D$2)/10^6</f>
        <v>0</v>
      </c>
      <c r="BJ71" s="142">
        <f>SUMIFS(DETAILS!BO$344:BO$359,DETAILS!$C$344:$C$359,'CF1'!$D$2)/10^6</f>
        <v>0</v>
      </c>
      <c r="BK71" s="142">
        <f>SUMIFS(DETAILS!BP$344:BP$359,DETAILS!$C$344:$C$359,'CF1'!$D$2)/10^6</f>
        <v>0</v>
      </c>
      <c r="BL71" s="142">
        <f>SUMIFS(DETAILS!BQ$344:BQ$359,DETAILS!$C$344:$C$359,'CF1'!$D$2)/10^6</f>
        <v>0</v>
      </c>
      <c r="BM71" s="142">
        <f>SUMIFS(DETAILS!BR$344:BR$359,DETAILS!$C$344:$C$359,'CF1'!$D$2)/10^6</f>
        <v>0</v>
      </c>
    </row>
    <row r="72" spans="1:65">
      <c r="A72" s="149"/>
      <c r="B72" s="140" t="s">
        <v>45</v>
      </c>
      <c r="C72" s="27"/>
      <c r="D72" s="131" t="s">
        <v>19</v>
      </c>
      <c r="E72" s="141">
        <f t="shared" si="49"/>
        <v>-283.85795000000013</v>
      </c>
      <c r="F72" s="202">
        <f>SUMIFS(DETAILS!K$373:K$393,DETAILS!$C$373:$C$393,'CF1'!$D$2)/10^6</f>
        <v>0</v>
      </c>
      <c r="G72" s="202">
        <f>SUMIFS(DETAILS!L$373:L$393,DETAILS!$C$373:$C$393,'CF1'!$D$2)/10^6</f>
        <v>0</v>
      </c>
      <c r="H72" s="202">
        <f>SUMIFS(DETAILS!M$373:M$393,DETAILS!$C$373:$C$393,'CF1'!$D$2)/10^6</f>
        <v>0</v>
      </c>
      <c r="I72" s="202">
        <f>SUMIFS(DETAILS!N$373:N$393,DETAILS!$C$373:$C$393,'CF1'!$D$2)/10^6</f>
        <v>0</v>
      </c>
      <c r="J72" s="202">
        <f>SUMIFS(DETAILS!O$373:O$393,DETAILS!$C$373:$C$393,'CF1'!$D$2)/10^6</f>
        <v>0</v>
      </c>
      <c r="K72" s="202">
        <f>SUMIFS(DETAILS!P$373:P$393,DETAILS!$C$373:$C$393,'CF1'!$D$2)/10^6</f>
        <v>0</v>
      </c>
      <c r="L72" s="202">
        <f>SUMIFS(DETAILS!Q$373:Q$393,DETAILS!$C$373:$C$393,'CF1'!$D$2)/10^6</f>
        <v>0</v>
      </c>
      <c r="M72" s="202">
        <f>SUMIFS(DETAILS!R$373:R$393,DETAILS!$C$373:$C$393,'CF1'!$D$2)/10^6</f>
        <v>0</v>
      </c>
      <c r="N72" s="142">
        <f>SUMIFS(DETAILS!S$373:S$393,DETAILS!$C$373:$C$393,'CF1'!$D$2)/10^6</f>
        <v>0</v>
      </c>
      <c r="O72" s="142">
        <f>SUMIFS(DETAILS!T$373:T$393,DETAILS!$C$373:$C$393,'CF1'!$D$2)/10^6</f>
        <v>0</v>
      </c>
      <c r="P72" s="142">
        <f>SUMIFS(DETAILS!U$373:U$393,DETAILS!$C$373:$C$393,'CF1'!$D$2)/10^6</f>
        <v>-10</v>
      </c>
      <c r="Q72" s="142">
        <f>SUMIFS(DETAILS!V$373:V$393,DETAILS!$C$373:$C$393,'CF1'!$D$2)/10^6</f>
        <v>-15</v>
      </c>
      <c r="R72" s="142">
        <f>SUMIFS(DETAILS!W$373:W$393,DETAILS!$C$373:$C$393,'CF1'!$D$2)/10^6</f>
        <v>-12</v>
      </c>
      <c r="S72" s="142">
        <f>SUMIFS(DETAILS!X$373:X$393,DETAILS!$C$373:$C$393,'CF1'!$D$2)/10^6</f>
        <v>-18.989073076923077</v>
      </c>
      <c r="T72" s="142">
        <f>SUMIFS(DETAILS!Y$373:Y$393,DETAILS!$C$373:$C$393,'CF1'!$D$2)/10^6</f>
        <v>-18.989073076923077</v>
      </c>
      <c r="U72" s="142">
        <f>SUMIFS(DETAILS!Z$373:Z$393,DETAILS!$C$373:$C$393,'CF1'!$D$2)/10^6</f>
        <v>-18.989073076923077</v>
      </c>
      <c r="V72" s="142">
        <f>SUMIFS(DETAILS!AA$373:AA$393,DETAILS!$C$373:$C$393,'CF1'!$D$2)/10^6</f>
        <v>-18.989073076923077</v>
      </c>
      <c r="W72" s="142">
        <f>SUMIFS(DETAILS!AB$373:AB$393,DETAILS!$C$373:$C$393,'CF1'!$D$2)/10^6</f>
        <v>-18.989073076923077</v>
      </c>
      <c r="X72" s="142">
        <f>SUMIFS(DETAILS!AC$373:AC$393,DETAILS!$C$373:$C$393,'CF1'!$D$2)/10^6</f>
        <v>-18.989073076923077</v>
      </c>
      <c r="Y72" s="142">
        <f>SUMIFS(DETAILS!AD$373:AD$393,DETAILS!$C$373:$C$393,'CF1'!$D$2)/10^6</f>
        <v>-18.989073076923077</v>
      </c>
      <c r="Z72" s="142">
        <f>SUMIFS(DETAILS!AE$373:AE$393,DETAILS!$C$373:$C$393,'CF1'!$D$2)/10^6</f>
        <v>-18.989073076923077</v>
      </c>
      <c r="AA72" s="142">
        <f>SUMIFS(DETAILS!AF$373:AF$393,DETAILS!$C$373:$C$393,'CF1'!$D$2)/10^6</f>
        <v>-18.989073076923077</v>
      </c>
      <c r="AB72" s="142">
        <f>SUMIFS(DETAILS!AG$373:AG$393,DETAILS!$C$373:$C$393,'CF1'!$D$2)/10^6</f>
        <v>-18.989073076923077</v>
      </c>
      <c r="AC72" s="142">
        <f>SUMIFS(DETAILS!AH$373:AH$393,DETAILS!$C$373:$C$393,'CF1'!$D$2)/10^6</f>
        <v>-18.989073076923077</v>
      </c>
      <c r="AD72" s="142">
        <f>SUMIFS(DETAILS!AI$373:AI$393,DETAILS!$C$373:$C$393,'CF1'!$D$2)/10^6</f>
        <v>-18.989073076923077</v>
      </c>
      <c r="AE72" s="142">
        <f>SUMIFS(DETAILS!AJ$373:AJ$393,DETAILS!$C$373:$C$393,'CF1'!$D$2)/10^6</f>
        <v>-18.989073076923077</v>
      </c>
      <c r="AF72" s="142">
        <f>SUMIFS(DETAILS!AK$373:AK$393,DETAILS!$C$373:$C$393,'CF1'!$D$2)/10^6</f>
        <v>0</v>
      </c>
      <c r="AG72" s="142">
        <f>SUMIFS(DETAILS!AL$373:AL$393,DETAILS!$C$373:$C$393,'CF1'!$D$2)/10^6</f>
        <v>0</v>
      </c>
      <c r="AH72" s="142">
        <f>SUMIFS(DETAILS!AM$373:AM$393,DETAILS!$C$373:$C$393,'CF1'!$D$2)/10^6</f>
        <v>0</v>
      </c>
      <c r="AI72" s="142">
        <f>SUMIFS(DETAILS!AN$373:AN$393,DETAILS!$C$373:$C$393,'CF1'!$D$2)/10^6</f>
        <v>0</v>
      </c>
      <c r="AJ72" s="142">
        <f>SUMIFS(DETAILS!AO$373:AO$393,DETAILS!$C$373:$C$393,'CF1'!$D$2)/10^6</f>
        <v>0</v>
      </c>
      <c r="AK72" s="142">
        <f>SUMIFS(DETAILS!AP$373:AP$393,DETAILS!$C$373:$C$393,'CF1'!$D$2)/10^6</f>
        <v>0</v>
      </c>
      <c r="AL72" s="142">
        <f>SUMIFS(DETAILS!AQ$373:AQ$393,DETAILS!$C$373:$C$393,'CF1'!$D$2)/10^6</f>
        <v>0</v>
      </c>
      <c r="AM72" s="142">
        <f>SUMIFS(DETAILS!AR$373:AR$393,DETAILS!$C$373:$C$393,'CF1'!$D$2)/10^6</f>
        <v>0</v>
      </c>
      <c r="AN72" s="142">
        <f>SUMIFS(DETAILS!AS$373:AS$393,DETAILS!$C$373:$C$393,'CF1'!$D$2)/10^6</f>
        <v>0</v>
      </c>
      <c r="AO72" s="142">
        <f>SUMIFS(DETAILS!AT$373:AT$393,DETAILS!$C$373:$C$393,'CF1'!$D$2)/10^6</f>
        <v>0</v>
      </c>
      <c r="AP72" s="142">
        <f>SUMIFS(DETAILS!AU$373:AU$393,DETAILS!$C$373:$C$393,'CF1'!$D$2)/10^6</f>
        <v>0</v>
      </c>
      <c r="AQ72" s="142">
        <f>SUMIFS(DETAILS!AV$373:AV$393,DETAILS!$C$373:$C$393,'CF1'!$D$2)/10^6</f>
        <v>0</v>
      </c>
      <c r="AR72" s="142">
        <f>SUMIFS(DETAILS!AW$373:AW$393,DETAILS!$C$373:$C$393,'CF1'!$D$2)/10^6</f>
        <v>0</v>
      </c>
      <c r="AS72" s="142">
        <f>SUMIFS(DETAILS!AX$373:AX$393,DETAILS!$C$373:$C$393,'CF1'!$D$2)/10^6</f>
        <v>0</v>
      </c>
      <c r="AT72" s="142">
        <f>SUMIFS(DETAILS!AY$373:AY$393,DETAILS!$C$373:$C$393,'CF1'!$D$2)/10^6</f>
        <v>0</v>
      </c>
      <c r="AU72" s="142">
        <f>SUMIFS(DETAILS!AZ$373:AZ$393,DETAILS!$C$373:$C$393,'CF1'!$D$2)/10^6</f>
        <v>0</v>
      </c>
      <c r="AV72" s="142">
        <f>SUMIFS(DETAILS!BA$373:BA$393,DETAILS!$C$373:$C$393,'CF1'!$D$2)/10^6</f>
        <v>0</v>
      </c>
      <c r="AW72" s="142">
        <f>SUMIFS(DETAILS!BB$373:BB$393,DETAILS!$C$373:$C$393,'CF1'!$D$2)/10^6</f>
        <v>0</v>
      </c>
      <c r="AX72" s="142">
        <f>SUMIFS(DETAILS!BC$373:BC$393,DETAILS!$C$373:$C$393,'CF1'!$D$2)/10^6</f>
        <v>0</v>
      </c>
      <c r="AY72" s="142">
        <f>SUMIFS(DETAILS!BD$373:BD$393,DETAILS!$C$373:$C$393,'CF1'!$D$2)/10^6</f>
        <v>0</v>
      </c>
      <c r="AZ72" s="142">
        <f>SUMIFS(DETAILS!BE$373:BE$393,DETAILS!$C$373:$C$393,'CF1'!$D$2)/10^6</f>
        <v>0</v>
      </c>
      <c r="BA72" s="142">
        <f>SUMIFS(DETAILS!BF$373:BF$393,DETAILS!$C$373:$C$393,'CF1'!$D$2)/10^6</f>
        <v>0</v>
      </c>
      <c r="BB72" s="142">
        <f>SUMIFS(DETAILS!BG$373:BG$393,DETAILS!$C$373:$C$393,'CF1'!$D$2)/10^6</f>
        <v>0</v>
      </c>
      <c r="BC72" s="142">
        <f>SUMIFS(DETAILS!BH$373:BH$393,DETAILS!$C$373:$C$393,'CF1'!$D$2)/10^6</f>
        <v>0</v>
      </c>
      <c r="BD72" s="142">
        <f>SUMIFS(DETAILS!BI$373:BI$393,DETAILS!$C$373:$C$393,'CF1'!$D$2)/10^6</f>
        <v>0</v>
      </c>
      <c r="BE72" s="142">
        <f>SUMIFS(DETAILS!BJ$373:BJ$393,DETAILS!$C$373:$C$393,'CF1'!$D$2)/10^6</f>
        <v>0</v>
      </c>
      <c r="BF72" s="142">
        <f>SUMIFS(DETAILS!BK$373:BK$393,DETAILS!$C$373:$C$393,'CF1'!$D$2)/10^6</f>
        <v>0</v>
      </c>
      <c r="BG72" s="142">
        <f>SUMIFS(DETAILS!BL$373:BL$393,DETAILS!$C$373:$C$393,'CF1'!$D$2)/10^6</f>
        <v>0</v>
      </c>
      <c r="BH72" s="142">
        <f>SUMIFS(DETAILS!BM$373:BM$393,DETAILS!$C$373:$C$393,'CF1'!$D$2)/10^6</f>
        <v>0</v>
      </c>
      <c r="BI72" s="142">
        <f>SUMIFS(DETAILS!BN$373:BN$393,DETAILS!$C$373:$C$393,'CF1'!$D$2)/10^6</f>
        <v>0</v>
      </c>
      <c r="BJ72" s="142">
        <f>SUMIFS(DETAILS!BO$373:BO$393,DETAILS!$C$373:$C$393,'CF1'!$D$2)/10^6</f>
        <v>0</v>
      </c>
      <c r="BK72" s="142">
        <f>SUMIFS(DETAILS!BP$373:BP$393,DETAILS!$C$373:$C$393,'CF1'!$D$2)/10^6</f>
        <v>0</v>
      </c>
      <c r="BL72" s="142">
        <f>SUMIFS(DETAILS!BQ$373:BQ$393,DETAILS!$C$373:$C$393,'CF1'!$D$2)/10^6</f>
        <v>0</v>
      </c>
      <c r="BM72" s="142">
        <f>SUMIFS(DETAILS!BR$373:BR$393,DETAILS!$C$373:$C$393,'CF1'!$D$2)/10^6</f>
        <v>0</v>
      </c>
    </row>
    <row r="73" spans="1:65">
      <c r="A73" s="149"/>
      <c r="B73" s="140" t="s">
        <v>140</v>
      </c>
      <c r="C73" s="27"/>
      <c r="D73" s="131" t="s">
        <v>19</v>
      </c>
      <c r="E73" s="141">
        <f t="shared" si="49"/>
        <v>-730.06201048679418</v>
      </c>
      <c r="F73" s="202">
        <f>SUMIFS(DETAILS!K$362:K$371,DETAILS!$C$362:$C$371,'CF1'!$D$2)/10^6</f>
        <v>0</v>
      </c>
      <c r="G73" s="202">
        <f>SUMIFS(DETAILS!L$362:L$371,DETAILS!$C$362:$C$371,'CF1'!$D$2)/10^6</f>
        <v>0</v>
      </c>
      <c r="H73" s="202">
        <f>SUMIFS(DETAILS!M$362:M$371,DETAILS!$C$362:$C$371,'CF1'!$D$2)/10^6</f>
        <v>0</v>
      </c>
      <c r="I73" s="202">
        <f>SUMIFS(DETAILS!N$362:N$371,DETAILS!$C$362:$C$371,'CF1'!$D$2)/10^6</f>
        <v>0</v>
      </c>
      <c r="J73" s="202">
        <f>SUMIFS(DETAILS!O$362:O$371,DETAILS!$C$362:$C$371,'CF1'!$D$2)/10^6</f>
        <v>0</v>
      </c>
      <c r="K73" s="202">
        <f>SUMIFS(DETAILS!P$362:P$371,DETAILS!$C$362:$C$371,'CF1'!$D$2)/10^6</f>
        <v>0</v>
      </c>
      <c r="L73" s="202">
        <f>SUMIFS(DETAILS!Q$362:Q$371,DETAILS!$C$362:$C$371,'CF1'!$D$2)/10^6</f>
        <v>0</v>
      </c>
      <c r="M73" s="202">
        <f>SUMIFS(DETAILS!R$362:R$371,DETAILS!$C$362:$C$371,'CF1'!$D$2)/10^6</f>
        <v>0</v>
      </c>
      <c r="N73" s="142">
        <f>SUMIFS(DETAILS!S$362:S$371,DETAILS!$C$362:$C$371,'CF1'!$D$2)/10^6</f>
        <v>-36.503100524339708</v>
      </c>
      <c r="O73" s="142">
        <f>SUMIFS(DETAILS!T$362:T$371,DETAILS!$C$362:$C$371,'CF1'!$D$2)/10^6</f>
        <v>-36.503100524339708</v>
      </c>
      <c r="P73" s="142">
        <f>SUMIFS(DETAILS!U$362:U$371,DETAILS!$C$362:$C$371,'CF1'!$D$2)/10^6</f>
        <v>-36.503100524339708</v>
      </c>
      <c r="Q73" s="142">
        <f>SUMIFS(DETAILS!V$362:V$371,DETAILS!$C$362:$C$371,'CF1'!$D$2)/10^6</f>
        <v>-36.503100524339708</v>
      </c>
      <c r="R73" s="142">
        <f>SUMIFS(DETAILS!W$362:W$371,DETAILS!$C$362:$C$371,'CF1'!$D$2)/10^6</f>
        <v>-36.503100524339708</v>
      </c>
      <c r="S73" s="142">
        <f>SUMIFS(DETAILS!X$362:X$371,DETAILS!$C$362:$C$371,'CF1'!$D$2)/10^6</f>
        <v>-36.503100524339708</v>
      </c>
      <c r="T73" s="142">
        <f>SUMIFS(DETAILS!Y$362:Y$371,DETAILS!$C$362:$C$371,'CF1'!$D$2)/10^6</f>
        <v>-36.503100524339708</v>
      </c>
      <c r="U73" s="142">
        <f>SUMIFS(DETAILS!Z$362:Z$371,DETAILS!$C$362:$C$371,'CF1'!$D$2)/10^6</f>
        <v>-36.503100524339708</v>
      </c>
      <c r="V73" s="142">
        <f>SUMIFS(DETAILS!AA$362:AA$371,DETAILS!$C$362:$C$371,'CF1'!$D$2)/10^6</f>
        <v>-36.503100524339708</v>
      </c>
      <c r="W73" s="142">
        <f>SUMIFS(DETAILS!AB$362:AB$371,DETAILS!$C$362:$C$371,'CF1'!$D$2)/10^6</f>
        <v>-36.503100524339708</v>
      </c>
      <c r="X73" s="142">
        <f>SUMIFS(DETAILS!AC$362:AC$371,DETAILS!$C$362:$C$371,'CF1'!$D$2)/10^6</f>
        <v>-36.503100524339708</v>
      </c>
      <c r="Y73" s="142">
        <f>SUMIFS(DETAILS!AD$362:AD$371,DETAILS!$C$362:$C$371,'CF1'!$D$2)/10^6</f>
        <v>-36.503100524339708</v>
      </c>
      <c r="Z73" s="142">
        <f>SUMIFS(DETAILS!AE$362:AE$371,DETAILS!$C$362:$C$371,'CF1'!$D$2)/10^6</f>
        <v>-36.503100524339708</v>
      </c>
      <c r="AA73" s="142">
        <f>SUMIFS(DETAILS!AF$362:AF$371,DETAILS!$C$362:$C$371,'CF1'!$D$2)/10^6</f>
        <v>-36.503100524339708</v>
      </c>
      <c r="AB73" s="142">
        <f>SUMIFS(DETAILS!AG$362:AG$371,DETAILS!$C$362:$C$371,'CF1'!$D$2)/10^6</f>
        <v>-36.503100524339708</v>
      </c>
      <c r="AC73" s="142">
        <f>SUMIFS(DETAILS!AH$362:AH$371,DETAILS!$C$362:$C$371,'CF1'!$D$2)/10^6</f>
        <v>-36.503100524339708</v>
      </c>
      <c r="AD73" s="142">
        <f>SUMIFS(DETAILS!AI$362:AI$371,DETAILS!$C$362:$C$371,'CF1'!$D$2)/10^6</f>
        <v>-36.503100524339708</v>
      </c>
      <c r="AE73" s="142">
        <f>SUMIFS(DETAILS!AJ$362:AJ$371,DETAILS!$C$362:$C$371,'CF1'!$D$2)/10^6</f>
        <v>-36.503100524339708</v>
      </c>
      <c r="AF73" s="142">
        <f>SUMIFS(DETAILS!AK$362:AK$371,DETAILS!$C$362:$C$371,'CF1'!$D$2)/10^6</f>
        <v>-36.503100524339708</v>
      </c>
      <c r="AG73" s="142">
        <f>SUMIFS(DETAILS!AL$362:AL$371,DETAILS!$C$362:$C$371,'CF1'!$D$2)/10^6</f>
        <v>-36.503100524339708</v>
      </c>
      <c r="AH73" s="142">
        <f>SUMIFS(DETAILS!AM$362:AM$371,DETAILS!$C$362:$C$371,'CF1'!$D$2)/10^6</f>
        <v>0</v>
      </c>
      <c r="AI73" s="142">
        <f>SUMIFS(DETAILS!AN$362:AN$371,DETAILS!$C$362:$C$371,'CF1'!$D$2)/10^6</f>
        <v>0</v>
      </c>
      <c r="AJ73" s="142">
        <f>SUMIFS(DETAILS!AO$362:AO$371,DETAILS!$C$362:$C$371,'CF1'!$D$2)/10^6</f>
        <v>0</v>
      </c>
      <c r="AK73" s="142">
        <f>SUMIFS(DETAILS!AP$362:AP$371,DETAILS!$C$362:$C$371,'CF1'!$D$2)/10^6</f>
        <v>0</v>
      </c>
      <c r="AL73" s="142">
        <f>SUMIFS(DETAILS!AQ$362:AQ$371,DETAILS!$C$362:$C$371,'CF1'!$D$2)/10^6</f>
        <v>0</v>
      </c>
      <c r="AM73" s="142">
        <f>SUMIFS(DETAILS!AR$362:AR$371,DETAILS!$C$362:$C$371,'CF1'!$D$2)/10^6</f>
        <v>0</v>
      </c>
      <c r="AN73" s="142">
        <f>SUMIFS(DETAILS!AS$362:AS$371,DETAILS!$C$362:$C$371,'CF1'!$D$2)/10^6</f>
        <v>0</v>
      </c>
      <c r="AO73" s="142">
        <f>SUMIFS(DETAILS!AT$362:AT$371,DETAILS!$C$362:$C$371,'CF1'!$D$2)/10^6</f>
        <v>0</v>
      </c>
      <c r="AP73" s="142">
        <f>SUMIFS(DETAILS!AU$362:AU$371,DETAILS!$C$362:$C$371,'CF1'!$D$2)/10^6</f>
        <v>0</v>
      </c>
      <c r="AQ73" s="142">
        <f>SUMIFS(DETAILS!AV$362:AV$371,DETAILS!$C$362:$C$371,'CF1'!$D$2)/10^6</f>
        <v>0</v>
      </c>
      <c r="AR73" s="142">
        <f>SUMIFS(DETAILS!AW$362:AW$371,DETAILS!$C$362:$C$371,'CF1'!$D$2)/10^6</f>
        <v>0</v>
      </c>
      <c r="AS73" s="142">
        <f>SUMIFS(DETAILS!AX$362:AX$371,DETAILS!$C$362:$C$371,'CF1'!$D$2)/10^6</f>
        <v>0</v>
      </c>
      <c r="AT73" s="142">
        <f>SUMIFS(DETAILS!AY$362:AY$371,DETAILS!$C$362:$C$371,'CF1'!$D$2)/10^6</f>
        <v>0</v>
      </c>
      <c r="AU73" s="142">
        <f>SUMIFS(DETAILS!AZ$362:AZ$371,DETAILS!$C$362:$C$371,'CF1'!$D$2)/10^6</f>
        <v>0</v>
      </c>
      <c r="AV73" s="142">
        <f>SUMIFS(DETAILS!BA$362:BA$371,DETAILS!$C$362:$C$371,'CF1'!$D$2)/10^6</f>
        <v>0</v>
      </c>
      <c r="AW73" s="142">
        <f>SUMIFS(DETAILS!BB$362:BB$371,DETAILS!$C$362:$C$371,'CF1'!$D$2)/10^6</f>
        <v>0</v>
      </c>
      <c r="AX73" s="142">
        <f>SUMIFS(DETAILS!BC$362:BC$371,DETAILS!$C$362:$C$371,'CF1'!$D$2)/10^6</f>
        <v>0</v>
      </c>
      <c r="AY73" s="142">
        <f>SUMIFS(DETAILS!BD$362:BD$371,DETAILS!$C$362:$C$371,'CF1'!$D$2)/10^6</f>
        <v>0</v>
      </c>
      <c r="AZ73" s="142">
        <f>SUMIFS(DETAILS!BE$362:BE$371,DETAILS!$C$362:$C$371,'CF1'!$D$2)/10^6</f>
        <v>0</v>
      </c>
      <c r="BA73" s="142">
        <f>SUMIFS(DETAILS!BF$362:BF$371,DETAILS!$C$362:$C$371,'CF1'!$D$2)/10^6</f>
        <v>0</v>
      </c>
      <c r="BB73" s="142">
        <f>SUMIFS(DETAILS!BG$362:BG$371,DETAILS!$C$362:$C$371,'CF1'!$D$2)/10^6</f>
        <v>0</v>
      </c>
      <c r="BC73" s="142">
        <f>SUMIFS(DETAILS!BH$362:BH$371,DETAILS!$C$362:$C$371,'CF1'!$D$2)/10^6</f>
        <v>0</v>
      </c>
      <c r="BD73" s="142">
        <f>SUMIFS(DETAILS!BI$362:BI$371,DETAILS!$C$362:$C$371,'CF1'!$D$2)/10^6</f>
        <v>0</v>
      </c>
      <c r="BE73" s="142">
        <f>SUMIFS(DETAILS!BJ$362:BJ$371,DETAILS!$C$362:$C$371,'CF1'!$D$2)/10^6</f>
        <v>0</v>
      </c>
      <c r="BF73" s="142">
        <f>SUMIFS(DETAILS!BK$362:BK$371,DETAILS!$C$362:$C$371,'CF1'!$D$2)/10^6</f>
        <v>0</v>
      </c>
      <c r="BG73" s="142">
        <f>SUMIFS(DETAILS!BL$362:BL$371,DETAILS!$C$362:$C$371,'CF1'!$D$2)/10^6</f>
        <v>0</v>
      </c>
      <c r="BH73" s="142">
        <f>SUMIFS(DETAILS!BM$362:BM$371,DETAILS!$C$362:$C$371,'CF1'!$D$2)/10^6</f>
        <v>0</v>
      </c>
      <c r="BI73" s="142">
        <f>SUMIFS(DETAILS!BN$362:BN$371,DETAILS!$C$362:$C$371,'CF1'!$D$2)/10^6</f>
        <v>0</v>
      </c>
      <c r="BJ73" s="142">
        <f>SUMIFS(DETAILS!BO$362:BO$371,DETAILS!$C$362:$C$371,'CF1'!$D$2)/10^6</f>
        <v>0</v>
      </c>
      <c r="BK73" s="142">
        <f>SUMIFS(DETAILS!BP$362:BP$371,DETAILS!$C$362:$C$371,'CF1'!$D$2)/10^6</f>
        <v>0</v>
      </c>
      <c r="BL73" s="142">
        <f>SUMIFS(DETAILS!BQ$362:BQ$371,DETAILS!$C$362:$C$371,'CF1'!$D$2)/10^6</f>
        <v>0</v>
      </c>
      <c r="BM73" s="142">
        <f>SUMIFS(DETAILS!BR$362:BR$371,DETAILS!$C$362:$C$371,'CF1'!$D$2)/10^6</f>
        <v>0</v>
      </c>
    </row>
    <row r="74" spans="1:65">
      <c r="A74" s="149"/>
      <c r="B74" s="140" t="s">
        <v>35</v>
      </c>
      <c r="C74" s="27"/>
      <c r="D74" s="131" t="s">
        <v>19</v>
      </c>
      <c r="E74" s="141">
        <f t="shared" si="49"/>
        <v>-357.87353455234989</v>
      </c>
      <c r="F74" s="202">
        <f>SUM(F63:F72)*'DB1'!$F$42</f>
        <v>0</v>
      </c>
      <c r="G74" s="202">
        <f>SUM(G63:G72)*'DB1'!$F$42</f>
        <v>0</v>
      </c>
      <c r="H74" s="202">
        <f>SUM(H63:H72)*'DB1'!$F$42</f>
        <v>0</v>
      </c>
      <c r="I74" s="202">
        <f>SUM(I63:I72)*'DB1'!$F$42</f>
        <v>0</v>
      </c>
      <c r="J74" s="202">
        <f>SUM(J63:J72)*'DB1'!$F$42</f>
        <v>0</v>
      </c>
      <c r="K74" s="202">
        <f>SUM(K63:K72)*'DB1'!$F$42</f>
        <v>0</v>
      </c>
      <c r="L74" s="202">
        <f>SUM(L63:L72)*'DB1'!$F$42</f>
        <v>0</v>
      </c>
      <c r="M74" s="202">
        <f>SUM(M63:M72)*'DB1'!$F$42</f>
        <v>0</v>
      </c>
      <c r="N74" s="142">
        <f>SUM(N63:N72)*'DB1'!$F$42</f>
        <v>-0.69641831333333326</v>
      </c>
      <c r="O74" s="142">
        <f>SUM(O63:O72)*'DB1'!$F$42</f>
        <v>-1.6598983133333334</v>
      </c>
      <c r="P74" s="142">
        <f>SUM(P63:P72)*'DB1'!$F$42</f>
        <v>-6.0276983133333326</v>
      </c>
      <c r="Q74" s="142">
        <f>SUM(Q63:Q72)*'DB1'!$F$42</f>
        <v>-11.520860813333334</v>
      </c>
      <c r="R74" s="142">
        <f>SUM(R63:R72)*'DB1'!$F$42</f>
        <v>-16.630785753333335</v>
      </c>
      <c r="S74" s="142">
        <f>SUM(S63:S72)*'DB1'!$F$42</f>
        <v>-16.866415707138465</v>
      </c>
      <c r="T74" s="142">
        <f>SUM(T63:T72)*'DB1'!$F$42</f>
        <v>-24.964865431538456</v>
      </c>
      <c r="U74" s="142">
        <f>SUM(U63:U72)*'DB1'!$F$42</f>
        <v>-25.053437398205119</v>
      </c>
      <c r="V74" s="142">
        <f>SUM(V63:V72)*'DB1'!$F$42</f>
        <v>-25.053437398205119</v>
      </c>
      <c r="W74" s="142">
        <f>SUM(W63:W72)*'DB1'!$F$42</f>
        <v>-24.961437398205121</v>
      </c>
      <c r="X74" s="142">
        <f>SUM(X63:X72)*'DB1'!$F$42</f>
        <v>-24.915437398205121</v>
      </c>
      <c r="Y74" s="142">
        <f>SUM(Y63:Y72)*'DB1'!$F$42</f>
        <v>-24.915437398205121</v>
      </c>
      <c r="Z74" s="142">
        <f>SUM(Z63:Z72)*'DB1'!$F$42</f>
        <v>-24.915437398205121</v>
      </c>
      <c r="AA74" s="142">
        <f>SUM(AA63:AA72)*'DB1'!$F$42</f>
        <v>-24.915437398205121</v>
      </c>
      <c r="AB74" s="142">
        <f>SUM(AB63:AB72)*'DB1'!$F$42</f>
        <v>-24.915437398205121</v>
      </c>
      <c r="AC74" s="142">
        <f>SUM(AC63:AC72)*'DB1'!$F$42</f>
        <v>-28.520983471538457</v>
      </c>
      <c r="AD74" s="142">
        <f>SUM(AD63:AD72)*'DB1'!$F$42</f>
        <v>-26.154412378205119</v>
      </c>
      <c r="AE74" s="142">
        <f>SUM(AE63:AE72)*'DB1'!$F$42</f>
        <v>-24.915437398205121</v>
      </c>
      <c r="AF74" s="142">
        <f>SUM(AF63:AF72)*'DB1'!$F$42</f>
        <v>-0.14913446666666669</v>
      </c>
      <c r="AG74" s="142">
        <f>SUM(AG63:AG72)*'DB1'!$F$42</f>
        <v>-6.0562500000000005E-2</v>
      </c>
      <c r="AH74" s="142">
        <f>SUM(AH63:AH72)*'DB1'!$F$42</f>
        <v>-6.0562500000000005E-2</v>
      </c>
      <c r="AI74" s="142">
        <f>SUM(AI63:AI72)*'DB1'!$F$42</f>
        <v>-6.7500000000000001E-9</v>
      </c>
      <c r="AJ74" s="142">
        <f>SUM(AJ63:AJ72)*'DB1'!$F$42</f>
        <v>0</v>
      </c>
      <c r="AK74" s="142">
        <f>SUM(AK63:AK72)*'DB1'!$F$42</f>
        <v>0</v>
      </c>
      <c r="AL74" s="142">
        <f>SUM(AL63:AL72)*'DB1'!$F$42</f>
        <v>0</v>
      </c>
      <c r="AM74" s="142">
        <f>SUM(AM63:AM72)*'DB1'!$F$42</f>
        <v>0</v>
      </c>
      <c r="AN74" s="142">
        <f>SUM(AN63:AN72)*'DB1'!$F$42</f>
        <v>0</v>
      </c>
      <c r="AO74" s="142">
        <f>SUM(AO63:AO72)*'DB1'!$F$42</f>
        <v>0</v>
      </c>
      <c r="AP74" s="142">
        <f>SUM(AP63:AP72)*'DB1'!$F$42</f>
        <v>0</v>
      </c>
      <c r="AQ74" s="142">
        <f>SUM(AQ63:AQ72)*'DB1'!$F$42</f>
        <v>0</v>
      </c>
      <c r="AR74" s="142">
        <f>SUM(AR63:AR72)*'DB1'!$F$42</f>
        <v>0</v>
      </c>
      <c r="AS74" s="142">
        <f>SUM(AS63:AS72)*'DB1'!$F$42</f>
        <v>0</v>
      </c>
      <c r="AT74" s="142">
        <f>SUM(AT63:AT72)*'DB1'!$F$42</f>
        <v>0</v>
      </c>
      <c r="AU74" s="142">
        <f>SUM(AU63:AU72)*'DB1'!$F$42</f>
        <v>0</v>
      </c>
      <c r="AV74" s="142">
        <f>SUM(AV63:AV72)*'DB1'!$F$42</f>
        <v>0</v>
      </c>
      <c r="AW74" s="142">
        <f>SUM(AW63:AW72)*'DB1'!$F$42</f>
        <v>0</v>
      </c>
      <c r="AX74" s="142">
        <f>SUM(AX63:AX72)*'DB1'!$F$42</f>
        <v>0</v>
      </c>
      <c r="AY74" s="142">
        <f>SUM(AY63:AY72)*'DB1'!$F$42</f>
        <v>0</v>
      </c>
      <c r="AZ74" s="142">
        <f>SUM(AZ63:AZ72)*'DB1'!$F$42</f>
        <v>0</v>
      </c>
      <c r="BA74" s="142">
        <f>SUM(BA63:BA72)*'DB1'!$F$42</f>
        <v>0</v>
      </c>
      <c r="BB74" s="142">
        <f>SUM(BB63:BB72)*'DB1'!$F$42</f>
        <v>0</v>
      </c>
      <c r="BC74" s="142">
        <f>SUM(BC63:BC72)*'DB1'!$F$42</f>
        <v>0</v>
      </c>
      <c r="BD74" s="142">
        <f>SUM(BD63:BD72)*'DB1'!$F$42</f>
        <v>0</v>
      </c>
      <c r="BE74" s="142">
        <f>SUM(BE63:BE72)*'DB1'!$F$42</f>
        <v>0</v>
      </c>
      <c r="BF74" s="142">
        <f>SUM(BF63:BF72)*'DB1'!$F$42</f>
        <v>0</v>
      </c>
      <c r="BG74" s="142">
        <f>SUM(BG63:BG72)*'DB1'!$F$42</f>
        <v>0</v>
      </c>
      <c r="BH74" s="142">
        <f>SUM(BH63:BH72)*'DB1'!$F$42</f>
        <v>0</v>
      </c>
      <c r="BI74" s="142">
        <f>SUM(BI63:BI72)*'DB1'!$F$42</f>
        <v>0</v>
      </c>
      <c r="BJ74" s="142">
        <f>SUM(BJ63:BJ72)*'DB1'!$F$42</f>
        <v>0</v>
      </c>
      <c r="BK74" s="142">
        <f>SUM(BK63:BK72)*'DB1'!$F$42</f>
        <v>0</v>
      </c>
      <c r="BL74" s="142">
        <f>SUM(BL63:BL72)*'DB1'!$F$42</f>
        <v>0</v>
      </c>
      <c r="BM74" s="142">
        <f>SUM(BM63:BM72)*'DB1'!$F$42</f>
        <v>0</v>
      </c>
    </row>
    <row r="75" spans="1:65">
      <c r="E75" s="143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44"/>
      <c r="AH75" s="144"/>
      <c r="AI75" s="144"/>
      <c r="AJ75" s="144"/>
      <c r="AK75" s="144"/>
      <c r="AL75" s="144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  <c r="AY75" s="144"/>
      <c r="AZ75" s="144"/>
      <c r="BA75" s="144"/>
      <c r="BB75" s="144"/>
      <c r="BC75" s="144"/>
      <c r="BD75" s="144"/>
      <c r="BE75" s="144"/>
      <c r="BF75" s="144"/>
      <c r="BG75" s="144"/>
      <c r="BH75" s="144"/>
      <c r="BI75" s="144"/>
      <c r="BJ75" s="144"/>
      <c r="BK75" s="144"/>
      <c r="BL75" s="144"/>
      <c r="BM75" s="144"/>
    </row>
    <row r="76" spans="1:65">
      <c r="A76" s="124"/>
      <c r="B76" s="177" t="s">
        <v>55</v>
      </c>
      <c r="C76" s="177"/>
      <c r="D76" s="178" t="s">
        <v>19</v>
      </c>
      <c r="E76" s="180">
        <f>SUM(F76:BM76)</f>
        <v>14204.29401502819</v>
      </c>
      <c r="F76" s="180">
        <f t="shared" ref="F76:AK76" si="52">F34+F50+F59</f>
        <v>-0.18152285999999998</v>
      </c>
      <c r="G76" s="180">
        <f t="shared" si="52"/>
        <v>-0.55836329000000007</v>
      </c>
      <c r="H76" s="180">
        <f t="shared" si="52"/>
        <v>-0.28356999999999999</v>
      </c>
      <c r="I76" s="180">
        <f t="shared" si="52"/>
        <v>-0.29047000000000001</v>
      </c>
      <c r="J76" s="180">
        <f t="shared" si="52"/>
        <v>-0.33546999999999999</v>
      </c>
      <c r="K76" s="180">
        <f t="shared" si="52"/>
        <v>-0.3448</v>
      </c>
      <c r="L76" s="180">
        <f t="shared" si="52"/>
        <v>-0.63933561999999999</v>
      </c>
      <c r="M76" s="180">
        <f t="shared" si="52"/>
        <v>-0.68847999999999998</v>
      </c>
      <c r="N76" s="180">
        <f t="shared" si="52"/>
        <v>-77.366811855032026</v>
      </c>
      <c r="O76" s="180">
        <f t="shared" si="52"/>
        <v>-132.296291855032</v>
      </c>
      <c r="P76" s="180">
        <f t="shared" si="52"/>
        <v>-3372.5540918550319</v>
      </c>
      <c r="Q76" s="180">
        <f t="shared" si="52"/>
        <v>-631.20537935503205</v>
      </c>
      <c r="R76" s="180">
        <f t="shared" si="52"/>
        <v>-905.60355129503216</v>
      </c>
      <c r="S76" s="180">
        <f t="shared" si="52"/>
        <v>-1508.6352442507916</v>
      </c>
      <c r="T76" s="180">
        <f t="shared" si="52"/>
        <v>-2283.2434930711083</v>
      </c>
      <c r="U76" s="180">
        <f t="shared" si="52"/>
        <v>-2028.2557730251021</v>
      </c>
      <c r="V76" s="180">
        <f t="shared" si="52"/>
        <v>-2037.4864392117659</v>
      </c>
      <c r="W76" s="180">
        <f t="shared" si="52"/>
        <v>-1466.3885097394329</v>
      </c>
      <c r="X76" s="180">
        <f t="shared" si="52"/>
        <v>-1476.2397564801356</v>
      </c>
      <c r="Y76" s="180">
        <f t="shared" si="52"/>
        <v>-1480.1374042291518</v>
      </c>
      <c r="Z76" s="180">
        <f t="shared" si="52"/>
        <v>-1488.8411422831575</v>
      </c>
      <c r="AA76" s="180">
        <f t="shared" si="52"/>
        <v>-1493.1029262223335</v>
      </c>
      <c r="AB76" s="180">
        <f t="shared" si="52"/>
        <v>-1506.9300902545681</v>
      </c>
      <c r="AC76" s="180">
        <f t="shared" si="52"/>
        <v>-1697.3612962458997</v>
      </c>
      <c r="AD76" s="180">
        <f t="shared" si="52"/>
        <v>-1588.8305527194032</v>
      </c>
      <c r="AE76" s="180">
        <f t="shared" si="52"/>
        <v>-1562.1913840222755</v>
      </c>
      <c r="AF76" s="180">
        <f t="shared" si="52"/>
        <v>24048.254294852584</v>
      </c>
      <c r="AG76" s="180">
        <f t="shared" si="52"/>
        <v>3225.0350158437191</v>
      </c>
      <c r="AH76" s="180">
        <f t="shared" si="52"/>
        <v>3216.6415092509319</v>
      </c>
      <c r="AI76" s="180">
        <f t="shared" si="52"/>
        <v>2017.6631334191429</v>
      </c>
      <c r="AJ76" s="180">
        <f t="shared" si="52"/>
        <v>2069.3682228633929</v>
      </c>
      <c r="AK76" s="180">
        <f t="shared" si="52"/>
        <v>2069.3682228633929</v>
      </c>
      <c r="AL76" s="180">
        <f t="shared" ref="AL76:BM76" si="53">AL34+AL50+AL59</f>
        <v>2069.5482228633932</v>
      </c>
      <c r="AM76" s="180">
        <f t="shared" si="53"/>
        <v>1785.8367286007885</v>
      </c>
      <c r="AN76" s="180">
        <f t="shared" si="53"/>
        <v>465.55703507630631</v>
      </c>
      <c r="AO76" s="180">
        <f t="shared" si="53"/>
        <v>-22.986220865173131</v>
      </c>
      <c r="AP76" s="180">
        <f t="shared" si="53"/>
        <v>0</v>
      </c>
      <c r="AQ76" s="180">
        <f t="shared" si="53"/>
        <v>0</v>
      </c>
      <c r="AR76" s="180">
        <f t="shared" si="53"/>
        <v>0</v>
      </c>
      <c r="AS76" s="180">
        <f t="shared" si="53"/>
        <v>0</v>
      </c>
      <c r="AT76" s="180">
        <f t="shared" si="53"/>
        <v>0</v>
      </c>
      <c r="AU76" s="180">
        <f t="shared" si="53"/>
        <v>0</v>
      </c>
      <c r="AV76" s="180">
        <f t="shared" si="53"/>
        <v>0</v>
      </c>
      <c r="AW76" s="180">
        <f t="shared" si="53"/>
        <v>0</v>
      </c>
      <c r="AX76" s="180">
        <f t="shared" si="53"/>
        <v>0</v>
      </c>
      <c r="AY76" s="180">
        <f t="shared" si="53"/>
        <v>0</v>
      </c>
      <c r="AZ76" s="180">
        <f t="shared" si="53"/>
        <v>0</v>
      </c>
      <c r="BA76" s="180">
        <f t="shared" si="53"/>
        <v>0</v>
      </c>
      <c r="BB76" s="180">
        <f t="shared" si="53"/>
        <v>0</v>
      </c>
      <c r="BC76" s="180">
        <f t="shared" si="53"/>
        <v>0</v>
      </c>
      <c r="BD76" s="180">
        <f t="shared" si="53"/>
        <v>0</v>
      </c>
      <c r="BE76" s="180">
        <f t="shared" si="53"/>
        <v>0</v>
      </c>
      <c r="BF76" s="180">
        <f t="shared" si="53"/>
        <v>0</v>
      </c>
      <c r="BG76" s="180">
        <f t="shared" si="53"/>
        <v>0</v>
      </c>
      <c r="BH76" s="180">
        <f t="shared" si="53"/>
        <v>0</v>
      </c>
      <c r="BI76" s="180">
        <f t="shared" si="53"/>
        <v>0</v>
      </c>
      <c r="BJ76" s="180">
        <f t="shared" si="53"/>
        <v>0</v>
      </c>
      <c r="BK76" s="180">
        <f t="shared" si="53"/>
        <v>0</v>
      </c>
      <c r="BL76" s="180">
        <f t="shared" si="53"/>
        <v>0</v>
      </c>
      <c r="BM76" s="180">
        <f t="shared" si="53"/>
        <v>0</v>
      </c>
    </row>
    <row r="77" spans="1:65">
      <c r="E77" s="143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  <c r="AK77" s="144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  <c r="AY77" s="144"/>
      <c r="AZ77" s="144"/>
      <c r="BA77" s="144"/>
      <c r="BB77" s="144"/>
      <c r="BC77" s="144"/>
      <c r="BD77" s="144"/>
      <c r="BE77" s="144"/>
      <c r="BF77" s="144"/>
      <c r="BG77" s="144"/>
      <c r="BH77" s="144"/>
      <c r="BI77" s="144"/>
      <c r="BJ77" s="144"/>
      <c r="BK77" s="144"/>
      <c r="BL77" s="144"/>
      <c r="BM77" s="144"/>
    </row>
    <row r="78" spans="1:65">
      <c r="E78" s="143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  <c r="AX78" s="144"/>
      <c r="AY78" s="144"/>
      <c r="AZ78" s="144"/>
      <c r="BA78" s="144"/>
      <c r="BB78" s="144"/>
      <c r="BC78" s="144"/>
      <c r="BD78" s="144"/>
      <c r="BE78" s="144"/>
      <c r="BF78" s="144"/>
      <c r="BG78" s="144"/>
      <c r="BH78" s="144"/>
      <c r="BI78" s="144"/>
      <c r="BJ78" s="144"/>
      <c r="BK78" s="144"/>
      <c r="BL78" s="144"/>
      <c r="BM78" s="144"/>
    </row>
    <row r="79" spans="1:65">
      <c r="A79" s="124"/>
      <c r="B79" s="177" t="s">
        <v>56</v>
      </c>
      <c r="C79" s="177"/>
      <c r="D79" s="178" t="s">
        <v>19</v>
      </c>
      <c r="E79" s="179">
        <f t="shared" ref="E79:E107" si="54">SUM(F79:BM79)</f>
        <v>-6991.9295433416155</v>
      </c>
      <c r="F79" s="180">
        <f t="shared" ref="F79:AK79" si="55">SUM(F81:F82,F85,F87:F88,F95:F96,F91,F93,F101,F99,F104,F106:F107)</f>
        <v>0.2</v>
      </c>
      <c r="G79" s="180">
        <f t="shared" si="55"/>
        <v>0.6</v>
      </c>
      <c r="H79" s="180">
        <f t="shared" si="55"/>
        <v>0.6</v>
      </c>
      <c r="I79" s="180">
        <f t="shared" si="55"/>
        <v>0.3</v>
      </c>
      <c r="J79" s="180">
        <f t="shared" si="55"/>
        <v>0</v>
      </c>
      <c r="K79" s="180">
        <f t="shared" si="55"/>
        <v>0.8</v>
      </c>
      <c r="L79" s="180">
        <f t="shared" si="55"/>
        <v>0.6</v>
      </c>
      <c r="M79" s="180">
        <f t="shared" si="55"/>
        <v>1.07</v>
      </c>
      <c r="N79" s="180">
        <f t="shared" si="55"/>
        <v>77.372950085032031</v>
      </c>
      <c r="O79" s="180">
        <f t="shared" si="55"/>
        <v>131.44216539503199</v>
      </c>
      <c r="P79" s="180">
        <f t="shared" si="55"/>
        <v>3372.5540918550319</v>
      </c>
      <c r="Q79" s="180">
        <f t="shared" si="55"/>
        <v>631.20537935503205</v>
      </c>
      <c r="R79" s="180">
        <f t="shared" si="55"/>
        <v>905.60355129503216</v>
      </c>
      <c r="S79" s="180">
        <f t="shared" si="55"/>
        <v>1508.6352442507916</v>
      </c>
      <c r="T79" s="180">
        <f t="shared" si="55"/>
        <v>2283.2434930711088</v>
      </c>
      <c r="U79" s="180">
        <f t="shared" si="55"/>
        <v>2028.2557730251017</v>
      </c>
      <c r="V79" s="180">
        <f t="shared" si="55"/>
        <v>2037.4864392117659</v>
      </c>
      <c r="W79" s="180">
        <f t="shared" si="55"/>
        <v>1466.3885097394329</v>
      </c>
      <c r="X79" s="180">
        <f t="shared" si="55"/>
        <v>1476.2397564801356</v>
      </c>
      <c r="Y79" s="180">
        <f t="shared" si="55"/>
        <v>1480.1374042291518</v>
      </c>
      <c r="Z79" s="180">
        <f t="shared" si="55"/>
        <v>1488.8411422831575</v>
      </c>
      <c r="AA79" s="180">
        <f t="shared" si="55"/>
        <v>1493.1029262223335</v>
      </c>
      <c r="AB79" s="180">
        <f t="shared" si="55"/>
        <v>1506.9300902545681</v>
      </c>
      <c r="AC79" s="180">
        <f t="shared" si="55"/>
        <v>1697.3612962458997</v>
      </c>
      <c r="AD79" s="180">
        <f t="shared" si="55"/>
        <v>1588.8305527194032</v>
      </c>
      <c r="AE79" s="180">
        <f t="shared" si="55"/>
        <v>1562.1913840222755</v>
      </c>
      <c r="AF79" s="180">
        <f t="shared" si="55"/>
        <v>-23740.982996231018</v>
      </c>
      <c r="AG79" s="180">
        <f t="shared" si="55"/>
        <v>-2913.7181598722068</v>
      </c>
      <c r="AH79" s="180">
        <f t="shared" si="55"/>
        <v>-2770.3024083630812</v>
      </c>
      <c r="AI79" s="180">
        <f t="shared" si="55"/>
        <v>-1685.4048433510732</v>
      </c>
      <c r="AJ79" s="180">
        <f t="shared" si="55"/>
        <v>-1848.5636582145582</v>
      </c>
      <c r="AK79" s="180">
        <f t="shared" si="55"/>
        <v>-772.9496270499651</v>
      </c>
      <c r="AL79" s="180">
        <f t="shared" ref="AL79:BM79" si="56">SUM(AL81:AL82,AL85,AL87:AL88,AL95:AL96,AL91,AL93,AL101,AL99,AL104,AL106:AL107)</f>
        <v>0</v>
      </c>
      <c r="AM79" s="180">
        <f t="shared" si="56"/>
        <v>0</v>
      </c>
      <c r="AN79" s="180">
        <f t="shared" si="56"/>
        <v>0</v>
      </c>
      <c r="AO79" s="180">
        <f t="shared" si="56"/>
        <v>0</v>
      </c>
      <c r="AP79" s="180">
        <f t="shared" si="56"/>
        <v>0</v>
      </c>
      <c r="AQ79" s="180">
        <f t="shared" si="56"/>
        <v>0</v>
      </c>
      <c r="AR79" s="180">
        <f t="shared" si="56"/>
        <v>0</v>
      </c>
      <c r="AS79" s="180">
        <f t="shared" si="56"/>
        <v>0</v>
      </c>
      <c r="AT79" s="180">
        <f t="shared" si="56"/>
        <v>0</v>
      </c>
      <c r="AU79" s="180">
        <f t="shared" si="56"/>
        <v>0</v>
      </c>
      <c r="AV79" s="180">
        <f t="shared" si="56"/>
        <v>0</v>
      </c>
      <c r="AW79" s="180">
        <f t="shared" si="56"/>
        <v>0</v>
      </c>
      <c r="AX79" s="180">
        <f t="shared" si="56"/>
        <v>0</v>
      </c>
      <c r="AY79" s="180">
        <f t="shared" si="56"/>
        <v>0</v>
      </c>
      <c r="AZ79" s="180">
        <f t="shared" si="56"/>
        <v>0</v>
      </c>
      <c r="BA79" s="180">
        <f t="shared" si="56"/>
        <v>0</v>
      </c>
      <c r="BB79" s="180">
        <f t="shared" si="56"/>
        <v>0</v>
      </c>
      <c r="BC79" s="180">
        <f t="shared" si="56"/>
        <v>0</v>
      </c>
      <c r="BD79" s="180">
        <f t="shared" si="56"/>
        <v>0</v>
      </c>
      <c r="BE79" s="180">
        <f t="shared" si="56"/>
        <v>0</v>
      </c>
      <c r="BF79" s="180">
        <f t="shared" si="56"/>
        <v>0</v>
      </c>
      <c r="BG79" s="180">
        <f t="shared" si="56"/>
        <v>0</v>
      </c>
      <c r="BH79" s="180">
        <f t="shared" si="56"/>
        <v>0</v>
      </c>
      <c r="BI79" s="180">
        <f t="shared" si="56"/>
        <v>0</v>
      </c>
      <c r="BJ79" s="180">
        <f t="shared" si="56"/>
        <v>0</v>
      </c>
      <c r="BK79" s="180">
        <f t="shared" si="56"/>
        <v>0</v>
      </c>
      <c r="BL79" s="180">
        <f t="shared" si="56"/>
        <v>0</v>
      </c>
      <c r="BM79" s="180">
        <f t="shared" si="56"/>
        <v>0</v>
      </c>
    </row>
    <row r="80" spans="1:65">
      <c r="B80" s="145" t="s">
        <v>75</v>
      </c>
      <c r="C80" s="27"/>
      <c r="D80" s="131" t="s">
        <v>19</v>
      </c>
      <c r="E80" s="141">
        <f t="shared" si="54"/>
        <v>0</v>
      </c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2"/>
      <c r="AU80" s="142"/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</row>
    <row r="81" spans="2:65">
      <c r="B81" s="27"/>
      <c r="C81" s="28" t="s">
        <v>57</v>
      </c>
      <c r="D81" s="131" t="s">
        <v>19</v>
      </c>
      <c r="E81" s="141">
        <f t="shared" si="54"/>
        <v>382.39009605994522</v>
      </c>
      <c r="F81" s="202">
        <f>SUMIFS(DETAILS!K$27:K$36,DETAILS!$C$27:$C$36,'CF1'!$D$2)/10^6</f>
        <v>0.2</v>
      </c>
      <c r="G81" s="202">
        <f>SUMIFS(DETAILS!L$27:L$36,DETAILS!$C$27:$C$36,'CF1'!$D$2)/10^6</f>
        <v>0.6</v>
      </c>
      <c r="H81" s="202">
        <f>SUMIFS(DETAILS!M$27:M$36,DETAILS!$C$27:$C$36,'CF1'!$D$2)/10^6</f>
        <v>0.6</v>
      </c>
      <c r="I81" s="202">
        <f>SUMIFS(DETAILS!N$27:N$36,DETAILS!$C$27:$C$36,'CF1'!$D$2)/10^6</f>
        <v>0.3</v>
      </c>
      <c r="J81" s="202">
        <f>SUMIFS(DETAILS!O$27:O$36,DETAILS!$C$27:$C$36,'CF1'!$D$2)/10^6</f>
        <v>0</v>
      </c>
      <c r="K81" s="202">
        <f>SUMIFS(DETAILS!P$27:P$36,DETAILS!$C$27:$C$36,'CF1'!$D$2)/10^6</f>
        <v>0.8</v>
      </c>
      <c r="L81" s="202">
        <f>SUMIFS(DETAILS!Q$27:Q$36,DETAILS!$C$27:$C$36,'CF1'!$D$2)/10^6</f>
        <v>0.6</v>
      </c>
      <c r="M81" s="202">
        <f>SUMIFS(DETAILS!R$27:R$36,DETAILS!$C$27:$C$36,'CF1'!$D$2)/10^6</f>
        <v>1.07</v>
      </c>
      <c r="N81" s="142">
        <f>-N76+M169</f>
        <v>78.214800085032024</v>
      </c>
      <c r="O81" s="142">
        <f>-O76+N169</f>
        <v>133.150418315032</v>
      </c>
      <c r="P81" s="142">
        <f>IF(P60&lt;&gt;0,'DB1'!$O$27,0)</f>
        <v>166.8548776598812</v>
      </c>
      <c r="Q81" s="142">
        <f>IF(Q60&lt;&gt;0,'DB1'!$O$27,0)</f>
        <v>0</v>
      </c>
      <c r="R81" s="142">
        <f>IF(R60&lt;&gt;0,'DB1'!$O$27,0)</f>
        <v>0</v>
      </c>
      <c r="S81" s="142">
        <f>IF(S60&lt;&gt;0,'DB1'!$O$27,0)</f>
        <v>0</v>
      </c>
      <c r="T81" s="142"/>
      <c r="U81" s="142">
        <f>IF(U60&lt;&gt;0,'DB1'!$O$27,0)</f>
        <v>0</v>
      </c>
      <c r="V81" s="142">
        <f>IF(V60&lt;&gt;0,'DB1'!$O$27,0)</f>
        <v>0</v>
      </c>
      <c r="W81" s="142">
        <f>IF(W60&lt;&gt;0,'DB1'!$O$27,0)</f>
        <v>0</v>
      </c>
      <c r="X81" s="142">
        <f>IF(X60&lt;&gt;0,'DB1'!$O$27,0)</f>
        <v>0</v>
      </c>
      <c r="Y81" s="142">
        <f>IF(Y60&lt;&gt;0,'DB1'!$O$27,0)</f>
        <v>0</v>
      </c>
      <c r="Z81" s="142">
        <f>IF(Z60&lt;&gt;0,'DB1'!$O$27,0)</f>
        <v>0</v>
      </c>
      <c r="AA81" s="142">
        <f>IF(AA60&lt;&gt;0,'DB1'!$O$27,0)</f>
        <v>0</v>
      </c>
      <c r="AB81" s="142">
        <f>IF(AB60&lt;&gt;0,'DB1'!$O$27,0)</f>
        <v>0</v>
      </c>
      <c r="AC81" s="142">
        <f>IF(AC60&lt;&gt;0,'DB1'!$O$27,0)</f>
        <v>0</v>
      </c>
      <c r="AD81" s="142">
        <f>IF(AD60&lt;&gt;0,'DB1'!$O$27,0)</f>
        <v>0</v>
      </c>
      <c r="AE81" s="142">
        <f>IF(AE60&lt;&gt;0,'DB1'!$O$27,0)</f>
        <v>0</v>
      </c>
      <c r="AF81" s="142">
        <f>IF(AF60&lt;&gt;0,'DB1'!$O$27,0)</f>
        <v>0</v>
      </c>
      <c r="AG81" s="142">
        <f>IF(AG60&lt;&gt;0,'DB1'!$O$27,0)</f>
        <v>0</v>
      </c>
      <c r="AH81" s="142">
        <f>IF(AH60&lt;&gt;0,'DB1'!$O$27,0)</f>
        <v>0</v>
      </c>
      <c r="AI81" s="142">
        <f>IF(AI60&lt;&gt;0,'DB1'!$O$27,0)</f>
        <v>0</v>
      </c>
      <c r="AJ81" s="142">
        <f>IF(AJ60&lt;&gt;0,'DB1'!$O$27,0)</f>
        <v>0</v>
      </c>
      <c r="AK81" s="142">
        <f>IF(AK60&lt;&gt;0,'DB1'!$O$27,0)</f>
        <v>0</v>
      </c>
      <c r="AL81" s="142">
        <f>IF(AL60&lt;&gt;0,'DB1'!$O$27,0)</f>
        <v>0</v>
      </c>
      <c r="AM81" s="142">
        <f>IF(AM60&lt;&gt;0,'DB1'!$O$27,0)</f>
        <v>0</v>
      </c>
      <c r="AN81" s="142">
        <f>IF(AN60&lt;&gt;0,'DB1'!$O$27,0)</f>
        <v>0</v>
      </c>
      <c r="AO81" s="142">
        <f>IF(AO60&lt;&gt;0,'DB1'!$O$27,0)</f>
        <v>0</v>
      </c>
      <c r="AP81" s="142">
        <f>IF(AP60&lt;&gt;0,'DB1'!$O$27,0)</f>
        <v>0</v>
      </c>
      <c r="AQ81" s="142">
        <f>IF(AQ60&lt;&gt;0,'DB1'!$O$27,0)</f>
        <v>0</v>
      </c>
      <c r="AR81" s="142">
        <f>IF(AR60&lt;&gt;0,'DB1'!$O$27,0)</f>
        <v>0</v>
      </c>
      <c r="AS81" s="142">
        <f>IF(AS60&lt;&gt;0,'DB1'!$O$27,0)</f>
        <v>0</v>
      </c>
      <c r="AT81" s="142">
        <f>IF(AT60&lt;&gt;0,'DB1'!$O$27,0)</f>
        <v>0</v>
      </c>
      <c r="AU81" s="142">
        <f>IF(AU60&lt;&gt;0,'DB1'!$O$27,0)</f>
        <v>0</v>
      </c>
      <c r="AV81" s="142">
        <f>IF(AV60&lt;&gt;0,'DB1'!$O$27,0)</f>
        <v>0</v>
      </c>
      <c r="AW81" s="142">
        <f>IF(AW60&lt;&gt;0,'DB1'!$O$27,0)</f>
        <v>0</v>
      </c>
      <c r="AX81" s="142">
        <f>IF(AX60&lt;&gt;0,'DB1'!$O$27,0)</f>
        <v>0</v>
      </c>
      <c r="AY81" s="142">
        <f>IF(AY60&lt;&gt;0,'DB1'!$O$27,0)</f>
        <v>0</v>
      </c>
      <c r="AZ81" s="142">
        <f>IF(AZ60&lt;&gt;0,'DB1'!$O$27,0)</f>
        <v>0</v>
      </c>
      <c r="BA81" s="142">
        <f>IF(BA60&lt;&gt;0,'DB1'!$O$27,0)</f>
        <v>0</v>
      </c>
      <c r="BB81" s="142">
        <f>IF(BB60&lt;&gt;0,'DB1'!$O$27,0)</f>
        <v>0</v>
      </c>
      <c r="BC81" s="142">
        <f>IF(BC60&lt;&gt;0,'DB1'!$O$27,0)</f>
        <v>0</v>
      </c>
      <c r="BD81" s="142">
        <f>IF(BD60&lt;&gt;0,'DB1'!$O$27,0)</f>
        <v>0</v>
      </c>
      <c r="BE81" s="142">
        <f>IF(BE60&lt;&gt;0,'DB1'!$O$27,0)</f>
        <v>0</v>
      </c>
      <c r="BF81" s="142">
        <f>IF(BF60&lt;&gt;0,'DB1'!$O$27,0)</f>
        <v>0</v>
      </c>
      <c r="BG81" s="142">
        <f>IF(BG60&lt;&gt;0,'DB1'!$O$27,0)</f>
        <v>0</v>
      </c>
      <c r="BH81" s="142">
        <f>IF(BH60&lt;&gt;0,'DB1'!$O$27,0)</f>
        <v>0</v>
      </c>
      <c r="BI81" s="142">
        <f>IF(BI60&lt;&gt;0,'DB1'!$O$27,0)</f>
        <v>0</v>
      </c>
      <c r="BJ81" s="142">
        <f>IF(BJ60&lt;&gt;0,'DB1'!$O$27,0)</f>
        <v>0</v>
      </c>
      <c r="BK81" s="142">
        <f>IF(BK60&lt;&gt;0,'DB1'!$O$27,0)</f>
        <v>0</v>
      </c>
      <c r="BL81" s="142">
        <f>IF(BL60&lt;&gt;0,'DB1'!$O$27,0)</f>
        <v>0</v>
      </c>
      <c r="BM81" s="142">
        <f>IF(BM60&lt;&gt;0,'DB1'!$O$27,0)</f>
        <v>0</v>
      </c>
    </row>
    <row r="82" spans="2:65">
      <c r="B82" s="27"/>
      <c r="C82" s="28" t="s">
        <v>58</v>
      </c>
      <c r="D82" s="131" t="s">
        <v>19</v>
      </c>
      <c r="E82" s="141">
        <f t="shared" si="54"/>
        <v>-382.39009605994522</v>
      </c>
      <c r="F82" s="202"/>
      <c r="G82" s="202"/>
      <c r="H82" s="202"/>
      <c r="I82" s="202"/>
      <c r="J82" s="202"/>
      <c r="K82" s="202"/>
      <c r="L82" s="202"/>
      <c r="M82" s="202"/>
      <c r="N82" s="142"/>
      <c r="O82" s="142"/>
      <c r="P82" s="142">
        <f>IF(P185&gt;0,IF((SUM($F81:O$82)-P185)&gt;0,-P185,-SUM($F81:O$82)),0)</f>
        <v>0</v>
      </c>
      <c r="Q82" s="142">
        <f>IF(Q185&gt;0,IF((SUM($F81:P$82)-Q185)&gt;0,-Q185,-SUM($F81:P$82)),0)</f>
        <v>0</v>
      </c>
      <c r="R82" s="142">
        <f>IF(R185&gt;0,IF((SUM($F81:Q$82)-R185)&gt;0,-R185,-SUM($F81:Q$82)),0)</f>
        <v>0</v>
      </c>
      <c r="S82" s="142">
        <f>IF(S185&gt;0,IF((SUM($F81:R$82)-S185)&gt;0,-S185,-SUM($F81:R$82)),0)</f>
        <v>0</v>
      </c>
      <c r="T82" s="142">
        <f>IF(T185&gt;0,IF((SUM($F81:S$82)-T185)&gt;0,-T185,-SUM($F81:S$82)),0)</f>
        <v>0</v>
      </c>
      <c r="U82" s="142">
        <f>IF(U185&gt;0,IF((SUM($F81:T$82)-U185)&gt;0,-U185,-SUM($F81:T$82)),0)</f>
        <v>0</v>
      </c>
      <c r="V82" s="142">
        <f>IF(V185&gt;0,IF((SUM($F81:U$82)-V185)&gt;0,-V185,-SUM($F81:U$82)),0)</f>
        <v>0</v>
      </c>
      <c r="W82" s="142">
        <f>IF(W185&gt;0,IF((SUM($F81:V$82)-W185)&gt;0,-W185,-SUM($F81:V$82)),0)</f>
        <v>0</v>
      </c>
      <c r="X82" s="142">
        <f>IF(X185&gt;0,IF((SUM($F81:W$82)-X185)&gt;0,-X185,-SUM($F81:W$82)),0)</f>
        <v>0</v>
      </c>
      <c r="Y82" s="142">
        <f>IF(Y185&gt;0,IF((SUM($F81:X$82)-Y185)&gt;0,-Y185,-SUM($F81:X$82)),0)</f>
        <v>0</v>
      </c>
      <c r="Z82" s="142">
        <f>IF(Z185&gt;0,IF((SUM($F81:Y$82)-Z185)&gt;0,-Z185,-SUM($F81:Y$82)),0)</f>
        <v>0</v>
      </c>
      <c r="AA82" s="142">
        <f>IF(AA185&gt;0,IF((SUM($F81:Z$82)-AA185)&gt;0,-AA185,-SUM($F81:Z$82)),0)</f>
        <v>0</v>
      </c>
      <c r="AB82" s="142">
        <f>IF(AB185&gt;0,IF((SUM($F81:AA$82)-AB185)&gt;0,-AB185,-SUM($F81:AA$82)),0)</f>
        <v>0</v>
      </c>
      <c r="AC82" s="142">
        <f>IF(AC185&gt;0,IF((SUM($F81:AB$82)-AC185)&gt;0,-AC185,-SUM($F81:AB$82)),0)</f>
        <v>0</v>
      </c>
      <c r="AD82" s="142">
        <f>IF(AD185&gt;0,IF((SUM($F81:AC$82)-AD185)&gt;0,-AD185,-SUM($F81:AC$82)),0)</f>
        <v>0</v>
      </c>
      <c r="AE82" s="142">
        <f>IF(AE185&gt;0,IF((SUM($F81:AD$82)-AE185)&gt;0,-AE185,-SUM($F81:AD$82)),0)</f>
        <v>0</v>
      </c>
      <c r="AF82" s="142">
        <f>IF(AF185&gt;0,IF((SUM($F81:AE$82)-AF185)&gt;0,-AF185,-SUM($F81:AE$82)),0)</f>
        <v>0</v>
      </c>
      <c r="AG82" s="142">
        <f>IF(AG185&gt;0,IF((SUM($F81:AF$82)-AG185)&gt;0,-AG185,-SUM($F81:AF$82)),0)</f>
        <v>0</v>
      </c>
      <c r="AH82" s="142">
        <f>IF(AH185&gt;0,IF((SUM($F81:AG$82)-AH185)&gt;0,-AH185,-SUM($F81:AG$82)),0)</f>
        <v>0</v>
      </c>
      <c r="AI82" s="142">
        <f>IF(AI185&gt;0,IF((SUM($F81:AH$82)-AI185)&gt;0,-AI185,-SUM($F81:AH$82)),0)</f>
        <v>0</v>
      </c>
      <c r="AJ82" s="142">
        <f>IF(AJ185&gt;0,IF((SUM($F81:AI$82)-AJ185)&gt;0,-AJ185,-SUM($F81:AI$82)),0)</f>
        <v>0</v>
      </c>
      <c r="AK82" s="142">
        <f>IF(AK185&gt;0,IF((SUM($F81:AJ$82)-AK185)&gt;0,-AK185,-SUM($F81:AJ$82)),0)</f>
        <v>-382.39009605994522</v>
      </c>
      <c r="AL82" s="142">
        <f>IF(AL185&gt;0,IF((SUM($F81:AK$82)-AL185)&gt;0,-AL185,-SUM($F81:AK$82)),0)</f>
        <v>0</v>
      </c>
      <c r="AM82" s="142">
        <f>IF(AM185&gt;0,IF((SUM($F81:AL$82)-AM185)&gt;0,-AM185,-SUM($F81:AL$82)),0)</f>
        <v>0</v>
      </c>
      <c r="AN82" s="142">
        <f>IF(AN185&gt;0,IF((SUM($F81:AM$82)-AN185)&gt;0,-AN185,-SUM($F81:AM$82)),0)</f>
        <v>0</v>
      </c>
      <c r="AO82" s="142">
        <f>IF(AO185&gt;0,IF((SUM($F81:AN$82)-AO185)&gt;0,-AO185,-SUM($F81:AN$82)),0)</f>
        <v>0</v>
      </c>
      <c r="AP82" s="142">
        <f>IF(AP185&gt;0,IF((SUM($F81:AO$82)-AP185)&gt;0,-AP185,-SUM($F81:AO$82)),0)</f>
        <v>0</v>
      </c>
      <c r="AQ82" s="142">
        <f>IF(AQ185&gt;0,IF((SUM($F81:AP$82)-AQ185)&gt;0,-AQ185,-SUM($F81:AP$82)),0)</f>
        <v>0</v>
      </c>
      <c r="AR82" s="142">
        <f>IF(AR185&gt;0,IF((SUM($F81:AQ$82)-AR185)&gt;0,-AR185,-SUM($F81:AQ$82)),0)</f>
        <v>0</v>
      </c>
      <c r="AS82" s="142">
        <f>IF(AS185&gt;0,IF((SUM($F81:AR$82)-AS185)&gt;0,-AS185,-SUM($F81:AR$82)),0)</f>
        <v>0</v>
      </c>
      <c r="AT82" s="142">
        <f>IF(AT185&gt;0,IF((SUM($F81:AS$82)-AT185)&gt;0,-AT185,-SUM($F81:AS$82)),0)</f>
        <v>0</v>
      </c>
      <c r="AU82" s="142">
        <f>IF(AU185&gt;0,IF((SUM($F81:AT$82)-AU185)&gt;0,-AU185,-SUM($F81:AT$82)),0)</f>
        <v>0</v>
      </c>
      <c r="AV82" s="142">
        <f>IF(AV185&gt;0,IF((SUM($F81:AU$82)-AV185)&gt;0,-AV185,-SUM($F81:AU$82)),0)</f>
        <v>0</v>
      </c>
      <c r="AW82" s="142">
        <f>IF(AW185&gt;0,IF((SUM($F81:AV$82)-AW185)&gt;0,-AW185,-SUM($F81:AV$82)),0)</f>
        <v>0</v>
      </c>
      <c r="AX82" s="142">
        <f>IF(AX185&gt;0,IF((SUM($F81:AW$82)-AX185)&gt;0,-AX185,-SUM($F81:AW$82)),0)</f>
        <v>0</v>
      </c>
      <c r="AY82" s="142">
        <f>IF(AY185&gt;0,IF((SUM($F81:AX$82)-AY185)&gt;0,-AY185,-SUM($F81:AX$82)),0)</f>
        <v>0</v>
      </c>
      <c r="AZ82" s="142">
        <f>IF(AZ185&gt;0,IF((SUM($F81:AY$82)-AZ185)&gt;0,-AZ185,-SUM($F81:AY$82)),0)</f>
        <v>0</v>
      </c>
      <c r="BA82" s="142">
        <f>IF(BA185&gt;0,IF((SUM($F81:AZ$82)-BA185)&gt;0,-BA185,-SUM($F81:AZ$82)),0)</f>
        <v>0</v>
      </c>
      <c r="BB82" s="142">
        <f>IF(BB185&gt;0,IF((SUM($F81:BA$82)-BB185)&gt;0,-BB185,-SUM($F81:BA$82)),0)</f>
        <v>0</v>
      </c>
      <c r="BC82" s="142">
        <f>IF(BC185&gt;0,IF((SUM($F81:BB$82)-BC185)&gt;0,-BC185,-SUM($F81:BB$82)),0)</f>
        <v>0</v>
      </c>
      <c r="BD82" s="142">
        <f>IF(BD185&gt;0,IF((SUM($F81:BC$82)-BD185)&gt;0,-BD185,-SUM($F81:BC$82)),0)</f>
        <v>0</v>
      </c>
      <c r="BE82" s="142">
        <f>IF(BE185&gt;0,IF((SUM($F81:BD$82)-BE185)&gt;0,-BE185,-SUM($F81:BD$82)),0)</f>
        <v>0</v>
      </c>
      <c r="BF82" s="142">
        <f>IF(BF185&gt;0,IF((SUM($F81:BE$82)-BF185)&gt;0,-BF185,-SUM($F81:BE$82)),0)</f>
        <v>0</v>
      </c>
      <c r="BG82" s="142">
        <f>IF(BG185&gt;0,IF((SUM($F81:BF$82)-BG185)&gt;0,-BG185,-SUM($F81:BF$82)),0)</f>
        <v>0</v>
      </c>
      <c r="BH82" s="142">
        <f>IF(BH185&gt;0,IF((SUM($F81:BG$82)-BH185)&gt;0,-BH185,-SUM($F81:BG$82)),0)</f>
        <v>0</v>
      </c>
      <c r="BI82" s="142">
        <f>IF(BI185&gt;0,IF((SUM($F81:BH$82)-BI185)&gt;0,-BI185,-SUM($F81:BH$82)),0)</f>
        <v>0</v>
      </c>
      <c r="BJ82" s="142">
        <f>IF(BJ185&gt;0,IF((SUM($F81:BI$82)-BJ185)&gt;0,-BJ185,-SUM($F81:BI$82)),0)</f>
        <v>0</v>
      </c>
      <c r="BK82" s="142">
        <f>IF(BK185&gt;0,IF((SUM($F81:BJ$82)-BK185)&gt;0,-BK185,-SUM($F81:BJ$82)),0)</f>
        <v>0</v>
      </c>
      <c r="BL82" s="142">
        <f>IF(BL185&gt;0,IF((SUM($F81:BK$82)-BL185)&gt;0,-BL185,-SUM($F81:BK$82)),0)</f>
        <v>0</v>
      </c>
      <c r="BM82" s="142">
        <f>IF(BM185&gt;0,IF((SUM($F81:BL$82)-BM185)&gt;0,-BM185,-SUM($F81:BL$82)),0)</f>
        <v>0</v>
      </c>
    </row>
    <row r="83" spans="2:65">
      <c r="B83" s="145" t="s">
        <v>197</v>
      </c>
      <c r="C83" s="27"/>
      <c r="D83" s="131" t="s">
        <v>19</v>
      </c>
      <c r="E83" s="141">
        <f t="shared" si="54"/>
        <v>0</v>
      </c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2"/>
      <c r="BC83" s="142"/>
      <c r="BD83" s="142"/>
      <c r="BE83" s="142"/>
      <c r="BF83" s="142"/>
      <c r="BG83" s="142"/>
      <c r="BH83" s="142"/>
      <c r="BI83" s="142"/>
      <c r="BJ83" s="142"/>
      <c r="BK83" s="142"/>
      <c r="BL83" s="142"/>
      <c r="BM83" s="142"/>
    </row>
    <row r="84" spans="2:65">
      <c r="B84" s="146"/>
      <c r="C84" s="28" t="s">
        <v>59</v>
      </c>
      <c r="D84" s="131" t="s">
        <v>19</v>
      </c>
      <c r="E84" s="141">
        <f t="shared" si="54"/>
        <v>250.10364966426837</v>
      </c>
      <c r="F84" s="202">
        <f>SUM($F81:F$82)*F$197/4</f>
        <v>1.0500000000000002E-2</v>
      </c>
      <c r="G84" s="202">
        <f>SUM($F81:G$82)*G$197/4</f>
        <v>4.200000000000001E-2</v>
      </c>
      <c r="H84" s="202">
        <f>SUM($F81:H$82)*H$197/4</f>
        <v>7.3499999999999996E-2</v>
      </c>
      <c r="I84" s="202">
        <f>SUM($F81:I$82)*I$197/4</f>
        <v>8.925000000000001E-2</v>
      </c>
      <c r="J84" s="202">
        <f>SUM($F81:J$82)*J$197/4</f>
        <v>8.925000000000001E-2</v>
      </c>
      <c r="K84" s="202">
        <f>SUM($F81:K$82)*K$197/4</f>
        <v>0.13750000000000001</v>
      </c>
      <c r="L84" s="202">
        <f>SUM($F81:L$82)*L$197/4</f>
        <v>0.17050000000000001</v>
      </c>
      <c r="M84" s="202">
        <f>SUM($F81:M$82)*M$197/4</f>
        <v>0.22935</v>
      </c>
      <c r="N84" s="142">
        <f>SUM($F81:N$82)*N$197/4</f>
        <v>4.4796735046236167</v>
      </c>
      <c r="O84" s="142">
        <f>SUM($F81:O$82)*O$197/4</f>
        <v>11.046179943003283</v>
      </c>
      <c r="P84" s="142">
        <f>SUM($F81:P$82)*P$197/4</f>
        <v>19.119504802997263</v>
      </c>
      <c r="Q84" s="142">
        <f>SUM($F81:Q$82)*Q$197/4</f>
        <v>17.207554322697536</v>
      </c>
      <c r="R84" s="142">
        <f>SUM($F81:R$82)*R$197/4</f>
        <v>15.29560384239781</v>
      </c>
      <c r="S84" s="142">
        <f>SUM($F81:S$82)*S$197/4</f>
        <v>13.383653362098084</v>
      </c>
      <c r="T84" s="142">
        <f>SUM($F81:T$82)*T$197/4</f>
        <v>12.427678121948221</v>
      </c>
      <c r="U84" s="142">
        <f>SUM($F81:U$82)*U$197/4</f>
        <v>11.471702881798356</v>
      </c>
      <c r="V84" s="142">
        <f>SUM($F81:V$82)*V$197/4</f>
        <v>10.515727641648494</v>
      </c>
      <c r="W84" s="142">
        <f>SUM($F81:W$82)*W$197/4</f>
        <v>10.037740021573562</v>
      </c>
      <c r="X84" s="142">
        <f>SUM($F81:X$82)*X$197/4</f>
        <v>9.5597524014986295</v>
      </c>
      <c r="Y84" s="142">
        <f>SUM($F81:Y$82)*Y$197/4</f>
        <v>9.5597524014986295</v>
      </c>
      <c r="Z84" s="142">
        <f>SUM($F81:Z$82)*Z$197/4</f>
        <v>9.5597524014986295</v>
      </c>
      <c r="AA84" s="142">
        <f>SUM($F81:AA$82)*AA$197/4</f>
        <v>9.5597524014986295</v>
      </c>
      <c r="AB84" s="142">
        <f>SUM($F81:AB$82)*AB$197/4</f>
        <v>9.5597524014986295</v>
      </c>
      <c r="AC84" s="142">
        <f>SUM($F81:AC$82)*AC$197/4</f>
        <v>9.5597524014986295</v>
      </c>
      <c r="AD84" s="142">
        <f>SUM($F81:AD$82)*AD$197/4</f>
        <v>9.5597524014986295</v>
      </c>
      <c r="AE84" s="142">
        <f>SUM($F81:AE$82)*AE$197/4</f>
        <v>9.5597524014986295</v>
      </c>
      <c r="AF84" s="142">
        <f>SUM($F81:AF$82)*AF$197/4</f>
        <v>9.5597524014986295</v>
      </c>
      <c r="AG84" s="142">
        <f>SUM($F81:AG$82)*AG$197/4</f>
        <v>9.5597524014986295</v>
      </c>
      <c r="AH84" s="142">
        <f>SUM($F81:AH$82)*AH$197/4</f>
        <v>9.5597524014986295</v>
      </c>
      <c r="AI84" s="142">
        <f>SUM($F81:AI$82)*AI$197/4</f>
        <v>9.5597524014986295</v>
      </c>
      <c r="AJ84" s="142">
        <f>SUM($F81:AJ$82)*AJ$197/4</f>
        <v>9.5597524014986295</v>
      </c>
      <c r="AK84" s="142">
        <f>SUM($F81:AK$82)*AK$197/4</f>
        <v>0</v>
      </c>
      <c r="AL84" s="142">
        <f>SUM($F81:AL$82)*AL$197/4</f>
        <v>0</v>
      </c>
      <c r="AM84" s="142">
        <f>SUM($F81:AM$82)*AM$197/4</f>
        <v>0</v>
      </c>
      <c r="AN84" s="142">
        <f>SUM($F81:AN$82)*AN$197/4</f>
        <v>0</v>
      </c>
      <c r="AO84" s="142">
        <f>SUM($F81:AO$82)*AO$197/4</f>
        <v>0</v>
      </c>
      <c r="AP84" s="142">
        <f>SUM($F81:AP$82)*AP$197/4</f>
        <v>0</v>
      </c>
      <c r="AQ84" s="142">
        <f>SUM($F81:AQ$82)*AQ$197/4</f>
        <v>0</v>
      </c>
      <c r="AR84" s="142">
        <f>SUM($F81:AR$82)*AR$197/4</f>
        <v>0</v>
      </c>
      <c r="AS84" s="142">
        <f>SUM($F81:AS$82)*AS$197/4</f>
        <v>0</v>
      </c>
      <c r="AT84" s="142">
        <f>SUM($F81:AT$82)*AT$197/4</f>
        <v>0</v>
      </c>
      <c r="AU84" s="142">
        <f>SUM($F81:AU$82)*AU$197/4</f>
        <v>0</v>
      </c>
      <c r="AV84" s="142">
        <f>SUM($F81:AV$82)*AV$197/4</f>
        <v>0</v>
      </c>
      <c r="AW84" s="142">
        <f>SUM($F81:AW$82)*AW$197/4</f>
        <v>0</v>
      </c>
      <c r="AX84" s="142">
        <f>SUM($F81:AX$82)*AX$197/4</f>
        <v>0</v>
      </c>
      <c r="AY84" s="142">
        <f>SUM($F81:AY$82)*AY$197/4</f>
        <v>0</v>
      </c>
      <c r="AZ84" s="142">
        <f>SUM($F81:AZ$82)*AZ$197/4</f>
        <v>0</v>
      </c>
      <c r="BA84" s="142">
        <f>SUM($F81:BA$82)*BA$197/4</f>
        <v>0</v>
      </c>
      <c r="BB84" s="142">
        <f>SUM($F81:BB$82)*BB$197/4</f>
        <v>0</v>
      </c>
      <c r="BC84" s="142">
        <f>SUM($F81:BC$82)*BC$197/4</f>
        <v>0</v>
      </c>
      <c r="BD84" s="142">
        <f>SUM($F81:BD$82)*BD$197/4</f>
        <v>0</v>
      </c>
      <c r="BE84" s="142">
        <f>SUM($F81:BE$82)*BE$197/4</f>
        <v>0</v>
      </c>
      <c r="BF84" s="142">
        <f>SUM($F81:BF$82)*BF$197/4</f>
        <v>0</v>
      </c>
      <c r="BG84" s="142">
        <f>SUM($F81:BG$82)*BG$197/4</f>
        <v>0</v>
      </c>
      <c r="BH84" s="142">
        <f>SUM($F81:BH$82)*BH$197/4</f>
        <v>0</v>
      </c>
      <c r="BI84" s="142">
        <f>SUM($F81:BI$82)*BI$197/4</f>
        <v>0</v>
      </c>
      <c r="BJ84" s="142">
        <f>SUM($F81:BJ$82)*BJ$197/4</f>
        <v>0</v>
      </c>
      <c r="BK84" s="142">
        <f>SUM($F81:BK$82)*BK$197/4</f>
        <v>0</v>
      </c>
      <c r="BL84" s="142">
        <f>SUM($F81:BL$82)*BL$197/4</f>
        <v>0</v>
      </c>
      <c r="BM84" s="142">
        <f>SUM($F81:BM$82)*BM$197/4</f>
        <v>0</v>
      </c>
    </row>
    <row r="85" spans="2:65">
      <c r="B85" s="27"/>
      <c r="C85" s="28" t="s">
        <v>73</v>
      </c>
      <c r="D85" s="131" t="s">
        <v>19</v>
      </c>
      <c r="E85" s="141">
        <f t="shared" si="54"/>
        <v>-250.10364966426837</v>
      </c>
      <c r="F85" s="202"/>
      <c r="G85" s="202"/>
      <c r="H85" s="202"/>
      <c r="I85" s="202"/>
      <c r="J85" s="202"/>
      <c r="K85" s="202"/>
      <c r="L85" s="202"/>
      <c r="M85" s="202"/>
      <c r="N85" s="142">
        <f>IF(N186&gt;0,IF((SUM($F$84:M85)-N186)&gt;0,-N186,-SUM($F$84:M85)),0)</f>
        <v>-0.84184999999999999</v>
      </c>
      <c r="O85" s="142">
        <f>IF(O186&gt;0,IF((SUM($F$84:N85)-O186)&gt;0,-O186,-SUM($F$84:N85)),0)</f>
        <v>-1.7082529200000067</v>
      </c>
      <c r="P85" s="142">
        <f>IF(P186&gt;0,IF((SUM($F$84:O85)-P186)&gt;0,-P186,-SUM($F$84:O85)),0)</f>
        <v>0</v>
      </c>
      <c r="Q85" s="142">
        <f>IF(Q186&gt;0,IF((SUM($F$84:P85)-Q186)&gt;0,-Q186,-SUM($F$84:P85)),0)</f>
        <v>0</v>
      </c>
      <c r="R85" s="142">
        <f>IF(R186&gt;0,IF((SUM($F$84:Q85)-R186)&gt;0,-R186,-SUM($F$84:Q85)),0)</f>
        <v>0</v>
      </c>
      <c r="S85" s="142">
        <f>IF(S186&gt;0,IF((SUM($F$84:R85)-S186)&gt;0,-S186,-SUM($F$84:R85)),0)</f>
        <v>0</v>
      </c>
      <c r="T85" s="142">
        <f>IF(T186&gt;0,IF((SUM($F$84:S85)-T186)&gt;0,-T186,-SUM($F$84:S85)),0)</f>
        <v>0</v>
      </c>
      <c r="U85" s="142">
        <f>IF(U186&gt;0,IF((SUM($F$84:T85)-U186)&gt;0,-U186,-SUM($F$84:T85)),0)</f>
        <v>0</v>
      </c>
      <c r="V85" s="142">
        <f>IF(V186&gt;0,IF((SUM($F$84:U85)-V186)&gt;0,-V186,-SUM($F$84:U85)),0)</f>
        <v>0</v>
      </c>
      <c r="W85" s="142">
        <f>IF(W186&gt;0,IF((SUM($F$84:V85)-W186)&gt;0,-W186,-SUM($F$84:V85)),0)</f>
        <v>0</v>
      </c>
      <c r="X85" s="142">
        <f>IF(X186&gt;0,IF((SUM($F$84:W85)-X186)&gt;0,-X186,-SUM($F$84:W85)),0)</f>
        <v>0</v>
      </c>
      <c r="Y85" s="142">
        <f>IF(Y186&gt;0,IF((SUM($F$84:X85)-Y186)&gt;0,-Y186,-SUM($F$84:X85)),0)</f>
        <v>0</v>
      </c>
      <c r="Z85" s="142">
        <f>IF(Z186&gt;0,IF((SUM($F$84:Y85)-Z186)&gt;0,-Z186,-SUM($F$84:Y85)),0)</f>
        <v>0</v>
      </c>
      <c r="AA85" s="142">
        <f>IF(AA186&gt;0,IF((SUM($F$84:Z85)-AA186)&gt;0,-AA186,-SUM($F$84:Z85)),0)</f>
        <v>0</v>
      </c>
      <c r="AB85" s="142">
        <f>IF(AB186&gt;0,IF((SUM($F$84:AA85)-AB186)&gt;0,-AB186,-SUM($F$84:AA85)),0)</f>
        <v>0</v>
      </c>
      <c r="AC85" s="142">
        <f>IF(AC186&gt;0,IF((SUM($F$84:AB85)-AC186)&gt;0,-AC186,-SUM($F$84:AB85)),0)</f>
        <v>0</v>
      </c>
      <c r="AD85" s="142">
        <f>IF(AD186&gt;0,IF((SUM($F$84:AC85)-AD186)&gt;0,-AD186,-SUM($F$84:AC85)),0)</f>
        <v>0</v>
      </c>
      <c r="AE85" s="142">
        <f>IF(AE186&gt;0,IF((SUM($F$84:AD85)-AE186)&gt;0,-AE186,-SUM($F$84:AD85)),0)</f>
        <v>0</v>
      </c>
      <c r="AF85" s="142">
        <f>IF(AF186&gt;0,IF((SUM($F$84:AE85)-AF186)&gt;0,-AF186,-SUM($F$84:AE85)),0)</f>
        <v>0</v>
      </c>
      <c r="AG85" s="142">
        <f>IF(AG186&gt;0,IF((SUM($F$84:AF85)-AG186)&gt;0,-AG186,-SUM($F$84:AF85)),0)</f>
        <v>0</v>
      </c>
      <c r="AH85" s="142">
        <f>IF(AH186&gt;0,IF((SUM($F$84:AG85)-AH186)&gt;0,-AH186,-SUM($F$84:AG85)),0)</f>
        <v>0</v>
      </c>
      <c r="AI85" s="142">
        <f>IF(AI186&gt;0,IF((SUM($F$84:AH85)-AI186)&gt;0,-AI186,-SUM($F$84:AH85)),0)</f>
        <v>0</v>
      </c>
      <c r="AJ85" s="142">
        <f>IF(AJ186&gt;0,IF((SUM($F$84:AI85)-AJ186)&gt;0,-AJ186,-SUM($F$84:AI85)),0)</f>
        <v>0</v>
      </c>
      <c r="AK85" s="142">
        <f>IF(AK186&gt;0,IF((SUM($F$84:AJ85)-AK186)&gt;0,-AK186,-SUM($F$84:AJ85)),0)</f>
        <v>-247.55354674426837</v>
      </c>
      <c r="AL85" s="142">
        <f>IF(AL186&gt;0,IF((SUM($F$84:AK85)-AL186)&gt;0,-AL186,-SUM($F$84:AK85)),0)</f>
        <v>0</v>
      </c>
      <c r="AM85" s="142">
        <f>IF(AM186&gt;0,IF((SUM($F$84:AL85)-AM186)&gt;0,-AM186,-SUM($F$84:AL85)),0)</f>
        <v>0</v>
      </c>
      <c r="AN85" s="142">
        <f>IF(AN186&gt;0,IF((SUM($F$84:AM85)-AN186)&gt;0,-AN186,-SUM($F$84:AM85)),0)</f>
        <v>0</v>
      </c>
      <c r="AO85" s="142">
        <f>IF(AO186&gt;0,IF((SUM($F$84:AN85)-AO186)&gt;0,-AO186,-SUM($F$84:AN85)),0)</f>
        <v>0</v>
      </c>
      <c r="AP85" s="142">
        <f>IF(AP186&gt;0,IF((SUM($F$84:AO85)-AP186)&gt;0,-AP186,-SUM($F$84:AO85)),0)</f>
        <v>0</v>
      </c>
      <c r="AQ85" s="142">
        <f>IF(AQ186&gt;0,IF((SUM($F$84:AP85)-AQ186)&gt;0,-AQ186,-SUM($F$84:AP85)),0)</f>
        <v>0</v>
      </c>
      <c r="AR85" s="142">
        <f>IF(AR186&gt;0,IF((SUM($F$84:AQ85)-AR186)&gt;0,-AR186,-SUM($F$84:AQ85)),0)</f>
        <v>0</v>
      </c>
      <c r="AS85" s="142">
        <f>IF(AS186&gt;0,IF((SUM($F$84:AR85)-AS186)&gt;0,-AS186,-SUM($F$84:AR85)),0)</f>
        <v>0</v>
      </c>
      <c r="AT85" s="142">
        <f>IF(AT186&gt;0,IF((SUM($F$84:AS85)-AT186)&gt;0,-AT186,-SUM($F$84:AS85)),0)</f>
        <v>0</v>
      </c>
      <c r="AU85" s="142">
        <f>IF(AU186&gt;0,IF((SUM($F$84:AT85)-AU186)&gt;0,-AU186,-SUM($F$84:AT85)),0)</f>
        <v>0</v>
      </c>
      <c r="AV85" s="142">
        <f>IF(AV186&gt;0,IF((SUM($F$84:AU85)-AV186)&gt;0,-AV186,-SUM($F$84:AU85)),0)</f>
        <v>0</v>
      </c>
      <c r="AW85" s="142">
        <f>IF(AW186&gt;0,IF((SUM($F$84:AV85)-AW186)&gt;0,-AW186,-SUM($F$84:AV85)),0)</f>
        <v>0</v>
      </c>
      <c r="AX85" s="142">
        <f>IF(AX186&gt;0,IF((SUM($F$84:AW85)-AX186)&gt;0,-AX186,-SUM($F$84:AW85)),0)</f>
        <v>0</v>
      </c>
      <c r="AY85" s="142">
        <f>IF(AY186&gt;0,IF((SUM($F$84:AX85)-AY186)&gt;0,-AY186,-SUM($F$84:AX85)),0)</f>
        <v>0</v>
      </c>
      <c r="AZ85" s="142">
        <f>IF(AZ186&gt;0,IF((SUM($F$84:AY85)-AZ186)&gt;0,-AZ186,-SUM($F$84:AY85)),0)</f>
        <v>0</v>
      </c>
      <c r="BA85" s="142">
        <f>IF(BA186&gt;0,IF((SUM($F$84:AZ85)-BA186)&gt;0,-BA186,-SUM($F$84:AZ85)),0)</f>
        <v>0</v>
      </c>
      <c r="BB85" s="142">
        <f>IF(BB186&gt;0,IF((SUM($F$84:BA85)-BB186)&gt;0,-BB186,-SUM($F$84:BA85)),0)</f>
        <v>0</v>
      </c>
      <c r="BC85" s="142">
        <f>IF(BC186&gt;0,IF((SUM($F$84:BB85)-BC186)&gt;0,-BC186,-SUM($F$84:BB85)),0)</f>
        <v>0</v>
      </c>
      <c r="BD85" s="142">
        <f>IF(BD186&gt;0,IF((SUM($F$84:BC85)-BD186)&gt;0,-BD186,-SUM($F$84:BC85)),0)</f>
        <v>0</v>
      </c>
      <c r="BE85" s="142">
        <f>IF(BE186&gt;0,IF((SUM($F$84:BD85)-BE186)&gt;0,-BE186,-SUM($F$84:BD85)),0)</f>
        <v>0</v>
      </c>
      <c r="BF85" s="142">
        <f>IF(BF186&gt;0,IF((SUM($F$84:BE85)-BF186)&gt;0,-BF186,-SUM($F$84:BE85)),0)</f>
        <v>0</v>
      </c>
      <c r="BG85" s="142">
        <f>IF(BG186&gt;0,IF((SUM($F$84:BF85)-BG186)&gt;0,-BG186,-SUM($F$84:BF85)),0)</f>
        <v>0</v>
      </c>
      <c r="BH85" s="142">
        <f>IF(BH186&gt;0,IF((SUM($F$84:BG85)-BH186)&gt;0,-BH186,-SUM($F$84:BG85)),0)</f>
        <v>0</v>
      </c>
      <c r="BI85" s="142">
        <f>IF(BI186&gt;0,IF((SUM($F$84:BH85)-BI186)&gt;0,-BI186,-SUM($F$84:BH85)),0)</f>
        <v>0</v>
      </c>
      <c r="BJ85" s="142">
        <f>IF(BJ186&gt;0,IF((SUM($F$84:BI85)-BJ186)&gt;0,-BJ186,-SUM($F$84:BI85)),0)</f>
        <v>0</v>
      </c>
      <c r="BK85" s="142">
        <f>IF(BK186&gt;0,IF((SUM($F$84:BJ85)-BK186)&gt;0,-BK186,-SUM($F$84:BJ85)),0)</f>
        <v>0</v>
      </c>
      <c r="BL85" s="142">
        <f>IF(BL186&gt;0,IF((SUM($F$84:BK85)-BL186)&gt;0,-BL186,-SUM($F$84:BK85)),0)</f>
        <v>0</v>
      </c>
      <c r="BM85" s="142">
        <f>IF(BM186&gt;0,IF((SUM($F$84:BL85)-BM186)&gt;0,-BM186,-SUM($F$84:BL85)),0)</f>
        <v>0</v>
      </c>
    </row>
    <row r="86" spans="2:65">
      <c r="B86" s="145" t="s">
        <v>198</v>
      </c>
      <c r="C86" s="205" t="s">
        <v>251</v>
      </c>
      <c r="D86" s="131" t="s">
        <v>19</v>
      </c>
      <c r="E86" s="141">
        <f t="shared" si="54"/>
        <v>0</v>
      </c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2"/>
      <c r="AL86" s="142"/>
      <c r="AM86" s="142"/>
      <c r="AN86" s="142"/>
      <c r="AO86" s="142"/>
      <c r="AP86" s="142"/>
      <c r="AQ86" s="142"/>
      <c r="AR86" s="142"/>
      <c r="AS86" s="142"/>
      <c r="AT86" s="142"/>
      <c r="AU86" s="142"/>
      <c r="AV86" s="142"/>
      <c r="AW86" s="142"/>
      <c r="AX86" s="142"/>
      <c r="AY86" s="142"/>
      <c r="AZ86" s="142"/>
      <c r="BA86" s="142"/>
      <c r="BB86" s="142"/>
      <c r="BC86" s="142"/>
      <c r="BD86" s="142"/>
      <c r="BE86" s="142"/>
      <c r="BF86" s="142"/>
      <c r="BG86" s="142"/>
      <c r="BH86" s="142"/>
      <c r="BI86" s="142"/>
      <c r="BJ86" s="142"/>
      <c r="BK86" s="142"/>
      <c r="BL86" s="142"/>
      <c r="BM86" s="142"/>
    </row>
    <row r="87" spans="2:65">
      <c r="B87" s="27"/>
      <c r="C87" s="28" t="s">
        <v>57</v>
      </c>
      <c r="D87" s="131" t="s">
        <v>19</v>
      </c>
      <c r="E87" s="141">
        <f t="shared" si="54"/>
        <v>6417.9982667558879</v>
      </c>
      <c r="F87" s="202">
        <f>IF(F5&lt;'DB1'!$U$25,IF(-(F178)&gt;0,-F178,0),0)</f>
        <v>0</v>
      </c>
      <c r="G87" s="202">
        <f>IF(G5&lt;'DB1'!$U$25,IF(-(G178)&gt;0,-G178,0),0)</f>
        <v>0</v>
      </c>
      <c r="H87" s="202">
        <f>IF(H5&lt;'DB1'!$U$25,IF(-(H178)&gt;0,-H178,0),0)</f>
        <v>0</v>
      </c>
      <c r="I87" s="202">
        <f>IF(I5&lt;'DB1'!$U$25,IF(-(I178)&gt;0,-I178,0),0)</f>
        <v>0</v>
      </c>
      <c r="J87" s="202">
        <f>IF(J5&lt;'DB1'!$U$25,IF(-(J178)&gt;0,-J178,0),0)</f>
        <v>0</v>
      </c>
      <c r="K87" s="202">
        <f>IF(K5&lt;'DB1'!$U$25,IF(-(K178)&gt;0,-K178,0),0)</f>
        <v>0</v>
      </c>
      <c r="L87" s="202">
        <f>IF(L5&lt;'DB1'!$U$25,IF(-(L178)&gt;0,-L178,0),0)</f>
        <v>0</v>
      </c>
      <c r="M87" s="202">
        <f>IF(M5&lt;'DB1'!$U$25,IF(-(M178)&gt;0,-M178,0),0)</f>
        <v>0</v>
      </c>
      <c r="N87" s="142">
        <f>IF(N5&lt;'DB1'!$U$25,IF(-(N178)&gt;0,-N178,0),0)</f>
        <v>0</v>
      </c>
      <c r="O87" s="142">
        <f>IF(O5&lt;'DB1'!$U$25,IF(-(O178)&gt;0,-O178,0),0)</f>
        <v>0</v>
      </c>
      <c r="P87" s="142">
        <f>IF(P5&lt;'DB1'!$U$25,IF(-(P178)&gt;0,-P178,0),0)</f>
        <v>3372.5540918550319</v>
      </c>
      <c r="Q87" s="142">
        <f>IF(Q5&lt;'DB1'!$U$25,IF(-(Q178)&gt;0,-Q178,0),0)</f>
        <v>631.20537935503205</v>
      </c>
      <c r="R87" s="142">
        <f>IF(R5&lt;'DB1'!$U$25,IF(-(R178)&gt;0,-R178,0),0)</f>
        <v>905.60355129503216</v>
      </c>
      <c r="S87" s="142">
        <f>IF(S5&lt;'DB1'!$U$25,IF(-(S178)&gt;0,-S178,0),0)</f>
        <v>1508.6352442507916</v>
      </c>
      <c r="T87" s="142">
        <f>IF(T5&lt;'DB1'!$U$25,IF(-(T178)&gt;0,-T178,0),0)</f>
        <v>0</v>
      </c>
      <c r="U87" s="142">
        <f>IF(U5&lt;'DB1'!$U$25,IF(-(U178)&gt;0,-U178,0),0)</f>
        <v>0</v>
      </c>
      <c r="V87" s="142">
        <f>IF(V5&lt;'DB1'!$U$25,IF(-(V178)&gt;0,-V178,0),0)</f>
        <v>0</v>
      </c>
      <c r="W87" s="142">
        <f>IF(W5&lt;'DB1'!$U$25,IF(-(W178)&gt;0,-W178,0),0)</f>
        <v>0</v>
      </c>
      <c r="X87" s="142">
        <f>IF(X5&lt;'DB1'!$U$25,IF(-(X178)&gt;0,-X178,0),0)</f>
        <v>0</v>
      </c>
      <c r="Y87" s="142">
        <f>IF(Y5&lt;'DB1'!$U$25,IF(-(Y178)&gt;0,-Y178,0),0)</f>
        <v>0</v>
      </c>
      <c r="Z87" s="142">
        <f>IF(Z5&lt;'DB1'!$U$25,IF(-(Z178)&gt;0,-Z178,0),0)</f>
        <v>0</v>
      </c>
      <c r="AA87" s="142">
        <f>IF(AA5&lt;'DB1'!$U$25,IF(-(AA178)&gt;0,-AA178,0),0)</f>
        <v>0</v>
      </c>
      <c r="AB87" s="142">
        <f>IF(AB5&lt;'DB1'!$U$25,IF(-(AB178)&gt;0,-AB178,0),0)</f>
        <v>0</v>
      </c>
      <c r="AC87" s="142">
        <f>IF(AC5&lt;'DB1'!$U$25,IF(-(AC178)&gt;0,-AC178,0),0)</f>
        <v>0</v>
      </c>
      <c r="AD87" s="142">
        <f>IF(AD5&lt;'DB1'!$U$25,IF(-(AD178)&gt;0,-AD178,0),0)</f>
        <v>0</v>
      </c>
      <c r="AE87" s="142">
        <f>IF(AE5&lt;'DB1'!$U$25,IF(-(AE178)&gt;0,-AE178,0),0)</f>
        <v>0</v>
      </c>
      <c r="AF87" s="142">
        <f>IF(AF5&lt;'DB1'!$U$25,IF(-(AF178)&gt;0,-AF178,0),0)</f>
        <v>0</v>
      </c>
      <c r="AG87" s="142">
        <f>IF(AG5&lt;'DB1'!$U$25,IF(-(AG178)&gt;0,-AG178,0),0)</f>
        <v>0</v>
      </c>
      <c r="AH87" s="142">
        <f>IF(AH5&lt;'DB1'!$U$25,IF(-(AH178)&gt;0,-AH178,0),0)</f>
        <v>0</v>
      </c>
      <c r="AI87" s="142">
        <f>IF(AI5&lt;'DB1'!$U$25,IF(-(AI178)&gt;0,-AI178,0),0)</f>
        <v>0</v>
      </c>
      <c r="AJ87" s="142">
        <f>IF(AJ5&lt;'DB1'!$U$25,IF(-(AJ178)&gt;0,-AJ178,0),0)</f>
        <v>0</v>
      </c>
      <c r="AK87" s="142">
        <f>IF(AK5&lt;'DB1'!$U$25,IF(-(AK178)&gt;0,-AK178,0),0)</f>
        <v>0</v>
      </c>
      <c r="AL87" s="142">
        <f>IF(AL5&lt;'DB1'!$U$25,IF(-(AL178)&gt;0,-AL178,0),0)</f>
        <v>0</v>
      </c>
      <c r="AM87" s="142">
        <f>IF(AM5&lt;'DB1'!$U$25,IF(-(AM178)&gt;0,-AM178,0),0)</f>
        <v>0</v>
      </c>
      <c r="AN87" s="142">
        <f>IF(AN5&lt;'DB1'!$U$25,IF(-(AN178)&gt;0,-AN178,0),0)</f>
        <v>0</v>
      </c>
      <c r="AO87" s="142">
        <f>IF(AO5&lt;'DB1'!$U$25,IF(-(AO178)&gt;0,-AO178,0),0)</f>
        <v>0</v>
      </c>
      <c r="AP87" s="142">
        <f>IF(AP5&lt;'DB1'!$U$25,IF(-(AP178)&gt;0,-AP178,0),0)</f>
        <v>0</v>
      </c>
      <c r="AQ87" s="142">
        <f>IF(AQ5&lt;'DB1'!$U$25,IF(-(AQ178)&gt;0,-AQ178,0),0)</f>
        <v>0</v>
      </c>
      <c r="AR87" s="142">
        <f>IF(AR5&lt;'DB1'!$U$25,IF(-(AR178)&gt;0,-AR178,0),0)</f>
        <v>0</v>
      </c>
      <c r="AS87" s="142">
        <f>IF(AS5&lt;'DB1'!$U$25,IF(-(AS178)&gt;0,-AS178,0),0)</f>
        <v>0</v>
      </c>
      <c r="AT87" s="142">
        <f>IF(AT5&lt;'DB1'!$U$25,IF(-(AT178)&gt;0,-AT178,0),0)</f>
        <v>0</v>
      </c>
      <c r="AU87" s="142">
        <f>IF(AU5&lt;'DB1'!$U$25,IF(-(AU178)&gt;0,-AU178,0),0)</f>
        <v>0</v>
      </c>
      <c r="AV87" s="142">
        <f>IF(AV5&lt;'DB1'!$U$25,IF(-(AV178)&gt;0,-AV178,0),0)</f>
        <v>0</v>
      </c>
      <c r="AW87" s="142">
        <f>IF(AW5&lt;'DB1'!$U$25,IF(-(AW178)&gt;0,-AW178,0),0)</f>
        <v>0</v>
      </c>
      <c r="AX87" s="142">
        <f>IF(AX5&lt;'DB1'!$U$25,IF(-(AX178)&gt;0,-AX178,0),0)</f>
        <v>0</v>
      </c>
      <c r="AY87" s="142">
        <f>IF(AY5&lt;'DB1'!$U$25,IF(-(AY178)&gt;0,-AY178,0),0)</f>
        <v>0</v>
      </c>
      <c r="AZ87" s="142">
        <f>IF(AZ5&lt;'DB1'!$U$25,IF(-(AZ178)&gt;0,-AZ178,0),0)</f>
        <v>0</v>
      </c>
      <c r="BA87" s="142">
        <f>IF(BA5&lt;'DB1'!$U$25,IF(-(BA178)&gt;0,-BA178,0),0)</f>
        <v>0</v>
      </c>
      <c r="BB87" s="142">
        <f>IF(BB5&lt;'DB1'!$U$25,IF(-(BB178)&gt;0,-BB178,0),0)</f>
        <v>0</v>
      </c>
      <c r="BC87" s="142">
        <f>IF(BC5&lt;'DB1'!$U$25,IF(-(BC178)&gt;0,-BC178,0),0)</f>
        <v>0</v>
      </c>
      <c r="BD87" s="142">
        <f>IF(BD5&lt;'DB1'!$U$25,IF(-(BD178)&gt;0,-BD178,0),0)</f>
        <v>0</v>
      </c>
      <c r="BE87" s="142">
        <f>IF(BE5&lt;'DB1'!$U$25,IF(-(BE178)&gt;0,-BE178,0),0)</f>
        <v>0</v>
      </c>
      <c r="BF87" s="142">
        <f>IF(BF5&lt;'DB1'!$U$25,IF(-(BF178)&gt;0,-BF178,0),0)</f>
        <v>0</v>
      </c>
      <c r="BG87" s="142">
        <f>IF(BG5&lt;'DB1'!$U$25,IF(-(BG178)&gt;0,-BG178,0),0)</f>
        <v>0</v>
      </c>
      <c r="BH87" s="142">
        <f>IF(BH5&lt;'DB1'!$U$25,IF(-(BH178)&gt;0,-BH178,0),0)</f>
        <v>0</v>
      </c>
      <c r="BI87" s="142">
        <f>IF(BI5&lt;'DB1'!$U$25,IF(-(BI178)&gt;0,-BI178,0),0)</f>
        <v>0</v>
      </c>
      <c r="BJ87" s="142">
        <f>IF(BJ5&lt;'DB1'!$U$25,IF(-(BJ178)&gt;0,-BJ178,0),0)</f>
        <v>0</v>
      </c>
      <c r="BK87" s="142">
        <f>IF(BK5&lt;'DB1'!$U$25,IF(-(BK178)&gt;0,-BK178,0),0)</f>
        <v>0</v>
      </c>
      <c r="BL87" s="142">
        <f>IF(BL5&lt;'DB1'!$U$25,IF(-(BL178)&gt;0,-BL178,0),0)</f>
        <v>0</v>
      </c>
      <c r="BM87" s="142">
        <f>IF(BM5&lt;'DB1'!$U$25,IF(-(BM178)&gt;0,-BM178,0),0)</f>
        <v>0</v>
      </c>
    </row>
    <row r="88" spans="2:65">
      <c r="B88" s="27"/>
      <c r="C88" s="28" t="s">
        <v>58</v>
      </c>
      <c r="D88" s="131" t="s">
        <v>19</v>
      </c>
      <c r="E88" s="141">
        <f t="shared" si="54"/>
        <v>-6417.9982667558879</v>
      </c>
      <c r="F88" s="202"/>
      <c r="G88" s="202"/>
      <c r="H88" s="202"/>
      <c r="I88" s="202"/>
      <c r="J88" s="202"/>
      <c r="K88" s="202"/>
      <c r="L88" s="202"/>
      <c r="M88" s="202"/>
      <c r="N88" s="142">
        <f>IF(AND($C$86="реф",N$4="РнС"),-SUM($F87:M$88),IF(N178&gt;0,IF((SUM($F87:M$88)-N178)&gt;0,-N178,-SUM($F87:M$88)),0))</f>
        <v>0</v>
      </c>
      <c r="O88" s="142">
        <f>IF(AND($C$86="реф",O$4="РнС"),-SUM($F87:N$88),IF(O178&gt;0,IF((SUM($F87:N$88)-O178)&gt;0,-O178,-SUM($F87:N$88)),0))</f>
        <v>0</v>
      </c>
      <c r="P88" s="142">
        <f>IF(AND($C$86="реф",P$4="РнС"),-SUM($F87:O$88),IF(P178&gt;0,IF((SUM($F87:O$88)-P178)&gt;0,-P178,-SUM($F87:O$88)),0))</f>
        <v>0</v>
      </c>
      <c r="Q88" s="142">
        <f>IF(AND($C$86="реф",Q$4="РнС"),-SUM($F87:P$88),IF(Q178&gt;0,IF((SUM($F87:P$88)-Q178)&gt;0,-Q178,-SUM($F87:P$88)),0))</f>
        <v>0</v>
      </c>
      <c r="R88" s="142">
        <f>IF(AND($C$86="реф",R$4="РнС"),-SUM($F87:Q$88),IF(R178&gt;0,IF((SUM($F87:Q$88)-R178)&gt;0,-R178,-SUM($F87:Q$88)),0))</f>
        <v>0</v>
      </c>
      <c r="S88" s="142">
        <f>IF(AND($C$86="реф",S$4="РнС"),-SUM($F87:R$88),IF(S178&gt;0,IF((SUM($F87:R$88)-S178)&gt;0,-S178,-SUM($F87:R$88)),0))</f>
        <v>0</v>
      </c>
      <c r="T88" s="142">
        <f>IF(AND($C$86="реф",T$4="РнС"),-SUM($F87:S$88),IF(T178&gt;0,IF((SUM($F87:S$88)-T178)&gt;0,-T178,-SUM($F87:S$88)),0))</f>
        <v>-6417.9982667558879</v>
      </c>
      <c r="U88" s="142">
        <f>IF(AND($C$86="реф",U$4="РнС"),-SUM($F87:T$88),IF(U178&gt;0,IF((SUM($F87:T$88)-U178)&gt;0,-U178,-SUM($F87:T$88)),0))</f>
        <v>0</v>
      </c>
      <c r="V88" s="142">
        <f>IF(AND($C$86="реф",V$4="РнС"),-SUM($F87:U$88),IF(V178&gt;0,IF((SUM($F87:U$88)-V178)&gt;0,-V178,-SUM($F87:U$88)),0))</f>
        <v>0</v>
      </c>
      <c r="W88" s="142">
        <f>IF(AND($C$86="реф",W$4="РнС"),-SUM($F87:V$88),IF(W178&gt;0,IF((SUM($F87:V$88)-W178)&gt;0,-W178,-SUM($F87:V$88)),0))</f>
        <v>0</v>
      </c>
      <c r="X88" s="142">
        <f>IF(AND($C$86="реф",X$4="РнС"),-SUM($F87:W$88),IF(X178&gt;0,IF((SUM($F87:W$88)-X178)&gt;0,-X178,-SUM($F87:W$88)),0))</f>
        <v>0</v>
      </c>
      <c r="Y88" s="142">
        <f>IF(AND($C$86="реф",Y$4="РнС"),-SUM($F87:X$88),IF(Y178&gt;0,IF((SUM($F87:X$88)-Y178)&gt;0,-Y178,-SUM($F87:X$88)),0))</f>
        <v>0</v>
      </c>
      <c r="Z88" s="142">
        <f>IF(AND($C$86="реф",Z$4="РнС"),-SUM($F87:Y$88),IF(Z178&gt;0,IF((SUM($F87:Y$88)-Z178)&gt;0,-Z178,-SUM($F87:Y$88)),0))</f>
        <v>0</v>
      </c>
      <c r="AA88" s="142">
        <f>IF(AND($C$86="реф",AA$4="РнС"),-SUM($F87:Z$88),IF(AA178&gt;0,IF((SUM($F87:Z$88)-AA178)&gt;0,-AA178,-SUM($F87:Z$88)),0))</f>
        <v>0</v>
      </c>
      <c r="AB88" s="142">
        <f>IF(AND($C$86="реф",AB$4="РнС"),-SUM($F87:AA$88),IF(AB178&gt;0,IF((SUM($F87:AA$88)-AB178)&gt;0,-AB178,-SUM($F87:AA$88)),0))</f>
        <v>0</v>
      </c>
      <c r="AC88" s="142">
        <f>IF(AND($C$86="реф",AC$4="РнС"),-SUM($F87:AB$88),IF(AC178&gt;0,IF((SUM($F87:AB$88)-AC178)&gt;0,-AC178,-SUM($F87:AB$88)),0))</f>
        <v>0</v>
      </c>
      <c r="AD88" s="142">
        <f>IF(AND($C$86="реф",AD$4="РнС"),-SUM($F87:AC$88),IF(AD178&gt;0,IF((SUM($F87:AC$88)-AD178)&gt;0,-AD178,-SUM($F87:AC$88)),0))</f>
        <v>0</v>
      </c>
      <c r="AE88" s="142">
        <f>IF(AND($C$86="реф",AE$4="РнС"),-SUM($F87:AD$88),IF(AE178&gt;0,IF((SUM($F87:AD$88)-AE178)&gt;0,-AE178,-SUM($F87:AD$88)),0))</f>
        <v>0</v>
      </c>
      <c r="AF88" s="142">
        <f>IF(AND($C$86="реф",AF$4="РнС"),-SUM($F87:AE$88),IF(AF178&gt;0,IF((SUM($F87:AE$88)-AF178)&gt;0,-AF178,-SUM($F87:AE$88)),0))</f>
        <v>0</v>
      </c>
      <c r="AG88" s="142">
        <f>IF(AND($C$86="реф",AG$4="РнС"),-SUM($F87:AF$88),IF(AG178&gt;0,IF((SUM($F87:AF$88)-AG178)&gt;0,-AG178,-SUM($F87:AF$88)),0))</f>
        <v>0</v>
      </c>
      <c r="AH88" s="142">
        <f>IF(AND($C$86="реф",AH$4="РнС"),-SUM($F87:AG$88),IF(AH178&gt;0,IF((SUM($F87:AG$88)-AH178)&gt;0,-AH178,-SUM($F87:AG$88)),0))</f>
        <v>0</v>
      </c>
      <c r="AI88" s="142">
        <f>IF(AND($C$86="реф",AI$4="РнС"),-SUM($F87:AH$88),IF(AI178&gt;0,IF((SUM($F87:AH$88)-AI178)&gt;0,-AI178,-SUM($F87:AH$88)),0))</f>
        <v>0</v>
      </c>
      <c r="AJ88" s="142">
        <f>IF(AND($C$86="реф",AJ$4="РнС"),-SUM($F87:AI$88),IF(AJ178&gt;0,IF((SUM($F87:AI$88)-AJ178)&gt;0,-AJ178,-SUM($F87:AI$88)),0))</f>
        <v>0</v>
      </c>
      <c r="AK88" s="142">
        <f>IF(AND($C$86="реф",AK$4="РнС"),-SUM($F87:AJ$88),IF(AK178&gt;0,IF((SUM($F87:AJ$88)-AK178)&gt;0,-AK178,-SUM($F87:AJ$88)),0))</f>
        <v>0</v>
      </c>
      <c r="AL88" s="142">
        <f>IF(AND($C$86="реф",AL$4="РнС"),-SUM($F87:AK$88),IF(AL178&gt;0,IF((SUM($F87:AK$88)-AL178)&gt;0,-AL178,-SUM($F87:AK$88)),0))</f>
        <v>0</v>
      </c>
      <c r="AM88" s="142">
        <f>IF(AND($C$86="реф",AM$4="РнС"),-SUM($F87:AL$88),IF(AM178&gt;0,IF((SUM($F87:AL$88)-AM178)&gt;0,-AM178,-SUM($F87:AL$88)),0))</f>
        <v>0</v>
      </c>
      <c r="AN88" s="142">
        <f>IF(AND($C$86="реф",AN$4="РнС"),-SUM($F87:AM$88),IF(AN178&gt;0,IF((SUM($F87:AM$88)-AN178)&gt;0,-AN178,-SUM($F87:AM$88)),0))</f>
        <v>0</v>
      </c>
      <c r="AO88" s="142">
        <f>IF(AND($C$86="реф",AO$4="РнС"),-SUM($F87:AN$88),IF(AO178&gt;0,IF((SUM($F87:AN$88)-AO178)&gt;0,-AO178,-SUM($F87:AN$88)),0))</f>
        <v>0</v>
      </c>
      <c r="AP88" s="142">
        <f>IF(AND($C$86="реф",AP$4="РнС"),-SUM($F87:AO$88),IF(AP178&gt;0,IF((SUM($F87:AO$88)-AP178)&gt;0,-AP178,-SUM($F87:AO$88)),0))</f>
        <v>0</v>
      </c>
      <c r="AQ88" s="142">
        <f>IF(AND($C$86="реф",AQ$4="РнС"),-SUM($F87:AP$88),IF(AQ178&gt;0,IF((SUM($F87:AP$88)-AQ178)&gt;0,-AQ178,-SUM($F87:AP$88)),0))</f>
        <v>0</v>
      </c>
      <c r="AR88" s="142">
        <f>IF(AND($C$86="реф",AR$4="РнС"),-SUM($F87:AQ$88),IF(AR178&gt;0,IF((SUM($F87:AQ$88)-AR178)&gt;0,-AR178,-SUM($F87:AQ$88)),0))</f>
        <v>0</v>
      </c>
      <c r="AS88" s="142">
        <f>IF(AND($C$86="реф",AS$4="РнС"),-SUM($F87:AR$88),IF(AS178&gt;0,IF((SUM($F87:AR$88)-AS178)&gt;0,-AS178,-SUM($F87:AR$88)),0))</f>
        <v>0</v>
      </c>
      <c r="AT88" s="142">
        <f>IF(AND($C$86="реф",AT$4="РнС"),-SUM($F87:AS$88),IF(AT178&gt;0,IF((SUM($F87:AS$88)-AT178)&gt;0,-AT178,-SUM($F87:AS$88)),0))</f>
        <v>0</v>
      </c>
      <c r="AU88" s="142">
        <f>IF(AND($C$86="реф",AU$4="РнС"),-SUM($F87:AT$88),IF(AU178&gt;0,IF((SUM($F87:AT$88)-AU178)&gt;0,-AU178,-SUM($F87:AT$88)),0))</f>
        <v>0</v>
      </c>
      <c r="AV88" s="142">
        <f>IF(AND($C$86="реф",AV$4="РнС"),-SUM($F87:AU$88),IF(AV178&gt;0,IF((SUM($F87:AU$88)-AV178)&gt;0,-AV178,-SUM($F87:AU$88)),0))</f>
        <v>0</v>
      </c>
      <c r="AW88" s="142">
        <f>IF(AND($C$86="реф",AW$4="РнС"),-SUM($F87:AV$88),IF(AW178&gt;0,IF((SUM($F87:AV$88)-AW178)&gt;0,-AW178,-SUM($F87:AV$88)),0))</f>
        <v>0</v>
      </c>
      <c r="AX88" s="142">
        <f>IF(AND($C$86="реф",AX$4="РнС"),-SUM($F87:AW$88),IF(AX178&gt;0,IF((SUM($F87:AW$88)-AX178)&gt;0,-AX178,-SUM($F87:AW$88)),0))</f>
        <v>0</v>
      </c>
      <c r="AY88" s="142">
        <f>IF(AND($C$86="реф",AY$4="РнС"),-SUM($F87:AX$88),IF(AY178&gt;0,IF((SUM($F87:AX$88)-AY178)&gt;0,-AY178,-SUM($F87:AX$88)),0))</f>
        <v>0</v>
      </c>
      <c r="AZ88" s="142">
        <f>IF(AND($C$86="реф",AZ$4="РнС"),-SUM($F87:AY$88),IF(AZ178&gt;0,IF((SUM($F87:AY$88)-AZ178)&gt;0,-AZ178,-SUM($F87:AY$88)),0))</f>
        <v>0</v>
      </c>
      <c r="BA88" s="142">
        <f>IF(AND($C$86="реф",BA$4="РнС"),-SUM($F87:AZ$88),IF(BA178&gt;0,IF((SUM($F87:AZ$88)-BA178)&gt;0,-BA178,-SUM($F87:AZ$88)),0))</f>
        <v>0</v>
      </c>
      <c r="BB88" s="142">
        <f>IF(AND($C$86="реф",BB$4="РнС"),-SUM($F87:BA$88),IF(BB178&gt;0,IF((SUM($F87:BA$88)-BB178)&gt;0,-BB178,-SUM($F87:BA$88)),0))</f>
        <v>0</v>
      </c>
      <c r="BC88" s="142">
        <f>IF(AND($C$86="реф",BC$4="РнС"),-SUM($F87:BB$88),IF(BC178&gt;0,IF((SUM($F87:BB$88)-BC178)&gt;0,-BC178,-SUM($F87:BB$88)),0))</f>
        <v>0</v>
      </c>
      <c r="BD88" s="142">
        <f>IF(AND($C$86="реф",BD$4="РнС"),-SUM($F87:BC$88),IF(BD178&gt;0,IF((SUM($F87:BC$88)-BD178)&gt;0,-BD178,-SUM($F87:BC$88)),0))</f>
        <v>0</v>
      </c>
      <c r="BE88" s="142">
        <f>IF(AND($C$86="реф",BE$4="РнС"),-SUM($F87:BD$88),IF(BE178&gt;0,IF((SUM($F87:BD$88)-BE178)&gt;0,-BE178,-SUM($F87:BD$88)),0))</f>
        <v>0</v>
      </c>
      <c r="BF88" s="142">
        <f>IF(AND($C$86="реф",BF$4="РнС"),-SUM($F87:BE$88),IF(BF178&gt;0,IF((SUM($F87:BE$88)-BF178)&gt;0,-BF178,-SUM($F87:BE$88)),0))</f>
        <v>0</v>
      </c>
      <c r="BG88" s="142">
        <f>IF(AND($C$86="реф",BG$4="РнС"),-SUM($F87:BF$88),IF(BG178&gt;0,IF((SUM($F87:BF$88)-BG178)&gt;0,-BG178,-SUM($F87:BF$88)),0))</f>
        <v>0</v>
      </c>
      <c r="BH88" s="142">
        <f>IF(AND($C$86="реф",BH$4="РнС"),-SUM($F87:BG$88),IF(BH178&gt;0,IF((SUM($F87:BG$88)-BH178)&gt;0,-BH178,-SUM($F87:BG$88)),0))</f>
        <v>0</v>
      </c>
      <c r="BI88" s="142">
        <f>IF(AND($C$86="реф",BI$4="РнС"),-SUM($F87:BH$88),IF(BI178&gt;0,IF((SUM($F87:BH$88)-BI178)&gt;0,-BI178,-SUM($F87:BH$88)),0))</f>
        <v>0</v>
      </c>
      <c r="BJ88" s="142">
        <f>IF(AND($C$86="реф",BJ$4="РнС"),-SUM($F87:BI$88),IF(BJ178&gt;0,IF((SUM($F87:BI$88)-BJ178)&gt;0,-BJ178,-SUM($F87:BI$88)),0))</f>
        <v>0</v>
      </c>
      <c r="BK88" s="142">
        <f>IF(AND($C$86="реф",BK$4="РнС"),-SUM($F87:BJ$88),IF(BK178&gt;0,IF((SUM($F87:BJ$88)-BK178)&gt;0,-BK178,-SUM($F87:BJ$88)),0))</f>
        <v>0</v>
      </c>
      <c r="BL88" s="142">
        <f>IF(AND($C$86="реф",BL$4="РнС"),-SUM($F87:BK$88),IF(BL178&gt;0,IF((SUM($F87:BK$88)-BL178)&gt;0,-BL178,-SUM($F87:BK$88)),0))</f>
        <v>0</v>
      </c>
      <c r="BM88" s="142">
        <f>IF(AND($C$86="реф",BM$4="РнС"),-SUM($F87:BL$88),IF(BM178&gt;0,IF((SUM($F87:BL$88)-BM178)&gt;0,-BM178,-SUM($F87:BL$88)),0))</f>
        <v>0</v>
      </c>
    </row>
    <row r="89" spans="2:65">
      <c r="B89" s="145" t="s">
        <v>199</v>
      </c>
      <c r="C89" s="27"/>
      <c r="D89" s="131" t="s">
        <v>19</v>
      </c>
      <c r="E89" s="141">
        <f t="shared" si="54"/>
        <v>0</v>
      </c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2"/>
      <c r="AL89" s="142"/>
      <c r="AM89" s="142"/>
      <c r="AN89" s="142"/>
      <c r="AO89" s="142"/>
      <c r="AP89" s="142"/>
      <c r="AQ89" s="142"/>
      <c r="AR89" s="142"/>
      <c r="AS89" s="142"/>
      <c r="AT89" s="142"/>
      <c r="AU89" s="142"/>
      <c r="AV89" s="142"/>
      <c r="AW89" s="142"/>
      <c r="AX89" s="142"/>
      <c r="AY89" s="142"/>
      <c r="AZ89" s="142"/>
      <c r="BA89" s="142"/>
      <c r="BB89" s="142"/>
      <c r="BC89" s="142"/>
      <c r="BD89" s="142"/>
      <c r="BE89" s="142"/>
      <c r="BF89" s="142"/>
      <c r="BG89" s="142"/>
      <c r="BH89" s="142"/>
      <c r="BI89" s="142"/>
      <c r="BJ89" s="142"/>
      <c r="BK89" s="142"/>
      <c r="BL89" s="142"/>
      <c r="BM89" s="142"/>
    </row>
    <row r="90" spans="2:65">
      <c r="B90" s="146"/>
      <c r="C90" s="28" t="s">
        <v>59</v>
      </c>
      <c r="D90" s="131" t="s">
        <v>19</v>
      </c>
      <c r="E90" s="141">
        <f t="shared" si="54"/>
        <v>956.83808955712516</v>
      </c>
      <c r="F90" s="202">
        <f>SUM($F$87:F88)*F$195/4</f>
        <v>0</v>
      </c>
      <c r="G90" s="202">
        <f>SUM($F$87:G88)*G$195/4</f>
        <v>0</v>
      </c>
      <c r="H90" s="202">
        <f>SUM($F$87:H88)*H$195/4</f>
        <v>0</v>
      </c>
      <c r="I90" s="202">
        <f>SUM($F$87:I88)*I$195/4</f>
        <v>0</v>
      </c>
      <c r="J90" s="202">
        <f>SUM($F$87:J88)*J$195/4</f>
        <v>0</v>
      </c>
      <c r="K90" s="202">
        <f>SUM($F$87:K88)*K$195/4</f>
        <v>0</v>
      </c>
      <c r="L90" s="202">
        <f>SUM($F$87:L88)*L$195/4</f>
        <v>0</v>
      </c>
      <c r="M90" s="202">
        <f>SUM($F$87:M88)*M$195/4</f>
        <v>0</v>
      </c>
      <c r="N90" s="142">
        <f>SUM($F$87:N88)*N$195/4</f>
        <v>0</v>
      </c>
      <c r="O90" s="142">
        <f>SUM($F$87:O88)*O$195/4</f>
        <v>0</v>
      </c>
      <c r="P90" s="142">
        <f>SUM($F$87:P88)*P$195/4</f>
        <v>202.35324551130191</v>
      </c>
      <c r="Q90" s="142">
        <f>SUM($F$87:Q88)*Q$195/4</f>
        <v>220.20677091655355</v>
      </c>
      <c r="R90" s="142">
        <f>SUM($F$87:R88)*R$195/4</f>
        <v>245.46815112525485</v>
      </c>
      <c r="S90" s="142">
        <f>SUM($F$87:S88)*S$195/4</f>
        <v>288.80992200401494</v>
      </c>
      <c r="T90" s="142">
        <f>SUM($F$87:T88)*T$195/4</f>
        <v>0</v>
      </c>
      <c r="U90" s="142">
        <f>SUM($F$87:U88)*U$195/4</f>
        <v>0</v>
      </c>
      <c r="V90" s="142">
        <f>SUM($F$87:V88)*V$195/4</f>
        <v>0</v>
      </c>
      <c r="W90" s="142">
        <f>SUM($F$87:W88)*W$195/4</f>
        <v>0</v>
      </c>
      <c r="X90" s="142">
        <f>SUM($F$87:X88)*X$195/4</f>
        <v>0</v>
      </c>
      <c r="Y90" s="142">
        <f>SUM($F$87:Y88)*Y$195/4</f>
        <v>0</v>
      </c>
      <c r="Z90" s="142">
        <f>SUM($F$87:Z88)*Z$195/4</f>
        <v>0</v>
      </c>
      <c r="AA90" s="142">
        <f>SUM($F$87:AA88)*AA$195/4</f>
        <v>0</v>
      </c>
      <c r="AB90" s="142">
        <f>SUM($F$87:AB88)*AB$195/4</f>
        <v>0</v>
      </c>
      <c r="AC90" s="142">
        <f>SUM($F$87:AC88)*AC$195/4</f>
        <v>0</v>
      </c>
      <c r="AD90" s="142">
        <f>SUM($F$87:AD88)*AD$195/4</f>
        <v>0</v>
      </c>
      <c r="AE90" s="142">
        <f>SUM($F$87:AE88)*AE$195/4</f>
        <v>0</v>
      </c>
      <c r="AF90" s="142">
        <f>SUM($F$87:AF88)*AF$195/4</f>
        <v>0</v>
      </c>
      <c r="AG90" s="142">
        <f>SUM($F$87:AG88)*AG$195/4</f>
        <v>0</v>
      </c>
      <c r="AH90" s="142">
        <f>SUM($F$87:AH88)*AH$195/4</f>
        <v>0</v>
      </c>
      <c r="AI90" s="142">
        <f>SUM($F$87:AI88)*AI$195/4</f>
        <v>0</v>
      </c>
      <c r="AJ90" s="142">
        <f>SUM($F$87:AJ88)*AJ$195/4</f>
        <v>0</v>
      </c>
      <c r="AK90" s="142">
        <f>SUM($F$87:AK88)*AK$195/4</f>
        <v>0</v>
      </c>
      <c r="AL90" s="142">
        <f>SUM($F$87:AL88)*AL$195/4</f>
        <v>0</v>
      </c>
      <c r="AM90" s="142">
        <f>SUM($F$87:AM88)*AM$195/4</f>
        <v>0</v>
      </c>
      <c r="AN90" s="142">
        <f>SUM($F$87:AN88)*AN$195/4</f>
        <v>0</v>
      </c>
      <c r="AO90" s="142">
        <f>SUM($F$87:AO88)*AO$195/4</f>
        <v>0</v>
      </c>
      <c r="AP90" s="142">
        <f>SUM($F$87:AP88)*AP$195/4</f>
        <v>0</v>
      </c>
      <c r="AQ90" s="142">
        <f>SUM($F$87:AQ88)*AQ$195/4</f>
        <v>0</v>
      </c>
      <c r="AR90" s="142">
        <f>SUM($F$87:AR88)*AR$195/4</f>
        <v>0</v>
      </c>
      <c r="AS90" s="142">
        <f>SUM($F$87:AS88)*AS$195/4</f>
        <v>0</v>
      </c>
      <c r="AT90" s="142">
        <f>SUM($F$87:AT88)*AT$195/4</f>
        <v>0</v>
      </c>
      <c r="AU90" s="142">
        <f>SUM($F$87:AU88)*AU$195/4</f>
        <v>0</v>
      </c>
      <c r="AV90" s="142">
        <f>SUM($F$87:AV88)*AV$195/4</f>
        <v>0</v>
      </c>
      <c r="AW90" s="142">
        <f>SUM($F$87:AW88)*AW$195/4</f>
        <v>0</v>
      </c>
      <c r="AX90" s="142">
        <f>SUM($F$87:AX88)*AX$195/4</f>
        <v>0</v>
      </c>
      <c r="AY90" s="142">
        <f>SUM($F$87:AY88)*AY$195/4</f>
        <v>0</v>
      </c>
      <c r="AZ90" s="142">
        <f>SUM($F$87:AZ88)*AZ$195/4</f>
        <v>0</v>
      </c>
      <c r="BA90" s="142">
        <f>SUM($F$87:BA88)*BA$195/4</f>
        <v>0</v>
      </c>
      <c r="BB90" s="142">
        <f>SUM($F$87:BB88)*BB$195/4</f>
        <v>0</v>
      </c>
      <c r="BC90" s="142">
        <f>SUM($F$87:BC88)*BC$195/4</f>
        <v>0</v>
      </c>
      <c r="BD90" s="142">
        <f>SUM($F$87:BD88)*BD$195/4</f>
        <v>0</v>
      </c>
      <c r="BE90" s="142">
        <f>SUM($F$87:BE88)*BE$195/4</f>
        <v>0</v>
      </c>
      <c r="BF90" s="142">
        <f>SUM($F$87:BF88)*BF$195/4</f>
        <v>0</v>
      </c>
      <c r="BG90" s="142">
        <f>SUM($F$87:BG88)*BG$195/4</f>
        <v>0</v>
      </c>
      <c r="BH90" s="142">
        <f>SUM($F$87:BH88)*BH$195/4</f>
        <v>0</v>
      </c>
      <c r="BI90" s="142">
        <f>SUM($F$87:BI88)*BI$195/4</f>
        <v>0</v>
      </c>
      <c r="BJ90" s="142">
        <f>SUM($F$87:BJ88)*BJ$195/4</f>
        <v>0</v>
      </c>
      <c r="BK90" s="142">
        <f>SUM($F$87:BK88)*BK$195/4</f>
        <v>0</v>
      </c>
      <c r="BL90" s="142">
        <f>SUM($F$87:BL88)*BL$195/4</f>
        <v>0</v>
      </c>
      <c r="BM90" s="142">
        <f>SUM($F$87:BM88)*BM$195/4</f>
        <v>0</v>
      </c>
    </row>
    <row r="91" spans="2:65">
      <c r="B91" s="27"/>
      <c r="C91" s="28" t="s">
        <v>73</v>
      </c>
      <c r="D91" s="131" t="s">
        <v>19</v>
      </c>
      <c r="E91" s="141">
        <f t="shared" si="54"/>
        <v>-956.83808955712516</v>
      </c>
      <c r="F91" s="202"/>
      <c r="G91" s="202"/>
      <c r="H91" s="202"/>
      <c r="I91" s="202"/>
      <c r="J91" s="202"/>
      <c r="K91" s="202"/>
      <c r="L91" s="202"/>
      <c r="M91" s="202"/>
      <c r="N91" s="142">
        <f>IF(AND($C$86="реф",N$4="РнС"),-SUM($F90:M$91),IF(N179&gt;0,IF((SUM($F90:M$91,N90)-N179)&gt;0,-N179,-SUM($F90:M$91)),0))</f>
        <v>0</v>
      </c>
      <c r="O91" s="142">
        <f>IF(AND($C$86="реф",O$4="РнС"),-SUM($F90:N$91),IF(O179&gt;0,IF((SUM($F90:N$91,O90)-O179)&gt;0,-O179,-SUM($F90:N$91)),0))</f>
        <v>0</v>
      </c>
      <c r="P91" s="142">
        <f>IF(AND($C$86="реф",P$4="РнС"),-SUM($F90:O$91),IF(P179&gt;0,IF((SUM($F90:O$91,P90)-P179)&gt;0,-P179,-SUM($F90:O$91)),0))</f>
        <v>0</v>
      </c>
      <c r="Q91" s="142">
        <f>IF(AND($C$86="реф",Q$4="РнС"),-SUM($F90:P$91),IF(Q179&gt;0,IF((SUM($F90:P$91,Q90)-Q179)&gt;0,-Q179,-SUM($F90:P$91)),0))</f>
        <v>0</v>
      </c>
      <c r="R91" s="142">
        <f>IF(AND($C$86="реф",R$4="РнС"),-SUM($F90:Q$91),IF(R179&gt;0,IF((SUM($F90:Q$91,R90)-R179)&gt;0,-R179,-SUM($F90:Q$91)),0))</f>
        <v>0</v>
      </c>
      <c r="S91" s="142">
        <f>IF(AND($C$86="реф",S$4="РнС"),-SUM($F90:R$91),IF(S179&gt;0,IF((SUM($F90:R$91,S90)-S179)&gt;0,-S179,-SUM($F90:R$91)),0))</f>
        <v>0</v>
      </c>
      <c r="T91" s="142">
        <f>IF(AND($C$86="реф",T$4="РнС"),-SUM($F90:S$91),IF(T179&gt;0,IF((SUM($F90:S$91,T90)-T179)&gt;0,-T179,-SUM($F90:S$91)),0))</f>
        <v>-956.83808955712516</v>
      </c>
      <c r="U91" s="142">
        <f>IF(AND($C$86="реф",U$4="РнС"),-SUM($F90:T$91),IF(U179&gt;0,IF((SUM($F90:T$91,U90)-U179)&gt;0,-U179,-SUM($F90:T$91)),0))</f>
        <v>0</v>
      </c>
      <c r="V91" s="142">
        <f>IF(AND($C$86="реф",V$4="РнС"),-SUM($F90:U$91),IF(V179&gt;0,IF((SUM($F90:U$91,V90)-V179)&gt;0,-V179,-SUM($F90:U$91)),0))</f>
        <v>0</v>
      </c>
      <c r="W91" s="142">
        <f>IF(AND($C$86="реф",W$4="РнС"),-SUM($F90:V$91),IF(W179&gt;0,IF((SUM($F90:V$91,W90)-W179)&gt;0,-W179,-SUM($F90:V$91)),0))</f>
        <v>0</v>
      </c>
      <c r="X91" s="142">
        <f>IF(AND($C$86="реф",X$4="РнС"),-SUM($F90:W$91),IF(X179&gt;0,IF((SUM($F90:W$91,X90)-X179)&gt;0,-X179,-SUM($F90:W$91)),0))</f>
        <v>0</v>
      </c>
      <c r="Y91" s="142">
        <f>IF(AND($C$86="реф",Y$4="РнС"),-SUM($F90:X$91),IF(Y179&gt;0,IF((SUM($F90:X$91,Y90)-Y179)&gt;0,-Y179,-SUM($F90:X$91)),0))</f>
        <v>0</v>
      </c>
      <c r="Z91" s="142">
        <f>IF(AND($C$86="реф",Z$4="РнС"),-SUM($F90:Y$91),IF(Z179&gt;0,IF((SUM($F90:Y$91,Z90)-Z179)&gt;0,-Z179,-SUM($F90:Y$91)),0))</f>
        <v>0</v>
      </c>
      <c r="AA91" s="142">
        <f>IF(AND($C$86="реф",AA$4="РнС"),-SUM($F90:Z$91),IF(AA179&gt;0,IF((SUM($F90:Z$91,AA90)-AA179)&gt;0,-AA179,-SUM($F90:Z$91)),0))</f>
        <v>0</v>
      </c>
      <c r="AB91" s="142">
        <f>IF(AND($C$86="реф",AB$4="РнС"),-SUM($F90:AA$91),IF(AB179&gt;0,IF((SUM($F90:AA$91,AB90)-AB179)&gt;0,-AB179,-SUM($F90:AA$91)),0))</f>
        <v>0</v>
      </c>
      <c r="AC91" s="142">
        <f>IF(AND($C$86="реф",AC$4="РнС"),-SUM($F90:AB$91),IF(AC179&gt;0,IF((SUM($F90:AB$91,AC90)-AC179)&gt;0,-AC179,-SUM($F90:AB$91)),0))</f>
        <v>0</v>
      </c>
      <c r="AD91" s="142">
        <f>IF(AND($C$86="реф",AD$4="РнС"),-SUM($F90:AC$91),IF(AD179&gt;0,IF((SUM($F90:AC$91,AD90)-AD179)&gt;0,-AD179,-SUM($F90:AC$91)),0))</f>
        <v>0</v>
      </c>
      <c r="AE91" s="142">
        <f>IF(AND($C$86="реф",AE$4="РнС"),-SUM($F90:AD$91),IF(AE179&gt;0,IF((SUM($F90:AD$91,AE90)-AE179)&gt;0,-AE179,-SUM($F90:AD$91)),0))</f>
        <v>0</v>
      </c>
      <c r="AF91" s="142">
        <f>IF(AND($C$86="реф",AF$4="РнС"),-SUM($F90:AE$91),IF(AF179&gt;0,IF((SUM($F90:AE$91,AF90)-AF179)&gt;0,-AF179,-SUM($F90:AE$91)),0))</f>
        <v>0</v>
      </c>
      <c r="AG91" s="142">
        <f>IF(AND($C$86="реф",AG$4="РнС"),-SUM($F90:AF$91),IF(AG179&gt;0,IF((SUM($F90:AF$91,AG90)-AG179)&gt;0,-AG179,-SUM($F90:AF$91)),0))</f>
        <v>0</v>
      </c>
      <c r="AH91" s="142">
        <f>IF(AND($C$86="реф",AH$4="РнС"),-SUM($F90:AG$91),IF(AH179&gt;0,IF((SUM($F90:AG$91,AH90)-AH179)&gt;0,-AH179,-SUM($F90:AG$91)),0))</f>
        <v>0</v>
      </c>
      <c r="AI91" s="142">
        <f>IF(AND($C$86="реф",AI$4="РнС"),-SUM($F90:AH$91),IF(AI179&gt;0,IF((SUM($F90:AH$91,AI90)-AI179)&gt;0,-AI179,-SUM($F90:AH$91)),0))</f>
        <v>0</v>
      </c>
      <c r="AJ91" s="142">
        <f>IF(AND($C$86="реф",AJ$4="РнС"),-SUM($F90:AI$91),IF(AJ179&gt;0,IF((SUM($F90:AI$91,AJ90)-AJ179)&gt;0,-AJ179,-SUM($F90:AI$91)),0))</f>
        <v>0</v>
      </c>
      <c r="AK91" s="142">
        <f>IF(AND($C$86="реф",AK$4="РнС"),-SUM($F90:AJ$91),IF(AK179&gt;0,IF((SUM($F90:AJ$91,AK90)-AK179)&gt;0,-AK179,-SUM($F90:AJ$91)),0))</f>
        <v>0</v>
      </c>
      <c r="AL91" s="142">
        <f>IF(AND($C$86="реф",AL$4="РнС"),-SUM($F90:AK$91),IF(AL179&gt;0,IF((SUM($F90:AK$91,AL90)-AL179)&gt;0,-AL179,-SUM($F90:AK$91)),0))</f>
        <v>0</v>
      </c>
      <c r="AM91" s="142">
        <f>IF(AND($C$86="реф",AM$4="РнС"),-SUM($F90:AL$91),IF(AM179&gt;0,IF((SUM($F90:AL$91,AM90)-AM179)&gt;0,-AM179,-SUM($F90:AL$91)),0))</f>
        <v>0</v>
      </c>
      <c r="AN91" s="142">
        <f>IF(AND($C$86="реф",AN$4="РнС"),-SUM($F90:AM$91),IF(AN179&gt;0,IF((SUM($F90:AM$91,AN90)-AN179)&gt;0,-AN179,-SUM($F90:AM$91)),0))</f>
        <v>0</v>
      </c>
      <c r="AO91" s="142">
        <f>IF(AND($C$86="реф",AO$4="РнС"),-SUM($F90:AN$91),IF(AO179&gt;0,IF((SUM($F90:AN$91,AO90)-AO179)&gt;0,-AO179,-SUM($F90:AN$91)),0))</f>
        <v>0</v>
      </c>
      <c r="AP91" s="142">
        <f>IF(AND($C$86="реф",AP$4="РнС"),-SUM($F90:AO$91),IF(AP179&gt;0,IF((SUM($F90:AO$91,AP90)-AP179)&gt;0,-AP179,-SUM($F90:AO$91)),0))</f>
        <v>0</v>
      </c>
      <c r="AQ91" s="142">
        <f>IF(AND($C$86="реф",AQ$4="РнС"),-SUM($F90:AP$91),IF(AQ179&gt;0,IF((SUM($F90:AP$91,AQ90)-AQ179)&gt;0,-AQ179,-SUM($F90:AP$91)),0))</f>
        <v>0</v>
      </c>
      <c r="AR91" s="142">
        <f>IF(AND($C$86="реф",AR$4="РнС"),-SUM($F90:AQ$91),IF(AR179&gt;0,IF((SUM($F90:AQ$91,AR90)-AR179)&gt;0,-AR179,-SUM($F90:AQ$91)),0))</f>
        <v>0</v>
      </c>
      <c r="AS91" s="142">
        <f>IF(AND($C$86="реф",AS$4="РнС"),-SUM($F90:AR$91),IF(AS179&gt;0,IF((SUM($F90:AR$91,AS90)-AS179)&gt;0,-AS179,-SUM($F90:AR$91)),0))</f>
        <v>0</v>
      </c>
      <c r="AT91" s="142">
        <f>IF(AND($C$86="реф",AT$4="РнС"),-SUM($F90:AS$91),IF(AT179&gt;0,IF((SUM($F90:AS$91,AT90)-AT179)&gt;0,-AT179,-SUM($F90:AS$91)),0))</f>
        <v>0</v>
      </c>
      <c r="AU91" s="142">
        <f>IF(AND($C$86="реф",AU$4="РнС"),-SUM($F90:AT$91),IF(AU179&gt;0,IF((SUM($F90:AT$91,AU90)-AU179)&gt;0,-AU179,-SUM($F90:AT$91)),0))</f>
        <v>0</v>
      </c>
      <c r="AV91" s="142">
        <f>IF(AND($C$86="реф",AV$4="РнС"),-SUM($F90:AU$91),IF(AV179&gt;0,IF((SUM($F90:AU$91,AV90)-AV179)&gt;0,-AV179,-SUM($F90:AU$91)),0))</f>
        <v>0</v>
      </c>
      <c r="AW91" s="142">
        <f>IF(AND($C$86="реф",AW$4="РнС"),-SUM($F90:AV$91),IF(AW179&gt;0,IF((SUM($F90:AV$91,AW90)-AW179)&gt;0,-AW179,-SUM($F90:AV$91)),0))</f>
        <v>0</v>
      </c>
      <c r="AX91" s="142">
        <f>IF(AND($C$86="реф",AX$4="РнС"),-SUM($F90:AW$91),IF(AX179&gt;0,IF((SUM($F90:AW$91,AX90)-AX179)&gt;0,-AX179,-SUM($F90:AW$91)),0))</f>
        <v>0</v>
      </c>
      <c r="AY91" s="142">
        <f>IF(AND($C$86="реф",AY$4="РнС"),-SUM($F90:AX$91),IF(AY179&gt;0,IF((SUM($F90:AX$91,AY90)-AY179)&gt;0,-AY179,-SUM($F90:AX$91)),0))</f>
        <v>0</v>
      </c>
      <c r="AZ91" s="142">
        <f>IF(AND($C$86="реф",AZ$4="РнС"),-SUM($F90:AY$91),IF(AZ179&gt;0,IF((SUM($F90:AY$91,AZ90)-AZ179)&gt;0,-AZ179,-SUM($F90:AY$91)),0))</f>
        <v>0</v>
      </c>
      <c r="BA91" s="142">
        <f>IF(AND($C$86="реф",BA$4="РнС"),-SUM($F90:AZ$91),IF(BA179&gt;0,IF((SUM($F90:AZ$91,BA90)-BA179)&gt;0,-BA179,-SUM($F90:AZ$91)),0))</f>
        <v>0</v>
      </c>
      <c r="BB91" s="142">
        <f>IF(AND($C$86="реф",BB$4="РнС"),-SUM($F90:BA$91),IF(BB179&gt;0,IF((SUM($F90:BA$91,BB90)-BB179)&gt;0,-BB179,-SUM($F90:BA$91)),0))</f>
        <v>0</v>
      </c>
      <c r="BC91" s="142">
        <f>IF(AND($C$86="реф",BC$4="РнС"),-SUM($F90:BB$91),IF(BC179&gt;0,IF((SUM($F90:BB$91,BC90)-BC179)&gt;0,-BC179,-SUM($F90:BB$91)),0))</f>
        <v>0</v>
      </c>
      <c r="BD91" s="142">
        <f>IF(AND($C$86="реф",BD$4="РнС"),-SUM($F90:BC$91),IF(BD179&gt;0,IF((SUM($F90:BC$91,BD90)-BD179)&gt;0,-BD179,-SUM($F90:BC$91)),0))</f>
        <v>0</v>
      </c>
      <c r="BE91" s="142">
        <f>IF(AND($C$86="реф",BE$4="РнС"),-SUM($F90:BD$91),IF(BE179&gt;0,IF((SUM($F90:BD$91,BE90)-BE179)&gt;0,-BE179,-SUM($F90:BD$91)),0))</f>
        <v>0</v>
      </c>
      <c r="BF91" s="142">
        <f>IF(AND($C$86="реф",BF$4="РнС"),-SUM($F90:BE$91),IF(BF179&gt;0,IF((SUM($F90:BE$91,BF90)-BF179)&gt;0,-BF179,-SUM($F90:BE$91)),0))</f>
        <v>0</v>
      </c>
      <c r="BG91" s="142">
        <f>IF(AND($C$86="реф",BG$4="РнС"),-SUM($F90:BF$91),IF(BG179&gt;0,IF((SUM($F90:BF$91,BG90)-BG179)&gt;0,-BG179,-SUM($F90:BF$91)),0))</f>
        <v>0</v>
      </c>
      <c r="BH91" s="142">
        <f>IF(AND($C$86="реф",BH$4="РнС"),-SUM($F90:BG$91),IF(BH179&gt;0,IF((SUM($F90:BG$91,BH90)-BH179)&gt;0,-BH179,-SUM($F90:BG$91)),0))</f>
        <v>0</v>
      </c>
      <c r="BI91" s="142">
        <f>IF(AND($C$86="реф",BI$4="РнС"),-SUM($F90:BH$91),IF(BI179&gt;0,IF((SUM($F90:BH$91,BI90)-BI179)&gt;0,-BI179,-SUM($F90:BH$91)),0))</f>
        <v>0</v>
      </c>
      <c r="BJ91" s="142">
        <f>IF(AND($C$86="реф",BJ$4="РнС"),-SUM($F90:BI$91),IF(BJ179&gt;0,IF((SUM($F90:BI$91,BJ90)-BJ179)&gt;0,-BJ179,-SUM($F90:BI$91)),0))</f>
        <v>0</v>
      </c>
      <c r="BK91" s="142">
        <f>IF(AND($C$86="реф",BK$4="РнС"),-SUM($F90:BJ$91),IF(BK179&gt;0,IF((SUM($F90:BJ$91,BK90)-BK179)&gt;0,-BK179,-SUM($F90:BJ$91)),0))</f>
        <v>0</v>
      </c>
      <c r="BL91" s="142">
        <f>IF(AND($C$86="реф",BL$4="РнС"),-SUM($F90:BK$91),IF(BL179&gt;0,IF((SUM($F90:BK$91,BL90)-BL179)&gt;0,-BL179,-SUM($F90:BK$91)),0))</f>
        <v>0</v>
      </c>
      <c r="BM91" s="142">
        <f>IF(AND($C$86="реф",BM$4="РнС"),-SUM($F90:BL$91),IF(BM179&gt;0,IF((SUM($F90:BL$91,BM90)-BM179)&gt;0,-BM179,-SUM($F90:BL$91)),0))</f>
        <v>0</v>
      </c>
    </row>
    <row r="92" spans="2:65">
      <c r="B92" s="146"/>
      <c r="C92" s="28" t="s">
        <v>94</v>
      </c>
      <c r="D92" s="131" t="s">
        <v>19</v>
      </c>
      <c r="E92" s="141">
        <f t="shared" si="54"/>
        <v>111.84111804193631</v>
      </c>
      <c r="F92" s="202">
        <f>SUM($F$90:F91)*F$195/4</f>
        <v>0</v>
      </c>
      <c r="G92" s="202">
        <f>SUM($F$90:G91)*G$195/4</f>
        <v>0</v>
      </c>
      <c r="H92" s="202">
        <f>SUM($F$90:H91)*H$195/4</f>
        <v>0</v>
      </c>
      <c r="I92" s="202">
        <f>SUM($F$90:I91)*I$195/4</f>
        <v>0</v>
      </c>
      <c r="J92" s="202">
        <f>SUM($F$90:J91)*J$195/4</f>
        <v>0</v>
      </c>
      <c r="K92" s="202">
        <f>SUM($F$90:K91)*K$195/4</f>
        <v>0</v>
      </c>
      <c r="L92" s="202">
        <f>SUM($F$90:L91)*L$195/4</f>
        <v>0</v>
      </c>
      <c r="M92" s="202">
        <f>SUM($F$90:M91)*M$195/4</f>
        <v>0</v>
      </c>
      <c r="N92" s="142">
        <f>SUM($F$90:N91)*N$195/4</f>
        <v>0</v>
      </c>
      <c r="O92" s="142">
        <f>SUM($F$90:O91)*O$195/4</f>
        <v>0</v>
      </c>
      <c r="P92" s="142">
        <f>SUM($F$90:P91)*P$195/4</f>
        <v>12.141194730678114</v>
      </c>
      <c r="Q92" s="142">
        <f>SUM($F$90:Q91)*Q$195/4</f>
        <v>23.240800903532051</v>
      </c>
      <c r="R92" s="142">
        <f>SUM($F$90:R91)*R$195/4</f>
        <v>33.401408377655514</v>
      </c>
      <c r="S92" s="142">
        <f>SUM($F$90:S91)*S$195/4</f>
        <v>43.057714030070628</v>
      </c>
      <c r="T92" s="142">
        <f>SUM($F$90:T91)*T$195/4</f>
        <v>0</v>
      </c>
      <c r="U92" s="142">
        <f>SUM($F$90:U91)*U$195/4</f>
        <v>0</v>
      </c>
      <c r="V92" s="142">
        <f>SUM($F$90:V91)*V$195/4</f>
        <v>0</v>
      </c>
      <c r="W92" s="142">
        <f>SUM($F$90:W91)*W$195/4</f>
        <v>0</v>
      </c>
      <c r="X92" s="142">
        <f>SUM($F$90:X91)*X$195/4</f>
        <v>0</v>
      </c>
      <c r="Y92" s="142">
        <f>SUM($F$90:Y91)*Y$195/4</f>
        <v>0</v>
      </c>
      <c r="Z92" s="142">
        <f>SUM($F$90:Z91)*Z$195/4</f>
        <v>0</v>
      </c>
      <c r="AA92" s="142">
        <f>SUM($F$90:AA91)*AA$195/4</f>
        <v>0</v>
      </c>
      <c r="AB92" s="142">
        <f>SUM($F$90:AB91)*AB$195/4</f>
        <v>0</v>
      </c>
      <c r="AC92" s="142">
        <f>SUM($F$90:AC91)*AC$195/4</f>
        <v>0</v>
      </c>
      <c r="AD92" s="142">
        <f>SUM($F$90:AD91)*AD$195/4</f>
        <v>0</v>
      </c>
      <c r="AE92" s="142">
        <f>SUM($F$90:AE91)*AE$195/4</f>
        <v>0</v>
      </c>
      <c r="AF92" s="142">
        <f>SUM($F$90:AF91)*AF$195/4</f>
        <v>0</v>
      </c>
      <c r="AG92" s="142">
        <f>SUM($F$90:AG91)*AG$195/4</f>
        <v>0</v>
      </c>
      <c r="AH92" s="142">
        <f>SUM($F$90:AH91)*AH$195/4</f>
        <v>0</v>
      </c>
      <c r="AI92" s="142">
        <f>SUM($F$90:AI91)*AI$195/4</f>
        <v>0</v>
      </c>
      <c r="AJ92" s="142">
        <f>SUM($F$90:AJ91)*AJ$195/4</f>
        <v>0</v>
      </c>
      <c r="AK92" s="142">
        <f>SUM($F$90:AK91)*AK$195/4</f>
        <v>0</v>
      </c>
      <c r="AL92" s="142">
        <f>SUM($F$90:AL91)*AL$195/4</f>
        <v>0</v>
      </c>
      <c r="AM92" s="142">
        <f>SUM($F$90:AM91)*AM$195/4</f>
        <v>0</v>
      </c>
      <c r="AN92" s="142">
        <f>SUM($F$90:AN91)*AN$195/4</f>
        <v>0</v>
      </c>
      <c r="AO92" s="142">
        <f>SUM($F$90:AO91)*AO$195/4</f>
        <v>0</v>
      </c>
      <c r="AP92" s="142">
        <f>SUM($F$90:AP91)*AP$195/4</f>
        <v>0</v>
      </c>
      <c r="AQ92" s="142">
        <f>SUM($F$90:AQ91)*AQ$195/4</f>
        <v>0</v>
      </c>
      <c r="AR92" s="142">
        <f>SUM($F$90:AR91)*AR$195/4</f>
        <v>0</v>
      </c>
      <c r="AS92" s="142">
        <f>SUM($F$90:AS91)*AS$195/4</f>
        <v>0</v>
      </c>
      <c r="AT92" s="142">
        <f>SUM($F$90:AT91)*AT$195/4</f>
        <v>0</v>
      </c>
      <c r="AU92" s="142">
        <f>SUM($F$90:AU91)*AU$195/4</f>
        <v>0</v>
      </c>
      <c r="AV92" s="142">
        <f>SUM($F$90:AV91)*AV$195/4</f>
        <v>0</v>
      </c>
      <c r="AW92" s="142">
        <f>SUM($F$90:AW91)*AW$195/4</f>
        <v>0</v>
      </c>
      <c r="AX92" s="142">
        <f>SUM($F$90:AX91)*AX$195/4</f>
        <v>0</v>
      </c>
      <c r="AY92" s="142">
        <f>SUM($F$90:AY91)*AY$195/4</f>
        <v>0</v>
      </c>
      <c r="AZ92" s="142">
        <f>SUM($F$90:AZ91)*AZ$195/4</f>
        <v>0</v>
      </c>
      <c r="BA92" s="142">
        <f>SUM($F$90:BA91)*BA$195/4</f>
        <v>0</v>
      </c>
      <c r="BB92" s="142">
        <f>SUM($F$90:BB91)*BB$195/4</f>
        <v>0</v>
      </c>
      <c r="BC92" s="142">
        <f>SUM($F$90:BC91)*BC$195/4</f>
        <v>0</v>
      </c>
      <c r="BD92" s="142">
        <f>SUM($F$90:BD91)*BD$195/4</f>
        <v>0</v>
      </c>
      <c r="BE92" s="142">
        <f>SUM($F$90:BE91)*BE$195/4</f>
        <v>0</v>
      </c>
      <c r="BF92" s="142">
        <f>SUM($F$90:BF91)*BF$195/4</f>
        <v>0</v>
      </c>
      <c r="BG92" s="142">
        <f>SUM($F$90:BG91)*BG$195/4</f>
        <v>0</v>
      </c>
      <c r="BH92" s="142">
        <f>SUM($F$90:BH91)*BH$195/4</f>
        <v>0</v>
      </c>
      <c r="BI92" s="142">
        <f>SUM($F$90:BI91)*BI$195/4</f>
        <v>0</v>
      </c>
      <c r="BJ92" s="142">
        <f>SUM($F$90:BJ91)*BJ$195/4</f>
        <v>0</v>
      </c>
      <c r="BK92" s="142">
        <f>SUM($F$90:BK91)*BK$195/4</f>
        <v>0</v>
      </c>
      <c r="BL92" s="142">
        <f>SUM($F$90:BL91)*BL$195/4</f>
        <v>0</v>
      </c>
      <c r="BM92" s="142">
        <f>SUM($F$90:BM91)*BM$195/4</f>
        <v>0</v>
      </c>
    </row>
    <row r="93" spans="2:65">
      <c r="B93" s="27"/>
      <c r="C93" s="28" t="s">
        <v>95</v>
      </c>
      <c r="D93" s="131" t="s">
        <v>19</v>
      </c>
      <c r="E93" s="141">
        <f t="shared" si="54"/>
        <v>-111.84111804193631</v>
      </c>
      <c r="F93" s="202"/>
      <c r="G93" s="202"/>
      <c r="H93" s="202"/>
      <c r="I93" s="202"/>
      <c r="J93" s="202"/>
      <c r="K93" s="202"/>
      <c r="L93" s="202"/>
      <c r="M93" s="202"/>
      <c r="N93" s="142">
        <f>IF(AND($C$86="реф",N$4="РнС"),-SUM($F92:M$93),IF(N180&gt;0,IF((SUM($F$92:M93,N92)-N180)&gt;0,-N180,-SUM($F$92:M93)),0))</f>
        <v>0</v>
      </c>
      <c r="O93" s="142">
        <f>IF(AND($C$86="реф",O$4="РнС"),-SUM($F92:N$93),IF(O180&gt;0,IF((SUM($F$92:N93,O92)-O180)&gt;0,-O180,-SUM($F$92:N93)),0))</f>
        <v>0</v>
      </c>
      <c r="P93" s="142">
        <f>IF(AND($C$86="реф",P$4="РнС"),-SUM($F92:O$93),IF(P180&gt;0,IF((SUM($F$92:O93,P92)-P180)&gt;0,-P180,-SUM($F$92:O93)),0))</f>
        <v>0</v>
      </c>
      <c r="Q93" s="142">
        <f>IF(AND($C$86="реф",Q$4="РнС"),-SUM($F92:P$93),IF(Q180&gt;0,IF((SUM($F$92:P93,Q92)-Q180)&gt;0,-Q180,-SUM($F$92:P93)),0))</f>
        <v>0</v>
      </c>
      <c r="R93" s="142">
        <f>IF(AND($C$86="реф",R$4="РнС"),-SUM($F92:Q$93),IF(R180&gt;0,IF((SUM($F$92:Q93,R92)-R180)&gt;0,-R180,-SUM($F$92:Q93)),0))</f>
        <v>0</v>
      </c>
      <c r="S93" s="142">
        <f>IF(AND($C$86="реф",S$4="РнС"),-SUM($F92:R$93),IF(S180&gt;0,IF((SUM($F$92:R93,S92)-S180)&gt;0,-S180,-SUM($F$92:R93)),0))</f>
        <v>0</v>
      </c>
      <c r="T93" s="142">
        <f>IF(AND($C$86="реф",T$4="РнС"),-SUM($F92:S$93),IF(T180&gt;0,IF((SUM($F$92:S93,T92)-T180)&gt;0,-T180,-SUM($F$92:S93)),0))</f>
        <v>-111.84111804193631</v>
      </c>
      <c r="U93" s="142">
        <f>IF(AND($C$86="реф",U$4="РнС"),-SUM($F92:T$93),IF(U180&gt;0,IF((SUM($F$92:T93,U92)-U180)&gt;0,-U180,-SUM($F$92:T93)),0))</f>
        <v>0</v>
      </c>
      <c r="V93" s="142">
        <f>IF(AND($C$86="реф",V$4="РнС"),-SUM($F92:U$93),IF(V180&gt;0,IF((SUM($F$92:U93,V92)-V180)&gt;0,-V180,-SUM($F$92:U93)),0))</f>
        <v>0</v>
      </c>
      <c r="W93" s="142">
        <f>IF(AND($C$86="реф",W$4="РнС"),-SUM($F92:V$93),IF(W180&gt;0,IF((SUM($F$92:V93,W92)-W180)&gt;0,-W180,-SUM($F$92:V93)),0))</f>
        <v>0</v>
      </c>
      <c r="X93" s="142">
        <f>IF(AND($C$86="реф",X$4="РнС"),-SUM($F92:W$93),IF(X180&gt;0,IF((SUM($F$92:W93,X92)-X180)&gt;0,-X180,-SUM($F$92:W93)),0))</f>
        <v>0</v>
      </c>
      <c r="Y93" s="142">
        <f>IF(AND($C$86="реф",Y$4="РнС"),-SUM($F92:X$93),IF(Y180&gt;0,IF((SUM($F$92:X93,Y92)-Y180)&gt;0,-Y180,-SUM($F$92:X93)),0))</f>
        <v>0</v>
      </c>
      <c r="Z93" s="142">
        <f>IF(AND($C$86="реф",Z$4="РнС"),-SUM($F92:Y$93),IF(Z180&gt;0,IF((SUM($F$92:Y93,Z92)-Z180)&gt;0,-Z180,-SUM($F$92:Y93)),0))</f>
        <v>0</v>
      </c>
      <c r="AA93" s="142">
        <f>IF(AND($C$86="реф",AA$4="РнС"),-SUM($F92:Z$93),IF(AA180&gt;0,IF((SUM($F$92:Z93,AA92)-AA180)&gt;0,-AA180,-SUM($F$92:Z93)),0))</f>
        <v>0</v>
      </c>
      <c r="AB93" s="142">
        <f>IF(AND($C$86="реф",AB$4="РнС"),-SUM($F92:AA$93),IF(AB180&gt;0,IF((SUM($F$92:AA93,AB92)-AB180)&gt;0,-AB180,-SUM($F$92:AA93)),0))</f>
        <v>0</v>
      </c>
      <c r="AC93" s="142">
        <f>IF(AND($C$86="реф",AC$4="РнС"),-SUM($F92:AB$93),IF(AC180&gt;0,IF((SUM($F$92:AB93,AC92)-AC180)&gt;0,-AC180,-SUM($F$92:AB93)),0))</f>
        <v>0</v>
      </c>
      <c r="AD93" s="142">
        <f>IF(AND($C$86="реф",AD$4="РнС"),-SUM($F92:AC$93),IF(AD180&gt;0,IF((SUM($F$92:AC93,AD92)-AD180)&gt;0,-AD180,-SUM($F$92:AC93)),0))</f>
        <v>0</v>
      </c>
      <c r="AE93" s="142">
        <f>IF(AND($C$86="реф",AE$4="РнС"),-SUM($F92:AD$93),IF(AE180&gt;0,IF((SUM($F$92:AD93,AE92)-AE180)&gt;0,-AE180,-SUM($F$92:AD93)),0))</f>
        <v>0</v>
      </c>
      <c r="AF93" s="142">
        <f>IF(AND($C$86="реф",AF$4="РнС"),-SUM($F92:AE$93),IF(AF180&gt;0,IF((SUM($F$92:AE93,AF92)-AF180)&gt;0,-AF180,-SUM($F$92:AE93)),0))</f>
        <v>0</v>
      </c>
      <c r="AG93" s="142">
        <f>IF(AND($C$86="реф",AG$4="РнС"),-SUM($F92:AF$93),IF(AG180&gt;0,IF((SUM($F$92:AF93,AG92)-AG180)&gt;0,-AG180,-SUM($F$92:AF93)),0))</f>
        <v>0</v>
      </c>
      <c r="AH93" s="142">
        <f>IF(AND($C$86="реф",AH$4="РнС"),-SUM($F92:AG$93),IF(AH180&gt;0,IF((SUM($F$92:AG93,AH92)-AH180)&gt;0,-AH180,-SUM($F$92:AG93)),0))</f>
        <v>0</v>
      </c>
      <c r="AI93" s="142">
        <f>IF(AND($C$86="реф",AI$4="РнС"),-SUM($F92:AH$93),IF(AI180&gt;0,IF((SUM($F$92:AH93,AI92)-AI180)&gt;0,-AI180,-SUM($F$92:AH93)),0))</f>
        <v>0</v>
      </c>
      <c r="AJ93" s="142">
        <f>IF(AND($C$86="реф",AJ$4="РнС"),-SUM($F92:AI$93),IF(AJ180&gt;0,IF((SUM($F$92:AI93,AJ92)-AJ180)&gt;0,-AJ180,-SUM($F$92:AI93)),0))</f>
        <v>0</v>
      </c>
      <c r="AK93" s="142">
        <f>IF(AND($C$86="реф",AK$4="РнС"),-SUM($F92:AJ$93),IF(AK180&gt;0,IF((SUM($F$92:AJ93,AK92)-AK180)&gt;0,-AK180,-SUM($F$92:AJ93)),0))</f>
        <v>0</v>
      </c>
      <c r="AL93" s="142">
        <f>IF(AND($C$86="реф",AL$4="РнС"),-SUM($F92:AK$93),IF(AL180&gt;0,IF((SUM($F$92:AK93,AL92)-AL180)&gt;0,-AL180,-SUM($F$92:AK93)),0))</f>
        <v>0</v>
      </c>
      <c r="AM93" s="142">
        <f>IF(AND($C$86="реф",AM$4="РнС"),-SUM($F92:AL$93),IF(AM180&gt;0,IF((SUM($F$92:AL93,AM92)-AM180)&gt;0,-AM180,-SUM($F$92:AL93)),0))</f>
        <v>0</v>
      </c>
      <c r="AN93" s="142">
        <f>IF(AND($C$86="реф",AN$4="РнС"),-SUM($F92:AM$93),IF(AN180&gt;0,IF((SUM($F$92:AM93,AN92)-AN180)&gt;0,-AN180,-SUM($F$92:AM93)),0))</f>
        <v>0</v>
      </c>
      <c r="AO93" s="142">
        <f>IF(AND($C$86="реф",AO$4="РнС"),-SUM($F92:AN$93),IF(AO180&gt;0,IF((SUM($F$92:AN93,AO92)-AO180)&gt;0,-AO180,-SUM($F$92:AN93)),0))</f>
        <v>0</v>
      </c>
      <c r="AP93" s="142">
        <f>IF(AND($C$86="реф",AP$4="РнС"),-SUM($F92:AO$93),IF(AP180&gt;0,IF((SUM($F$92:AO93,AP92)-AP180)&gt;0,-AP180,-SUM($F$92:AO93)),0))</f>
        <v>0</v>
      </c>
      <c r="AQ93" s="142">
        <f>IF(AND($C$86="реф",AQ$4="РнС"),-SUM($F92:AP$93),IF(AQ180&gt;0,IF((SUM($F$92:AP93,AQ92)-AQ180)&gt;0,-AQ180,-SUM($F$92:AP93)),0))</f>
        <v>0</v>
      </c>
      <c r="AR93" s="142">
        <f>IF(AND($C$86="реф",AR$4="РнС"),-SUM($F92:AQ$93),IF(AR180&gt;0,IF((SUM($F$92:AQ93,AR92)-AR180)&gt;0,-AR180,-SUM($F$92:AQ93)),0))</f>
        <v>0</v>
      </c>
      <c r="AS93" s="142">
        <f>IF(AND($C$86="реф",AS$4="РнС"),-SUM($F92:AR$93),IF(AS180&gt;0,IF((SUM($F$92:AR93,AS92)-AS180)&gt;0,-AS180,-SUM($F$92:AR93)),0))</f>
        <v>0</v>
      </c>
      <c r="AT93" s="142">
        <f>IF(AND($C$86="реф",AT$4="РнС"),-SUM($F92:AS$93),IF(AT180&gt;0,IF((SUM($F$92:AS93,AT92)-AT180)&gt;0,-AT180,-SUM($F$92:AS93)),0))</f>
        <v>0</v>
      </c>
      <c r="AU93" s="142">
        <f>IF(AND($C$86="реф",AU$4="РнС"),-SUM($F92:AT$93),IF(AU180&gt;0,IF((SUM($F$92:AT93,AU92)-AU180)&gt;0,-AU180,-SUM($F$92:AT93)),0))</f>
        <v>0</v>
      </c>
      <c r="AV93" s="142">
        <f>IF(AND($C$86="реф",AV$4="РнС"),-SUM($F92:AU$93),IF(AV180&gt;0,IF((SUM($F$92:AU93,AV92)-AV180)&gt;0,-AV180,-SUM($F$92:AU93)),0))</f>
        <v>0</v>
      </c>
      <c r="AW93" s="142">
        <f>IF(AND($C$86="реф",AW$4="РнС"),-SUM($F92:AV$93),IF(AW180&gt;0,IF((SUM($F$92:AV93,AW92)-AW180)&gt;0,-AW180,-SUM($F$92:AV93)),0))</f>
        <v>0</v>
      </c>
      <c r="AX93" s="142">
        <f>IF(AND($C$86="реф",AX$4="РнС"),-SUM($F92:AW$93),IF(AX180&gt;0,IF((SUM($F$92:AW93,AX92)-AX180)&gt;0,-AX180,-SUM($F$92:AW93)),0))</f>
        <v>0</v>
      </c>
      <c r="AY93" s="142">
        <f>IF(AND($C$86="реф",AY$4="РнС"),-SUM($F92:AX$93),IF(AY180&gt;0,IF((SUM($F$92:AX93,AY92)-AY180)&gt;0,-AY180,-SUM($F$92:AX93)),0))</f>
        <v>0</v>
      </c>
      <c r="AZ93" s="142">
        <f>IF(AND($C$86="реф",AZ$4="РнС"),-SUM($F92:AY$93),IF(AZ180&gt;0,IF((SUM($F$92:AY93,AZ92)-AZ180)&gt;0,-AZ180,-SUM($F$92:AY93)),0))</f>
        <v>0</v>
      </c>
      <c r="BA93" s="142">
        <f>IF(AND($C$86="реф",BA$4="РнС"),-SUM($F92:AZ$93),IF(BA180&gt;0,IF((SUM($F$92:AZ93,BA92)-BA180)&gt;0,-BA180,-SUM($F$92:AZ93)),0))</f>
        <v>0</v>
      </c>
      <c r="BB93" s="142">
        <f>IF(AND($C$86="реф",BB$4="РнС"),-SUM($F92:BA$93),IF(BB180&gt;0,IF((SUM($F$92:BA93,BB92)-BB180)&gt;0,-BB180,-SUM($F$92:BA93)),0))</f>
        <v>0</v>
      </c>
      <c r="BC93" s="142">
        <f>IF(AND($C$86="реф",BC$4="РнС"),-SUM($F92:BB$93),IF(BC180&gt;0,IF((SUM($F$92:BB93,BC92)-BC180)&gt;0,-BC180,-SUM($F$92:BB93)),0))</f>
        <v>0</v>
      </c>
      <c r="BD93" s="142">
        <f>IF(AND($C$86="реф",BD$4="РнС"),-SUM($F92:BC$93),IF(BD180&gt;0,IF((SUM($F$92:BC93,BD92)-BD180)&gt;0,-BD180,-SUM($F$92:BC93)),0))</f>
        <v>0</v>
      </c>
      <c r="BE93" s="142">
        <f>IF(AND($C$86="реф",BE$4="РнС"),-SUM($F92:BD$93),IF(BE180&gt;0,IF((SUM($F$92:BD93,BE92)-BE180)&gt;0,-BE180,-SUM($F$92:BD93)),0))</f>
        <v>0</v>
      </c>
      <c r="BF93" s="142">
        <f>IF(AND($C$86="реф",BF$4="РнС"),-SUM($F92:BE$93),IF(BF180&gt;0,IF((SUM($F$92:BE93,BF92)-BF180)&gt;0,-BF180,-SUM($F$92:BE93)),0))</f>
        <v>0</v>
      </c>
      <c r="BG93" s="142">
        <f>IF(AND($C$86="реф",BG$4="РнС"),-SUM($F92:BF$93),IF(BG180&gt;0,IF((SUM($F$92:BF93,BG92)-BG180)&gt;0,-BG180,-SUM($F$92:BF93)),0))</f>
        <v>0</v>
      </c>
      <c r="BH93" s="142">
        <f>IF(AND($C$86="реф",BH$4="РнС"),-SUM($F92:BG$93),IF(BH180&gt;0,IF((SUM($F$92:BG93,BH92)-BH180)&gt;0,-BH180,-SUM($F$92:BG93)),0))</f>
        <v>0</v>
      </c>
      <c r="BI93" s="142">
        <f>IF(AND($C$86="реф",BI$4="РнС"),-SUM($F92:BH$93),IF(BI180&gt;0,IF((SUM($F$92:BH93,BI92)-BI180)&gt;0,-BI180,-SUM($F$92:BH93)),0))</f>
        <v>0</v>
      </c>
      <c r="BJ93" s="142">
        <f>IF(AND($C$86="реф",BJ$4="РнС"),-SUM($F92:BI$93),IF(BJ180&gt;0,IF((SUM($F$92:BI93,BJ92)-BJ180)&gt;0,-BJ180,-SUM($F$92:BI93)),0))</f>
        <v>0</v>
      </c>
      <c r="BK93" s="142">
        <f>IF(AND($C$86="реф",BK$4="РнС"),-SUM($F92:BJ$93),IF(BK180&gt;0,IF((SUM($F$92:BJ93,BK92)-BK180)&gt;0,-BK180,-SUM($F$92:BJ93)),0))</f>
        <v>0</v>
      </c>
      <c r="BL93" s="142">
        <f>IF(AND($C$86="реф",BL$4="РнС"),-SUM($F92:BK$93),IF(BL180&gt;0,IF((SUM($F$92:BK93,BL92)-BL180)&gt;0,-BL180,-SUM($F$92:BK93)),0))</f>
        <v>0</v>
      </c>
      <c r="BM93" s="142">
        <f>IF(AND($C$86="реф",BM$4="РнС"),-SUM($F92:BL$93),IF(BM180&gt;0,IF((SUM($F$92:BL93,BM92)-BM180)&gt;0,-BM180,-SUM($F$92:BL93)),0))</f>
        <v>0</v>
      </c>
    </row>
    <row r="94" spans="2:65">
      <c r="B94" s="145" t="s">
        <v>194</v>
      </c>
      <c r="C94" s="27"/>
      <c r="D94" s="131" t="s">
        <v>19</v>
      </c>
      <c r="E94" s="141">
        <f t="shared" si="54"/>
        <v>0</v>
      </c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2"/>
      <c r="AL94" s="142"/>
      <c r="AM94" s="142"/>
      <c r="AN94" s="142"/>
      <c r="AO94" s="142"/>
      <c r="AP94" s="142"/>
      <c r="AQ94" s="142"/>
      <c r="AR94" s="142"/>
      <c r="AS94" s="142"/>
      <c r="AT94" s="142"/>
      <c r="AU94" s="142"/>
      <c r="AV94" s="142"/>
      <c r="AW94" s="142"/>
      <c r="AX94" s="142"/>
      <c r="AY94" s="142"/>
      <c r="AZ94" s="142"/>
      <c r="BA94" s="142"/>
      <c r="BB94" s="142"/>
      <c r="BC94" s="142"/>
      <c r="BD94" s="142"/>
      <c r="BE94" s="142"/>
      <c r="BF94" s="142"/>
      <c r="BG94" s="142"/>
      <c r="BH94" s="142"/>
      <c r="BI94" s="142"/>
      <c r="BJ94" s="142"/>
      <c r="BK94" s="142"/>
      <c r="BL94" s="142"/>
      <c r="BM94" s="142"/>
    </row>
    <row r="95" spans="2:65">
      <c r="B95" s="27"/>
      <c r="C95" s="28" t="s">
        <v>57</v>
      </c>
      <c r="D95" s="131" t="s">
        <v>19</v>
      </c>
      <c r="E95" s="141">
        <f t="shared" si="54"/>
        <v>27595.686241859286</v>
      </c>
      <c r="F95" s="202">
        <f>IF(F15&lt;'DB1'!$U$25,IF(-(F181)&gt;0,-F181,0),0)+IF(AND($C$86="реф",F$4="РнС"),-SUM(F88,F91,F93),0)</f>
        <v>0</v>
      </c>
      <c r="G95" s="202">
        <f>IF(G15&lt;'DB1'!$U$25,IF(-(G181)&gt;0,-G181,0),0)+IF(AND($C$86="реф",G$4="РнС"),-SUM(G88,G91,G93),0)</f>
        <v>0</v>
      </c>
      <c r="H95" s="202">
        <f>IF(H15&lt;'DB1'!$U$25,IF(-(H181)&gt;0,-H181,0),0)+IF(AND($C$86="реф",H$4="РнС"),-SUM(H88,H91,H93),0)</f>
        <v>0</v>
      </c>
      <c r="I95" s="202">
        <f>IF(I15&lt;'DB1'!$U$25,IF(-(I181)&gt;0,-I181,0),0)+IF(AND($C$86="реф",I$4="РнС"),-SUM(I88,I91,I93),0)</f>
        <v>0</v>
      </c>
      <c r="J95" s="202">
        <f>IF(J15&lt;'DB1'!$U$25,IF(-(J181)&gt;0,-J181,0),0)+IF(AND($C$86="реф",J$4="РнС"),-SUM(J88,J91,J93),0)</f>
        <v>0</v>
      </c>
      <c r="K95" s="202">
        <f>IF(K15&lt;'DB1'!$U$25,IF(-(K181)&gt;0,-K181,0),0)+IF(AND($C$86="реф",K$4="РнС"),-SUM(K88,K91,K93),0)</f>
        <v>0</v>
      </c>
      <c r="L95" s="202">
        <f>IF(L15&lt;'DB1'!$U$25,IF(-(L181)&gt;0,-L181,0),0)+IF(AND($C$86="реф",L$4="РнС"),-SUM(L88,L91,L93),0)</f>
        <v>0</v>
      </c>
      <c r="M95" s="202">
        <f>IF(M15&lt;'DB1'!$U$25,IF(-(M181)&gt;0,-M181,0),0)+IF(AND($C$86="реф",M$4="РнС"),-SUM(M88,M91,M93),0)</f>
        <v>0</v>
      </c>
      <c r="N95" s="142">
        <f>IF(N15&lt;'DB1'!$U$25,IF(-(N181)&gt;0,-N181,0),0)+IF(AND($C$86="реф",N$4="РнС"),-SUM(N88,N91,N93),0)</f>
        <v>0</v>
      </c>
      <c r="O95" s="142">
        <f>IF(O15&lt;'DB1'!$U$25,IF(-(O181)&gt;0,-O181,0),0)+IF(AND($C$86="реф",O$4="РнС"),-SUM(O88,O91,O93),0)</f>
        <v>0</v>
      </c>
      <c r="P95" s="142">
        <f>IF(P15&lt;'DB1'!$U$25,IF(-(P181)&gt;0,-P181,0),0)+IF(AND($C$86="реф",P$4="РнС"),-SUM(P88,P91,P93),0)</f>
        <v>0</v>
      </c>
      <c r="Q95" s="142">
        <f>IF(Q15&lt;'DB1'!$U$25,IF(-(Q181)&gt;0,-Q181,0),0)+IF(AND($C$86="реф",Q$4="РнС"),-SUM(Q88,Q91,Q93),0)</f>
        <v>0</v>
      </c>
      <c r="R95" s="142">
        <f>IF(R15&lt;'DB1'!$U$25,IF(-(R181)&gt;0,-R181,0),0)+IF(AND($C$86="реф",R$4="РнС"),-SUM(R88,R91,R93),0)</f>
        <v>0</v>
      </c>
      <c r="S95" s="142">
        <f>IF(S15&lt;'DB1'!$U$25,IF(-(S181)&gt;0,-S181,0),0)+IF(AND($C$86="реф",S$4="РнС"),-SUM(S88,S91,S93),0)</f>
        <v>0</v>
      </c>
      <c r="T95" s="142">
        <f>IF(T15&lt;'DB1'!$U$25,IF(-(T181)&gt;0,-T181,0),0)+IF(AND($C$86="реф",T$4="РнС"),-SUM(T88,T91,T93),0)</f>
        <v>9769.9209674260583</v>
      </c>
      <c r="U95" s="142">
        <f>IF(U15&lt;'DB1'!$U$25,IF(-(U181)&gt;0,-U181,0),0)+IF(AND($C$86="реф",U$4="РнС"),-SUM(U88,U91,U93),0)</f>
        <v>2028.2557730251017</v>
      </c>
      <c r="V95" s="142">
        <f>IF(V15&lt;'DB1'!$U$25,IF(-(V181)&gt;0,-V181,0),0)+IF(AND($C$86="реф",V$4="РнС"),-SUM(V88,V91,V93),0)</f>
        <v>2037.4864392117659</v>
      </c>
      <c r="W95" s="142">
        <f>IF(W15&lt;'DB1'!$U$25,IF(-(W181)&gt;0,-W181,0),0)+IF(AND($C$86="реф",W$4="РнС"),-SUM(W88,W91,W93),0)</f>
        <v>1466.3885097394329</v>
      </c>
      <c r="X95" s="142">
        <f>IF(X15&lt;'DB1'!$U$25,IF(-(X181)&gt;0,-X181,0),0)+IF(AND($C$86="реф",X$4="РнС"),-SUM(X88,X91,X93),0)</f>
        <v>1476.2397564801356</v>
      </c>
      <c r="Y95" s="142">
        <f>IF(Y15&lt;'DB1'!$U$25,IF(-(Y181)&gt;0,-Y181,0),0)+IF(AND($C$86="реф",Y$4="РнС"),-SUM(Y88,Y91,Y93),0)</f>
        <v>1480.1374042291518</v>
      </c>
      <c r="Z95" s="142">
        <f>IF(Z15&lt;'DB1'!$U$25,IF(-(Z181)&gt;0,-Z181,0),0)+IF(AND($C$86="реф",Z$4="РнС"),-SUM(Z88,Z91,Z93),0)</f>
        <v>1488.8411422831575</v>
      </c>
      <c r="AA95" s="142">
        <f>IF(AA15&lt;'DB1'!$U$25,IF(-(AA181)&gt;0,-AA181,0),0)+IF(AND($C$86="реф",AA$4="РнС"),-SUM(AA88,AA91,AA93),0)</f>
        <v>1493.1029262223335</v>
      </c>
      <c r="AB95" s="142">
        <f>IF(AB15&lt;'DB1'!$U$25,IF(-(AB181)&gt;0,-AB181,0),0)+IF(AND($C$86="реф",AB$4="РнС"),-SUM(AB88,AB91,AB93),0)</f>
        <v>1506.9300902545681</v>
      </c>
      <c r="AC95" s="142">
        <f>IF(AC15&lt;'DB1'!$U$25,IF(-(AC181)&gt;0,-AC181,0),0)+IF(AND($C$86="реф",AC$4="РнС"),-SUM(AC88,AC91,AC93),0)</f>
        <v>1697.3612962458997</v>
      </c>
      <c r="AD95" s="142">
        <f>IF(AD15&lt;'DB1'!$U$25,IF(-(AD181)&gt;0,-AD181,0),0)+IF(AND($C$86="реф",AD$4="РнС"),-SUM(AD88,AD91,AD93),0)</f>
        <v>1588.8305527194032</v>
      </c>
      <c r="AE95" s="142">
        <f>IF(AE15&lt;'DB1'!$U$25,IF(-(AE181)&gt;0,-AE181,0),0)+IF(AND($C$86="реф",AE$4="РнС"),-SUM(AE88,AE91,AE93),0)</f>
        <v>1562.1913840222755</v>
      </c>
      <c r="AF95" s="142">
        <f>IF(AF15&lt;'DB1'!$U$25,IF(-(AF181)&gt;0,-AF181,0),0)+IF(AND($C$86="реф",AF$4="РнС"),-SUM(AF88,AF91,AF93),0)</f>
        <v>0</v>
      </c>
      <c r="AG95" s="142">
        <f>IF(AG15&lt;'DB1'!$U$25,IF(-(AG181)&gt;0,-AG181,0),0)+IF(AND($C$86="реф",AG$4="РнС"),-SUM(AG88,AG91,AG93),0)</f>
        <v>0</v>
      </c>
      <c r="AH95" s="142">
        <f>IF(AH15&lt;'DB1'!$U$25,IF(-(AH181)&gt;0,-AH181,0),0)+IF(AND($C$86="реф",AH$4="РнС"),-SUM(AH88,AH91,AH93),0)</f>
        <v>0</v>
      </c>
      <c r="AI95" s="142">
        <f>IF(AI15&lt;'DB1'!$U$25,IF(-(AI181)&gt;0,-AI181,0),0)+IF(AND($C$86="реф",AI$4="РнС"),-SUM(AI88,AI91,AI93),0)</f>
        <v>0</v>
      </c>
      <c r="AJ95" s="142">
        <f>IF(AJ15&lt;'DB1'!$U$25,IF(-(AJ181)&gt;0,-AJ181,0),0)+IF(AND($C$86="реф",AJ$4="РнС"),-SUM(AJ88,AJ91,AJ93),0)</f>
        <v>0</v>
      </c>
      <c r="AK95" s="142">
        <f>IF(AK15&lt;'DB1'!$U$25,IF(-(AK181)&gt;0,-AK181,0),0)+IF(AND($C$86="реф",AK$4="РнС"),-SUM(AK88,AK91,AK93),0)</f>
        <v>0</v>
      </c>
      <c r="AL95" s="142">
        <f>IF(AL15&lt;'DB1'!$U$25,IF(-(AL181)&gt;0,-AL181,0),0)+IF(AND($C$86="реф",AL$4="РнС"),-SUM(AL88,AL91,AL93),0)</f>
        <v>0</v>
      </c>
      <c r="AM95" s="142">
        <f>IF(AM15&lt;'DB1'!$U$25,IF(-(AM181)&gt;0,-AM181,0),0)+IF(AND($C$86="реф",AM$4="РнС"),-SUM(AM88,AM91,AM93),0)</f>
        <v>0</v>
      </c>
      <c r="AN95" s="142">
        <f>IF(AN15&lt;'DB1'!$U$25,IF(-(AN181)&gt;0,-AN181,0),0)+IF(AND($C$86="реф",AN$4="РнС"),-SUM(AN88,AN91,AN93),0)</f>
        <v>0</v>
      </c>
      <c r="AO95" s="142">
        <f>IF(AO15&lt;'DB1'!$U$25,IF(-(AO181)&gt;0,-AO181,0),0)+IF(AND($C$86="реф",AO$4="РнС"),-SUM(AO88,AO91,AO93),0)</f>
        <v>0</v>
      </c>
      <c r="AP95" s="142">
        <f>IF(AP15&lt;'DB1'!$U$25,IF(-(AP181)&gt;0,-AP181,0),0)+IF(AND($C$86="реф",AP$4="РнС"),-SUM(AP88,AP91,AP93),0)</f>
        <v>0</v>
      </c>
      <c r="AQ95" s="142">
        <f>IF(AQ15&lt;'DB1'!$U$25,IF(-(AQ181)&gt;0,-AQ181,0),0)+IF(AND($C$86="реф",AQ$4="РнС"),-SUM(AQ88,AQ91,AQ93),0)</f>
        <v>0</v>
      </c>
      <c r="AR95" s="142">
        <f>IF(AR15&lt;'DB1'!$U$25,IF(-(AR181)&gt;0,-AR181,0),0)+IF(AND($C$86="реф",AR$4="РнС"),-SUM(AR88,AR91,AR93),0)</f>
        <v>0</v>
      </c>
      <c r="AS95" s="142">
        <f>IF(AS15&lt;'DB1'!$U$25,IF(-(AS181)&gt;0,-AS181,0),0)+IF(AND($C$86="реф",AS$4="РнС"),-SUM(AS88,AS91,AS93),0)</f>
        <v>0</v>
      </c>
      <c r="AT95" s="142">
        <f>IF(AT15&lt;'DB1'!$U$25,IF(-(AT181)&gt;0,-AT181,0),0)+IF(AND($C$86="реф",AT$4="РнС"),-SUM(AT88,AT91,AT93),0)</f>
        <v>0</v>
      </c>
      <c r="AU95" s="142">
        <f>IF(AU15&lt;'DB1'!$U$25,IF(-(AU181)&gt;0,-AU181,0),0)+IF(AND($C$86="реф",AU$4="РнС"),-SUM(AU88,AU91,AU93),0)</f>
        <v>0</v>
      </c>
      <c r="AV95" s="142">
        <f>IF(AV15&lt;'DB1'!$U$25,IF(-(AV181)&gt;0,-AV181,0),0)+IF(AND($C$86="реф",AV$4="РнС"),-SUM(AV88,AV91,AV93),0)</f>
        <v>0</v>
      </c>
      <c r="AW95" s="142">
        <f>IF(AW15&lt;'DB1'!$U$25,IF(-(AW181)&gt;0,-AW181,0),0)+IF(AND($C$86="реф",AW$4="РнС"),-SUM(AW88,AW91,AW93),0)</f>
        <v>0</v>
      </c>
      <c r="AX95" s="142">
        <f>IF(AX15&lt;'DB1'!$U$25,IF(-(AX181)&gt;0,-AX181,0),0)+IF(AND($C$86="реф",AX$4="РнС"),-SUM(AX88,AX91,AX93),0)</f>
        <v>0</v>
      </c>
      <c r="AY95" s="142">
        <f>IF(AY15&lt;'DB1'!$U$25,IF(-(AY181)&gt;0,-AY181,0),0)+IF(AND($C$86="реф",AY$4="РнС"),-SUM(AY88,AY91,AY93),0)</f>
        <v>0</v>
      </c>
      <c r="AZ95" s="142">
        <f>IF(AZ15&lt;'DB1'!$U$25,IF(-(AZ181)&gt;0,-AZ181,0),0)+IF(AND($C$86="реф",AZ$4="РнС"),-SUM(AZ88,AZ91,AZ93),0)</f>
        <v>0</v>
      </c>
      <c r="BA95" s="142">
        <f>IF(BA15&lt;'DB1'!$U$25,IF(-(BA181)&gt;0,-BA181,0),0)+IF(AND($C$86="реф",BA$4="РнС"),-SUM(BA88,BA91,BA93),0)</f>
        <v>0</v>
      </c>
      <c r="BB95" s="142">
        <f>IF(BB15&lt;'DB1'!$U$25,IF(-(BB181)&gt;0,-BB181,0),0)+IF(AND($C$86="реф",BB$4="РнС"),-SUM(BB88,BB91,BB93),0)</f>
        <v>0</v>
      </c>
      <c r="BC95" s="142">
        <f>IF(BC15&lt;'DB1'!$U$25,IF(-(BC181)&gt;0,-BC181,0),0)+IF(AND($C$86="реф",BC$4="РнС"),-SUM(BC88,BC91,BC93),0)</f>
        <v>0</v>
      </c>
      <c r="BD95" s="142">
        <f>IF(BD15&lt;'DB1'!$U$25,IF(-(BD181)&gt;0,-BD181,0),0)+IF(AND($C$86="реф",BD$4="РнС"),-SUM(BD88,BD91,BD93),0)</f>
        <v>0</v>
      </c>
      <c r="BE95" s="142">
        <f>IF(BE15&lt;'DB1'!$U$25,IF(-(BE181)&gt;0,-BE181,0),0)+IF(AND($C$86="реф",BE$4="РнС"),-SUM(BE88,BE91,BE93),0)</f>
        <v>0</v>
      </c>
      <c r="BF95" s="142">
        <f>IF(BF15&lt;'DB1'!$U$25,IF(-(BF181)&gt;0,-BF181,0),0)+IF(AND($C$86="реф",BF$4="РнС"),-SUM(BF88,BF91,BF93),0)</f>
        <v>0</v>
      </c>
      <c r="BG95" s="142">
        <f>IF(BG15&lt;'DB1'!$U$25,IF(-(BG181)&gt;0,-BG181,0),0)+IF(AND($C$86="реф",BG$4="РнС"),-SUM(BG88,BG91,BG93),0)</f>
        <v>0</v>
      </c>
      <c r="BH95" s="142">
        <f>IF(BH15&lt;'DB1'!$U$25,IF(-(BH181)&gt;0,-BH181,0),0)+IF(AND($C$86="реф",BH$4="РнС"),-SUM(BH88,BH91,BH93),0)</f>
        <v>0</v>
      </c>
      <c r="BI95" s="142">
        <f>IF(BI15&lt;'DB1'!$U$25,IF(-(BI181)&gt;0,-BI181,0),0)+IF(AND($C$86="реф",BI$4="РнС"),-SUM(BI88,BI91,BI93),0)</f>
        <v>0</v>
      </c>
      <c r="BJ95" s="142">
        <f>IF(BJ15&lt;'DB1'!$U$25,IF(-(BJ181)&gt;0,-BJ181,0),0)+IF(AND($C$86="реф",BJ$4="РнС"),-SUM(BJ88,BJ91,BJ93),0)</f>
        <v>0</v>
      </c>
      <c r="BK95" s="142">
        <f>IF(BK15&lt;'DB1'!$U$25,IF(-(BK181)&gt;0,-BK181,0),0)+IF(AND($C$86="реф",BK$4="РнС"),-SUM(BK88,BK91,BK93),0)</f>
        <v>0</v>
      </c>
      <c r="BL95" s="142">
        <f>IF(BL15&lt;'DB1'!$U$25,IF(-(BL181)&gt;0,-BL181,0),0)+IF(AND($C$86="реф",BL$4="РнС"),-SUM(BL88,BL91,BL93),0)</f>
        <v>0</v>
      </c>
      <c r="BM95" s="142">
        <f>IF(BM15&lt;'DB1'!$U$25,IF(-(BM181)&gt;0,-BM181,0),0)+IF(AND($C$86="реф",BM$4="РнС"),-SUM(BM88,BM91,BM93),0)</f>
        <v>0</v>
      </c>
    </row>
    <row r="96" spans="2:65">
      <c r="B96" s="27"/>
      <c r="C96" s="28" t="s">
        <v>58</v>
      </c>
      <c r="D96" s="131" t="s">
        <v>19</v>
      </c>
      <c r="E96" s="141">
        <f t="shared" si="54"/>
        <v>-27595.686241859286</v>
      </c>
      <c r="F96" s="202"/>
      <c r="G96" s="202"/>
      <c r="H96" s="202"/>
      <c r="I96" s="202"/>
      <c r="J96" s="202"/>
      <c r="K96" s="202"/>
      <c r="L96" s="202"/>
      <c r="M96" s="202"/>
      <c r="N96" s="142">
        <f>IF(N182&gt;0,IF((SUM($F$95:M96)-N182)&gt;0,-N182,-SUM($F$95:M96)),0)</f>
        <v>0</v>
      </c>
      <c r="O96" s="142">
        <f>IF(O182&gt;0,IF((SUM($F$95:N96)-O182)&gt;0,-O182,-SUM($F$95:N96)),0)</f>
        <v>0</v>
      </c>
      <c r="P96" s="142">
        <f>IF(P182&gt;0,IF((SUM($F$95:O96)-P182)&gt;0,-P182,-SUM($F$95:O96)),0)</f>
        <v>0</v>
      </c>
      <c r="Q96" s="142">
        <f>IF(Q182&gt;0,IF((SUM($F$95:P96)-Q182)&gt;0,-Q182,-SUM($F$95:P96)),0)</f>
        <v>0</v>
      </c>
      <c r="R96" s="142">
        <f>IF(R182&gt;0,IF((SUM($F$95:Q96)-R182)&gt;0,-R182,-SUM($F$95:Q96)),0)</f>
        <v>0</v>
      </c>
      <c r="S96" s="142">
        <f>IF(S182&gt;0,IF((SUM($F$95:R96)-S182)&gt;0,-S182,-SUM($F$95:R96)),0)</f>
        <v>0</v>
      </c>
      <c r="T96" s="142">
        <f>IF(T182&gt;0,IF((SUM($F$95:S96)-T182)&gt;0,-T182,-SUM($F$95:S96)),0)</f>
        <v>0</v>
      </c>
      <c r="U96" s="142">
        <f>IF(U182&gt;0,IF((SUM($F$95:T96)-U182)&gt;0,-U182,-SUM($F$95:T96)),0)</f>
        <v>0</v>
      </c>
      <c r="V96" s="142">
        <f>IF(V182&gt;0,IF((SUM($F$95:U96)-V182)&gt;0,-V182,-SUM($F$95:U96)),0)</f>
        <v>0</v>
      </c>
      <c r="W96" s="142">
        <f>IF(W182&gt;0,IF((SUM($F$95:V96)-W182)&gt;0,-W182,-SUM($F$95:V96)),0)</f>
        <v>0</v>
      </c>
      <c r="X96" s="142">
        <f>IF(X182&gt;0,IF((SUM($F$95:W96)-X182)&gt;0,-X182,-SUM($F$95:W96)),0)</f>
        <v>0</v>
      </c>
      <c r="Y96" s="142">
        <f>IF(Y182&gt;0,IF((SUM($F$95:X96)-Y182)&gt;0,-Y182,-SUM($F$95:X96)),0)</f>
        <v>0</v>
      </c>
      <c r="Z96" s="142">
        <f>IF(Z182&gt;0,IF((SUM($F$95:Y96)-Z182)&gt;0,-Z182,-SUM($F$95:Y96)),0)</f>
        <v>0</v>
      </c>
      <c r="AA96" s="142">
        <f>IF(AA182&gt;0,IF((SUM($F$95:Z96)-AA182)&gt;0,-AA182,-SUM($F$95:Z96)),0)</f>
        <v>0</v>
      </c>
      <c r="AB96" s="142">
        <f>IF(AB182&gt;0,IF((SUM($F$95:AA96)-AB182)&gt;0,-AB182,-SUM($F$95:AA96)),0)</f>
        <v>0</v>
      </c>
      <c r="AC96" s="142">
        <f>IF(AC182&gt;0,IF((SUM($F$95:AB96)-AC182)&gt;0,-AC182,-SUM($F$95:AB96)),0)</f>
        <v>0</v>
      </c>
      <c r="AD96" s="142">
        <f>IF(AD182&gt;0,IF((SUM($F$95:AC96)-AD182)&gt;0,-AD182,-SUM($F$95:AC96)),0)</f>
        <v>0</v>
      </c>
      <c r="AE96" s="142">
        <f>IF(AE182&gt;0,IF((SUM($F$95:AD96)-AE182)&gt;0,-AE182,-SUM($F$95:AD96)),0)</f>
        <v>0</v>
      </c>
      <c r="AF96" s="142">
        <f>IF(AF182&gt;0,IF((SUM($F$95:AE96)-AF182)&gt;0,-AF182,-SUM($F$95:AE96)),0)</f>
        <v>-23740.982996231018</v>
      </c>
      <c r="AG96" s="142">
        <f>IF(AG182&gt;0,IF((SUM($F$95:AF96)-AG182)&gt;0,-AG182,-SUM($F$95:AF96)),0)</f>
        <v>-2913.7181598722068</v>
      </c>
      <c r="AH96" s="142">
        <f>IF(AH182&gt;0,IF((SUM($F$95:AG96)-AH182)&gt;0,-AH182,-SUM($F$95:AG96)),0)</f>
        <v>-940.98508575606184</v>
      </c>
      <c r="AI96" s="142">
        <f>IF(AI182&gt;0,IF((SUM($F$95:AH96)-AI182)&gt;0,-AI182,-SUM($F$95:AH96)),0)</f>
        <v>0</v>
      </c>
      <c r="AJ96" s="142">
        <f>IF(AJ182&gt;0,IF((SUM($F$95:AI96)-AJ182)&gt;0,-AJ182,-SUM($F$95:AI96)),0)</f>
        <v>0</v>
      </c>
      <c r="AK96" s="142">
        <f>IF(AK182&gt;0,IF((SUM($F$95:AJ96)-AK182)&gt;0,-AK182,-SUM($F$95:AJ96)),0)</f>
        <v>0</v>
      </c>
      <c r="AL96" s="142">
        <f>IF(AL182&gt;0,IF((SUM($F$95:AK96)-AL182)&gt;0,-AL182,-SUM($F$95:AK96)),0)</f>
        <v>0</v>
      </c>
      <c r="AM96" s="142">
        <f>IF(AM182&gt;0,IF((SUM($F$95:AL96)-AM182)&gt;0,-AM182,-SUM($F$95:AL96)),0)</f>
        <v>0</v>
      </c>
      <c r="AN96" s="142">
        <f>IF(AN182&gt;0,IF((SUM($F$95:AM96)-AN182)&gt;0,-AN182,-SUM($F$95:AM96)),0)</f>
        <v>0</v>
      </c>
      <c r="AO96" s="142">
        <f>IF(AO182&gt;0,IF((SUM($F$95:AN96)-AO182)&gt;0,-AO182,-SUM($F$95:AN96)),0)</f>
        <v>0</v>
      </c>
      <c r="AP96" s="142">
        <f>IF(AP182&gt;0,IF((SUM($F$95:AO96)-AP182)&gt;0,-AP182,-SUM($F$95:AO96)),0)</f>
        <v>0</v>
      </c>
      <c r="AQ96" s="142">
        <f>IF(AQ182&gt;0,IF((SUM($F$95:AP96)-AQ182)&gt;0,-AQ182,-SUM($F$95:AP96)),0)</f>
        <v>0</v>
      </c>
      <c r="AR96" s="142">
        <f>IF(AR182&gt;0,IF((SUM($F$95:AQ96)-AR182)&gt;0,-AR182,-SUM($F$95:AQ96)),0)</f>
        <v>0</v>
      </c>
      <c r="AS96" s="142">
        <f>IF(AS182&gt;0,IF((SUM($F$95:AR96)-AS182)&gt;0,-AS182,-SUM($F$95:AR96)),0)</f>
        <v>0</v>
      </c>
      <c r="AT96" s="142">
        <f>IF(AT182&gt;0,IF((SUM($F$95:AS96)-AT182)&gt;0,-AT182,-SUM($F$95:AS96)),0)</f>
        <v>0</v>
      </c>
      <c r="AU96" s="142">
        <f>IF(AU182&gt;0,IF((SUM($F$95:AT96)-AU182)&gt;0,-AU182,-SUM($F$95:AT96)),0)</f>
        <v>0</v>
      </c>
      <c r="AV96" s="142">
        <f>IF(AV182&gt;0,IF((SUM($F$95:AU96)-AV182)&gt;0,-AV182,-SUM($F$95:AU96)),0)</f>
        <v>0</v>
      </c>
      <c r="AW96" s="142">
        <f>IF(AW182&gt;0,IF((SUM($F$95:AV96)-AW182)&gt;0,-AW182,-SUM($F$95:AV96)),0)</f>
        <v>0</v>
      </c>
      <c r="AX96" s="142">
        <f>IF(AX182&gt;0,IF((SUM($F$95:AW96)-AX182)&gt;0,-AX182,-SUM($F$95:AW96)),0)</f>
        <v>0</v>
      </c>
      <c r="AY96" s="142">
        <f>IF(AY182&gt;0,IF((SUM($F$95:AX96)-AY182)&gt;0,-AY182,-SUM($F$95:AX96)),0)</f>
        <v>0</v>
      </c>
      <c r="AZ96" s="142">
        <f>IF(AZ182&gt;0,IF((SUM($F$95:AY96)-AZ182)&gt;0,-AZ182,-SUM($F$95:AY96)),0)</f>
        <v>0</v>
      </c>
      <c r="BA96" s="142">
        <f>IF(BA182&gt;0,IF((SUM($F$95:AZ96)-BA182)&gt;0,-BA182,-SUM($F$95:AZ96)),0)</f>
        <v>0</v>
      </c>
      <c r="BB96" s="142">
        <f>IF(BB182&gt;0,IF((SUM($F$95:BA96)-BB182)&gt;0,-BB182,-SUM($F$95:BA96)),0)</f>
        <v>0</v>
      </c>
      <c r="BC96" s="142">
        <f>IF(BC182&gt;0,IF((SUM($F$95:BB96)-BC182)&gt;0,-BC182,-SUM($F$95:BB96)),0)</f>
        <v>0</v>
      </c>
      <c r="BD96" s="142">
        <f>IF(BD182&gt;0,IF((SUM($F$95:BC96)-BD182)&gt;0,-BD182,-SUM($F$95:BC96)),0)</f>
        <v>0</v>
      </c>
      <c r="BE96" s="142">
        <f>IF(BE182&gt;0,IF((SUM($F$95:BD96)-BE182)&gt;0,-BE182,-SUM($F$95:BD96)),0)</f>
        <v>0</v>
      </c>
      <c r="BF96" s="142">
        <f>IF(BF182&gt;0,IF((SUM($F$95:BE96)-BF182)&gt;0,-BF182,-SUM($F$95:BE96)),0)</f>
        <v>0</v>
      </c>
      <c r="BG96" s="142">
        <f>IF(BG182&gt;0,IF((SUM($F$95:BF96)-BG182)&gt;0,-BG182,-SUM($F$95:BF96)),0)</f>
        <v>0</v>
      </c>
      <c r="BH96" s="142">
        <f>IF(BH182&gt;0,IF((SUM($F$95:BG96)-BH182)&gt;0,-BH182,-SUM($F$95:BG96)),0)</f>
        <v>0</v>
      </c>
      <c r="BI96" s="142">
        <f>IF(BI182&gt;0,IF((SUM($F$95:BH96)-BI182)&gt;0,-BI182,-SUM($F$95:BH96)),0)</f>
        <v>0</v>
      </c>
      <c r="BJ96" s="142">
        <f>IF(BJ182&gt;0,IF((SUM($F$95:BI96)-BJ182)&gt;0,-BJ182,-SUM($F$95:BI96)),0)</f>
        <v>0</v>
      </c>
      <c r="BK96" s="142">
        <f>IF(BK182&gt;0,IF((SUM($F$95:BJ96)-BK182)&gt;0,-BK182,-SUM($F$95:BJ96)),0)</f>
        <v>0</v>
      </c>
      <c r="BL96" s="142">
        <f>IF(BL182&gt;0,IF((SUM($F$95:BK96)-BL182)&gt;0,-BL182,-SUM($F$95:BK96)),0)</f>
        <v>0</v>
      </c>
      <c r="BM96" s="142">
        <f>IF(BM182&gt;0,IF((SUM($F$95:BL96)-BM182)&gt;0,-BM182,-SUM($F$95:BL96)),0)</f>
        <v>0</v>
      </c>
    </row>
    <row r="97" spans="1:65">
      <c r="B97" s="145" t="s">
        <v>195</v>
      </c>
      <c r="C97" s="27"/>
      <c r="D97" s="131" t="s">
        <v>19</v>
      </c>
      <c r="E97" s="141">
        <f t="shared" si="54"/>
        <v>0</v>
      </c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  <c r="BA97" s="142"/>
      <c r="BB97" s="142"/>
      <c r="BC97" s="142"/>
      <c r="BD97" s="142"/>
      <c r="BE97" s="142"/>
      <c r="BF97" s="142"/>
      <c r="BG97" s="142"/>
      <c r="BH97" s="142"/>
      <c r="BI97" s="142"/>
      <c r="BJ97" s="142"/>
      <c r="BK97" s="142"/>
      <c r="BL97" s="142"/>
      <c r="BM97" s="142"/>
    </row>
    <row r="98" spans="1:65">
      <c r="B98" s="147"/>
      <c r="C98" s="28" t="s">
        <v>59</v>
      </c>
      <c r="D98" s="131" t="s">
        <v>19</v>
      </c>
      <c r="E98" s="141">
        <f t="shared" si="54"/>
        <v>4749.5841888448685</v>
      </c>
      <c r="F98" s="202">
        <f>SUM($F$95:F96)*F$198/4</f>
        <v>0</v>
      </c>
      <c r="G98" s="202">
        <f>SUM($F$95:G96)*G$198/4</f>
        <v>0</v>
      </c>
      <c r="H98" s="202">
        <f>SUM($F$95:H96)*H$198/4</f>
        <v>0</v>
      </c>
      <c r="I98" s="202">
        <f>SUM($F$95:I96)*I$198/4</f>
        <v>0</v>
      </c>
      <c r="J98" s="202">
        <f>SUM($F$95:J96)*J$198/4</f>
        <v>0</v>
      </c>
      <c r="K98" s="202">
        <f>SUM($F$95:K96)*K$198/4</f>
        <v>0</v>
      </c>
      <c r="L98" s="202">
        <f>SUM($F$95:L96)*L$198/4</f>
        <v>0</v>
      </c>
      <c r="M98" s="202">
        <f>SUM($F$95:M96)*M$198/4</f>
        <v>0</v>
      </c>
      <c r="N98" s="142">
        <f>SUM($F$95:N96)*N$198/4</f>
        <v>0</v>
      </c>
      <c r="O98" s="142">
        <f>SUM($F$95:O96)*O$198/4</f>
        <v>0</v>
      </c>
      <c r="P98" s="142">
        <f>SUM($F$95:P96)*P$198/4</f>
        <v>0</v>
      </c>
      <c r="Q98" s="142">
        <f>SUM($F$95:Q96)*Q$198/4</f>
        <v>0</v>
      </c>
      <c r="R98" s="142">
        <f>SUM($F$95:R96)*R$198/4</f>
        <v>0</v>
      </c>
      <c r="S98" s="142">
        <f>SUM($F$95:S96)*S$198/4</f>
        <v>0</v>
      </c>
      <c r="T98" s="142">
        <f>SUM($F$95:T96)*T$198/4</f>
        <v>353.94025293587936</v>
      </c>
      <c r="U98" s="142">
        <f>SUM($F$95:U96)*U$198/4</f>
        <v>373.72347132533412</v>
      </c>
      <c r="V98" s="142">
        <f>SUM($F$95:V96)*V$198/4</f>
        <v>390.74183648928681</v>
      </c>
      <c r="W98" s="142">
        <f>SUM($F$95:W96)*W$198/4</f>
        <v>398.68045833537116</v>
      </c>
      <c r="X98" s="142">
        <f>SUM($F$95:X96)*X$198/4</f>
        <v>392.79380683947323</v>
      </c>
      <c r="Y98" s="142">
        <f>SUM($F$95:Y96)*Y$198/4</f>
        <v>395.55459216743736</v>
      </c>
      <c r="Z98" s="142">
        <f>SUM($F$95:Z96)*Z$198/4</f>
        <v>399.11281730755144</v>
      </c>
      <c r="AA98" s="142">
        <f>SUM($F$95:AA96)*AA$198/4</f>
        <v>398.85793573483198</v>
      </c>
      <c r="AB98" s="142">
        <f>SUM($F$95:AB96)*AB$198/4</f>
        <v>397.08682724110855</v>
      </c>
      <c r="AC98" s="142">
        <f>SUM($F$95:AC96)*AC$198/4</f>
        <v>394.55671234293237</v>
      </c>
      <c r="AD98" s="142">
        <f>SUM($F$95:AD96)*AD$198/4</f>
        <v>385.13171943336442</v>
      </c>
      <c r="AE98" s="142">
        <f>SUM($F$95:AE96)*AE$198/4</f>
        <v>392.79861200221262</v>
      </c>
      <c r="AF98" s="142">
        <f>SUM($F$95:AF96)*AF$198/4</f>
        <v>64.14666766491311</v>
      </c>
      <c r="AG98" s="142">
        <f>SUM($F$95:AG96)*AG$198/4</f>
        <v>12.45847902517156</v>
      </c>
      <c r="AH98" s="142">
        <f>SUM($F$95:AH96)*AH$198/4</f>
        <v>0</v>
      </c>
      <c r="AI98" s="142">
        <f>SUM($F$95:AI96)*AI$198/4</f>
        <v>0</v>
      </c>
      <c r="AJ98" s="142">
        <f>SUM($F$95:AJ96)*AJ$198/4</f>
        <v>0</v>
      </c>
      <c r="AK98" s="142">
        <f>SUM($F$95:AK96)*AK$198/4</f>
        <v>0</v>
      </c>
      <c r="AL98" s="142">
        <f>SUM($F$95:AL96)*AL$198/4</f>
        <v>0</v>
      </c>
      <c r="AM98" s="142">
        <f>SUM($F$95:AM96)*AM$198/4</f>
        <v>0</v>
      </c>
      <c r="AN98" s="142">
        <f>SUM($F$95:AN96)*AN$198/4</f>
        <v>0</v>
      </c>
      <c r="AO98" s="142">
        <f>SUM($F$95:AO96)*AO$198/4</f>
        <v>0</v>
      </c>
      <c r="AP98" s="142">
        <f>SUM($F$95:AP96)*AP$198/4</f>
        <v>0</v>
      </c>
      <c r="AQ98" s="142">
        <f>SUM($F$95:AQ96)*AQ$198/4</f>
        <v>0</v>
      </c>
      <c r="AR98" s="142">
        <f>SUM($F$95:AR96)*AR$198/4</f>
        <v>0</v>
      </c>
      <c r="AS98" s="142">
        <f>SUM($F$95:AS96)*AS$198/4</f>
        <v>0</v>
      </c>
      <c r="AT98" s="142">
        <f>SUM($F$95:AT96)*AT$198/4</f>
        <v>0</v>
      </c>
      <c r="AU98" s="142">
        <f>SUM($F$95:AU96)*AU$198/4</f>
        <v>0</v>
      </c>
      <c r="AV98" s="142">
        <f>SUM($F$95:AV96)*AV$198/4</f>
        <v>0</v>
      </c>
      <c r="AW98" s="142">
        <f>SUM($F$95:AW96)*AW$198/4</f>
        <v>0</v>
      </c>
      <c r="AX98" s="142">
        <f>SUM($F$95:AX96)*AX$198/4</f>
        <v>0</v>
      </c>
      <c r="AY98" s="142">
        <f>SUM($F$95:AY96)*AY$198/4</f>
        <v>0</v>
      </c>
      <c r="AZ98" s="142">
        <f>SUM($F$95:AZ96)*AZ$198/4</f>
        <v>0</v>
      </c>
      <c r="BA98" s="142">
        <f>SUM($F$95:BA96)*BA$198/4</f>
        <v>0</v>
      </c>
      <c r="BB98" s="142">
        <f>SUM($F$95:BB96)*BB$198/4</f>
        <v>0</v>
      </c>
      <c r="BC98" s="142">
        <f>SUM($F$95:BC96)*BC$198/4</f>
        <v>0</v>
      </c>
      <c r="BD98" s="142">
        <f>SUM($F$95:BD96)*BD$198/4</f>
        <v>0</v>
      </c>
      <c r="BE98" s="142">
        <f>SUM($F$95:BE96)*BE$198/4</f>
        <v>0</v>
      </c>
      <c r="BF98" s="142">
        <f>SUM($F$95:BF96)*BF$198/4</f>
        <v>0</v>
      </c>
      <c r="BG98" s="142">
        <f>SUM($F$95:BG96)*BG$198/4</f>
        <v>0</v>
      </c>
      <c r="BH98" s="142">
        <f>SUM($F$95:BH96)*BH$198/4</f>
        <v>0</v>
      </c>
      <c r="BI98" s="142">
        <f>SUM($F$95:BI96)*BI$198/4</f>
        <v>0</v>
      </c>
      <c r="BJ98" s="142">
        <f>SUM($F$95:BJ96)*BJ$198/4</f>
        <v>0</v>
      </c>
      <c r="BK98" s="142">
        <f>SUM($F$95:BK96)*BK$198/4</f>
        <v>0</v>
      </c>
      <c r="BL98" s="142">
        <f>SUM($F$95:BL96)*BL$198/4</f>
        <v>0</v>
      </c>
      <c r="BM98" s="142">
        <f>SUM($F$95:BM96)*BM$198/4</f>
        <v>0</v>
      </c>
    </row>
    <row r="99" spans="1:65">
      <c r="B99" s="27"/>
      <c r="C99" s="28" t="s">
        <v>73</v>
      </c>
      <c r="D99" s="131" t="s">
        <v>19</v>
      </c>
      <c r="E99" s="141">
        <f t="shared" si="54"/>
        <v>-4749.5841888448685</v>
      </c>
      <c r="F99" s="202"/>
      <c r="G99" s="202"/>
      <c r="H99" s="202"/>
      <c r="I99" s="202"/>
      <c r="J99" s="202"/>
      <c r="K99" s="202"/>
      <c r="L99" s="202"/>
      <c r="M99" s="202"/>
      <c r="N99" s="142">
        <f>IF(N183&gt;0,IF((SUM($F$98:M99,N98)-N183)&gt;0,-N183,-SUM($F$98:M99)),0)</f>
        <v>0</v>
      </c>
      <c r="O99" s="142">
        <f>IF(O183&gt;0,IF((SUM($F$98:N99,O98)-O183)&gt;0,-O183,-SUM($F$98:N99)),0)</f>
        <v>0</v>
      </c>
      <c r="P99" s="142">
        <f>IF(P183&gt;0,IF((SUM($F$98:O99,P98)-P183)&gt;0,-P183,-SUM($F$98:O99)),0)</f>
        <v>0</v>
      </c>
      <c r="Q99" s="142">
        <f>IF(Q183&gt;0,IF((SUM($F$98:P99,Q98)-Q183)&gt;0,-Q183,-SUM($F$98:P99)),0)</f>
        <v>0</v>
      </c>
      <c r="R99" s="142">
        <f>IF(R183&gt;0,IF((SUM($F$98:Q99,R98)-R183)&gt;0,-R183,-SUM($F$98:Q99)),0)</f>
        <v>0</v>
      </c>
      <c r="S99" s="142">
        <f>IF(S183&gt;0,IF((SUM($F$98:R99,S98)-S183)&gt;0,-S183,-SUM($F$98:R99)),0)</f>
        <v>0</v>
      </c>
      <c r="T99" s="142">
        <f>IF(T183&gt;0,IF((SUM($F$98:S99,T98)-T183)&gt;0,-T183,-SUM($F$98:S99)),0)</f>
        <v>0</v>
      </c>
      <c r="U99" s="142">
        <f>IF(U183&gt;0,IF((SUM($F$98:T99,U98)-U183)&gt;0,-U183,-SUM($F$98:T99)),0)</f>
        <v>0</v>
      </c>
      <c r="V99" s="142">
        <f>IF(V183&gt;0,IF((SUM($F$98:U99,V98)-V183)&gt;0,-V183,-SUM($F$98:U99)),0)</f>
        <v>0</v>
      </c>
      <c r="W99" s="142">
        <f>IF(W183&gt;0,IF((SUM($F$98:V99,W98)-W183)&gt;0,-W183,-SUM($F$98:V99)),0)</f>
        <v>0</v>
      </c>
      <c r="X99" s="142">
        <f>IF(X183&gt;0,IF((SUM($F$98:W99,X98)-X183)&gt;0,-X183,-SUM($F$98:W99)),0)</f>
        <v>0</v>
      </c>
      <c r="Y99" s="142">
        <f>IF(Y183&gt;0,IF((SUM($F$98:X99,Y98)-Y183)&gt;0,-Y183,-SUM($F$98:X99)),0)</f>
        <v>0</v>
      </c>
      <c r="Z99" s="142">
        <f>IF(Z183&gt;0,IF((SUM($F$98:Y99,Z98)-Z183)&gt;0,-Z183,-SUM($F$98:Y99)),0)</f>
        <v>0</v>
      </c>
      <c r="AA99" s="142">
        <f>IF(AA183&gt;0,IF((SUM($F$98:Z99,AA98)-AA183)&gt;0,-AA183,-SUM($F$98:Z99)),0)</f>
        <v>0</v>
      </c>
      <c r="AB99" s="142">
        <f>IF(AB183&gt;0,IF((SUM($F$98:AA99,AB98)-AB183)&gt;0,-AB183,-SUM($F$98:AA99)),0)</f>
        <v>0</v>
      </c>
      <c r="AC99" s="142">
        <f>IF(AC183&gt;0,IF((SUM($F$98:AB99,AC98)-AC183)&gt;0,-AC183,-SUM($F$98:AB99)),0)</f>
        <v>0</v>
      </c>
      <c r="AD99" s="142">
        <f>IF(AD183&gt;0,IF((SUM($F$98:AC99,AD98)-AD183)&gt;0,-AD183,-SUM($F$98:AC99)),0)</f>
        <v>0</v>
      </c>
      <c r="AE99" s="142">
        <f>IF(AE183&gt;0,IF((SUM($F$98:AD99,AE98)-AE183)&gt;0,-AE183,-SUM($F$98:AD99)),0)</f>
        <v>0</v>
      </c>
      <c r="AF99" s="142">
        <f>IF(AF183&gt;0,IF((SUM($F$98:AE99,AF98)-AF183)&gt;0,-AF183,-SUM($F$98:AE99)),0)</f>
        <v>0</v>
      </c>
      <c r="AG99" s="142">
        <f>IF(AG183&gt;0,IF((SUM($F$98:AF99,AG98)-AG183)&gt;0,-AG183,-SUM($F$98:AF99)),0)</f>
        <v>0</v>
      </c>
      <c r="AH99" s="142">
        <f>IF(AH183&gt;0,IF((SUM($F$98:AG99,AH98)-AH183)&gt;0,-AH183,-SUM($F$98:AG99)),0)</f>
        <v>-1829.3173226070194</v>
      </c>
      <c r="AI99" s="142">
        <f>IF(AI183&gt;0,IF((SUM($F$98:AH99,AI98)-AI183)&gt;0,-AI183,-SUM($F$98:AH99)),0)</f>
        <v>-1685.4048433510732</v>
      </c>
      <c r="AJ99" s="142">
        <f>IF(AJ183&gt;0,IF((SUM($F$98:AI99,AJ98)-AJ183)&gt;0,-AJ183,-SUM($F$98:AI99)),0)</f>
        <v>-1234.862022886776</v>
      </c>
      <c r="AK99" s="142">
        <f>IF(AK183&gt;0,IF((SUM($F$98:AJ99,AK98)-AK183)&gt;0,-AK183,-SUM($F$98:AJ99)),0)</f>
        <v>0</v>
      </c>
      <c r="AL99" s="142">
        <f>IF(AL183&gt;0,IF((SUM($F$98:AK99,AL98)-AL183)&gt;0,-AL183,-SUM($F$98:AK99)),0)</f>
        <v>0</v>
      </c>
      <c r="AM99" s="142">
        <f>IF(AM183&gt;0,IF((SUM($F$98:AL99,AM98)-AM183)&gt;0,-AM183,-SUM($F$98:AL99)),0)</f>
        <v>0</v>
      </c>
      <c r="AN99" s="142">
        <f>IF(AN183&gt;0,IF((SUM($F$98:AM99,AN98)-AN183)&gt;0,-AN183,-SUM($F$98:AM99)),0)</f>
        <v>0</v>
      </c>
      <c r="AO99" s="142">
        <f>IF(AO183&gt;0,IF((SUM($F$98:AN99,AO98)-AO183)&gt;0,-AO183,-SUM($F$98:AN99)),0)</f>
        <v>0</v>
      </c>
      <c r="AP99" s="142">
        <f>IF(AP183&gt;0,IF((SUM($F$98:AO99,AP98)-AP183)&gt;0,-AP183,-SUM($F$98:AO99)),0)</f>
        <v>0</v>
      </c>
      <c r="AQ99" s="142">
        <f>IF(AQ183&gt;0,IF((SUM($F$98:AP99,AQ98)-AQ183)&gt;0,-AQ183,-SUM($F$98:AP99)),0)</f>
        <v>0</v>
      </c>
      <c r="AR99" s="142">
        <f>IF(AR183&gt;0,IF((SUM($F$98:AQ99,AR98)-AR183)&gt;0,-AR183,-SUM($F$98:AQ99)),0)</f>
        <v>0</v>
      </c>
      <c r="AS99" s="142">
        <f>IF(AS183&gt;0,IF((SUM($F$98:AR99,AS98)-AS183)&gt;0,-AS183,-SUM($F$98:AR99)),0)</f>
        <v>0</v>
      </c>
      <c r="AT99" s="142">
        <f>IF(AT183&gt;0,IF((SUM($F$98:AS99,AT98)-AT183)&gt;0,-AT183,-SUM($F$98:AS99)),0)</f>
        <v>0</v>
      </c>
      <c r="AU99" s="142">
        <f>IF(AU183&gt;0,IF((SUM($F$98:AT99,AU98)-AU183)&gt;0,-AU183,-SUM($F$98:AT99)),0)</f>
        <v>0</v>
      </c>
      <c r="AV99" s="142">
        <f>IF(AV183&gt;0,IF((SUM($F$98:AU99,AV98)-AV183)&gt;0,-AV183,-SUM($F$98:AU99)),0)</f>
        <v>0</v>
      </c>
      <c r="AW99" s="142">
        <f>IF(AW183&gt;0,IF((SUM($F$98:AV99,AW98)-AW183)&gt;0,-AW183,-SUM($F$98:AV99)),0)</f>
        <v>0</v>
      </c>
      <c r="AX99" s="142">
        <f>IF(AX183&gt;0,IF((SUM($F$98:AW99,AX98)-AX183)&gt;0,-AX183,-SUM($F$98:AW99)),0)</f>
        <v>0</v>
      </c>
      <c r="AY99" s="142">
        <f>IF(AY183&gt;0,IF((SUM($F$98:AX99,AY98)-AY183)&gt;0,-AY183,-SUM($F$98:AX99)),0)</f>
        <v>0</v>
      </c>
      <c r="AZ99" s="142">
        <f>IF(AZ183&gt;0,IF((SUM($F$98:AY99,AZ98)-AZ183)&gt;0,-AZ183,-SUM($F$98:AY99)),0)</f>
        <v>0</v>
      </c>
      <c r="BA99" s="142">
        <f>IF(BA183&gt;0,IF((SUM($F$98:AZ99,BA98)-BA183)&gt;0,-BA183,-SUM($F$98:AZ99)),0)</f>
        <v>0</v>
      </c>
      <c r="BB99" s="142">
        <f>IF(BB183&gt;0,IF((SUM($F$98:BA99,BB98)-BB183)&gt;0,-BB183,-SUM($F$98:BA99)),0)</f>
        <v>0</v>
      </c>
      <c r="BC99" s="142">
        <f>IF(BC183&gt;0,IF((SUM($F$98:BB99,BC98)-BC183)&gt;0,-BC183,-SUM($F$98:BB99)),0)</f>
        <v>0</v>
      </c>
      <c r="BD99" s="142">
        <f>IF(BD183&gt;0,IF((SUM($F$98:BC99,BD98)-BD183)&gt;0,-BD183,-SUM($F$98:BC99)),0)</f>
        <v>0</v>
      </c>
      <c r="BE99" s="142">
        <f>IF(BE183&gt;0,IF((SUM($F$98:BD99,BE98)-BE183)&gt;0,-BE183,-SUM($F$98:BD99)),0)</f>
        <v>0</v>
      </c>
      <c r="BF99" s="142">
        <f>IF(BF183&gt;0,IF((SUM($F$98:BE99,BF98)-BF183)&gt;0,-BF183,-SUM($F$98:BE99)),0)</f>
        <v>0</v>
      </c>
      <c r="BG99" s="142">
        <f>IF(BG183&gt;0,IF((SUM($F$98:BF99,BG98)-BG183)&gt;0,-BG183,-SUM($F$98:BF99)),0)</f>
        <v>0</v>
      </c>
      <c r="BH99" s="142">
        <f>IF(BH183&gt;0,IF((SUM($F$98:BG99,BH98)-BH183)&gt;0,-BH183,-SUM($F$98:BG99)),0)</f>
        <v>0</v>
      </c>
      <c r="BI99" s="142">
        <f>IF(BI183&gt;0,IF((SUM($F$98:BH99,BI98)-BI183)&gt;0,-BI183,-SUM($F$98:BH99)),0)</f>
        <v>0</v>
      </c>
      <c r="BJ99" s="142">
        <f>IF(BJ183&gt;0,IF((SUM($F$98:BI99,BJ98)-BJ183)&gt;0,-BJ183,-SUM($F$98:BI99)),0)</f>
        <v>0</v>
      </c>
      <c r="BK99" s="142">
        <f>IF(BK183&gt;0,IF((SUM($F$98:BJ99,BK98)-BK183)&gt;0,-BK183,-SUM($F$98:BJ99)),0)</f>
        <v>0</v>
      </c>
      <c r="BL99" s="142">
        <f>IF(BL183&gt;0,IF((SUM($F$98:BK99,BL98)-BL183)&gt;0,-BL183,-SUM($F$98:BK99)),0)</f>
        <v>0</v>
      </c>
      <c r="BM99" s="142">
        <f>IF(BM183&gt;0,IF((SUM($F$98:BL99,BM98)-BM183)&gt;0,-BM183,-SUM($F$98:BL99)),0)</f>
        <v>0</v>
      </c>
    </row>
    <row r="100" spans="1:65">
      <c r="B100" s="147"/>
      <c r="C100" s="28" t="s">
        <v>94</v>
      </c>
      <c r="D100" s="131" t="s">
        <v>19</v>
      </c>
      <c r="E100" s="141">
        <f t="shared" si="54"/>
        <v>756.70761957353375</v>
      </c>
      <c r="F100" s="202">
        <f>SUM($F$98:F99)*F$198/4</f>
        <v>0</v>
      </c>
      <c r="G100" s="202">
        <f>SUM($F$98:G99)*G$198/4</f>
        <v>0</v>
      </c>
      <c r="H100" s="202">
        <f>SUM($F$98:H99)*H$198/4</f>
        <v>0</v>
      </c>
      <c r="I100" s="202">
        <f>SUM($F$98:I99)*I$198/4</f>
        <v>0</v>
      </c>
      <c r="J100" s="202">
        <f>SUM($F$98:J99)*J$198/4</f>
        <v>0</v>
      </c>
      <c r="K100" s="202">
        <f>SUM($F$98:K99)*K$198/4</f>
        <v>0</v>
      </c>
      <c r="L100" s="202">
        <f>SUM($F$98:L99)*L$198/4</f>
        <v>0</v>
      </c>
      <c r="M100" s="202">
        <f>SUM($F$98:M99)*M$198/4</f>
        <v>0</v>
      </c>
      <c r="N100" s="142">
        <f>SUM($F$98:N99)*N$198/4</f>
        <v>0</v>
      </c>
      <c r="O100" s="142">
        <f>SUM($F$98:O99)*O$198/4</f>
        <v>0</v>
      </c>
      <c r="P100" s="142">
        <f>SUM($F$98:P99)*P$198/4</f>
        <v>0</v>
      </c>
      <c r="Q100" s="142">
        <f>SUM($F$98:Q99)*Q$198/4</f>
        <v>0</v>
      </c>
      <c r="R100" s="142">
        <f>SUM($F$98:R99)*R$198/4</f>
        <v>0</v>
      </c>
      <c r="S100" s="142">
        <f>SUM($F$98:S99)*S$198/4</f>
        <v>0</v>
      </c>
      <c r="T100" s="142">
        <f>SUM($F$98:T99)*T$198/4</f>
        <v>12.822386492786372</v>
      </c>
      <c r="U100" s="142">
        <f>SUM($F$98:U99)*U$198/4</f>
        <v>23.049749039275905</v>
      </c>
      <c r="V100" s="142">
        <f>SUM($F$98:V99)*V$198/4</f>
        <v>31.58560866022237</v>
      </c>
      <c r="W100" s="142">
        <f>SUM($F$98:W99)*W$198/4</f>
        <v>39.526238814251549</v>
      </c>
      <c r="X100" s="142">
        <f>SUM($F$98:X99)*X$198/4</f>
        <v>44.711880816400296</v>
      </c>
      <c r="Y100" s="142">
        <f>SUM($F$98:Y99)*Y$198/4</f>
        <v>49.945434982588182</v>
      </c>
      <c r="Z100" s="142">
        <f>SUM($F$98:Z99)*Z$198/4</f>
        <v>54.661706001775919</v>
      </c>
      <c r="AA100" s="142">
        <f>SUM($F$98:AA99)*AA$198/4</f>
        <v>58.276650087571234</v>
      </c>
      <c r="AB100" s="142">
        <f>SUM($F$98:AB99)*AB$198/4</f>
        <v>61.10611270602088</v>
      </c>
      <c r="AC100" s="142">
        <f>SUM($F$98:AC99)*AC$198/4</f>
        <v>62.869246005362704</v>
      </c>
      <c r="AD100" s="142">
        <f>SUM($F$98:AD99)*AD$198/4</f>
        <v>63.319706307255927</v>
      </c>
      <c r="AE100" s="142">
        <f>SUM($F$98:AE99)*AE$198/4</f>
        <v>66.515457002462156</v>
      </c>
      <c r="AF100" s="142">
        <f>SUM($F$98:AF99)*AF$198/4</f>
        <v>78.831186016549637</v>
      </c>
      <c r="AG100" s="142">
        <f>SUM($F$98:AG99)*AG$198/4</f>
        <v>62.883669348984768</v>
      </c>
      <c r="AH100" s="142">
        <f>SUM($F$98:AH99)*AH$198/4</f>
        <v>33.216238995132123</v>
      </c>
      <c r="AI100" s="142">
        <f>SUM($F$98:AI99)*AI$198/4</f>
        <v>13.386348296893761</v>
      </c>
      <c r="AJ100" s="142">
        <f>SUM($F$98:AJ99)*AJ$198/4</f>
        <v>0</v>
      </c>
      <c r="AK100" s="142">
        <f>SUM($F$98:AK99)*AK$198/4</f>
        <v>0</v>
      </c>
      <c r="AL100" s="142">
        <f>SUM($F$98:AL99)*AL$198/4</f>
        <v>0</v>
      </c>
      <c r="AM100" s="142">
        <f>SUM($F$98:AM99)*AM$198/4</f>
        <v>0</v>
      </c>
      <c r="AN100" s="142">
        <f>SUM($F$98:AN99)*AN$198/4</f>
        <v>0</v>
      </c>
      <c r="AO100" s="142">
        <f>SUM($F$98:AO99)*AO$198/4</f>
        <v>0</v>
      </c>
      <c r="AP100" s="142">
        <f>SUM($F$98:AP99)*AP$198/4</f>
        <v>0</v>
      </c>
      <c r="AQ100" s="142">
        <f>SUM($F$98:AQ99)*AQ$198/4</f>
        <v>0</v>
      </c>
      <c r="AR100" s="142">
        <f>SUM($F$98:AR99)*AR$198/4</f>
        <v>0</v>
      </c>
      <c r="AS100" s="142">
        <f>SUM($F$98:AS99)*AS$198/4</f>
        <v>0</v>
      </c>
      <c r="AT100" s="142">
        <f>SUM($F$98:AT99)*AT$198/4</f>
        <v>0</v>
      </c>
      <c r="AU100" s="142">
        <f>SUM($F$98:AU99)*AU$198/4</f>
        <v>0</v>
      </c>
      <c r="AV100" s="142">
        <f>SUM($F$98:AV99)*AV$198/4</f>
        <v>0</v>
      </c>
      <c r="AW100" s="142">
        <f>SUM($F$98:AW99)*AW$198/4</f>
        <v>0</v>
      </c>
      <c r="AX100" s="142">
        <f>SUM($F$98:AX99)*AX$198/4</f>
        <v>0</v>
      </c>
      <c r="AY100" s="142">
        <f>SUM($F$98:AY99)*AY$198/4</f>
        <v>0</v>
      </c>
      <c r="AZ100" s="142">
        <f>SUM($F$98:AZ99)*AZ$198/4</f>
        <v>0</v>
      </c>
      <c r="BA100" s="142">
        <f>SUM($F$98:BA99)*BA$198/4</f>
        <v>0</v>
      </c>
      <c r="BB100" s="142">
        <f>SUM($F$98:BB99)*BB$198/4</f>
        <v>0</v>
      </c>
      <c r="BC100" s="142">
        <f>SUM($F$98:BC99)*BC$198/4</f>
        <v>0</v>
      </c>
      <c r="BD100" s="142">
        <f>SUM($F$98:BD99)*BD$198/4</f>
        <v>0</v>
      </c>
      <c r="BE100" s="142">
        <f>SUM($F$98:BE99)*BE$198/4</f>
        <v>0</v>
      </c>
      <c r="BF100" s="142">
        <f>SUM($F$98:BF99)*BF$198/4</f>
        <v>0</v>
      </c>
      <c r="BG100" s="142">
        <f>SUM($F$98:BG99)*BG$198/4</f>
        <v>0</v>
      </c>
      <c r="BH100" s="142">
        <f>SUM($F$98:BH99)*BH$198/4</f>
        <v>0</v>
      </c>
      <c r="BI100" s="142">
        <f>SUM($F$98:BI99)*BI$198/4</f>
        <v>0</v>
      </c>
      <c r="BJ100" s="142">
        <f>SUM($F$98:BJ99)*BJ$198/4</f>
        <v>0</v>
      </c>
      <c r="BK100" s="142">
        <f>SUM($F$98:BK99)*BK$198/4</f>
        <v>0</v>
      </c>
      <c r="BL100" s="142">
        <f>SUM($F$98:BL99)*BL$198/4</f>
        <v>0</v>
      </c>
      <c r="BM100" s="142">
        <f>SUM($F$98:BM99)*BM$198/4</f>
        <v>0</v>
      </c>
    </row>
    <row r="101" spans="1:65">
      <c r="B101" s="27"/>
      <c r="C101" s="28" t="s">
        <v>95</v>
      </c>
      <c r="D101" s="131" t="s">
        <v>19</v>
      </c>
      <c r="E101" s="141">
        <f t="shared" si="54"/>
        <v>-756.70761957353375</v>
      </c>
      <c r="F101" s="202"/>
      <c r="G101" s="202"/>
      <c r="H101" s="202"/>
      <c r="I101" s="202"/>
      <c r="J101" s="202"/>
      <c r="K101" s="202"/>
      <c r="L101" s="202"/>
      <c r="M101" s="202"/>
      <c r="N101" s="142">
        <f>IF(N184&gt;0,IF((SUM($F$100:M101,N100)-N184)&gt;0,-N184,-SUM($F$100:M101)),0)</f>
        <v>0</v>
      </c>
      <c r="O101" s="142">
        <f>IF(O184&gt;0,IF((SUM($F$100:N101,O100)-O184)&gt;0,-O184,-SUM($F$100:N101)),0)</f>
        <v>0</v>
      </c>
      <c r="P101" s="142">
        <f>IF(P184&gt;0,IF((SUM($F$100:O101,P100)-P184)&gt;0,-P184,-SUM($F$100:O101)),0)</f>
        <v>0</v>
      </c>
      <c r="Q101" s="142">
        <f>IF(Q184&gt;0,IF((SUM($F$100:P101,Q100)-Q184)&gt;0,-Q184,-SUM($F$100:P101)),0)</f>
        <v>0</v>
      </c>
      <c r="R101" s="142">
        <f>IF(R184&gt;0,IF((SUM($F$100:Q101,R100)-R184)&gt;0,-R184,-SUM($F$100:Q101)),0)</f>
        <v>0</v>
      </c>
      <c r="S101" s="142">
        <f>IF(S184&gt;0,IF((SUM($F$100:R101,S100)-S184)&gt;0,-S184,-SUM($F$100:R101)),0)</f>
        <v>0</v>
      </c>
      <c r="T101" s="142">
        <f>IF(T184&gt;0,IF((SUM($F$100:S101,T100)-T184)&gt;0,-T184,-SUM($F$100:S101)),0)</f>
        <v>0</v>
      </c>
      <c r="U101" s="142">
        <f>IF(U184&gt;0,IF((SUM($F$100:T101,U100)-U184)&gt;0,-U184,-SUM($F$100:T101)),0)</f>
        <v>0</v>
      </c>
      <c r="V101" s="142">
        <f>IF(V184&gt;0,IF((SUM($F$100:U101,V100)-V184)&gt;0,-V184,-SUM($F$100:U101)),0)</f>
        <v>0</v>
      </c>
      <c r="W101" s="142">
        <f>IF(W184&gt;0,IF((SUM($F$100:V101,W100)-W184)&gt;0,-W184,-SUM($F$100:V101)),0)</f>
        <v>0</v>
      </c>
      <c r="X101" s="142">
        <f>IF(X184&gt;0,IF((SUM($F$100:W101,X100)-X184)&gt;0,-X184,-SUM($F$100:W101)),0)</f>
        <v>0</v>
      </c>
      <c r="Y101" s="142">
        <f>IF(Y184&gt;0,IF((SUM($F$100:X101,Y100)-Y184)&gt;0,-Y184,-SUM($F$100:X101)),0)</f>
        <v>0</v>
      </c>
      <c r="Z101" s="142">
        <f>IF(Z184&gt;0,IF((SUM($F$100:Y101,Z100)-Z184)&gt;0,-Z184,-SUM($F$100:Y101)),0)</f>
        <v>0</v>
      </c>
      <c r="AA101" s="142">
        <f>IF(AA184&gt;0,IF((SUM($F$100:Z101,AA100)-AA184)&gt;0,-AA184,-SUM($F$100:Z101)),0)</f>
        <v>0</v>
      </c>
      <c r="AB101" s="142">
        <f>IF(AB184&gt;0,IF((SUM($F$100:AA101,AB100)-AB184)&gt;0,-AB184,-SUM($F$100:AA101)),0)</f>
        <v>0</v>
      </c>
      <c r="AC101" s="142">
        <f>IF(AC184&gt;0,IF((SUM($F$100:AB101,AC100)-AC184)&gt;0,-AC184,-SUM($F$100:AB101)),0)</f>
        <v>0</v>
      </c>
      <c r="AD101" s="142">
        <f>IF(AD184&gt;0,IF((SUM($F$100:AC101,AD100)-AD184)&gt;0,-AD184,-SUM($F$100:AC101)),0)</f>
        <v>0</v>
      </c>
      <c r="AE101" s="142">
        <f>IF(AE184&gt;0,IF((SUM($F$100:AD101,AE100)-AE184)&gt;0,-AE184,-SUM($F$100:AD101)),0)</f>
        <v>0</v>
      </c>
      <c r="AF101" s="142">
        <f>IF(AF184&gt;0,IF((SUM($F$100:AE101,AF100)-AF184)&gt;0,-AF184,-SUM($F$100:AE101)),0)</f>
        <v>0</v>
      </c>
      <c r="AG101" s="142">
        <f>IF(AG184&gt;0,IF((SUM($F$100:AF101,AG100)-AG184)&gt;0,-AG184,-SUM($F$100:AF101)),0)</f>
        <v>0</v>
      </c>
      <c r="AH101" s="142">
        <f>IF(AH184&gt;0,IF((SUM($F$100:AG101,AH100)-AH184)&gt;0,-AH184,-SUM($F$100:AG101)),0)</f>
        <v>0</v>
      </c>
      <c r="AI101" s="142">
        <f>IF(AI184&gt;0,IF((SUM($F$100:AH101,AI100)-AI184)&gt;0,-AI184,-SUM($F$100:AH101)),0)</f>
        <v>0</v>
      </c>
      <c r="AJ101" s="142">
        <f>IF(AJ184&gt;0,IF((SUM($F$100:AI101,AJ100)-AJ184)&gt;0,-AJ184,-SUM($F$100:AI101)),0)</f>
        <v>-613.70163532778224</v>
      </c>
      <c r="AK101" s="142">
        <f>IF(AK184&gt;0,IF((SUM($F$100:AJ101,AK100)-AK184)&gt;0,-AK184,-SUM($F$100:AJ101)),0)</f>
        <v>-143.00598424575151</v>
      </c>
      <c r="AL101" s="142">
        <f>IF(AL184&gt;0,IF((SUM($F$100:AK101,AL100)-AL184)&gt;0,-AL184,-SUM($F$100:AK101)),0)</f>
        <v>0</v>
      </c>
      <c r="AM101" s="142">
        <f>IF(AM184&gt;0,IF((SUM($F$100:AL101,AM100)-AM184)&gt;0,-AM184,-SUM($F$100:AL101)),0)</f>
        <v>0</v>
      </c>
      <c r="AN101" s="142">
        <f>IF(AN184&gt;0,IF((SUM($F$100:AM101,AN100)-AN184)&gt;0,-AN184,-SUM($F$100:AM101)),0)</f>
        <v>0</v>
      </c>
      <c r="AO101" s="142">
        <f>IF(AO184&gt;0,IF((SUM($F$100:AN101,AO100)-AO184)&gt;0,-AO184,-SUM($F$100:AN101)),0)</f>
        <v>0</v>
      </c>
      <c r="AP101" s="142">
        <f>IF(AP184&gt;0,IF((SUM($F$100:AO101,AP100)-AP184)&gt;0,-AP184,-SUM($F$100:AO101)),0)</f>
        <v>0</v>
      </c>
      <c r="AQ101" s="142">
        <f>IF(AQ184&gt;0,IF((SUM($F$100:AP101,AQ100)-AQ184)&gt;0,-AQ184,-SUM($F$100:AP101)),0)</f>
        <v>0</v>
      </c>
      <c r="AR101" s="142">
        <f>IF(AR184&gt;0,IF((SUM($F$100:AQ101,AR100)-AR184)&gt;0,-AR184,-SUM($F$100:AQ101)),0)</f>
        <v>0</v>
      </c>
      <c r="AS101" s="142">
        <f>IF(AS184&gt;0,IF((SUM($F$100:AR101,AS100)-AS184)&gt;0,-AS184,-SUM($F$100:AR101)),0)</f>
        <v>0</v>
      </c>
      <c r="AT101" s="142">
        <f>IF(AT184&gt;0,IF((SUM($F$100:AS101,AT100)-AT184)&gt;0,-AT184,-SUM($F$100:AS101)),0)</f>
        <v>0</v>
      </c>
      <c r="AU101" s="142">
        <f>IF(AU184&gt;0,IF((SUM($F$100:AT101,AU100)-AU184)&gt;0,-AU184,-SUM($F$100:AT101)),0)</f>
        <v>0</v>
      </c>
      <c r="AV101" s="142">
        <f>IF(AV184&gt;0,IF((SUM($F$100:AU101,AV100)-AV184)&gt;0,-AV184,-SUM($F$100:AU101)),0)</f>
        <v>0</v>
      </c>
      <c r="AW101" s="142">
        <f>IF(AW184&gt;0,IF((SUM($F$100:AV101,AW100)-AW184)&gt;0,-AW184,-SUM($F$100:AV101)),0)</f>
        <v>0</v>
      </c>
      <c r="AX101" s="142">
        <f>IF(AX184&gt;0,IF((SUM($F$100:AW101,AX100)-AX184)&gt;0,-AX184,-SUM($F$100:AW101)),0)</f>
        <v>0</v>
      </c>
      <c r="AY101" s="142">
        <f>IF(AY184&gt;0,IF((SUM($F$100:AX101,AY100)-AY184)&gt;0,-AY184,-SUM($F$100:AX101)),0)</f>
        <v>0</v>
      </c>
      <c r="AZ101" s="142">
        <f>IF(AZ184&gt;0,IF((SUM($F$100:AY101,AZ100)-AZ184)&gt;0,-AZ184,-SUM($F$100:AY101)),0)</f>
        <v>0</v>
      </c>
      <c r="BA101" s="142">
        <f>IF(BA184&gt;0,IF((SUM($F$100:AZ101,BA100)-BA184)&gt;0,-BA184,-SUM($F$100:AZ101)),0)</f>
        <v>0</v>
      </c>
      <c r="BB101" s="142">
        <f>IF(BB184&gt;0,IF((SUM($F$100:BA101,BB100)-BB184)&gt;0,-BB184,-SUM($F$100:BA101)),0)</f>
        <v>0</v>
      </c>
      <c r="BC101" s="142">
        <f>IF(BC184&gt;0,IF((SUM($F$100:BB101,BC100)-BC184)&gt;0,-BC184,-SUM($F$100:BB101)),0)</f>
        <v>0</v>
      </c>
      <c r="BD101" s="142">
        <f>IF(BD184&gt;0,IF((SUM($F$100:BC101,BD100)-BD184)&gt;0,-BD184,-SUM($F$100:BC101)),0)</f>
        <v>0</v>
      </c>
      <c r="BE101" s="142">
        <f>IF(BE184&gt;0,IF((SUM($F$100:BD101,BE100)-BE184)&gt;0,-BE184,-SUM($F$100:BD101)),0)</f>
        <v>0</v>
      </c>
      <c r="BF101" s="142">
        <f>IF(BF184&gt;0,IF((SUM($F$100:BE101,BF100)-BF184)&gt;0,-BF184,-SUM($F$100:BE101)),0)</f>
        <v>0</v>
      </c>
      <c r="BG101" s="142">
        <f>IF(BG184&gt;0,IF((SUM($F$100:BF101,BG100)-BG184)&gt;0,-BG184,-SUM($F$100:BF101)),0)</f>
        <v>0</v>
      </c>
      <c r="BH101" s="142">
        <f>IF(BH184&gt;0,IF((SUM($F$100:BG101,BH100)-BH184)&gt;0,-BH184,-SUM($F$100:BG101)),0)</f>
        <v>0</v>
      </c>
      <c r="BI101" s="142">
        <f>IF(BI184&gt;0,IF((SUM($F$100:BH101,BI100)-BI184)&gt;0,-BI184,-SUM($F$100:BH101)),0)</f>
        <v>0</v>
      </c>
      <c r="BJ101" s="142">
        <f>IF(BJ184&gt;0,IF((SUM($F$100:BI101,BJ100)-BJ184)&gt;0,-BJ184,-SUM($F$100:BI101)),0)</f>
        <v>0</v>
      </c>
      <c r="BK101" s="142">
        <f>IF(BK184&gt;0,IF((SUM($F$100:BJ101,BK100)-BK184)&gt;0,-BK184,-SUM($F$100:BJ101)),0)</f>
        <v>0</v>
      </c>
      <c r="BL101" s="142">
        <f>IF(BL184&gt;0,IF((SUM($F$100:BK101,BL100)-BL184)&gt;0,-BL184,-SUM($F$100:BK101)),0)</f>
        <v>0</v>
      </c>
      <c r="BM101" s="142">
        <f>IF(BM184&gt;0,IF((SUM($F$100:BL101,BM100)-BM184)&gt;0,-BM184,-SUM($F$100:BL101)),0)</f>
        <v>0</v>
      </c>
    </row>
    <row r="102" spans="1:65">
      <c r="B102" s="145" t="s">
        <v>196</v>
      </c>
      <c r="C102" s="27"/>
      <c r="D102" s="131" t="s">
        <v>19</v>
      </c>
      <c r="E102" s="141">
        <f t="shared" si="54"/>
        <v>0</v>
      </c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  <c r="BA102" s="142"/>
      <c r="BB102" s="142"/>
      <c r="BC102" s="142"/>
      <c r="BD102" s="142"/>
      <c r="BE102" s="142"/>
      <c r="BF102" s="142"/>
      <c r="BG102" s="142"/>
      <c r="BH102" s="142"/>
      <c r="BI102" s="142"/>
      <c r="BJ102" s="142"/>
      <c r="BK102" s="142"/>
      <c r="BL102" s="142"/>
      <c r="BM102" s="142"/>
    </row>
    <row r="103" spans="1:65">
      <c r="B103" s="27"/>
      <c r="C103" s="28" t="s">
        <v>59</v>
      </c>
      <c r="D103" s="131" t="s">
        <v>19</v>
      </c>
      <c r="E103" s="141">
        <f t="shared" si="54"/>
        <v>166.8548776598812</v>
      </c>
      <c r="F103" s="202">
        <f>IF(F60&lt;&gt;0,'DB1'!$O$27+'DB1'!$O$28)+IF(F$5=EOMONTH('DB1'!$U$25,2),'DB1'!$O$29,0)</f>
        <v>0</v>
      </c>
      <c r="G103" s="202">
        <f>IF(G60&lt;&gt;0,'DB1'!$O$27+'DB1'!$O$28)+IF(G$5=EOMONTH('DB1'!$U$25,2),'DB1'!$O$29,0)</f>
        <v>0</v>
      </c>
      <c r="H103" s="202">
        <f>IF(H60&lt;&gt;0,'DB1'!$O$27+'DB1'!$O$28)+IF(H$5=EOMONTH('DB1'!$U$25,2),'DB1'!$O$29,0)</f>
        <v>0</v>
      </c>
      <c r="I103" s="202">
        <f>IF(I60&lt;&gt;0,'DB1'!$O$27+'DB1'!$O$28)+IF(I$5=EOMONTH('DB1'!$U$25,2),'DB1'!$O$29,0)</f>
        <v>0</v>
      </c>
      <c r="J103" s="202">
        <f>IF(J60&lt;&gt;0,'DB1'!$O$27+'DB1'!$O$28)+IF(J$5=EOMONTH('DB1'!$U$25,2),'DB1'!$O$29,0)</f>
        <v>0</v>
      </c>
      <c r="K103" s="202">
        <f>IF(K60&lt;&gt;0,'DB1'!$O$27+'DB1'!$O$28)+IF(K$5=EOMONTH('DB1'!$U$25,2),'DB1'!$O$29,0)</f>
        <v>0</v>
      </c>
      <c r="L103" s="202">
        <f>IF(L60&lt;&gt;0,'DB1'!$O$27+'DB1'!$O$28)+IF(L$5=EOMONTH('DB1'!$U$25,2),'DB1'!$O$29,0)</f>
        <v>0</v>
      </c>
      <c r="M103" s="202">
        <f>IF(M60&lt;&gt;0,'DB1'!$O$27+'DB1'!$O$28)+IF(M$5=EOMONTH('DB1'!$U$25,2),'DB1'!$O$29,0)</f>
        <v>0</v>
      </c>
      <c r="N103" s="142">
        <f>IF(N60&lt;&gt;0,'DB1'!$O$27+'DB1'!$O$28)+IF(N$5=EOMONTH('DB1'!$U$25,2),'DB1'!$O$29,0)</f>
        <v>0</v>
      </c>
      <c r="O103" s="142">
        <f>IF(O60&lt;&gt;0,'DB1'!$O$27+'DB1'!$O$28)+IF(O$5=EOMONTH('DB1'!$U$25,2),'DB1'!$O$29,0)</f>
        <v>0</v>
      </c>
      <c r="P103" s="142">
        <f>IF(P60&lt;&gt;0,'DB1'!$O$27+'DB1'!$O$28)+IF(P$5=EOMONTH('DB1'!$U$25,2),'DB1'!$O$29,0)</f>
        <v>166.8548776598812</v>
      </c>
      <c r="Q103" s="142">
        <f>IF(Q60&lt;&gt;0,'DB1'!$O$27+'DB1'!$O$28)+IF(Q$5=EOMONTH('DB1'!$U$25,2),'DB1'!$O$29,0)</f>
        <v>0</v>
      </c>
      <c r="R103" s="142">
        <f>IF(R60&lt;&gt;0,'DB1'!$O$27+'DB1'!$O$28)+IF(R$5=EOMONTH('DB1'!$U$25,2),'DB1'!$O$29,0)</f>
        <v>0</v>
      </c>
      <c r="S103" s="142"/>
      <c r="T103" s="142"/>
      <c r="U103" s="142">
        <f>IF(U60&lt;&gt;0,'DB1'!$O$27+'DB1'!$O$28)+IF(U$5=EOMONTH('DB1'!$U$25,2),'DB1'!$O$29,0)</f>
        <v>0</v>
      </c>
      <c r="V103" s="142">
        <f>IF(V60&lt;&gt;0,'DB1'!$O$27+'DB1'!$O$28)+IF(V$5=EOMONTH('DB1'!$U$25,2),'DB1'!$O$29,0)</f>
        <v>0</v>
      </c>
      <c r="W103" s="142">
        <f>IF(W60&lt;&gt;0,'DB1'!$O$27+'DB1'!$O$28)+IF(W$5=EOMONTH('DB1'!$U$25,2),'DB1'!$O$29,0)</f>
        <v>0</v>
      </c>
      <c r="X103" s="142">
        <f>IF(X60&lt;&gt;0,'DB1'!$O$27+'DB1'!$O$28)+IF(X$5=EOMONTH('DB1'!$U$25,2),'DB1'!$O$29,0)</f>
        <v>0</v>
      </c>
      <c r="Y103" s="142">
        <f>IF(Y60&lt;&gt;0,'DB1'!$O$27+'DB1'!$O$28)+IF(Y$5=EOMONTH('DB1'!$U$25,2),'DB1'!$O$29,0)</f>
        <v>0</v>
      </c>
      <c r="Z103" s="142">
        <f>IF(Z60&lt;&gt;0,'DB1'!$O$27+'DB1'!$O$28)+IF(Z$5=EOMONTH('DB1'!$U$25,2),'DB1'!$O$29,0)</f>
        <v>0</v>
      </c>
      <c r="AA103" s="142">
        <f>IF(AA60&lt;&gt;0,'DB1'!$O$27+'DB1'!$O$28)+IF(AA$5=EOMONTH('DB1'!$U$25,2),'DB1'!$O$29,0)</f>
        <v>0</v>
      </c>
      <c r="AB103" s="142">
        <f>IF(AB60&lt;&gt;0,'DB1'!$O$27+'DB1'!$O$28)+IF(AB$5=EOMONTH('DB1'!$U$25,2),'DB1'!$O$29,0)</f>
        <v>0</v>
      </c>
      <c r="AC103" s="142">
        <f>IF(AC60&lt;&gt;0,'DB1'!$O$27+'DB1'!$O$28)+IF(AC$5=EOMONTH('DB1'!$U$25,2),'DB1'!$O$29,0)</f>
        <v>0</v>
      </c>
      <c r="AD103" s="142">
        <f>IF(AD60&lt;&gt;0,'DB1'!$O$27+'DB1'!$O$28)+IF(AD$5=EOMONTH('DB1'!$U$25,2),'DB1'!$O$29,0)</f>
        <v>0</v>
      </c>
      <c r="AE103" s="142">
        <f>IF(AE60&lt;&gt;0,'DB1'!$O$27+'DB1'!$O$28)+IF(AE$5=EOMONTH('DB1'!$U$25,2),'DB1'!$O$29,0)</f>
        <v>0</v>
      </c>
      <c r="AF103" s="142">
        <f>IF(AF60&lt;&gt;0,'DB1'!$O$27+'DB1'!$O$28)+IF(AF$5=EOMONTH('DB1'!$U$25,2),'DB1'!$O$29,0)</f>
        <v>0</v>
      </c>
      <c r="AG103" s="142">
        <f>IF(AG60&lt;&gt;0,'DB1'!$O$27+'DB1'!$O$28)+IF(AG$5=EOMONTH('DB1'!$U$25,2),'DB1'!$O$29,0)</f>
        <v>0</v>
      </c>
      <c r="AH103" s="142">
        <f>IF(AH60&lt;&gt;0,'DB1'!$O$27+'DB1'!$O$28)+IF(AH$5=EOMONTH('DB1'!$U$25,2),'DB1'!$O$29,0)</f>
        <v>0</v>
      </c>
      <c r="AI103" s="142">
        <f>IF(AI60&lt;&gt;0,'DB1'!$O$27+'DB1'!$O$28)+IF(AI$5=EOMONTH('DB1'!$U$25,2),'DB1'!$O$29,0)</f>
        <v>0</v>
      </c>
      <c r="AJ103" s="142">
        <f>IF(AJ60&lt;&gt;0,'DB1'!$O$27+'DB1'!$O$28)+IF(AJ$5=EOMONTH('DB1'!$U$25,2),'DB1'!$O$29,0)</f>
        <v>0</v>
      </c>
      <c r="AK103" s="142">
        <f>IF(AK60&lt;&gt;0,'DB1'!$O$27+'DB1'!$O$28)+IF(AK$5=EOMONTH('DB1'!$U$25,2),'DB1'!$O$29,0)</f>
        <v>0</v>
      </c>
      <c r="AL103" s="142">
        <f>IF(AL60&lt;&gt;0,'DB1'!$O$27+'DB1'!$O$28)+IF(AL$5=EOMONTH('DB1'!$U$25,2),'DB1'!$O$29,0)</f>
        <v>0</v>
      </c>
      <c r="AM103" s="142">
        <f>IF(AM60&lt;&gt;0,'DB1'!$O$27+'DB1'!$O$28)+IF(AM$5=EOMONTH('DB1'!$U$25,2),'DB1'!$O$29,0)</f>
        <v>0</v>
      </c>
      <c r="AN103" s="142">
        <f>IF(AN60&lt;&gt;0,'DB1'!$O$27+'DB1'!$O$28)+IF(AN$5=EOMONTH('DB1'!$U$25,2),'DB1'!$O$29,0)</f>
        <v>0</v>
      </c>
      <c r="AO103" s="142">
        <f>IF(AO60&lt;&gt;0,'DB1'!$O$27+'DB1'!$O$28)+IF(AO$5=EOMONTH('DB1'!$U$25,2),'DB1'!$O$29,0)</f>
        <v>0</v>
      </c>
      <c r="AP103" s="142">
        <f>IF(AP60&lt;&gt;0,'DB1'!$O$27+'DB1'!$O$28)+IF(AP$5=EOMONTH('DB1'!$U$25,2),'DB1'!$O$29,0)</f>
        <v>0</v>
      </c>
      <c r="AQ103" s="142">
        <f>IF(AQ60&lt;&gt;0,'DB1'!$O$27+'DB1'!$O$28)+IF(AQ$5=EOMONTH('DB1'!$U$25,2),'DB1'!$O$29,0)</f>
        <v>0</v>
      </c>
      <c r="AR103" s="142">
        <f>IF(AR60&lt;&gt;0,'DB1'!$O$27+'DB1'!$O$28)+IF(AR$5=EOMONTH('DB1'!$U$25,2),'DB1'!$O$29,0)</f>
        <v>0</v>
      </c>
      <c r="AS103" s="142">
        <f>IF(AS60&lt;&gt;0,'DB1'!$O$27+'DB1'!$O$28)+IF(AS$5=EOMONTH('DB1'!$U$25,2),'DB1'!$O$29,0)</f>
        <v>0</v>
      </c>
      <c r="AT103" s="142">
        <f>IF(AT60&lt;&gt;0,'DB1'!$O$27+'DB1'!$O$28)+IF(AT$5=EOMONTH('DB1'!$U$25,2),'DB1'!$O$29,0)</f>
        <v>0</v>
      </c>
      <c r="AU103" s="142">
        <f>IF(AU60&lt;&gt;0,'DB1'!$O$27+'DB1'!$O$28)+IF(AU$5=EOMONTH('DB1'!$U$25,2),'DB1'!$O$29,0)</f>
        <v>0</v>
      </c>
      <c r="AV103" s="142">
        <f>IF(AV60&lt;&gt;0,'DB1'!$O$27+'DB1'!$O$28)+IF(AV$5=EOMONTH('DB1'!$U$25,2),'DB1'!$O$29,0)</f>
        <v>0</v>
      </c>
      <c r="AW103" s="142">
        <f>IF(AW60&lt;&gt;0,'DB1'!$O$27+'DB1'!$O$28)+IF(AW$5=EOMONTH('DB1'!$U$25,2),'DB1'!$O$29,0)</f>
        <v>0</v>
      </c>
      <c r="AX103" s="142">
        <f>IF(AX60&lt;&gt;0,'DB1'!$O$27+'DB1'!$O$28)+IF(AX$5=EOMONTH('DB1'!$U$25,2),'DB1'!$O$29,0)</f>
        <v>0</v>
      </c>
      <c r="AY103" s="142">
        <f>IF(AY60&lt;&gt;0,'DB1'!$O$27+'DB1'!$O$28)+IF(AY$5=EOMONTH('DB1'!$U$25,2),'DB1'!$O$29,0)</f>
        <v>0</v>
      </c>
      <c r="AZ103" s="142">
        <f>IF(AZ60&lt;&gt;0,'DB1'!$O$27+'DB1'!$O$28)+IF(AZ$5=EOMONTH('DB1'!$U$25,2),'DB1'!$O$29,0)</f>
        <v>0</v>
      </c>
      <c r="BA103" s="142">
        <f>IF(BA60&lt;&gt;0,'DB1'!$O$27+'DB1'!$O$28)+IF(BA$5=EOMONTH('DB1'!$U$25,2),'DB1'!$O$29,0)</f>
        <v>0</v>
      </c>
      <c r="BB103" s="142">
        <f>IF(BB60&lt;&gt;0,'DB1'!$O$27+'DB1'!$O$28)+IF(BB$5=EOMONTH('DB1'!$U$25,2),'DB1'!$O$29,0)</f>
        <v>0</v>
      </c>
      <c r="BC103" s="142">
        <f>IF(BC60&lt;&gt;0,'DB1'!$O$27+'DB1'!$O$28)+IF(BC$5=EOMONTH('DB1'!$U$25,2),'DB1'!$O$29,0)</f>
        <v>0</v>
      </c>
      <c r="BD103" s="142">
        <f>IF(BD60&lt;&gt;0,'DB1'!$O$27+'DB1'!$O$28)+IF(BD$5=EOMONTH('DB1'!$U$25,2),'DB1'!$O$29,0)</f>
        <v>0</v>
      </c>
      <c r="BE103" s="142">
        <f>IF(BE60&lt;&gt;0,'DB1'!$O$27+'DB1'!$O$28)+IF(BE$5=EOMONTH('DB1'!$U$25,2),'DB1'!$O$29,0)</f>
        <v>0</v>
      </c>
      <c r="BF103" s="142">
        <f>IF(BF60&lt;&gt;0,'DB1'!$O$27+'DB1'!$O$28)+IF(BF$5=EOMONTH('DB1'!$U$25,2),'DB1'!$O$29,0)</f>
        <v>0</v>
      </c>
      <c r="BG103" s="142">
        <f>IF(BG60&lt;&gt;0,'DB1'!$O$27+'DB1'!$O$28)+IF(BG$5=EOMONTH('DB1'!$U$25,2),'DB1'!$O$29,0)</f>
        <v>0</v>
      </c>
      <c r="BH103" s="142">
        <f>IF(BH60&lt;&gt;0,'DB1'!$O$27+'DB1'!$O$28)+IF(BH$5=EOMONTH('DB1'!$U$25,2),'DB1'!$O$29,0)</f>
        <v>0</v>
      </c>
      <c r="BI103" s="142">
        <f>IF(BI60&lt;&gt;0,'DB1'!$O$27+'DB1'!$O$28)+IF(BI$5=EOMONTH('DB1'!$U$25,2),'DB1'!$O$29,0)</f>
        <v>0</v>
      </c>
      <c r="BJ103" s="142">
        <f>IF(BJ60&lt;&gt;0,'DB1'!$O$27+'DB1'!$O$28)+IF(BJ$5=EOMONTH('DB1'!$U$25,2),'DB1'!$O$29,0)</f>
        <v>0</v>
      </c>
      <c r="BK103" s="142">
        <f>IF(BK60&lt;&gt;0,'DB1'!$O$27+'DB1'!$O$28)+IF(BK$5=EOMONTH('DB1'!$U$25,2),'DB1'!$O$29,0)</f>
        <v>0</v>
      </c>
      <c r="BL103" s="142">
        <f>IF(BL60&lt;&gt;0,'DB1'!$O$27+'DB1'!$O$28)+IF(BL$5=EOMONTH('DB1'!$U$25,2),'DB1'!$O$29,0)</f>
        <v>0</v>
      </c>
      <c r="BM103" s="142">
        <f>IF(BM60&lt;&gt;0,'DB1'!$O$27+'DB1'!$O$28)+IF(BM$5=EOMONTH('DB1'!$U$25,2),'DB1'!$O$29,0)</f>
        <v>0</v>
      </c>
    </row>
    <row r="104" spans="1:65">
      <c r="B104" s="27"/>
      <c r="C104" s="28" t="s">
        <v>73</v>
      </c>
      <c r="D104" s="131" t="s">
        <v>19</v>
      </c>
      <c r="E104" s="141">
        <f t="shared" si="54"/>
        <v>-166.8548776598812</v>
      </c>
      <c r="F104" s="202"/>
      <c r="G104" s="202"/>
      <c r="H104" s="202"/>
      <c r="I104" s="202"/>
      <c r="J104" s="202"/>
      <c r="K104" s="202"/>
      <c r="L104" s="202"/>
      <c r="M104" s="202"/>
      <c r="N104" s="142">
        <f t="shared" ref="N104:BM104" si="57">-N103</f>
        <v>0</v>
      </c>
      <c r="O104" s="142">
        <f t="shared" si="57"/>
        <v>0</v>
      </c>
      <c r="P104" s="142">
        <f t="shared" si="57"/>
        <v>-166.8548776598812</v>
      </c>
      <c r="Q104" s="142">
        <f t="shared" si="57"/>
        <v>0</v>
      </c>
      <c r="R104" s="142">
        <f t="shared" si="57"/>
        <v>0</v>
      </c>
      <c r="S104" s="142"/>
      <c r="T104" s="142"/>
      <c r="U104" s="142">
        <f t="shared" si="57"/>
        <v>0</v>
      </c>
      <c r="V104" s="142">
        <f t="shared" si="57"/>
        <v>0</v>
      </c>
      <c r="W104" s="142">
        <f t="shared" si="57"/>
        <v>0</v>
      </c>
      <c r="X104" s="142">
        <f t="shared" si="57"/>
        <v>0</v>
      </c>
      <c r="Y104" s="142">
        <f t="shared" si="57"/>
        <v>0</v>
      </c>
      <c r="Z104" s="142">
        <f t="shared" si="57"/>
        <v>0</v>
      </c>
      <c r="AA104" s="142">
        <f t="shared" si="57"/>
        <v>0</v>
      </c>
      <c r="AB104" s="142">
        <f t="shared" si="57"/>
        <v>0</v>
      </c>
      <c r="AC104" s="142">
        <f t="shared" si="57"/>
        <v>0</v>
      </c>
      <c r="AD104" s="142">
        <f t="shared" si="57"/>
        <v>0</v>
      </c>
      <c r="AE104" s="142">
        <f t="shared" si="57"/>
        <v>0</v>
      </c>
      <c r="AF104" s="142">
        <f t="shared" si="57"/>
        <v>0</v>
      </c>
      <c r="AG104" s="142">
        <f t="shared" si="57"/>
        <v>0</v>
      </c>
      <c r="AH104" s="142">
        <f t="shared" si="57"/>
        <v>0</v>
      </c>
      <c r="AI104" s="142">
        <f t="shared" si="57"/>
        <v>0</v>
      </c>
      <c r="AJ104" s="142">
        <f t="shared" si="57"/>
        <v>0</v>
      </c>
      <c r="AK104" s="142">
        <f t="shared" si="57"/>
        <v>0</v>
      </c>
      <c r="AL104" s="142">
        <f t="shared" si="57"/>
        <v>0</v>
      </c>
      <c r="AM104" s="142">
        <f t="shared" si="57"/>
        <v>0</v>
      </c>
      <c r="AN104" s="142">
        <f t="shared" si="57"/>
        <v>0</v>
      </c>
      <c r="AO104" s="142">
        <f t="shared" si="57"/>
        <v>0</v>
      </c>
      <c r="AP104" s="142">
        <f t="shared" si="57"/>
        <v>0</v>
      </c>
      <c r="AQ104" s="142">
        <f t="shared" si="57"/>
        <v>0</v>
      </c>
      <c r="AR104" s="142">
        <f t="shared" si="57"/>
        <v>0</v>
      </c>
      <c r="AS104" s="142">
        <f t="shared" si="57"/>
        <v>0</v>
      </c>
      <c r="AT104" s="142">
        <f t="shared" si="57"/>
        <v>0</v>
      </c>
      <c r="AU104" s="142">
        <f t="shared" si="57"/>
        <v>0</v>
      </c>
      <c r="AV104" s="142">
        <f t="shared" si="57"/>
        <v>0</v>
      </c>
      <c r="AW104" s="142">
        <f t="shared" si="57"/>
        <v>0</v>
      </c>
      <c r="AX104" s="142">
        <f t="shared" si="57"/>
        <v>0</v>
      </c>
      <c r="AY104" s="142">
        <f t="shared" si="57"/>
        <v>0</v>
      </c>
      <c r="AZ104" s="142">
        <f t="shared" si="57"/>
        <v>0</v>
      </c>
      <c r="BA104" s="142">
        <f t="shared" si="57"/>
        <v>0</v>
      </c>
      <c r="BB104" s="142">
        <f t="shared" si="57"/>
        <v>0</v>
      </c>
      <c r="BC104" s="142">
        <f t="shared" si="57"/>
        <v>0</v>
      </c>
      <c r="BD104" s="142">
        <f t="shared" si="57"/>
        <v>0</v>
      </c>
      <c r="BE104" s="142">
        <f t="shared" si="57"/>
        <v>0</v>
      </c>
      <c r="BF104" s="142">
        <f t="shared" si="57"/>
        <v>0</v>
      </c>
      <c r="BG104" s="142">
        <f t="shared" si="57"/>
        <v>0</v>
      </c>
      <c r="BH104" s="142">
        <f t="shared" si="57"/>
        <v>0</v>
      </c>
      <c r="BI104" s="142">
        <f t="shared" si="57"/>
        <v>0</v>
      </c>
      <c r="BJ104" s="142">
        <f t="shared" si="57"/>
        <v>0</v>
      </c>
      <c r="BK104" s="142">
        <f t="shared" si="57"/>
        <v>0</v>
      </c>
      <c r="BL104" s="142">
        <f t="shared" si="57"/>
        <v>0</v>
      </c>
      <c r="BM104" s="142">
        <f t="shared" si="57"/>
        <v>0</v>
      </c>
    </row>
    <row r="105" spans="1:65">
      <c r="B105" s="145" t="s">
        <v>138</v>
      </c>
      <c r="C105" s="27"/>
      <c r="D105" s="131" t="s">
        <v>19</v>
      </c>
      <c r="E105" s="141">
        <f t="shared" si="54"/>
        <v>0</v>
      </c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  <c r="BA105" s="142"/>
      <c r="BB105" s="142"/>
      <c r="BC105" s="142"/>
      <c r="BD105" s="142"/>
      <c r="BE105" s="142"/>
      <c r="BF105" s="142"/>
      <c r="BG105" s="142"/>
      <c r="BH105" s="142"/>
      <c r="BI105" s="142"/>
      <c r="BJ105" s="142"/>
      <c r="BK105" s="142"/>
      <c r="BL105" s="142"/>
      <c r="BM105" s="142"/>
    </row>
    <row r="106" spans="1:65">
      <c r="B106" s="27"/>
      <c r="C106" s="28" t="s">
        <v>29</v>
      </c>
      <c r="D106" s="131" t="s">
        <v>19</v>
      </c>
      <c r="E106" s="141">
        <f t="shared" si="54"/>
        <v>0</v>
      </c>
      <c r="F106" s="202"/>
      <c r="G106" s="202"/>
      <c r="H106" s="202"/>
      <c r="I106" s="202"/>
      <c r="J106" s="202"/>
      <c r="K106" s="202"/>
      <c r="L106" s="202"/>
      <c r="M106" s="20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  <c r="BA106" s="142"/>
      <c r="BB106" s="142"/>
      <c r="BC106" s="142"/>
      <c r="BD106" s="142"/>
      <c r="BE106" s="142"/>
      <c r="BF106" s="142"/>
      <c r="BG106" s="142"/>
      <c r="BH106" s="142"/>
      <c r="BI106" s="142"/>
      <c r="BJ106" s="142"/>
      <c r="BK106" s="142"/>
      <c r="BL106" s="142"/>
      <c r="BM106" s="142"/>
    </row>
    <row r="107" spans="1:65">
      <c r="B107" s="27"/>
      <c r="C107" s="28" t="s">
        <v>139</v>
      </c>
      <c r="D107" s="131" t="s">
        <v>19</v>
      </c>
      <c r="E107" s="141">
        <f t="shared" si="54"/>
        <v>0</v>
      </c>
      <c r="F107" s="202"/>
      <c r="G107" s="202"/>
      <c r="H107" s="202"/>
      <c r="I107" s="202"/>
      <c r="J107" s="202"/>
      <c r="K107" s="202"/>
      <c r="L107" s="202"/>
      <c r="M107" s="20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A107" s="142"/>
      <c r="BB107" s="142"/>
      <c r="BC107" s="142"/>
      <c r="BD107" s="142"/>
      <c r="BE107" s="142"/>
      <c r="BF107" s="142"/>
      <c r="BG107" s="142"/>
      <c r="BH107" s="142"/>
      <c r="BI107" s="142"/>
      <c r="BJ107" s="142"/>
      <c r="BK107" s="142"/>
      <c r="BL107" s="142"/>
      <c r="BM107" s="142"/>
    </row>
    <row r="108" spans="1:65">
      <c r="E108" s="148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49"/>
      <c r="AD108" s="149"/>
      <c r="AE108" s="149"/>
      <c r="AF108" s="149"/>
      <c r="AG108" s="149"/>
      <c r="AH108" s="149"/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  <c r="BI108" s="149"/>
      <c r="BJ108" s="149"/>
      <c r="BK108" s="149"/>
      <c r="BL108" s="149"/>
      <c r="BM108" s="149"/>
    </row>
    <row r="109" spans="1:65">
      <c r="A109" s="124"/>
      <c r="B109" s="181" t="s">
        <v>185</v>
      </c>
      <c r="C109" s="181"/>
      <c r="D109" s="175"/>
      <c r="E109" s="180"/>
      <c r="F109" s="180">
        <f>SUM($F87:F88,$F$95:F96)</f>
        <v>0</v>
      </c>
      <c r="G109" s="180">
        <f>SUM($F87:G88,$F$95:G96)</f>
        <v>0</v>
      </c>
      <c r="H109" s="180">
        <f>SUM($F87:H88,$F$95:H96)</f>
        <v>0</v>
      </c>
      <c r="I109" s="180">
        <f>SUM($F87:I88,$F$95:I96)</f>
        <v>0</v>
      </c>
      <c r="J109" s="180">
        <f>SUM($F87:J88,$F$95:J96)</f>
        <v>0</v>
      </c>
      <c r="K109" s="180">
        <f>SUM($F87:K88,$F$95:K96)</f>
        <v>0</v>
      </c>
      <c r="L109" s="180">
        <f>SUM($F87:L88,$F$95:L96)</f>
        <v>0</v>
      </c>
      <c r="M109" s="180">
        <f>SUM($F87:M88,$F$95:M96)</f>
        <v>0</v>
      </c>
      <c r="N109" s="180">
        <f>SUM($F87:N88,$F$95:N96)</f>
        <v>0</v>
      </c>
      <c r="O109" s="180">
        <f>SUM($F87:O88,$F$95:O96)</f>
        <v>0</v>
      </c>
      <c r="P109" s="180">
        <f>SUM($F87:P88,$F$95:P96)</f>
        <v>3372.5540918550319</v>
      </c>
      <c r="Q109" s="180">
        <f>SUM($F87:Q88,$F$95:Q96)</f>
        <v>4003.759471210064</v>
      </c>
      <c r="R109" s="180">
        <f>SUM($F87:R88,$F$95:R96)</f>
        <v>4909.3630225050965</v>
      </c>
      <c r="S109" s="180">
        <f>SUM($F87:S88,$F$95:S96)</f>
        <v>6417.9982667558879</v>
      </c>
      <c r="T109" s="180">
        <f>SUM($F87:T88,$F$95:T96)</f>
        <v>9769.9209674260583</v>
      </c>
      <c r="U109" s="180">
        <f>SUM($F87:U88,$F$95:U96)</f>
        <v>11798.176740451159</v>
      </c>
      <c r="V109" s="180">
        <f>SUM($F87:V88,$F$95:V96)</f>
        <v>13835.663179662924</v>
      </c>
      <c r="W109" s="180">
        <f>SUM($F87:W88,$F$95:W96)</f>
        <v>15302.051689402357</v>
      </c>
      <c r="X109" s="180">
        <f>SUM($F87:X88,$F$95:X96)</f>
        <v>16778.291445882493</v>
      </c>
      <c r="Y109" s="180">
        <f>SUM($F87:Y88,$F$95:Y96)</f>
        <v>18258.428850111646</v>
      </c>
      <c r="Z109" s="180">
        <f>SUM($F87:Z88,$F$95:Z96)</f>
        <v>19747.269992394802</v>
      </c>
      <c r="AA109" s="180">
        <f>SUM($F87:AA88,$F$95:AA96)</f>
        <v>21240.372918617137</v>
      </c>
      <c r="AB109" s="180">
        <f>SUM($F87:AB88,$F$95:AB96)</f>
        <v>22747.303008871706</v>
      </c>
      <c r="AC109" s="180">
        <f>SUM($F87:AC88,$F$95:AC96)</f>
        <v>24444.664305117607</v>
      </c>
      <c r="AD109" s="180">
        <f>SUM($F87:AD88,$F$95:AD96)</f>
        <v>26033.494857837009</v>
      </c>
      <c r="AE109" s="180">
        <f>SUM($F87:AE88,$F$95:AE96)</f>
        <v>27595.686241859286</v>
      </c>
      <c r="AF109" s="180">
        <f>SUM($F87:AF88,$F$95:AF96)</f>
        <v>3854.7032456282686</v>
      </c>
      <c r="AG109" s="180">
        <f>SUM($F87:AG88,$F$95:AG96)</f>
        <v>940.98508575606184</v>
      </c>
      <c r="AH109" s="180">
        <f>SUM($F87:AH88,$F$95:AH96)</f>
        <v>0</v>
      </c>
      <c r="AI109" s="180">
        <f>SUM($F87:AI88,$F$95:AI96)</f>
        <v>0</v>
      </c>
      <c r="AJ109" s="180">
        <f>SUM($F87:AJ88,$F$95:AJ96)</f>
        <v>0</v>
      </c>
      <c r="AK109" s="180">
        <f>SUM($F87:AK88,$F$95:AK96)</f>
        <v>0</v>
      </c>
      <c r="AL109" s="180">
        <f>SUM($F87:AL88,$F$95:AL96)</f>
        <v>0</v>
      </c>
      <c r="AM109" s="180">
        <f>SUM($F87:AM88,$F$95:AM96)</f>
        <v>0</v>
      </c>
      <c r="AN109" s="180">
        <f>SUM($F87:AN88,$F$95:AN96)</f>
        <v>0</v>
      </c>
      <c r="AO109" s="180">
        <f>SUM($F87:AO88,$F$95:AO96)</f>
        <v>0</v>
      </c>
      <c r="AP109" s="180">
        <f>SUM($F87:AP88,$F$95:AP96)</f>
        <v>0</v>
      </c>
      <c r="AQ109" s="180">
        <f>SUM($F87:AQ88,$F$95:AQ96)</f>
        <v>0</v>
      </c>
      <c r="AR109" s="180">
        <f>SUM($F87:AR88,$F$95:AR96)</f>
        <v>0</v>
      </c>
      <c r="AS109" s="180">
        <f>SUM($F87:AS88,$F$95:AS96)</f>
        <v>0</v>
      </c>
      <c r="AT109" s="180">
        <f>SUM($F87:AT88,$F$95:AT96)</f>
        <v>0</v>
      </c>
      <c r="AU109" s="180">
        <f>SUM($F87:AU88,$F$95:AU96)</f>
        <v>0</v>
      </c>
      <c r="AV109" s="180">
        <f>SUM($F87:AV88,$F$95:AV96)</f>
        <v>0</v>
      </c>
      <c r="AW109" s="180">
        <f>SUM($F87:AW88,$F$95:AW96)</f>
        <v>0</v>
      </c>
      <c r="AX109" s="180">
        <f>SUM($F87:AX88,$F$95:AX96)</f>
        <v>0</v>
      </c>
      <c r="AY109" s="180">
        <f>SUM($F87:AY88,$F$95:AY96)</f>
        <v>0</v>
      </c>
      <c r="AZ109" s="180">
        <f>SUM($F87:AZ88,$F$95:AZ96)</f>
        <v>0</v>
      </c>
      <c r="BA109" s="180">
        <f>SUM($F87:BA88,$F$95:BA96)</f>
        <v>0</v>
      </c>
      <c r="BB109" s="180">
        <f>SUM($F87:BB88,$F$95:BB96)</f>
        <v>0</v>
      </c>
      <c r="BC109" s="180">
        <f>SUM($F87:BC88,$F$95:BC96)</f>
        <v>0</v>
      </c>
      <c r="BD109" s="180">
        <f>SUM($F87:BD88,$F$95:BD96)</f>
        <v>0</v>
      </c>
      <c r="BE109" s="180">
        <f>SUM($F87:BE88,$F$95:BE96)</f>
        <v>0</v>
      </c>
      <c r="BF109" s="180">
        <f>SUM($F87:BF88,$F$95:BF96)</f>
        <v>0</v>
      </c>
      <c r="BG109" s="180">
        <f>SUM($F87:BG88,$F$95:BG96)</f>
        <v>0</v>
      </c>
      <c r="BH109" s="180">
        <f>SUM($F87:BH88,$F$95:BH96)</f>
        <v>0</v>
      </c>
      <c r="BI109" s="180">
        <f>SUM($F87:BI88,$F$95:BI96)</f>
        <v>0</v>
      </c>
      <c r="BJ109" s="180">
        <f>SUM($F87:BJ88,$F$95:BJ96)</f>
        <v>0</v>
      </c>
      <c r="BK109" s="180">
        <f>SUM($F87:BK88,$F$95:BK96)</f>
        <v>0</v>
      </c>
      <c r="BL109" s="180">
        <f>SUM($F87:BL88,$F$95:BL96)</f>
        <v>0</v>
      </c>
      <c r="BM109" s="180">
        <f>SUM($F87:BM88,$F$95:BM96)</f>
        <v>0</v>
      </c>
    </row>
    <row r="110" spans="1:65">
      <c r="E110" s="148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  <c r="AE110" s="149"/>
      <c r="AF110" s="149"/>
      <c r="AG110" s="149"/>
      <c r="AH110" s="149"/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  <c r="BI110" s="149"/>
      <c r="BJ110" s="149"/>
      <c r="BK110" s="149"/>
      <c r="BL110" s="149"/>
      <c r="BM110" s="149"/>
    </row>
    <row r="111" spans="1:65">
      <c r="B111" s="181" t="s">
        <v>60</v>
      </c>
      <c r="C111" s="181"/>
      <c r="D111" s="175"/>
      <c r="E111" s="179">
        <f>SUM(F111:BM111)</f>
        <v>-2244.3118251685719</v>
      </c>
      <c r="F111" s="180">
        <f>SUM(F112,F127)</f>
        <v>0</v>
      </c>
      <c r="G111" s="180">
        <f t="shared" ref="G111:AS111" si="58">SUM(G112,G127)</f>
        <v>0</v>
      </c>
      <c r="H111" s="180">
        <f t="shared" si="58"/>
        <v>0</v>
      </c>
      <c r="I111" s="180">
        <f t="shared" si="58"/>
        <v>0</v>
      </c>
      <c r="J111" s="180">
        <f t="shared" si="58"/>
        <v>0</v>
      </c>
      <c r="K111" s="180">
        <f t="shared" si="58"/>
        <v>0</v>
      </c>
      <c r="L111" s="180">
        <f t="shared" si="58"/>
        <v>0</v>
      </c>
      <c r="M111" s="180">
        <f t="shared" si="58"/>
        <v>0</v>
      </c>
      <c r="N111" s="180">
        <f t="shared" si="58"/>
        <v>0</v>
      </c>
      <c r="O111" s="180">
        <f t="shared" si="58"/>
        <v>0</v>
      </c>
      <c r="P111" s="180">
        <f t="shared" si="58"/>
        <v>0</v>
      </c>
      <c r="Q111" s="180">
        <f t="shared" si="58"/>
        <v>0</v>
      </c>
      <c r="R111" s="180">
        <f t="shared" si="58"/>
        <v>0</v>
      </c>
      <c r="S111" s="180">
        <f t="shared" si="58"/>
        <v>0</v>
      </c>
      <c r="T111" s="180">
        <f t="shared" si="58"/>
        <v>0</v>
      </c>
      <c r="U111" s="180">
        <f t="shared" si="58"/>
        <v>0</v>
      </c>
      <c r="V111" s="180">
        <f t="shared" si="58"/>
        <v>0</v>
      </c>
      <c r="W111" s="180">
        <f t="shared" si="58"/>
        <v>0</v>
      </c>
      <c r="X111" s="180">
        <f t="shared" si="58"/>
        <v>0</v>
      </c>
      <c r="Y111" s="180">
        <f t="shared" si="58"/>
        <v>0</v>
      </c>
      <c r="Z111" s="180">
        <f t="shared" si="58"/>
        <v>0</v>
      </c>
      <c r="AA111" s="180">
        <f t="shared" si="58"/>
        <v>0</v>
      </c>
      <c r="AB111" s="180">
        <f t="shared" si="58"/>
        <v>0</v>
      </c>
      <c r="AC111" s="180">
        <f t="shared" si="58"/>
        <v>0</v>
      </c>
      <c r="AD111" s="180">
        <f t="shared" si="58"/>
        <v>0</v>
      </c>
      <c r="AE111" s="180">
        <f t="shared" si="58"/>
        <v>0</v>
      </c>
      <c r="AF111" s="180">
        <f t="shared" si="58"/>
        <v>-307.27129862156744</v>
      </c>
      <c r="AG111" s="180">
        <f t="shared" si="58"/>
        <v>-311.3168559715113</v>
      </c>
      <c r="AH111" s="180">
        <f t="shared" si="58"/>
        <v>-446.3391008878508</v>
      </c>
      <c r="AI111" s="180">
        <f t="shared" si="58"/>
        <v>-332.2582900680697</v>
      </c>
      <c r="AJ111" s="180">
        <f t="shared" si="58"/>
        <v>-220.80456464883468</v>
      </c>
      <c r="AK111" s="180">
        <f t="shared" si="58"/>
        <v>-224.15115172305812</v>
      </c>
      <c r="AL111" s="180">
        <f t="shared" si="58"/>
        <v>-226.58608982343279</v>
      </c>
      <c r="AM111" s="180">
        <f t="shared" si="58"/>
        <v>-175.58447342424688</v>
      </c>
      <c r="AN111" s="180">
        <f t="shared" si="58"/>
        <v>0</v>
      </c>
      <c r="AO111" s="180">
        <f t="shared" si="58"/>
        <v>0</v>
      </c>
      <c r="AP111" s="180">
        <f t="shared" si="58"/>
        <v>0</v>
      </c>
      <c r="AQ111" s="180">
        <f t="shared" si="58"/>
        <v>0</v>
      </c>
      <c r="AR111" s="180">
        <f t="shared" si="58"/>
        <v>0</v>
      </c>
      <c r="AS111" s="180">
        <f t="shared" si="58"/>
        <v>0</v>
      </c>
      <c r="AT111" s="180">
        <f t="shared" ref="AT111:BM111" si="59">SUM(AT112,AT127)</f>
        <v>0</v>
      </c>
      <c r="AU111" s="180">
        <f t="shared" si="59"/>
        <v>0</v>
      </c>
      <c r="AV111" s="180">
        <f t="shared" si="59"/>
        <v>0</v>
      </c>
      <c r="AW111" s="180">
        <f t="shared" si="59"/>
        <v>0</v>
      </c>
      <c r="AX111" s="180">
        <f t="shared" si="59"/>
        <v>0</v>
      </c>
      <c r="AY111" s="180">
        <f t="shared" si="59"/>
        <v>0</v>
      </c>
      <c r="AZ111" s="180">
        <f t="shared" si="59"/>
        <v>0</v>
      </c>
      <c r="BA111" s="180">
        <f t="shared" si="59"/>
        <v>0</v>
      </c>
      <c r="BB111" s="180">
        <f t="shared" si="59"/>
        <v>0</v>
      </c>
      <c r="BC111" s="180">
        <f t="shared" si="59"/>
        <v>0</v>
      </c>
      <c r="BD111" s="180">
        <f t="shared" si="59"/>
        <v>0</v>
      </c>
      <c r="BE111" s="180">
        <f t="shared" si="59"/>
        <v>0</v>
      </c>
      <c r="BF111" s="180">
        <f t="shared" si="59"/>
        <v>0</v>
      </c>
      <c r="BG111" s="180">
        <f t="shared" si="59"/>
        <v>0</v>
      </c>
      <c r="BH111" s="180">
        <f t="shared" si="59"/>
        <v>0</v>
      </c>
      <c r="BI111" s="180">
        <f t="shared" si="59"/>
        <v>0</v>
      </c>
      <c r="BJ111" s="180">
        <f t="shared" si="59"/>
        <v>0</v>
      </c>
      <c r="BK111" s="180">
        <f t="shared" si="59"/>
        <v>0</v>
      </c>
      <c r="BL111" s="180">
        <f t="shared" si="59"/>
        <v>0</v>
      </c>
      <c r="BM111" s="180">
        <f t="shared" si="59"/>
        <v>0</v>
      </c>
    </row>
    <row r="112" spans="1:65">
      <c r="B112" s="145" t="s">
        <v>21</v>
      </c>
      <c r="C112" s="27"/>
      <c r="D112" s="150"/>
      <c r="E112" s="141">
        <f>SUM(F112:BM112)</f>
        <v>-258.67494073758922</v>
      </c>
      <c r="F112" s="202"/>
      <c r="G112" s="202">
        <f>F113+F120</f>
        <v>0</v>
      </c>
      <c r="H112" s="202">
        <f t="shared" ref="H112:AS112" si="60">G113+G120</f>
        <v>0</v>
      </c>
      <c r="I112" s="202">
        <f t="shared" si="60"/>
        <v>0</v>
      </c>
      <c r="J112" s="202">
        <f t="shared" si="60"/>
        <v>0</v>
      </c>
      <c r="K112" s="202">
        <f t="shared" si="60"/>
        <v>0</v>
      </c>
      <c r="L112" s="202">
        <f t="shared" si="60"/>
        <v>0</v>
      </c>
      <c r="M112" s="202">
        <f t="shared" si="60"/>
        <v>0</v>
      </c>
      <c r="N112" s="142">
        <f t="shared" si="60"/>
        <v>0</v>
      </c>
      <c r="O112" s="142">
        <f t="shared" si="60"/>
        <v>0</v>
      </c>
      <c r="P112" s="142">
        <f t="shared" si="60"/>
        <v>0</v>
      </c>
      <c r="Q112" s="142">
        <f t="shared" si="60"/>
        <v>0</v>
      </c>
      <c r="R112" s="142">
        <f t="shared" si="60"/>
        <v>0</v>
      </c>
      <c r="S112" s="142">
        <f t="shared" si="60"/>
        <v>0</v>
      </c>
      <c r="T112" s="142">
        <f t="shared" si="60"/>
        <v>0</v>
      </c>
      <c r="U112" s="142">
        <f t="shared" si="60"/>
        <v>0</v>
      </c>
      <c r="V112" s="142">
        <f t="shared" si="60"/>
        <v>0</v>
      </c>
      <c r="W112" s="142">
        <f t="shared" si="60"/>
        <v>0</v>
      </c>
      <c r="X112" s="142">
        <f t="shared" si="60"/>
        <v>0</v>
      </c>
      <c r="Y112" s="142">
        <f t="shared" si="60"/>
        <v>0</v>
      </c>
      <c r="Z112" s="142">
        <f t="shared" si="60"/>
        <v>0</v>
      </c>
      <c r="AA112" s="142">
        <f t="shared" si="60"/>
        <v>0</v>
      </c>
      <c r="AB112" s="142">
        <f t="shared" si="60"/>
        <v>0</v>
      </c>
      <c r="AC112" s="142">
        <f t="shared" si="60"/>
        <v>0</v>
      </c>
      <c r="AD112" s="142">
        <f t="shared" si="60"/>
        <v>0</v>
      </c>
      <c r="AE112" s="142">
        <f t="shared" si="60"/>
        <v>0</v>
      </c>
      <c r="AF112" s="142">
        <f t="shared" si="60"/>
        <v>0</v>
      </c>
      <c r="AG112" s="142">
        <f t="shared" si="60"/>
        <v>0</v>
      </c>
      <c r="AH112" s="142">
        <f t="shared" si="60"/>
        <v>-129.33747036879461</v>
      </c>
      <c r="AI112" s="142">
        <f t="shared" si="60"/>
        <v>-129.33747036879461</v>
      </c>
      <c r="AJ112" s="142">
        <f t="shared" si="60"/>
        <v>0</v>
      </c>
      <c r="AK112" s="142">
        <f t="shared" si="60"/>
        <v>0</v>
      </c>
      <c r="AL112" s="142">
        <f t="shared" si="60"/>
        <v>0</v>
      </c>
      <c r="AM112" s="142">
        <f t="shared" si="60"/>
        <v>0</v>
      </c>
      <c r="AN112" s="142">
        <f t="shared" si="60"/>
        <v>0</v>
      </c>
      <c r="AO112" s="142">
        <f t="shared" si="60"/>
        <v>0</v>
      </c>
      <c r="AP112" s="142">
        <f t="shared" si="60"/>
        <v>0</v>
      </c>
      <c r="AQ112" s="142">
        <f t="shared" si="60"/>
        <v>0</v>
      </c>
      <c r="AR112" s="142">
        <f t="shared" si="60"/>
        <v>0</v>
      </c>
      <c r="AS112" s="142">
        <f t="shared" si="60"/>
        <v>0</v>
      </c>
      <c r="AT112" s="142">
        <f t="shared" ref="AT112:BM112" si="61">AS113+AS120</f>
        <v>0</v>
      </c>
      <c r="AU112" s="142">
        <f t="shared" si="61"/>
        <v>0</v>
      </c>
      <c r="AV112" s="142">
        <f t="shared" si="61"/>
        <v>0</v>
      </c>
      <c r="AW112" s="142">
        <f t="shared" si="61"/>
        <v>0</v>
      </c>
      <c r="AX112" s="142">
        <f t="shared" si="61"/>
        <v>0</v>
      </c>
      <c r="AY112" s="142">
        <f t="shared" si="61"/>
        <v>0</v>
      </c>
      <c r="AZ112" s="142">
        <f t="shared" si="61"/>
        <v>0</v>
      </c>
      <c r="BA112" s="142">
        <f t="shared" si="61"/>
        <v>0</v>
      </c>
      <c r="BB112" s="142">
        <f t="shared" si="61"/>
        <v>0</v>
      </c>
      <c r="BC112" s="142">
        <f t="shared" si="61"/>
        <v>0</v>
      </c>
      <c r="BD112" s="142">
        <f t="shared" si="61"/>
        <v>0</v>
      </c>
      <c r="BE112" s="142">
        <f t="shared" si="61"/>
        <v>0</v>
      </c>
      <c r="BF112" s="142">
        <f t="shared" si="61"/>
        <v>0</v>
      </c>
      <c r="BG112" s="142">
        <f t="shared" si="61"/>
        <v>0</v>
      </c>
      <c r="BH112" s="142">
        <f t="shared" si="61"/>
        <v>0</v>
      </c>
      <c r="BI112" s="142">
        <f t="shared" si="61"/>
        <v>0</v>
      </c>
      <c r="BJ112" s="142">
        <f t="shared" si="61"/>
        <v>0</v>
      </c>
      <c r="BK112" s="142">
        <f t="shared" si="61"/>
        <v>0</v>
      </c>
      <c r="BL112" s="142">
        <f t="shared" si="61"/>
        <v>0</v>
      </c>
      <c r="BM112" s="142">
        <f t="shared" si="61"/>
        <v>0</v>
      </c>
    </row>
    <row r="113" spans="1:65" s="151" customFormat="1" hidden="1" outlineLevel="1">
      <c r="B113" s="152"/>
      <c r="C113" s="152" t="s">
        <v>73</v>
      </c>
      <c r="D113" s="153"/>
      <c r="E113" s="154">
        <f t="shared" ref="E113:E163" si="62">SUM(F113:BM113)</f>
        <v>-589.6078500000001</v>
      </c>
      <c r="F113" s="155">
        <f>SUM(F114:F119)</f>
        <v>0</v>
      </c>
      <c r="G113" s="155">
        <f t="shared" ref="G113:BM113" si="63">SUM(G114:G119)</f>
        <v>0</v>
      </c>
      <c r="H113" s="155">
        <f t="shared" si="63"/>
        <v>0</v>
      </c>
      <c r="I113" s="155">
        <f t="shared" si="63"/>
        <v>0</v>
      </c>
      <c r="J113" s="155">
        <f t="shared" si="63"/>
        <v>0</v>
      </c>
      <c r="K113" s="155">
        <f t="shared" si="63"/>
        <v>0</v>
      </c>
      <c r="L113" s="155">
        <f t="shared" si="63"/>
        <v>0</v>
      </c>
      <c r="M113" s="155">
        <f t="shared" si="63"/>
        <v>0</v>
      </c>
      <c r="N113" s="155">
        <f t="shared" si="63"/>
        <v>0</v>
      </c>
      <c r="O113" s="155">
        <f t="shared" si="63"/>
        <v>0</v>
      </c>
      <c r="P113" s="155">
        <f t="shared" si="63"/>
        <v>0</v>
      </c>
      <c r="Q113" s="155">
        <f t="shared" si="63"/>
        <v>0</v>
      </c>
      <c r="R113" s="155">
        <f t="shared" si="63"/>
        <v>0</v>
      </c>
      <c r="S113" s="155">
        <f t="shared" si="63"/>
        <v>0</v>
      </c>
      <c r="T113" s="155">
        <f t="shared" si="63"/>
        <v>0</v>
      </c>
      <c r="U113" s="155">
        <f t="shared" si="63"/>
        <v>0</v>
      </c>
      <c r="V113" s="155">
        <f t="shared" si="63"/>
        <v>0</v>
      </c>
      <c r="W113" s="155">
        <f t="shared" si="63"/>
        <v>0</v>
      </c>
      <c r="X113" s="155">
        <f t="shared" si="63"/>
        <v>0</v>
      </c>
      <c r="Y113" s="155">
        <f t="shared" si="63"/>
        <v>0</v>
      </c>
      <c r="Z113" s="155">
        <f t="shared" si="63"/>
        <v>0</v>
      </c>
      <c r="AA113" s="155">
        <f t="shared" si="63"/>
        <v>0</v>
      </c>
      <c r="AB113" s="155">
        <f t="shared" si="63"/>
        <v>0</v>
      </c>
      <c r="AC113" s="155">
        <f t="shared" si="63"/>
        <v>0</v>
      </c>
      <c r="AD113" s="155">
        <f t="shared" si="63"/>
        <v>0</v>
      </c>
      <c r="AE113" s="155">
        <f t="shared" si="63"/>
        <v>0</v>
      </c>
      <c r="AF113" s="155">
        <f t="shared" si="63"/>
        <v>-22.5</v>
      </c>
      <c r="AG113" s="155">
        <f t="shared" si="63"/>
        <v>-227.67892500000005</v>
      </c>
      <c r="AH113" s="155">
        <f t="shared" si="63"/>
        <v>-227.67892500000005</v>
      </c>
      <c r="AI113" s="155">
        <f t="shared" si="63"/>
        <v>-22.5</v>
      </c>
      <c r="AJ113" s="155">
        <f t="shared" si="63"/>
        <v>-22.5</v>
      </c>
      <c r="AK113" s="155">
        <f t="shared" si="63"/>
        <v>-22.5</v>
      </c>
      <c r="AL113" s="155">
        <f t="shared" si="63"/>
        <v>-22.5</v>
      </c>
      <c r="AM113" s="155">
        <f t="shared" si="63"/>
        <v>-21.75</v>
      </c>
      <c r="AN113" s="155">
        <f t="shared" si="63"/>
        <v>0</v>
      </c>
      <c r="AO113" s="155">
        <f t="shared" si="63"/>
        <v>0</v>
      </c>
      <c r="AP113" s="155">
        <f t="shared" si="63"/>
        <v>0</v>
      </c>
      <c r="AQ113" s="155">
        <f t="shared" si="63"/>
        <v>0</v>
      </c>
      <c r="AR113" s="155">
        <f t="shared" si="63"/>
        <v>0</v>
      </c>
      <c r="AS113" s="155">
        <f t="shared" si="63"/>
        <v>0</v>
      </c>
      <c r="AT113" s="155">
        <f t="shared" si="63"/>
        <v>0</v>
      </c>
      <c r="AU113" s="155">
        <f t="shared" si="63"/>
        <v>0</v>
      </c>
      <c r="AV113" s="155">
        <f t="shared" si="63"/>
        <v>0</v>
      </c>
      <c r="AW113" s="155">
        <f t="shared" si="63"/>
        <v>0</v>
      </c>
      <c r="AX113" s="155">
        <f t="shared" si="63"/>
        <v>0</v>
      </c>
      <c r="AY113" s="155">
        <f t="shared" si="63"/>
        <v>0</v>
      </c>
      <c r="AZ113" s="155">
        <f t="shared" si="63"/>
        <v>0</v>
      </c>
      <c r="BA113" s="155">
        <f t="shared" si="63"/>
        <v>0</v>
      </c>
      <c r="BB113" s="155">
        <f t="shared" si="63"/>
        <v>0</v>
      </c>
      <c r="BC113" s="155">
        <f t="shared" si="63"/>
        <v>0</v>
      </c>
      <c r="BD113" s="155">
        <f t="shared" si="63"/>
        <v>0</v>
      </c>
      <c r="BE113" s="155">
        <f t="shared" si="63"/>
        <v>0</v>
      </c>
      <c r="BF113" s="155">
        <f t="shared" si="63"/>
        <v>0</v>
      </c>
      <c r="BG113" s="155">
        <f t="shared" si="63"/>
        <v>0</v>
      </c>
      <c r="BH113" s="155">
        <f t="shared" si="63"/>
        <v>0</v>
      </c>
      <c r="BI113" s="155">
        <f t="shared" si="63"/>
        <v>0</v>
      </c>
      <c r="BJ113" s="155">
        <f t="shared" si="63"/>
        <v>0</v>
      </c>
      <c r="BK113" s="155">
        <f t="shared" si="63"/>
        <v>0</v>
      </c>
      <c r="BL113" s="155">
        <f t="shared" si="63"/>
        <v>0</v>
      </c>
      <c r="BM113" s="155">
        <f t="shared" si="63"/>
        <v>0</v>
      </c>
    </row>
    <row r="114" spans="1:65" s="134" customFormat="1" hidden="1" outlineLevel="1">
      <c r="A114" s="156">
        <f>-E114</f>
        <v>0</v>
      </c>
      <c r="B114" s="157"/>
      <c r="C114" s="157"/>
      <c r="D114" s="158" t="str">
        <f>'DB1'!B9</f>
        <v>АПАРТАМЕНТЫ</v>
      </c>
      <c r="E114" s="154">
        <f t="shared" si="62"/>
        <v>0</v>
      </c>
      <c r="F114" s="159">
        <f>-F27*(1-F$174)/(1+'TS1'!$J$84)*'TS1'!$J$84</f>
        <v>0</v>
      </c>
      <c r="G114" s="159">
        <f>-G27*(1-G$174)/(1+'TS1'!$J$84)*'TS1'!$J$84</f>
        <v>0</v>
      </c>
      <c r="H114" s="159">
        <f>-H27*(1-H$174)/(1+'TS1'!$J$84)*'TS1'!$J$84</f>
        <v>0</v>
      </c>
      <c r="I114" s="159">
        <f>-I27*(1-I$174)/(1+'TS1'!$J$84)*'TS1'!$J$84</f>
        <v>0</v>
      </c>
      <c r="J114" s="159">
        <f>-J27*(1-J$174)/(1+'TS1'!$J$84)*'TS1'!$J$84</f>
        <v>0</v>
      </c>
      <c r="K114" s="159">
        <f>-K27*(1-K$174)/(1+'TS1'!$J$84)*'TS1'!$J$84</f>
        <v>0</v>
      </c>
      <c r="L114" s="159">
        <f>-L27*(1-L$174)/(1+'TS1'!$J$84)*'TS1'!$J$84</f>
        <v>0</v>
      </c>
      <c r="M114" s="159">
        <f>-M27*(1-M$174)/(1+'TS1'!$J$84)*'TS1'!$J$84</f>
        <v>0</v>
      </c>
      <c r="N114" s="159">
        <f>-N27*(1-N$174)/(1+'TS1'!$J$84)*'TS1'!$J$84</f>
        <v>0</v>
      </c>
      <c r="O114" s="159">
        <f>-O27*(1-O$174)/(1+'TS1'!$J$84)*'TS1'!$J$84</f>
        <v>0</v>
      </c>
      <c r="P114" s="159">
        <f>-P27*(1-P$174)/(1+'TS1'!$J$84)*'TS1'!$J$84</f>
        <v>0</v>
      </c>
      <c r="Q114" s="159">
        <f>-Q27*(1-Q$174)/(1+'TS1'!$J$84)*'TS1'!$J$84</f>
        <v>0</v>
      </c>
      <c r="R114" s="159">
        <f>-R27*(1-R$174)/(1+'TS1'!$J$84)*'TS1'!$J$84</f>
        <v>0</v>
      </c>
      <c r="S114" s="159">
        <f>-S27*(1-S$174)/(1+'TS1'!$J$84)*'TS1'!$J$84</f>
        <v>0</v>
      </c>
      <c r="T114" s="159">
        <f>-T27*(1-T$174)/(1+'TS1'!$J$84)*'TS1'!$J$84</f>
        <v>0</v>
      </c>
      <c r="U114" s="159">
        <f>-U27*(1-U$174)/(1+'TS1'!$J$84)*'TS1'!$J$84</f>
        <v>0</v>
      </c>
      <c r="V114" s="159">
        <f>-V27*(1-V$174)/(1+'TS1'!$J$84)*'TS1'!$J$84</f>
        <v>0</v>
      </c>
      <c r="W114" s="159">
        <f>-W27*(1-W$174)/(1+'TS1'!$J$84)*'TS1'!$J$84</f>
        <v>0</v>
      </c>
      <c r="X114" s="159">
        <f>-X27*(1-X$174)/(1+'TS1'!$J$84)*'TS1'!$J$84</f>
        <v>0</v>
      </c>
      <c r="Y114" s="159">
        <f>-Y27*(1-Y$174)/(1+'TS1'!$J$84)*'TS1'!$J$84</f>
        <v>0</v>
      </c>
      <c r="Z114" s="159">
        <f>-Z27*(1-Z$174)/(1+'TS1'!$J$84)*'TS1'!$J$84</f>
        <v>0</v>
      </c>
      <c r="AA114" s="159">
        <f>-AA27*(1-AA$174)/(1+'TS1'!$J$84)*'TS1'!$J$84</f>
        <v>0</v>
      </c>
      <c r="AB114" s="159">
        <f>-AB27*(1-AB$174)/(1+'TS1'!$J$84)*'TS1'!$J$84</f>
        <v>0</v>
      </c>
      <c r="AC114" s="159">
        <f>-AC27*(1-AC$174)/(1+'TS1'!$J$84)*'TS1'!$J$84</f>
        <v>0</v>
      </c>
      <c r="AD114" s="159">
        <f>-AD27*(1-AD$174)/(1+'TS1'!$J$84)*'TS1'!$J$84</f>
        <v>0</v>
      </c>
      <c r="AE114" s="159">
        <f>-AE27*(1-AE$174)/(1+'TS1'!$J$84)*'TS1'!$J$84</f>
        <v>0</v>
      </c>
      <c r="AF114" s="159">
        <f>-AF27*(1-AF$174)/(1+'TS1'!$J$84)*'TS1'!$J$84</f>
        <v>0</v>
      </c>
      <c r="AG114" s="159">
        <f>-AG27*(1-AG$174)/(1+'TS1'!$J$84)*'TS1'!$J$84</f>
        <v>0</v>
      </c>
      <c r="AH114" s="159">
        <f>-AH27*(1-AH$174)/(1+'TS1'!$J$84)*'TS1'!$J$84</f>
        <v>0</v>
      </c>
      <c r="AI114" s="159">
        <f>-AI27*(1-AI$174)/(1+'TS1'!$J$84)*'TS1'!$J$84</f>
        <v>0</v>
      </c>
      <c r="AJ114" s="159">
        <f>-AJ27*(1-AJ$174)/(1+'TS1'!$J$84)*'TS1'!$J$84</f>
        <v>0</v>
      </c>
      <c r="AK114" s="159">
        <f>-AK27*(1-AK$174)/(1+'TS1'!$J$84)*'TS1'!$J$84</f>
        <v>0</v>
      </c>
      <c r="AL114" s="159">
        <f>-AL27*(1-AL$174)/(1+'TS1'!$J$84)*'TS1'!$J$84</f>
        <v>0</v>
      </c>
      <c r="AM114" s="159">
        <f>-AM27*(1-AM$174)/(1+'TS1'!$J$84)*'TS1'!$J$84</f>
        <v>0</v>
      </c>
      <c r="AN114" s="159">
        <f>-AN27*(1-AN$174)/(1+'TS1'!$J$84)*'TS1'!$J$84</f>
        <v>0</v>
      </c>
      <c r="AO114" s="159">
        <f>-AO27*(1-AO$174)/(1+'TS1'!$J$84)*'TS1'!$J$84</f>
        <v>0</v>
      </c>
      <c r="AP114" s="159">
        <f>-AP27*(1-AP$174)/(1+'TS1'!$J$84)*'TS1'!$J$84</f>
        <v>0</v>
      </c>
      <c r="AQ114" s="159">
        <f>-AQ27*(1-AQ$174)/(1+'TS1'!$J$84)*'TS1'!$J$84</f>
        <v>0</v>
      </c>
      <c r="AR114" s="159">
        <f>-AR27*(1-AR$174)/(1+'TS1'!$J$84)*'TS1'!$J$84</f>
        <v>0</v>
      </c>
      <c r="AS114" s="159">
        <f>-AS27*(1-AS$174)/(1+'TS1'!$J$84)*'TS1'!$J$84</f>
        <v>0</v>
      </c>
      <c r="AT114" s="159">
        <f>-AT27*(1-AT$174)/(1+'TS1'!$J$84)*'TS1'!$J$84</f>
        <v>0</v>
      </c>
      <c r="AU114" s="159">
        <f>-AU27*(1-AU$174)/(1+'TS1'!$J$84)*'TS1'!$J$84</f>
        <v>0</v>
      </c>
      <c r="AV114" s="159">
        <f>-AV27*(1-AV$174)/(1+'TS1'!$J$84)*'TS1'!$J$84</f>
        <v>0</v>
      </c>
      <c r="AW114" s="159">
        <f>-AW27*(1-AW$174)/(1+'TS1'!$J$84)*'TS1'!$J$84</f>
        <v>0</v>
      </c>
      <c r="AX114" s="159">
        <f>-AX27*(1-AX$174)/(1+'TS1'!$J$84)*'TS1'!$J$84</f>
        <v>0</v>
      </c>
      <c r="AY114" s="159">
        <f>-AY27*(1-AY$174)/(1+'TS1'!$J$84)*'TS1'!$J$84</f>
        <v>0</v>
      </c>
      <c r="AZ114" s="159">
        <f>-AZ27*(1-AZ$174)/(1+'TS1'!$J$84)*'TS1'!$J$84</f>
        <v>0</v>
      </c>
      <c r="BA114" s="159">
        <f>-BA27*(1-BA$174)/(1+'TS1'!$J$84)*'TS1'!$J$84</f>
        <v>0</v>
      </c>
      <c r="BB114" s="159">
        <f>-BB27*(1-BB$174)/(1+'TS1'!$J$84)*'TS1'!$J$84</f>
        <v>0</v>
      </c>
      <c r="BC114" s="159">
        <f>-BC27*(1-BC$174)/(1+'TS1'!$J$84)*'TS1'!$J$84</f>
        <v>0</v>
      </c>
      <c r="BD114" s="159">
        <f>-BD27*(1-BD$174)/(1+'TS1'!$J$84)*'TS1'!$J$84</f>
        <v>0</v>
      </c>
      <c r="BE114" s="159">
        <f>-BE27*(1-BE$174)/(1+'TS1'!$J$84)*'TS1'!$J$84</f>
        <v>0</v>
      </c>
      <c r="BF114" s="159">
        <f>-BF27*(1-BF$174)/(1+'TS1'!$J$84)*'TS1'!$J$84</f>
        <v>0</v>
      </c>
      <c r="BG114" s="159">
        <f>-BG27*(1-BG$174)/(1+'TS1'!$J$84)*'TS1'!$J$84</f>
        <v>0</v>
      </c>
      <c r="BH114" s="159">
        <f>-BH27*(1-BH$174)/(1+'TS1'!$J$84)*'TS1'!$J$84</f>
        <v>0</v>
      </c>
      <c r="BI114" s="159">
        <f>-BI27*(1-BI$174)/(1+'TS1'!$J$84)*'TS1'!$J$84</f>
        <v>0</v>
      </c>
      <c r="BJ114" s="159">
        <f>-BJ27*(1-BJ$174)/(1+'TS1'!$J$84)*'TS1'!$J$84</f>
        <v>0</v>
      </c>
      <c r="BK114" s="159">
        <f>-BK27*(1-BK$174)/(1+'TS1'!$J$84)*'TS1'!$J$84</f>
        <v>0</v>
      </c>
      <c r="BL114" s="159">
        <f>-BL27*(1-BL$174)/(1+'TS1'!$J$84)*'TS1'!$J$84</f>
        <v>0</v>
      </c>
      <c r="BM114" s="159">
        <f>-BM27*(1-BM$174)/(1+'TS1'!$J$84)*'TS1'!$J$84</f>
        <v>0</v>
      </c>
    </row>
    <row r="115" spans="1:65" s="134" customFormat="1" hidden="1" outlineLevel="1">
      <c r="A115" s="156">
        <f t="shared" ref="A115:A119" si="64">-E115</f>
        <v>0</v>
      </c>
      <c r="B115" s="157"/>
      <c r="C115" s="157"/>
      <c r="D115" s="158" t="str">
        <f>'DB1'!B10</f>
        <v>ОФИСЫ</v>
      </c>
      <c r="E115" s="154">
        <f t="shared" si="62"/>
        <v>0</v>
      </c>
      <c r="F115" s="159"/>
      <c r="G115" s="159">
        <f>-SUM($F$28:G28)*(1-G$174)/(1+'TS1'!$J$84)*'TS1'!$J$84-SUM($F$115:F115)</f>
        <v>0</v>
      </c>
      <c r="H115" s="159">
        <f>-SUM($F$28:H28)*(1-H$174)/(1+'TS1'!$J$84)*'TS1'!$J$84-SUM($F$115:G115)</f>
        <v>0</v>
      </c>
      <c r="I115" s="159">
        <f>-SUM($F$28:I28)*(1-I$174)/(1+'TS1'!$J$84)*'TS1'!$J$84-SUM($F$115:H115)</f>
        <v>0</v>
      </c>
      <c r="J115" s="159">
        <f>-SUM($F$28:J28)*(1-J$174)/(1+'TS1'!$J$84)*'TS1'!$J$84-SUM($F$115:I115)</f>
        <v>0</v>
      </c>
      <c r="K115" s="159">
        <f>-SUM($F$28:K28)*(1-K$174)/(1+'TS1'!$J$84)*'TS1'!$J$84-SUM($F$115:J115)</f>
        <v>0</v>
      </c>
      <c r="L115" s="159">
        <f>-SUM($F$28:L28)*(1-L$174)/(1+'TS1'!$J$84)*'TS1'!$J$84-SUM($F$115:K115)</f>
        <v>0</v>
      </c>
      <c r="M115" s="159">
        <f>-SUM($F$28:M28)*(1-M$174)/(1+'TS1'!$J$84)*'TS1'!$J$84-SUM($F$115:L115)</f>
        <v>0</v>
      </c>
      <c r="N115" s="159">
        <f>-SUM($F$28:N28)*(1-N$174)/(1+'TS1'!$J$84)*'TS1'!$J$84-SUM($F$115:M115)</f>
        <v>0</v>
      </c>
      <c r="O115" s="159">
        <f>-SUM($F$28:O28)*(1-O$174)/(1+'TS1'!$J$84)*'TS1'!$J$84-SUM($F$115:N115)</f>
        <v>0</v>
      </c>
      <c r="P115" s="159">
        <f>-SUM($F$28:P28)*(1-P$174)/(1+'TS1'!$J$84)*'TS1'!$J$84-SUM($F$115:O115)</f>
        <v>0</v>
      </c>
      <c r="Q115" s="159">
        <f>-SUM($F$28:Q28)*(1-Q$174)/(1+'TS1'!$J$84)*'TS1'!$J$84-SUM($F$115:P115)</f>
        <v>0</v>
      </c>
      <c r="R115" s="159">
        <f>-SUM($F$28:R28)*(1-R$174)/(1+'TS1'!$J$84)*'TS1'!$J$84-SUM($F$115:Q115)</f>
        <v>0</v>
      </c>
      <c r="S115" s="159">
        <f>-SUM($F$28:S28)*(1-S$174)/(1+'TS1'!$J$84)*'TS1'!$J$84-SUM($F$115:R115)</f>
        <v>0</v>
      </c>
      <c r="T115" s="159">
        <f>-SUM($F$28:T28)*(1-T$174)/(1+'TS1'!$J$84)*'TS1'!$J$84-SUM($F$115:S115)</f>
        <v>0</v>
      </c>
      <c r="U115" s="159">
        <f>-SUM($F$28:U28)*(1-U$174)/(1+'TS1'!$J$84)*'TS1'!$J$84-SUM($F$115:T115)</f>
        <v>0</v>
      </c>
      <c r="V115" s="159">
        <f>-SUM($F$28:V28)*(1-V$174)/(1+'TS1'!$J$84)*'TS1'!$J$84-SUM($F$115:U115)</f>
        <v>0</v>
      </c>
      <c r="W115" s="159">
        <f>-SUM($F$28:W28)*(1-W$174)/(1+'TS1'!$J$84)*'TS1'!$J$84-SUM($F$115:V115)</f>
        <v>0</v>
      </c>
      <c r="X115" s="159">
        <f>-SUM($F$28:X28)*(1-X$174)/(1+'TS1'!$J$84)*'TS1'!$J$84-SUM($F$115:W115)</f>
        <v>0</v>
      </c>
      <c r="Y115" s="159">
        <f>-SUM($F$28:Y28)*(1-Y$174)/(1+'TS1'!$J$84)*'TS1'!$J$84-SUM($F$115:X115)</f>
        <v>0</v>
      </c>
      <c r="Z115" s="159">
        <f>-SUM($F$28:Z28)*(1-Z$174)/(1+'TS1'!$J$84)*'TS1'!$J$84-SUM($F$115:Y115)</f>
        <v>0</v>
      </c>
      <c r="AA115" s="159">
        <f>-SUM($F$28:AA28)*(1-AA$174)/(1+'TS1'!$J$84)*'TS1'!$J$84-SUM($F$115:Z115)</f>
        <v>0</v>
      </c>
      <c r="AB115" s="159">
        <f>-SUM($F$28:AB28)*(1-AB$174)/(1+'TS1'!$J$84)*'TS1'!$J$84-SUM($F$115:AA115)</f>
        <v>0</v>
      </c>
      <c r="AC115" s="159">
        <f>-SUM($F$28:AC28)*(1-AC$174)/(1+'TS1'!$J$84)*'TS1'!$J$84-SUM($F$115:AB115)</f>
        <v>0</v>
      </c>
      <c r="AD115" s="159">
        <f>-SUM($F$28:AD28)*(1-AD$174)/(1+'TS1'!$J$84)*'TS1'!$J$84-SUM($F$115:AC115)</f>
        <v>0</v>
      </c>
      <c r="AE115" s="159">
        <f>-SUM($F$28:AE28)*(1-AE$174)/(1+'TS1'!$J$84)*'TS1'!$J$84-SUM($F$115:AD115)</f>
        <v>0</v>
      </c>
      <c r="AF115" s="159">
        <f>-SUM($F$28:AF28)*(1-AF$174)/(1+'TS1'!$J$84)*'TS1'!$J$84-SUM($F$115:AE115)</f>
        <v>0</v>
      </c>
      <c r="AG115" s="159">
        <f>-SUM($F$28:AG28)*(1-AG$174)/(1+'TS1'!$J$84)*'TS1'!$J$84-SUM($F$115:AF115)</f>
        <v>0</v>
      </c>
      <c r="AH115" s="159">
        <f>-SUM($F$28:AH28)*(1-AH$174)/(1+'TS1'!$J$84)*'TS1'!$J$84-SUM($F$115:AG115)</f>
        <v>0</v>
      </c>
      <c r="AI115" s="159">
        <f>-SUM($F$28:AI28)*(1-AI$174)/(1+'TS1'!$J$84)*'TS1'!$J$84-SUM($F$115:AH115)</f>
        <v>0</v>
      </c>
      <c r="AJ115" s="159">
        <f>-SUM($F$28:AJ28)*(1-AJ$174)/(1+'TS1'!$J$84)*'TS1'!$J$84-SUM($F$115:AI115)</f>
        <v>0</v>
      </c>
      <c r="AK115" s="159">
        <f>-SUM($F$28:AK28)*(1-AK$174)/(1+'TS1'!$J$84)*'TS1'!$J$84-SUM($F$115:AJ115)</f>
        <v>0</v>
      </c>
      <c r="AL115" s="159">
        <f>-SUM($F$28:AL28)*(1-AL$174)/(1+'TS1'!$J$84)*'TS1'!$J$84-SUM($F$115:AK115)</f>
        <v>0</v>
      </c>
      <c r="AM115" s="159">
        <f>-SUM($F$28:AM28)*(1-AM$174)/(1+'TS1'!$J$84)*'TS1'!$J$84-SUM($F$115:AL115)</f>
        <v>0</v>
      </c>
      <c r="AN115" s="159">
        <f>-SUM($F$28:AN28)*(1-AN$174)/(1+'TS1'!$J$84)*'TS1'!$J$84-SUM($F$115:AM115)</f>
        <v>0</v>
      </c>
      <c r="AO115" s="159">
        <f>-SUM($F$28:AO28)*(1-AO$174)/(1+'TS1'!$J$84)*'TS1'!$J$84-SUM($F$115:AN115)</f>
        <v>0</v>
      </c>
      <c r="AP115" s="159">
        <f>-SUM($F$28:AP28)*(1-AP$174)/(1+'TS1'!$J$84)*'TS1'!$J$84-SUM($F$115:AO115)</f>
        <v>0</v>
      </c>
      <c r="AQ115" s="159">
        <f>-SUM($F$28:AQ28)*(1-AQ$174)/(1+'TS1'!$J$84)*'TS1'!$J$84-SUM($F$115:AP115)</f>
        <v>0</v>
      </c>
      <c r="AR115" s="159">
        <f>-SUM($F$28:AR28)*(1-AR$174)/(1+'TS1'!$J$84)*'TS1'!$J$84-SUM($F$115:AQ115)</f>
        <v>0</v>
      </c>
      <c r="AS115" s="159">
        <f>-SUM($F$28:AS28)*(1-AS$174)/(1+'TS1'!$J$84)*'TS1'!$J$84-SUM($F$115:AR115)</f>
        <v>0</v>
      </c>
      <c r="AT115" s="159">
        <f>-SUM($F$28:AT28)*(1-AT$174)/(1+'TS1'!$J$84)*'TS1'!$J$84-SUM($F$115:AS115)</f>
        <v>0</v>
      </c>
      <c r="AU115" s="159">
        <f>-SUM($F$28:AU28)*(1-AU$174)/(1+'TS1'!$J$84)*'TS1'!$J$84-SUM($F$115:AT115)</f>
        <v>0</v>
      </c>
      <c r="AV115" s="159">
        <f>-SUM($F$28:AV28)*(1-AV$174)/(1+'TS1'!$J$84)*'TS1'!$J$84-SUM($F$115:AU115)</f>
        <v>0</v>
      </c>
      <c r="AW115" s="159">
        <f>-SUM($F$28:AW28)*(1-AW$174)/(1+'TS1'!$J$84)*'TS1'!$J$84-SUM($F$115:AV115)</f>
        <v>0</v>
      </c>
      <c r="AX115" s="159">
        <f>-SUM($F$28:AX28)*(1-AX$174)/(1+'TS1'!$J$84)*'TS1'!$J$84-SUM($F$115:AW115)</f>
        <v>0</v>
      </c>
      <c r="AY115" s="159">
        <f>-SUM($F$28:AY28)*(1-AY$174)/(1+'TS1'!$J$84)*'TS1'!$J$84-SUM($F$115:AX115)</f>
        <v>0</v>
      </c>
      <c r="AZ115" s="159">
        <f>-SUM($F$28:AZ28)*(1-AZ$174)/(1+'TS1'!$J$84)*'TS1'!$J$84-SUM($F$115:AY115)</f>
        <v>0</v>
      </c>
      <c r="BA115" s="159">
        <f>-SUM($F$28:BA28)*(1-BA$174)/(1+'TS1'!$J$84)*'TS1'!$J$84-SUM($F$115:AZ115)</f>
        <v>0</v>
      </c>
      <c r="BB115" s="159">
        <f>-SUM($F$28:BB28)*(1-BB$174)/(1+'TS1'!$J$84)*'TS1'!$J$84-SUM($F$115:BA115)</f>
        <v>0</v>
      </c>
      <c r="BC115" s="159">
        <f>-SUM($F$28:BC28)*(1-BC$174)/(1+'TS1'!$J$84)*'TS1'!$J$84-SUM($F$115:BB115)</f>
        <v>0</v>
      </c>
      <c r="BD115" s="159">
        <f>-SUM($F$28:BD28)*(1-BD$174)/(1+'TS1'!$J$84)*'TS1'!$J$84-SUM($F$115:BC115)</f>
        <v>0</v>
      </c>
      <c r="BE115" s="159">
        <f>-SUM($F$28:BE28)*(1-BE$174)/(1+'TS1'!$J$84)*'TS1'!$J$84-SUM($F$115:BD115)</f>
        <v>0</v>
      </c>
      <c r="BF115" s="159">
        <f>-SUM($F$28:BF28)*(1-BF$174)/(1+'TS1'!$J$84)*'TS1'!$J$84-SUM($F$115:BE115)</f>
        <v>0</v>
      </c>
      <c r="BG115" s="159">
        <f>-SUM($F$28:BG28)*(1-BG$174)/(1+'TS1'!$J$84)*'TS1'!$J$84-SUM($F$115:BF115)</f>
        <v>0</v>
      </c>
      <c r="BH115" s="159">
        <f>-SUM($F$28:BH28)*(1-BH$174)/(1+'TS1'!$J$84)*'TS1'!$J$84-SUM($F$115:BG115)</f>
        <v>0</v>
      </c>
      <c r="BI115" s="159">
        <f>-SUM($F$28:BI28)*(1-BI$174)/(1+'TS1'!$J$84)*'TS1'!$J$84-SUM($F$115:BH115)</f>
        <v>0</v>
      </c>
      <c r="BJ115" s="159">
        <f>-SUM($F$28:BJ28)*(1-BJ$174)/(1+'TS1'!$J$84)*'TS1'!$J$84-SUM($F$115:BI115)</f>
        <v>0</v>
      </c>
      <c r="BK115" s="159">
        <f>-SUM($F$28:BK28)*(1-BK$174)/(1+'TS1'!$J$84)*'TS1'!$J$84-SUM($F$115:BJ115)</f>
        <v>0</v>
      </c>
      <c r="BL115" s="159">
        <f>-SUM($F$28:BL28)*(1-BL$174)/(1+'TS1'!$J$84)*'TS1'!$J$84-SUM($F$115:BK115)</f>
        <v>0</v>
      </c>
      <c r="BM115" s="159">
        <f>-SUM($F$28:BM28)*(1-BM$174)/(1+'TS1'!$J$84)*'TS1'!$J$84-SUM($F$115:BL115)</f>
        <v>0</v>
      </c>
    </row>
    <row r="116" spans="1:65" s="134" customFormat="1" hidden="1" outlineLevel="1">
      <c r="A116" s="156">
        <f t="shared" si="64"/>
        <v>410.3578500000001</v>
      </c>
      <c r="B116" s="157"/>
      <c r="C116" s="157"/>
      <c r="D116" s="158" t="str">
        <f>'DB1'!B11</f>
        <v>РИТЕЙЛ</v>
      </c>
      <c r="E116" s="154">
        <f t="shared" si="62"/>
        <v>-410.3578500000001</v>
      </c>
      <c r="F116" s="159">
        <f>-F29*(1-F$174)/(1+'TS1'!$J$84)*'TS1'!$J$84</f>
        <v>0</v>
      </c>
      <c r="G116" s="159">
        <f>-G29*(1-G$174)/(1+'TS1'!$J$84)*'TS1'!$J$84</f>
        <v>0</v>
      </c>
      <c r="H116" s="159">
        <f>-H29*(1-H$174)/(1+'TS1'!$J$84)*'TS1'!$J$84</f>
        <v>0</v>
      </c>
      <c r="I116" s="159">
        <f>-I29*(1-I$174)/(1+'TS1'!$J$84)*'TS1'!$J$84</f>
        <v>0</v>
      </c>
      <c r="J116" s="159">
        <f>-J29*(1-J$174)/(1+'TS1'!$J$84)*'TS1'!$J$84</f>
        <v>0</v>
      </c>
      <c r="K116" s="159">
        <f>-K29*(1-K$174)/(1+'TS1'!$J$84)*'TS1'!$J$84</f>
        <v>0</v>
      </c>
      <c r="L116" s="159">
        <f>-L29*(1-L$174)/(1+'TS1'!$J$84)*'TS1'!$J$84</f>
        <v>0</v>
      </c>
      <c r="M116" s="159">
        <f>-M29*(1-M$174)/(1+'TS1'!$J$84)*'TS1'!$J$84</f>
        <v>0</v>
      </c>
      <c r="N116" s="159">
        <f>-N29*(1-N$174)/(1+'TS1'!$J$84)*'TS1'!$J$84</f>
        <v>0</v>
      </c>
      <c r="O116" s="159">
        <f>-O29*(1-O$174)/(1+'TS1'!$J$84)*'TS1'!$J$84</f>
        <v>0</v>
      </c>
      <c r="P116" s="159">
        <f>-P29*(1-P$174)/(1+'TS1'!$J$84)*'TS1'!$J$84</f>
        <v>0</v>
      </c>
      <c r="Q116" s="159">
        <f>-Q29*(1-Q$174)/(1+'TS1'!$J$84)*'TS1'!$J$84</f>
        <v>0</v>
      </c>
      <c r="R116" s="159">
        <f>-R29*(1-R$174)/(1+'TS1'!$J$84)*'TS1'!$J$84</f>
        <v>0</v>
      </c>
      <c r="S116" s="159">
        <f>-S29*(1-S$174)/(1+'TS1'!$J$84)*'TS1'!$J$84</f>
        <v>0</v>
      </c>
      <c r="T116" s="159">
        <f>-T29*(1-T$174)/(1+'TS1'!$J$84)*'TS1'!$J$84</f>
        <v>0</v>
      </c>
      <c r="U116" s="159">
        <f>-U29*(1-U$174)/(1+'TS1'!$J$84)*'TS1'!$J$84</f>
        <v>0</v>
      </c>
      <c r="V116" s="159">
        <f>-V29*(1-V$174)/(1+'TS1'!$J$84)*'TS1'!$J$84</f>
        <v>0</v>
      </c>
      <c r="W116" s="159">
        <f>-W29*(1-W$174)/(1+'TS1'!$J$84)*'TS1'!$J$84</f>
        <v>0</v>
      </c>
      <c r="X116" s="159">
        <f>-X29*(1-X$174)/(1+'TS1'!$J$84)*'TS1'!$J$84</f>
        <v>0</v>
      </c>
      <c r="Y116" s="159">
        <f>-Y29*(1-Y$174)/(1+'TS1'!$J$84)*'TS1'!$J$84</f>
        <v>0</v>
      </c>
      <c r="Z116" s="159">
        <f>-Z29*(1-Z$174)/(1+'TS1'!$J$84)*'TS1'!$J$84</f>
        <v>0</v>
      </c>
      <c r="AA116" s="159">
        <f>-AA29*(1-AA$174)/(1+'TS1'!$J$84)*'TS1'!$J$84</f>
        <v>0</v>
      </c>
      <c r="AB116" s="159">
        <f>-AB29*(1-AB$174)/(1+'TS1'!$J$84)*'TS1'!$J$84</f>
        <v>0</v>
      </c>
      <c r="AC116" s="159">
        <f>-AC29*(1-AC$174)/(1+'TS1'!$J$84)*'TS1'!$J$84</f>
        <v>0</v>
      </c>
      <c r="AD116" s="159">
        <f>-AD29*(1-AD$174)/(1+'TS1'!$J$84)*'TS1'!$J$84</f>
        <v>0</v>
      </c>
      <c r="AE116" s="159">
        <f>-AE29*(1-AE$174)/(1+'TS1'!$J$84)*'TS1'!$J$84</f>
        <v>0</v>
      </c>
      <c r="AF116" s="159">
        <f>-AF29*(1-AF$174)/(1+'TS1'!$J$84)*'TS1'!$J$84</f>
        <v>0</v>
      </c>
      <c r="AG116" s="159">
        <f>-AG29*(1-AG$174)/(1+'TS1'!$J$84)*'TS1'!$J$84</f>
        <v>-205.17892500000005</v>
      </c>
      <c r="AH116" s="159">
        <f>-AH29*(1-AH$174)/(1+'TS1'!$J$84)*'TS1'!$J$84</f>
        <v>-205.17892500000005</v>
      </c>
      <c r="AI116" s="159">
        <f>-AI29*(1-AI$174)/(1+'TS1'!$J$84)*'TS1'!$J$84</f>
        <v>0</v>
      </c>
      <c r="AJ116" s="159">
        <f>-AJ29*(1-AJ$174)/(1+'TS1'!$J$84)*'TS1'!$J$84</f>
        <v>0</v>
      </c>
      <c r="AK116" s="159">
        <f>-AK29*(1-AK$174)/(1+'TS1'!$J$84)*'TS1'!$J$84</f>
        <v>0</v>
      </c>
      <c r="AL116" s="159">
        <f>-AL29*(1-AL$174)/(1+'TS1'!$J$84)*'TS1'!$J$84</f>
        <v>0</v>
      </c>
      <c r="AM116" s="159">
        <f>-AM29*(1-AM$174)/(1+'TS1'!$J$84)*'TS1'!$J$84</f>
        <v>0</v>
      </c>
      <c r="AN116" s="159">
        <f>-AN29*(1-AN$174)/(1+'TS1'!$J$84)*'TS1'!$J$84</f>
        <v>0</v>
      </c>
      <c r="AO116" s="159">
        <f>-AO29*(1-AO$174)/(1+'TS1'!$J$84)*'TS1'!$J$84</f>
        <v>0</v>
      </c>
      <c r="AP116" s="159">
        <f>-AP29*(1-AP$174)/(1+'TS1'!$J$84)*'TS1'!$J$84</f>
        <v>0</v>
      </c>
      <c r="AQ116" s="159">
        <f>-AQ29*(1-AQ$174)/(1+'TS1'!$J$84)*'TS1'!$J$84</f>
        <v>0</v>
      </c>
      <c r="AR116" s="159">
        <f>-AR29*(1-AR$174)/(1+'TS1'!$J$84)*'TS1'!$J$84</f>
        <v>0</v>
      </c>
      <c r="AS116" s="159">
        <f>-AS29*(1-AS$174)/(1+'TS1'!$J$84)*'TS1'!$J$84</f>
        <v>0</v>
      </c>
      <c r="AT116" s="159">
        <f>-AT29*(1-AT$174)/(1+'TS1'!$J$84)*'TS1'!$J$84</f>
        <v>0</v>
      </c>
      <c r="AU116" s="159">
        <f>-AU29*(1-AU$174)/(1+'TS1'!$J$84)*'TS1'!$J$84</f>
        <v>0</v>
      </c>
      <c r="AV116" s="159">
        <f>-AV29*(1-AV$174)/(1+'TS1'!$J$84)*'TS1'!$J$84</f>
        <v>0</v>
      </c>
      <c r="AW116" s="159">
        <f>-AW29*(1-AW$174)/(1+'TS1'!$J$84)*'TS1'!$J$84</f>
        <v>0</v>
      </c>
      <c r="AX116" s="159">
        <f>-AX29*(1-AX$174)/(1+'TS1'!$J$84)*'TS1'!$J$84</f>
        <v>0</v>
      </c>
      <c r="AY116" s="159">
        <f>-AY29*(1-AY$174)/(1+'TS1'!$J$84)*'TS1'!$J$84</f>
        <v>0</v>
      </c>
      <c r="AZ116" s="159">
        <f>-AZ29*(1-AZ$174)/(1+'TS1'!$J$84)*'TS1'!$J$84</f>
        <v>0</v>
      </c>
      <c r="BA116" s="159">
        <f>-BA29*(1-BA$174)/(1+'TS1'!$J$84)*'TS1'!$J$84</f>
        <v>0</v>
      </c>
      <c r="BB116" s="159">
        <f>-BB29*(1-BB$174)/(1+'TS1'!$J$84)*'TS1'!$J$84</f>
        <v>0</v>
      </c>
      <c r="BC116" s="159">
        <f>-BC29*(1-BC$174)/(1+'TS1'!$J$84)*'TS1'!$J$84</f>
        <v>0</v>
      </c>
      <c r="BD116" s="159">
        <f>-BD29*(1-BD$174)/(1+'TS1'!$J$84)*'TS1'!$J$84</f>
        <v>0</v>
      </c>
      <c r="BE116" s="159">
        <f>-BE29*(1-BE$174)/(1+'TS1'!$J$84)*'TS1'!$J$84</f>
        <v>0</v>
      </c>
      <c r="BF116" s="159">
        <f>-BF29*(1-BF$174)/(1+'TS1'!$J$84)*'TS1'!$J$84</f>
        <v>0</v>
      </c>
      <c r="BG116" s="159">
        <f>-BG29*(1-BG$174)/(1+'TS1'!$J$84)*'TS1'!$J$84</f>
        <v>0</v>
      </c>
      <c r="BH116" s="159">
        <f>-BH29*(1-BH$174)/(1+'TS1'!$J$84)*'TS1'!$J$84</f>
        <v>0</v>
      </c>
      <c r="BI116" s="159">
        <f>-BI29*(1-BI$174)/(1+'TS1'!$J$84)*'TS1'!$J$84</f>
        <v>0</v>
      </c>
      <c r="BJ116" s="159">
        <f>-BJ29*(1-BJ$174)/(1+'TS1'!$J$84)*'TS1'!$J$84</f>
        <v>0</v>
      </c>
      <c r="BK116" s="159">
        <f>-BK29*(1-BK$174)/(1+'TS1'!$J$84)*'TS1'!$J$84</f>
        <v>0</v>
      </c>
      <c r="BL116" s="159">
        <f>-BL29*(1-BL$174)/(1+'TS1'!$J$84)*'TS1'!$J$84</f>
        <v>0</v>
      </c>
      <c r="BM116" s="159">
        <f>-BM29*(1-BM$174)/(1+'TS1'!$J$84)*'TS1'!$J$84</f>
        <v>0</v>
      </c>
    </row>
    <row r="117" spans="1:65" s="134" customFormat="1" hidden="1" outlineLevel="1">
      <c r="A117" s="156">
        <f t="shared" si="64"/>
        <v>0</v>
      </c>
      <c r="B117" s="157"/>
      <c r="C117" s="157"/>
      <c r="D117" s="158" t="str">
        <f>'DB1'!B12</f>
        <v>ТЦ</v>
      </c>
      <c r="E117" s="154">
        <f t="shared" si="62"/>
        <v>0</v>
      </c>
      <c r="F117" s="159">
        <f>-F31*(1-F$174)/(1+'TS1'!$J$84)*'TS1'!$J$84</f>
        <v>0</v>
      </c>
      <c r="G117" s="159">
        <f>-SUM($F$30:G30)*(1-G$174)/(1+'TS1'!$J$84)*'TS1'!$J$84-SUM($F$117:F117)</f>
        <v>0</v>
      </c>
      <c r="H117" s="159">
        <f>-SUM($F$30:H30)*(1-H$174)/(1+'TS1'!$J$84)*'TS1'!$J$84-SUM($F$117:G117)</f>
        <v>0</v>
      </c>
      <c r="I117" s="159">
        <f>-SUM($F$30:I30)*(1-I$174)/(1+'TS1'!$J$84)*'TS1'!$J$84-SUM($F$117:H117)</f>
        <v>0</v>
      </c>
      <c r="J117" s="159">
        <f>-SUM($F$30:J30)*(1-J$174)/(1+'TS1'!$J$84)*'TS1'!$J$84-SUM($F$117:I117)</f>
        <v>0</v>
      </c>
      <c r="K117" s="159">
        <f>-SUM($F$30:K30)*(1-K$174)/(1+'TS1'!$J$84)*'TS1'!$J$84-SUM($F$117:J117)</f>
        <v>0</v>
      </c>
      <c r="L117" s="159">
        <f>-SUM($F$30:L30)*(1-L$174)/(1+'TS1'!$J$84)*'TS1'!$J$84-SUM($F$117:K117)</f>
        <v>0</v>
      </c>
      <c r="M117" s="159">
        <f>-SUM($F$30:M30)*(1-M$174)/(1+'TS1'!$J$84)*'TS1'!$J$84-SUM($F$117:L117)</f>
        <v>0</v>
      </c>
      <c r="N117" s="159">
        <f>-SUM($F$30:N30)*(1-N$174)/(1+'TS1'!$J$84)*'TS1'!$J$84-SUM($F$117:M117)</f>
        <v>0</v>
      </c>
      <c r="O117" s="159">
        <f>-SUM($F$30:O30)*(1-O$174)/(1+'TS1'!$J$84)*'TS1'!$J$84-SUM($F$117:N117)</f>
        <v>0</v>
      </c>
      <c r="P117" s="159">
        <f>-SUM($F$30:P30)*(1-P$174)/(1+'TS1'!$J$84)*'TS1'!$J$84-SUM($F$117:O117)</f>
        <v>0</v>
      </c>
      <c r="Q117" s="159">
        <f>-SUM($F$30:Q30)*(1-Q$174)/(1+'TS1'!$J$84)*'TS1'!$J$84-SUM($F$117:P117)</f>
        <v>0</v>
      </c>
      <c r="R117" s="159">
        <f>-SUM($F$30:R30)*(1-R$174)/(1+'TS1'!$J$84)*'TS1'!$J$84-SUM($F$117:Q117)</f>
        <v>0</v>
      </c>
      <c r="S117" s="159">
        <f>-SUM($F$30:S30)*(1-S$174)/(1+'TS1'!$J$84)*'TS1'!$J$84-SUM($F$117:R117)</f>
        <v>0</v>
      </c>
      <c r="T117" s="159">
        <f>-SUM($F$30:T30)*(1-T$174)/(1+'TS1'!$J$84)*'TS1'!$J$84-SUM($F$117:S117)</f>
        <v>0</v>
      </c>
      <c r="U117" s="159">
        <f>-SUM($F$30:U30)*(1-U$174)/(1+'TS1'!$J$84)*'TS1'!$J$84-SUM($F$117:T117)</f>
        <v>0</v>
      </c>
      <c r="V117" s="159">
        <f>-SUM($F$30:V30)*(1-V$174)/(1+'TS1'!$J$84)*'TS1'!$J$84-SUM($F$117:U117)</f>
        <v>0</v>
      </c>
      <c r="W117" s="159">
        <f>-SUM($F$30:W30)*(1-W$174)/(1+'TS1'!$J$84)*'TS1'!$J$84-SUM($F$117:V117)</f>
        <v>0</v>
      </c>
      <c r="X117" s="159">
        <f>-SUM($F$30:X30)*(1-X$174)/(1+'TS1'!$J$84)*'TS1'!$J$84-SUM($F$117:W117)</f>
        <v>0</v>
      </c>
      <c r="Y117" s="159">
        <f>-SUM($F$30:Y30)*(1-Y$174)/(1+'TS1'!$J$84)*'TS1'!$J$84-SUM($F$117:X117)</f>
        <v>0</v>
      </c>
      <c r="Z117" s="159">
        <f>-SUM($F$30:Z30)*(1-Z$174)/(1+'TS1'!$J$84)*'TS1'!$J$84-SUM($F$117:Y117)</f>
        <v>0</v>
      </c>
      <c r="AA117" s="159">
        <f>-SUM($F$30:AA30)*(1-AA$174)/(1+'TS1'!$J$84)*'TS1'!$J$84-SUM($F$117:Z117)</f>
        <v>0</v>
      </c>
      <c r="AB117" s="159">
        <f>-SUM($F$30:AB30)*(1-AB$174)/(1+'TS1'!$J$84)*'TS1'!$J$84-SUM($F$117:AA117)</f>
        <v>0</v>
      </c>
      <c r="AC117" s="159">
        <f>-SUM($F$30:AC30)*(1-AC$174)/(1+'TS1'!$J$84)*'TS1'!$J$84-SUM($F$117:AB117)</f>
        <v>0</v>
      </c>
      <c r="AD117" s="159">
        <f>-SUM($F$30:AD30)*(1-AD$174)/(1+'TS1'!$J$84)*'TS1'!$J$84-SUM($F$117:AC117)</f>
        <v>0</v>
      </c>
      <c r="AE117" s="159">
        <f>-SUM($F$30:AE30)*(1-AE$174)/(1+'TS1'!$J$84)*'TS1'!$J$84-SUM($F$117:AD117)</f>
        <v>0</v>
      </c>
      <c r="AF117" s="159">
        <f>-SUM($F$30:AF30)*(1-AF$174)/(1+'TS1'!$J$84)*'TS1'!$J$84-SUM($F$117:AE117)</f>
        <v>0</v>
      </c>
      <c r="AG117" s="159">
        <f>-SUM($F$30:AG30)*(1-AG$174)/(1+'TS1'!$J$84)*'TS1'!$J$84-SUM($F$117:AF117)</f>
        <v>0</v>
      </c>
      <c r="AH117" s="159">
        <f>-SUM($F$30:AH30)*(1-AH$174)/(1+'TS1'!$J$84)*'TS1'!$J$84-SUM($F$117:AG117)</f>
        <v>0</v>
      </c>
      <c r="AI117" s="159">
        <f>-SUM($F$30:AI30)*(1-AI$174)/(1+'TS1'!$J$84)*'TS1'!$J$84-SUM($F$117:AH117)</f>
        <v>0</v>
      </c>
      <c r="AJ117" s="159">
        <f>-SUM($F$30:AJ30)*(1-AJ$174)/(1+'TS1'!$J$84)*'TS1'!$J$84-SUM($F$117:AI117)</f>
        <v>0</v>
      </c>
      <c r="AK117" s="159">
        <f>-SUM($F$30:AK30)*(1-AK$174)/(1+'TS1'!$J$84)*'TS1'!$J$84-SUM($F$117:AJ117)</f>
        <v>0</v>
      </c>
      <c r="AL117" s="159">
        <f>-SUM($F$30:AL30)*(1-AL$174)/(1+'TS1'!$J$84)*'TS1'!$J$84-SUM($F$117:AK117)</f>
        <v>0</v>
      </c>
      <c r="AM117" s="159">
        <f>-SUM($F$30:AM30)*(1-AM$174)/(1+'TS1'!$J$84)*'TS1'!$J$84-SUM($F$117:AL117)</f>
        <v>0</v>
      </c>
      <c r="AN117" s="159">
        <f>-SUM($F$30:AN30)*(1-AN$174)/(1+'TS1'!$J$84)*'TS1'!$J$84-SUM($F$117:AM117)</f>
        <v>0</v>
      </c>
      <c r="AO117" s="159">
        <f>-SUM($F$30:AO30)*(1-AO$174)/(1+'TS1'!$J$84)*'TS1'!$J$84-SUM($F$117:AN117)</f>
        <v>0</v>
      </c>
      <c r="AP117" s="159">
        <f>-SUM($F$30:AP30)*(1-AP$174)/(1+'TS1'!$J$84)*'TS1'!$J$84-SUM($F$117:AO117)</f>
        <v>0</v>
      </c>
      <c r="AQ117" s="159">
        <f>-SUM($F$30:AQ30)*(1-AQ$174)/(1+'TS1'!$J$84)*'TS1'!$J$84-SUM($F$117:AP117)</f>
        <v>0</v>
      </c>
      <c r="AR117" s="159">
        <f>-SUM($F$30:AR30)*(1-AR$174)/(1+'TS1'!$J$84)*'TS1'!$J$84-SUM($F$117:AQ117)</f>
        <v>0</v>
      </c>
      <c r="AS117" s="159">
        <f>-SUM($F$30:AS30)*(1-AS$174)/(1+'TS1'!$J$84)*'TS1'!$J$84-SUM($F$117:AR117)</f>
        <v>0</v>
      </c>
      <c r="AT117" s="159">
        <f>-SUM($F$30:AT30)*(1-AT$174)/(1+'TS1'!$J$84)*'TS1'!$J$84-SUM($F$117:AS117)</f>
        <v>0</v>
      </c>
      <c r="AU117" s="159">
        <f>-SUM($F$30:AU30)*(1-AU$174)/(1+'TS1'!$J$84)*'TS1'!$J$84-SUM($F$117:AT117)</f>
        <v>0</v>
      </c>
      <c r="AV117" s="159">
        <f>-SUM($F$30:AV30)*(1-AV$174)/(1+'TS1'!$J$84)*'TS1'!$J$84-SUM($F$117:AU117)</f>
        <v>0</v>
      </c>
      <c r="AW117" s="159">
        <f>-SUM($F$30:AW30)*(1-AW$174)/(1+'TS1'!$J$84)*'TS1'!$J$84-SUM($F$117:AV117)</f>
        <v>0</v>
      </c>
      <c r="AX117" s="159">
        <f>-SUM($F$30:AX30)*(1-AX$174)/(1+'TS1'!$J$84)*'TS1'!$J$84-SUM($F$117:AW117)</f>
        <v>0</v>
      </c>
      <c r="AY117" s="159">
        <f>-SUM($F$30:AY30)*(1-AY$174)/(1+'TS1'!$J$84)*'TS1'!$J$84-SUM($F$117:AX117)</f>
        <v>0</v>
      </c>
      <c r="AZ117" s="159">
        <f>-SUM($F$30:AZ30)*(1-AZ$174)/(1+'TS1'!$J$84)*'TS1'!$J$84-SUM($F$117:AY117)</f>
        <v>0</v>
      </c>
      <c r="BA117" s="159">
        <f>-SUM($F$30:BA30)*(1-BA$174)/(1+'TS1'!$J$84)*'TS1'!$J$84-SUM($F$117:AZ117)</f>
        <v>0</v>
      </c>
      <c r="BB117" s="159">
        <f>-SUM($F$30:BB30)*(1-BB$174)/(1+'TS1'!$J$84)*'TS1'!$J$84-SUM($F$117:BA117)</f>
        <v>0</v>
      </c>
      <c r="BC117" s="159">
        <f>-SUM($F$30:BC30)*(1-BC$174)/(1+'TS1'!$J$84)*'TS1'!$J$84-SUM($F$117:BB117)</f>
        <v>0</v>
      </c>
      <c r="BD117" s="159">
        <f>-SUM($F$30:BD30)*(1-BD$174)/(1+'TS1'!$J$84)*'TS1'!$J$84-SUM($F$117:BC117)</f>
        <v>0</v>
      </c>
      <c r="BE117" s="159">
        <f>-SUM($F$30:BE30)*(1-BE$174)/(1+'TS1'!$J$84)*'TS1'!$J$84-SUM($F$117:BD117)</f>
        <v>0</v>
      </c>
      <c r="BF117" s="159">
        <f>-SUM($F$30:BF30)*(1-BF$174)/(1+'TS1'!$J$84)*'TS1'!$J$84-SUM($F$117:BE117)</f>
        <v>0</v>
      </c>
      <c r="BG117" s="159">
        <f>-SUM($F$30:BG30)*(1-BG$174)/(1+'TS1'!$J$84)*'TS1'!$J$84-SUM($F$117:BF117)</f>
        <v>0</v>
      </c>
      <c r="BH117" s="159">
        <f>-SUM($F$30:BH30)*(1-BH$174)/(1+'TS1'!$J$84)*'TS1'!$J$84-SUM($F$117:BG117)</f>
        <v>0</v>
      </c>
      <c r="BI117" s="159">
        <f>-SUM($F$30:BI30)*(1-BI$174)/(1+'TS1'!$J$84)*'TS1'!$J$84-SUM($F$117:BH117)</f>
        <v>0</v>
      </c>
      <c r="BJ117" s="159">
        <f>-SUM($F$30:BJ30)*(1-BJ$174)/(1+'TS1'!$J$84)*'TS1'!$J$84-SUM($F$117:BI117)</f>
        <v>0</v>
      </c>
      <c r="BK117" s="159">
        <f>-SUM($F$30:BK30)*(1-BK$174)/(1+'TS1'!$J$84)*'TS1'!$J$84-SUM($F$117:BJ117)</f>
        <v>0</v>
      </c>
      <c r="BL117" s="159">
        <f>-SUM($F$30:BL30)*(1-BL$174)/(1+'TS1'!$J$84)*'TS1'!$J$84-SUM($F$117:BK117)</f>
        <v>0</v>
      </c>
      <c r="BM117" s="159">
        <f>-SUM($F$30:BM30)*(1-BM$174)/(1+'TS1'!$J$84)*'TS1'!$J$84-SUM($F$117:BL117)</f>
        <v>0</v>
      </c>
    </row>
    <row r="118" spans="1:65" s="134" customFormat="1" hidden="1" outlineLevel="1">
      <c r="A118" s="156">
        <f t="shared" si="64"/>
        <v>179.25</v>
      </c>
      <c r="B118" s="157"/>
      <c r="C118" s="157"/>
      <c r="D118" s="158" t="str">
        <f>'DB1'!B16</f>
        <v>ПАРКИНГ ЖИЛЬЕ</v>
      </c>
      <c r="E118" s="154">
        <f t="shared" si="62"/>
        <v>-179.25</v>
      </c>
      <c r="F118" s="159">
        <f>-F32*(1-F$174)/(1+'TS1'!$J$84)*'TS1'!$J$84</f>
        <v>0</v>
      </c>
      <c r="G118" s="159">
        <f>-G31*(1-G$174)/(1+'TS1'!$J$84)*'TS1'!$J$84</f>
        <v>0</v>
      </c>
      <c r="H118" s="159">
        <f>-H31*(1-H$174)/(1+'TS1'!$J$84)*'TS1'!$J$84</f>
        <v>0</v>
      </c>
      <c r="I118" s="159">
        <f>-I31*(1-I$174)/(1+'TS1'!$J$84)*'TS1'!$J$84</f>
        <v>0</v>
      </c>
      <c r="J118" s="159">
        <f>-J31*(1-J$174)/(1+'TS1'!$J$84)*'TS1'!$J$84</f>
        <v>0</v>
      </c>
      <c r="K118" s="159">
        <f>-K31*(1-K$174)/(1+'TS1'!$J$84)*'TS1'!$J$84</f>
        <v>0</v>
      </c>
      <c r="L118" s="159">
        <f>-L31*(1-L$174)/(1+'TS1'!$J$84)*'TS1'!$J$84</f>
        <v>0</v>
      </c>
      <c r="M118" s="159">
        <f>-M31*(1-M$174)/(1+'TS1'!$J$84)*'TS1'!$J$84</f>
        <v>0</v>
      </c>
      <c r="N118" s="159">
        <f>-N31*(1-N$174)/(1+'TS1'!$J$84)*'TS1'!$J$84</f>
        <v>0</v>
      </c>
      <c r="O118" s="159">
        <f>-O31*(1-O$174)/(1+'TS1'!$J$84)*'TS1'!$J$84</f>
        <v>0</v>
      </c>
      <c r="P118" s="159">
        <f>-P31*(1-P$174)/(1+'TS1'!$J$84)*'TS1'!$J$84</f>
        <v>0</v>
      </c>
      <c r="Q118" s="159">
        <f>-Q31*(1-Q$174)/(1+'TS1'!$J$84)*'TS1'!$J$84</f>
        <v>0</v>
      </c>
      <c r="R118" s="159">
        <f>-R31*(1-R$174)/(1+'TS1'!$J$84)*'TS1'!$J$84</f>
        <v>0</v>
      </c>
      <c r="S118" s="159">
        <f>-S31*(1-S$174)/(1+'TS1'!$J$84)*'TS1'!$J$84</f>
        <v>0</v>
      </c>
      <c r="T118" s="159">
        <f>-T31*(1-T$174)/(1+'TS1'!$J$84)*'TS1'!$J$84</f>
        <v>0</v>
      </c>
      <c r="U118" s="159">
        <f>-U31*(1-U$174)/(1+'TS1'!$J$84)*'TS1'!$J$84</f>
        <v>0</v>
      </c>
      <c r="V118" s="159">
        <f>-V31*(1-V$174)/(1+'TS1'!$J$84)*'TS1'!$J$84</f>
        <v>0</v>
      </c>
      <c r="W118" s="159">
        <f>-W31*(1-W$174)/(1+'TS1'!$J$84)*'TS1'!$J$84</f>
        <v>0</v>
      </c>
      <c r="X118" s="159">
        <f>-X31*(1-X$174)/(1+'TS1'!$J$84)*'TS1'!$J$84</f>
        <v>0</v>
      </c>
      <c r="Y118" s="159">
        <f>-Y31*(1-Y$174)/(1+'TS1'!$J$84)*'TS1'!$J$84</f>
        <v>0</v>
      </c>
      <c r="Z118" s="159">
        <f>-Z31*(1-Z$174)/(1+'TS1'!$J$84)*'TS1'!$J$84</f>
        <v>0</v>
      </c>
      <c r="AA118" s="159">
        <f>-AA31*(1-AA$174)/(1+'TS1'!$J$84)*'TS1'!$J$84</f>
        <v>0</v>
      </c>
      <c r="AB118" s="159">
        <f>-AB31*(1-AB$174)/(1+'TS1'!$J$84)*'TS1'!$J$84</f>
        <v>0</v>
      </c>
      <c r="AC118" s="159">
        <f>-AC31*(1-AC$174)/(1+'TS1'!$J$84)*'TS1'!$J$84</f>
        <v>0</v>
      </c>
      <c r="AD118" s="159">
        <f>-AD31*(1-AD$174)/(1+'TS1'!$J$84)*'TS1'!$J$84</f>
        <v>0</v>
      </c>
      <c r="AE118" s="159">
        <f>-AE31*(1-AE$174)/(1+'TS1'!$J$84)*'TS1'!$J$84</f>
        <v>0</v>
      </c>
      <c r="AF118" s="159">
        <f>-AF31*(1-AF$174)/(1+'TS1'!$J$84)*'TS1'!$J$84</f>
        <v>-22.5</v>
      </c>
      <c r="AG118" s="159">
        <f>-AG31*(1-AG$174)/(1+'TS1'!$J$84)*'TS1'!$J$84</f>
        <v>-22.5</v>
      </c>
      <c r="AH118" s="159">
        <f>-AH31*(1-AH$174)/(1+'TS1'!$J$84)*'TS1'!$J$84</f>
        <v>-22.5</v>
      </c>
      <c r="AI118" s="159">
        <f>-AI31*(1-AI$174)/(1+'TS1'!$J$84)*'TS1'!$J$84</f>
        <v>-22.5</v>
      </c>
      <c r="AJ118" s="159">
        <f>-AJ31*(1-AJ$174)/(1+'TS1'!$J$84)*'TS1'!$J$84</f>
        <v>-22.5</v>
      </c>
      <c r="AK118" s="159">
        <f>-AK31*(1-AK$174)/(1+'TS1'!$J$84)*'TS1'!$J$84</f>
        <v>-22.5</v>
      </c>
      <c r="AL118" s="159">
        <f>-AL31*(1-AL$174)/(1+'TS1'!$J$84)*'TS1'!$J$84</f>
        <v>-22.5</v>
      </c>
      <c r="AM118" s="159">
        <f>-AM31*(1-AM$174)/(1+'TS1'!$J$84)*'TS1'!$J$84</f>
        <v>-21.75</v>
      </c>
      <c r="AN118" s="159">
        <f>-AN31*(1-AN$174)/(1+'TS1'!$J$84)*'TS1'!$J$84</f>
        <v>0</v>
      </c>
      <c r="AO118" s="159">
        <f>-AO31*(1-AO$174)/(1+'TS1'!$J$84)*'TS1'!$J$84</f>
        <v>0</v>
      </c>
      <c r="AP118" s="159">
        <f>-AP31*(1-AP$174)/(1+'TS1'!$J$84)*'TS1'!$J$84</f>
        <v>0</v>
      </c>
      <c r="AQ118" s="159">
        <f>-AQ31*(1-AQ$174)/(1+'TS1'!$J$84)*'TS1'!$J$84</f>
        <v>0</v>
      </c>
      <c r="AR118" s="159">
        <f>-AR31*(1-AR$174)/(1+'TS1'!$J$84)*'TS1'!$J$84</f>
        <v>0</v>
      </c>
      <c r="AS118" s="159">
        <f>-AS31*(1-AS$174)/(1+'TS1'!$J$84)*'TS1'!$J$84</f>
        <v>0</v>
      </c>
      <c r="AT118" s="159">
        <f>-AT31*(1-AT$174)/(1+'TS1'!$J$84)*'TS1'!$J$84</f>
        <v>0</v>
      </c>
      <c r="AU118" s="159">
        <f>-AU31*(1-AU$174)/(1+'TS1'!$J$84)*'TS1'!$J$84</f>
        <v>0</v>
      </c>
      <c r="AV118" s="159">
        <f>-AV31*(1-AV$174)/(1+'TS1'!$J$84)*'TS1'!$J$84</f>
        <v>0</v>
      </c>
      <c r="AW118" s="159">
        <f>-AW31*(1-AW$174)/(1+'TS1'!$J$84)*'TS1'!$J$84</f>
        <v>0</v>
      </c>
      <c r="AX118" s="159">
        <f>-AX31*(1-AX$174)/(1+'TS1'!$J$84)*'TS1'!$J$84</f>
        <v>0</v>
      </c>
      <c r="AY118" s="159">
        <f>-AY31*(1-AY$174)/(1+'TS1'!$J$84)*'TS1'!$J$84</f>
        <v>0</v>
      </c>
      <c r="AZ118" s="159">
        <f>-AZ31*(1-AZ$174)/(1+'TS1'!$J$84)*'TS1'!$J$84</f>
        <v>0</v>
      </c>
      <c r="BA118" s="159">
        <f>-BA31*(1-BA$174)/(1+'TS1'!$J$84)*'TS1'!$J$84</f>
        <v>0</v>
      </c>
      <c r="BB118" s="159">
        <f>-BB31*(1-BB$174)/(1+'TS1'!$J$84)*'TS1'!$J$84</f>
        <v>0</v>
      </c>
      <c r="BC118" s="159">
        <f>-BC31*(1-BC$174)/(1+'TS1'!$J$84)*'TS1'!$J$84</f>
        <v>0</v>
      </c>
      <c r="BD118" s="159">
        <f>-BD31*(1-BD$174)/(1+'TS1'!$J$84)*'TS1'!$J$84</f>
        <v>0</v>
      </c>
      <c r="BE118" s="159">
        <f>-BE31*(1-BE$174)/(1+'TS1'!$J$84)*'TS1'!$J$84</f>
        <v>0</v>
      </c>
      <c r="BF118" s="159">
        <f>-BF31*(1-BF$174)/(1+'TS1'!$J$84)*'TS1'!$J$84</f>
        <v>0</v>
      </c>
      <c r="BG118" s="159">
        <f>-BG31*(1-BG$174)/(1+'TS1'!$J$84)*'TS1'!$J$84</f>
        <v>0</v>
      </c>
      <c r="BH118" s="159">
        <f>-BH31*(1-BH$174)/(1+'TS1'!$J$84)*'TS1'!$J$84</f>
        <v>0</v>
      </c>
      <c r="BI118" s="159">
        <f>-BI31*(1-BI$174)/(1+'TS1'!$J$84)*'TS1'!$J$84</f>
        <v>0</v>
      </c>
      <c r="BJ118" s="159">
        <f>-BJ31*(1-BJ$174)/(1+'TS1'!$J$84)*'TS1'!$J$84</f>
        <v>0</v>
      </c>
      <c r="BK118" s="159">
        <f>-BK31*(1-BK$174)/(1+'TS1'!$J$84)*'TS1'!$J$84</f>
        <v>0</v>
      </c>
      <c r="BL118" s="159">
        <f>-BL31*(1-BL$174)/(1+'TS1'!$J$84)*'TS1'!$J$84</f>
        <v>0</v>
      </c>
      <c r="BM118" s="159">
        <f>-BM31*(1-BM$174)/(1+'TS1'!$J$84)*'TS1'!$J$84</f>
        <v>0</v>
      </c>
    </row>
    <row r="119" spans="1:65" s="134" customFormat="1" hidden="1" outlineLevel="1">
      <c r="A119" s="156">
        <f t="shared" si="64"/>
        <v>0</v>
      </c>
      <c r="B119" s="157"/>
      <c r="C119" s="157"/>
      <c r="D119" s="158" t="str">
        <f>'DB1'!B17</f>
        <v>ПАРКИНГ ОФИС</v>
      </c>
      <c r="E119" s="154">
        <f t="shared" si="62"/>
        <v>0</v>
      </c>
      <c r="F119" s="159"/>
      <c r="G119" s="159">
        <f>-SUM($F$32:G32)*(1-G$174)/(1+'TS1'!$J$84)*'TS1'!$J$84-SUM($F$119:F119)</f>
        <v>0</v>
      </c>
      <c r="H119" s="159">
        <f>-SUM($F$32:H32)*(1-H$174)/(1+'TS1'!$J$84)*'TS1'!$J$84-SUM($F$119:G119)</f>
        <v>0</v>
      </c>
      <c r="I119" s="159">
        <f>-SUM($F$32:I32)*(1-I$174)/(1+'TS1'!$J$84)*'TS1'!$J$84-SUM($F$119:H119)</f>
        <v>0</v>
      </c>
      <c r="J119" s="159">
        <f>-SUM($F$32:J32)*(1-J$174)/(1+'TS1'!$J$84)*'TS1'!$J$84-SUM($F$119:I119)</f>
        <v>0</v>
      </c>
      <c r="K119" s="159">
        <f>-SUM($F$32:K32)*(1-K$174)/(1+'TS1'!$J$84)*'TS1'!$J$84-SUM($F$119:J119)</f>
        <v>0</v>
      </c>
      <c r="L119" s="159">
        <f>-SUM($F$32:L32)*(1-L$174)/(1+'TS1'!$J$84)*'TS1'!$J$84-SUM($F$119:K119)</f>
        <v>0</v>
      </c>
      <c r="M119" s="159">
        <f>-SUM($F$32:M32)*(1-M$174)/(1+'TS1'!$J$84)*'TS1'!$J$84-SUM($F$119:L119)</f>
        <v>0</v>
      </c>
      <c r="N119" s="159">
        <f>-SUM($F$32:N32)*(1-N$174)/(1+'TS1'!$J$84)*'TS1'!$J$84-SUM($F$119:M119)</f>
        <v>0</v>
      </c>
      <c r="O119" s="159">
        <f>-SUM($F$32:O32)*(1-O$174)/(1+'TS1'!$J$84)*'TS1'!$J$84-SUM($F$119:N119)</f>
        <v>0</v>
      </c>
      <c r="P119" s="159">
        <f>-SUM($F$32:P32)*(1-P$174)/(1+'TS1'!$J$84)*'TS1'!$J$84-SUM($F$119:O119)</f>
        <v>0</v>
      </c>
      <c r="Q119" s="159">
        <f>-SUM($F$32:Q32)*(1-Q$174)/(1+'TS1'!$J$84)*'TS1'!$J$84-SUM($F$119:P119)</f>
        <v>0</v>
      </c>
      <c r="R119" s="159">
        <f>-SUM($F$32:R32)*(1-R$174)/(1+'TS1'!$J$84)*'TS1'!$J$84-SUM($F$119:Q119)</f>
        <v>0</v>
      </c>
      <c r="S119" s="159">
        <f>-SUM($F$32:S32)*(1-S$174)/(1+'TS1'!$J$84)*'TS1'!$J$84-SUM($F$119:R119)</f>
        <v>0</v>
      </c>
      <c r="T119" s="159">
        <f>-SUM($F$32:T32)*(1-T$174)/(1+'TS1'!$J$84)*'TS1'!$J$84-SUM($F$119:S119)</f>
        <v>0</v>
      </c>
      <c r="U119" s="159">
        <f>-SUM($F$32:U32)*(1-U$174)/(1+'TS1'!$J$84)*'TS1'!$J$84-SUM($F$119:T119)</f>
        <v>0</v>
      </c>
      <c r="V119" s="159">
        <f>-SUM($F$32:V32)*(1-V$174)/(1+'TS1'!$J$84)*'TS1'!$J$84-SUM($F$119:U119)</f>
        <v>0</v>
      </c>
      <c r="W119" s="159">
        <f>-SUM($F$32:W32)*(1-W$174)/(1+'TS1'!$J$84)*'TS1'!$J$84-SUM($F$119:V119)</f>
        <v>0</v>
      </c>
      <c r="X119" s="159">
        <f>-SUM($F$32:X32)*(1-X$174)/(1+'TS1'!$J$84)*'TS1'!$J$84-SUM($F$119:W119)</f>
        <v>0</v>
      </c>
      <c r="Y119" s="159">
        <f>-SUM($F$32:Y32)*(1-Y$174)/(1+'TS1'!$J$84)*'TS1'!$J$84-SUM($F$119:X119)</f>
        <v>0</v>
      </c>
      <c r="Z119" s="159">
        <f>-SUM($F$32:Z32)*(1-Z$174)/(1+'TS1'!$J$84)*'TS1'!$J$84-SUM($F$119:Y119)</f>
        <v>0</v>
      </c>
      <c r="AA119" s="159">
        <f>-SUM($F$32:AA32)*(1-AA$174)/(1+'TS1'!$J$84)*'TS1'!$J$84-SUM($F$119:Z119)</f>
        <v>0</v>
      </c>
      <c r="AB119" s="159">
        <f>-SUM($F$32:AB32)*(1-AB$174)/(1+'TS1'!$J$84)*'TS1'!$J$84-SUM($F$119:AA119)</f>
        <v>0</v>
      </c>
      <c r="AC119" s="159">
        <f>-SUM($F$32:AC32)*(1-AC$174)/(1+'TS1'!$J$84)*'TS1'!$J$84-SUM($F$119:AB119)</f>
        <v>0</v>
      </c>
      <c r="AD119" s="159">
        <f>-SUM($F$32:AD32)*(1-AD$174)/(1+'TS1'!$J$84)*'TS1'!$J$84-SUM($F$119:AC119)</f>
        <v>0</v>
      </c>
      <c r="AE119" s="159">
        <f>-SUM($F$32:AE32)*(1-AE$174)/(1+'TS1'!$J$84)*'TS1'!$J$84-SUM($F$119:AD119)</f>
        <v>0</v>
      </c>
      <c r="AF119" s="159">
        <f>-SUM($F$32:AF32)*(1-AF$174)/(1+'TS1'!$J$84)*'TS1'!$J$84-SUM($F$119:AE119)</f>
        <v>0</v>
      </c>
      <c r="AG119" s="159">
        <f>-SUM($F$32:AG32)*(1-AG$174)/(1+'TS1'!$J$84)*'TS1'!$J$84-SUM($F$119:AF119)</f>
        <v>0</v>
      </c>
      <c r="AH119" s="159">
        <f>-SUM($F$32:AH32)*(1-AH$174)/(1+'TS1'!$J$84)*'TS1'!$J$84-SUM($F$119:AG119)</f>
        <v>0</v>
      </c>
      <c r="AI119" s="159">
        <f>-SUM($F$32:AI32)*(1-AI$174)/(1+'TS1'!$J$84)*'TS1'!$J$84-SUM($F$119:AH119)</f>
        <v>0</v>
      </c>
      <c r="AJ119" s="159">
        <f>-SUM($F$32:AJ32)*(1-AJ$174)/(1+'TS1'!$J$84)*'TS1'!$J$84-SUM($F$119:AI119)</f>
        <v>0</v>
      </c>
      <c r="AK119" s="159">
        <f>-SUM($F$32:AK32)*(1-AK$174)/(1+'TS1'!$J$84)*'TS1'!$J$84-SUM($F$119:AJ119)</f>
        <v>0</v>
      </c>
      <c r="AL119" s="159">
        <f>-SUM($F$32:AL32)*(1-AL$174)/(1+'TS1'!$J$84)*'TS1'!$J$84-SUM($F$119:AK119)</f>
        <v>0</v>
      </c>
      <c r="AM119" s="159">
        <f>-SUM($F$32:AM32)*(1-AM$174)/(1+'TS1'!$J$84)*'TS1'!$J$84-SUM($F$119:AL119)</f>
        <v>0</v>
      </c>
      <c r="AN119" s="159">
        <f>-SUM($F$32:AN32)*(1-AN$174)/(1+'TS1'!$J$84)*'TS1'!$J$84-SUM($F$119:AM119)</f>
        <v>0</v>
      </c>
      <c r="AO119" s="159">
        <f>-SUM($F$32:AO32)*(1-AO$174)/(1+'TS1'!$J$84)*'TS1'!$J$84-SUM($F$119:AN119)</f>
        <v>0</v>
      </c>
      <c r="AP119" s="159">
        <f>-SUM($F$32:AP32)*(1-AP$174)/(1+'TS1'!$J$84)*'TS1'!$J$84-SUM($F$119:AO119)</f>
        <v>0</v>
      </c>
      <c r="AQ119" s="159">
        <f>-SUM($F$32:AQ32)*(1-AQ$174)/(1+'TS1'!$J$84)*'TS1'!$J$84-SUM($F$119:AP119)</f>
        <v>0</v>
      </c>
      <c r="AR119" s="159">
        <f>-SUM($F$32:AR32)*(1-AR$174)/(1+'TS1'!$J$84)*'TS1'!$J$84-SUM($F$119:AQ119)</f>
        <v>0</v>
      </c>
      <c r="AS119" s="159">
        <f>-SUM($F$32:AS32)*(1-AS$174)/(1+'TS1'!$J$84)*'TS1'!$J$84-SUM($F$119:AR119)</f>
        <v>0</v>
      </c>
      <c r="AT119" s="159">
        <f>-SUM($F$32:AT32)*(1-AT$174)/(1+'TS1'!$J$84)*'TS1'!$J$84-SUM($F$119:AS119)</f>
        <v>0</v>
      </c>
      <c r="AU119" s="159">
        <f>-SUM($F$32:AU32)*(1-AU$174)/(1+'TS1'!$J$84)*'TS1'!$J$84-SUM($F$119:AT119)</f>
        <v>0</v>
      </c>
      <c r="AV119" s="159">
        <f>-SUM($F$32:AV32)*(1-AV$174)/(1+'TS1'!$J$84)*'TS1'!$J$84-SUM($F$119:AU119)</f>
        <v>0</v>
      </c>
      <c r="AW119" s="159">
        <f>-SUM($F$32:AW32)*(1-AW$174)/(1+'TS1'!$J$84)*'TS1'!$J$84-SUM($F$119:AV119)</f>
        <v>0</v>
      </c>
      <c r="AX119" s="159">
        <f>-SUM($F$32:AX32)*(1-AX$174)/(1+'TS1'!$J$84)*'TS1'!$J$84-SUM($F$119:AW119)</f>
        <v>0</v>
      </c>
      <c r="AY119" s="159">
        <f>-SUM($F$32:AY32)*(1-AY$174)/(1+'TS1'!$J$84)*'TS1'!$J$84-SUM($F$119:AX119)</f>
        <v>0</v>
      </c>
      <c r="AZ119" s="159">
        <f>-SUM($F$32:AZ32)*(1-AZ$174)/(1+'TS1'!$J$84)*'TS1'!$J$84-SUM($F$119:AY119)</f>
        <v>0</v>
      </c>
      <c r="BA119" s="159">
        <f>-SUM($F$32:BA32)*(1-BA$174)/(1+'TS1'!$J$84)*'TS1'!$J$84-SUM($F$119:AZ119)</f>
        <v>0</v>
      </c>
      <c r="BB119" s="159">
        <f>-SUM($F$32:BB32)*(1-BB$174)/(1+'TS1'!$J$84)*'TS1'!$J$84-SUM($F$119:BA119)</f>
        <v>0</v>
      </c>
      <c r="BC119" s="159">
        <f>-SUM($F$32:BC32)*(1-BC$174)/(1+'TS1'!$J$84)*'TS1'!$J$84-SUM($F$119:BB119)</f>
        <v>0</v>
      </c>
      <c r="BD119" s="159">
        <f>-SUM($F$32:BD32)*(1-BD$174)/(1+'TS1'!$J$84)*'TS1'!$J$84-SUM($F$119:BC119)</f>
        <v>0</v>
      </c>
      <c r="BE119" s="159">
        <f>-SUM($F$32:BE32)*(1-BE$174)/(1+'TS1'!$J$84)*'TS1'!$J$84-SUM($F$119:BD119)</f>
        <v>0</v>
      </c>
      <c r="BF119" s="159">
        <f>-SUM($F$32:BF32)*(1-BF$174)/(1+'TS1'!$J$84)*'TS1'!$J$84-SUM($F$119:BE119)</f>
        <v>0</v>
      </c>
      <c r="BG119" s="159">
        <f>-SUM($F$32:BG32)*(1-BG$174)/(1+'TS1'!$J$84)*'TS1'!$J$84-SUM($F$119:BF119)</f>
        <v>0</v>
      </c>
      <c r="BH119" s="159">
        <f>-SUM($F$32:BH32)*(1-BH$174)/(1+'TS1'!$J$84)*'TS1'!$J$84-SUM($F$119:BG119)</f>
        <v>0</v>
      </c>
      <c r="BI119" s="159">
        <f>-SUM($F$32:BI32)*(1-BI$174)/(1+'TS1'!$J$84)*'TS1'!$J$84-SUM($F$119:BH119)</f>
        <v>0</v>
      </c>
      <c r="BJ119" s="159">
        <f>-SUM($F$32:BJ32)*(1-BJ$174)/(1+'TS1'!$J$84)*'TS1'!$J$84-SUM($F$119:BI119)</f>
        <v>0</v>
      </c>
      <c r="BK119" s="159">
        <f>-SUM($F$32:BK32)*(1-BK$174)/(1+'TS1'!$J$84)*'TS1'!$J$84-SUM($F$119:BJ119)</f>
        <v>0</v>
      </c>
      <c r="BL119" s="159">
        <f>-SUM($F$32:BL32)*(1-BL$174)/(1+'TS1'!$J$84)*'TS1'!$J$84-SUM($F$119:BK119)</f>
        <v>0</v>
      </c>
      <c r="BM119" s="159">
        <f>-SUM($F$32:BM32)*(1-BM$174)/(1+'TS1'!$J$84)*'TS1'!$J$84-SUM($F$119:BL119)</f>
        <v>0</v>
      </c>
    </row>
    <row r="120" spans="1:65" s="151" customFormat="1" hidden="1" outlineLevel="1">
      <c r="B120" s="152"/>
      <c r="C120" s="152" t="s">
        <v>86</v>
      </c>
      <c r="D120" s="153"/>
      <c r="E120" s="154">
        <f t="shared" si="62"/>
        <v>330.93290926241087</v>
      </c>
      <c r="F120" s="155">
        <f>SUM(F121:F126)</f>
        <v>0</v>
      </c>
      <c r="G120" s="155">
        <f t="shared" ref="G120:BM120" si="65">SUM(G121:G126)</f>
        <v>0</v>
      </c>
      <c r="H120" s="155">
        <f t="shared" si="65"/>
        <v>0</v>
      </c>
      <c r="I120" s="155">
        <f t="shared" si="65"/>
        <v>0</v>
      </c>
      <c r="J120" s="155">
        <f t="shared" si="65"/>
        <v>0</v>
      </c>
      <c r="K120" s="155">
        <f t="shared" si="65"/>
        <v>0</v>
      </c>
      <c r="L120" s="155">
        <f t="shared" si="65"/>
        <v>0</v>
      </c>
      <c r="M120" s="155">
        <f t="shared" si="65"/>
        <v>0</v>
      </c>
      <c r="N120" s="155">
        <f t="shared" si="65"/>
        <v>0</v>
      </c>
      <c r="O120" s="155">
        <f t="shared" si="65"/>
        <v>0</v>
      </c>
      <c r="P120" s="155">
        <f t="shared" si="65"/>
        <v>0</v>
      </c>
      <c r="Q120" s="155">
        <f t="shared" si="65"/>
        <v>0</v>
      </c>
      <c r="R120" s="155">
        <f t="shared" si="65"/>
        <v>0</v>
      </c>
      <c r="S120" s="155">
        <f t="shared" si="65"/>
        <v>0</v>
      </c>
      <c r="T120" s="155">
        <f t="shared" si="65"/>
        <v>0</v>
      </c>
      <c r="U120" s="155">
        <f t="shared" si="65"/>
        <v>0</v>
      </c>
      <c r="V120" s="155">
        <f t="shared" si="65"/>
        <v>0</v>
      </c>
      <c r="W120" s="155">
        <f t="shared" si="65"/>
        <v>0</v>
      </c>
      <c r="X120" s="155">
        <f t="shared" si="65"/>
        <v>0</v>
      </c>
      <c r="Y120" s="155">
        <f t="shared" si="65"/>
        <v>0</v>
      </c>
      <c r="Z120" s="155">
        <f t="shared" si="65"/>
        <v>0</v>
      </c>
      <c r="AA120" s="155">
        <f t="shared" si="65"/>
        <v>0</v>
      </c>
      <c r="AB120" s="155">
        <f t="shared" si="65"/>
        <v>0</v>
      </c>
      <c r="AC120" s="155">
        <f t="shared" si="65"/>
        <v>0</v>
      </c>
      <c r="AD120" s="155">
        <f t="shared" si="65"/>
        <v>0</v>
      </c>
      <c r="AE120" s="155">
        <f t="shared" si="65"/>
        <v>0</v>
      </c>
      <c r="AF120" s="155">
        <f t="shared" si="65"/>
        <v>22.5</v>
      </c>
      <c r="AG120" s="155">
        <f t="shared" si="65"/>
        <v>98.341454631205437</v>
      </c>
      <c r="AH120" s="155">
        <f t="shared" si="65"/>
        <v>98.341454631205437</v>
      </c>
      <c r="AI120" s="155">
        <f t="shared" si="65"/>
        <v>22.5</v>
      </c>
      <c r="AJ120" s="155">
        <f t="shared" si="65"/>
        <v>22.5</v>
      </c>
      <c r="AK120" s="155">
        <f t="shared" si="65"/>
        <v>22.5</v>
      </c>
      <c r="AL120" s="155">
        <f t="shared" si="65"/>
        <v>22.5</v>
      </c>
      <c r="AM120" s="155">
        <f t="shared" si="65"/>
        <v>21.75</v>
      </c>
      <c r="AN120" s="155">
        <f t="shared" si="65"/>
        <v>0</v>
      </c>
      <c r="AO120" s="155">
        <f t="shared" si="65"/>
        <v>0</v>
      </c>
      <c r="AP120" s="155">
        <f t="shared" si="65"/>
        <v>0</v>
      </c>
      <c r="AQ120" s="155">
        <f t="shared" si="65"/>
        <v>0</v>
      </c>
      <c r="AR120" s="155">
        <f t="shared" si="65"/>
        <v>0</v>
      </c>
      <c r="AS120" s="155">
        <f t="shared" si="65"/>
        <v>0</v>
      </c>
      <c r="AT120" s="155">
        <f t="shared" si="65"/>
        <v>0</v>
      </c>
      <c r="AU120" s="155">
        <f t="shared" si="65"/>
        <v>0</v>
      </c>
      <c r="AV120" s="155">
        <f t="shared" si="65"/>
        <v>0</v>
      </c>
      <c r="AW120" s="155">
        <f t="shared" si="65"/>
        <v>0</v>
      </c>
      <c r="AX120" s="155">
        <f t="shared" si="65"/>
        <v>0</v>
      </c>
      <c r="AY120" s="155">
        <f t="shared" si="65"/>
        <v>0</v>
      </c>
      <c r="AZ120" s="155">
        <f t="shared" si="65"/>
        <v>0</v>
      </c>
      <c r="BA120" s="155">
        <f t="shared" si="65"/>
        <v>0</v>
      </c>
      <c r="BB120" s="155">
        <f t="shared" si="65"/>
        <v>0</v>
      </c>
      <c r="BC120" s="155">
        <f t="shared" si="65"/>
        <v>0</v>
      </c>
      <c r="BD120" s="155">
        <f t="shared" si="65"/>
        <v>0</v>
      </c>
      <c r="BE120" s="155">
        <f t="shared" si="65"/>
        <v>0</v>
      </c>
      <c r="BF120" s="155">
        <f t="shared" si="65"/>
        <v>0</v>
      </c>
      <c r="BG120" s="155">
        <f t="shared" si="65"/>
        <v>0</v>
      </c>
      <c r="BH120" s="155">
        <f t="shared" si="65"/>
        <v>0</v>
      </c>
      <c r="BI120" s="155">
        <f t="shared" si="65"/>
        <v>0</v>
      </c>
      <c r="BJ120" s="155">
        <f t="shared" si="65"/>
        <v>0</v>
      </c>
      <c r="BK120" s="155">
        <f t="shared" si="65"/>
        <v>0</v>
      </c>
      <c r="BL120" s="155">
        <f t="shared" si="65"/>
        <v>0</v>
      </c>
      <c r="BM120" s="155">
        <f t="shared" si="65"/>
        <v>0</v>
      </c>
    </row>
    <row r="121" spans="1:65" s="134" customFormat="1" hidden="1" outlineLevel="1">
      <c r="B121" s="157"/>
      <c r="C121" s="157"/>
      <c r="D121" s="158" t="str">
        <f t="shared" ref="D121:D126" si="66">D114</f>
        <v>АПАРТАМЕНТЫ</v>
      </c>
      <c r="E121" s="154">
        <f t="shared" si="62"/>
        <v>0</v>
      </c>
      <c r="F121" s="159">
        <f>IFERROR('TS1'!$AT$88/'CF1'!$E$114*'CF1'!F114,0)</f>
        <v>0</v>
      </c>
      <c r="G121" s="159">
        <f>IFERROR('TS1'!$AT$88/'CF1'!$E$114*'CF1'!G114,0)</f>
        <v>0</v>
      </c>
      <c r="H121" s="159">
        <f>IFERROR('TS1'!$AT$88/'CF1'!$E$114*'CF1'!H114,0)</f>
        <v>0</v>
      </c>
      <c r="I121" s="159">
        <f>IFERROR('TS1'!$AT$88/'CF1'!$E$114*'CF1'!I114,0)</f>
        <v>0</v>
      </c>
      <c r="J121" s="159">
        <f>IFERROR('TS1'!$AT$88/'CF1'!$E$114*'CF1'!J114,0)</f>
        <v>0</v>
      </c>
      <c r="K121" s="159">
        <f>IFERROR('TS1'!$AT$88/'CF1'!$E$114*'CF1'!K114,0)</f>
        <v>0</v>
      </c>
      <c r="L121" s="159">
        <f>IFERROR('TS1'!$AT$88/'CF1'!$E$114*'CF1'!L114,0)</f>
        <v>0</v>
      </c>
      <c r="M121" s="159">
        <f>IFERROR('TS1'!$AT$88/'CF1'!$E$114*'CF1'!M114,0)</f>
        <v>0</v>
      </c>
      <c r="N121" s="159">
        <f>IFERROR('TS1'!$AT$88/'CF1'!$E$114*'CF1'!N114,0)</f>
        <v>0</v>
      </c>
      <c r="O121" s="159">
        <f>IFERROR('TS1'!$AT$88/'CF1'!$E$114*'CF1'!O114,0)</f>
        <v>0</v>
      </c>
      <c r="P121" s="159">
        <f>IFERROR('TS1'!$AT$88/'CF1'!$E$114*'CF1'!P114,0)</f>
        <v>0</v>
      </c>
      <c r="Q121" s="159">
        <f>IFERROR('TS1'!$AT$88/'CF1'!$E$114*'CF1'!Q114,0)</f>
        <v>0</v>
      </c>
      <c r="R121" s="159">
        <f>IFERROR('TS1'!$AT$88/'CF1'!$E$114*'CF1'!R114,0)</f>
        <v>0</v>
      </c>
      <c r="S121" s="159">
        <f>IFERROR('TS1'!$AT$88/'CF1'!$E$114*'CF1'!S114,0)</f>
        <v>0</v>
      </c>
      <c r="T121" s="159">
        <f>IFERROR('TS1'!$AT$88/'CF1'!$E$114*'CF1'!T114,0)</f>
        <v>0</v>
      </c>
      <c r="U121" s="159">
        <f>IFERROR('TS1'!$AT$88/'CF1'!$E$114*'CF1'!U114,0)</f>
        <v>0</v>
      </c>
      <c r="V121" s="159">
        <f>IFERROR('TS1'!$AT$88/'CF1'!$E$114*'CF1'!V114,0)</f>
        <v>0</v>
      </c>
      <c r="W121" s="159">
        <f>IFERROR('TS1'!$AT$88/'CF1'!$E$114*'CF1'!W114,0)</f>
        <v>0</v>
      </c>
      <c r="X121" s="159">
        <f>IFERROR('TS1'!$AT$88/'CF1'!$E$114*'CF1'!X114,0)</f>
        <v>0</v>
      </c>
      <c r="Y121" s="159">
        <f>IFERROR('TS1'!$AT$88/'CF1'!$E$114*'CF1'!Y114,0)</f>
        <v>0</v>
      </c>
      <c r="Z121" s="159">
        <f>IFERROR('TS1'!$AT$88/'CF1'!$E$114*'CF1'!Z114,0)</f>
        <v>0</v>
      </c>
      <c r="AA121" s="159">
        <f>IFERROR('TS1'!$AT$88/'CF1'!$E$114*'CF1'!AA114,0)</f>
        <v>0</v>
      </c>
      <c r="AB121" s="159">
        <f>IFERROR('TS1'!$AT$88/'CF1'!$E$114*'CF1'!AB114,0)</f>
        <v>0</v>
      </c>
      <c r="AC121" s="159">
        <f>IFERROR('TS1'!$AT$88/'CF1'!$E$114*'CF1'!AC114,0)</f>
        <v>0</v>
      </c>
      <c r="AD121" s="159">
        <f>IFERROR('TS1'!$AT$88/'CF1'!$E$114*'CF1'!AD114,0)</f>
        <v>0</v>
      </c>
      <c r="AE121" s="159">
        <f>IFERROR('TS1'!$AT$88/'CF1'!$E$114*'CF1'!AE114,0)</f>
        <v>0</v>
      </c>
      <c r="AF121" s="159">
        <f>IFERROR('TS1'!$AT$88/'CF1'!$E$114*'CF1'!AF114,0)</f>
        <v>0</v>
      </c>
      <c r="AG121" s="159">
        <f>IFERROR('TS1'!$AT$88/'CF1'!$E$114*'CF1'!AG114,0)</f>
        <v>0</v>
      </c>
      <c r="AH121" s="159">
        <f>IFERROR('TS1'!$AT$88/'CF1'!$E$114*'CF1'!AH114,0)</f>
        <v>0</v>
      </c>
      <c r="AI121" s="159">
        <f>IFERROR('TS1'!$AT$88/'CF1'!$E$114*'CF1'!AI114,0)</f>
        <v>0</v>
      </c>
      <c r="AJ121" s="159">
        <f>IFERROR('TS1'!$AT$88/'CF1'!$E$114*'CF1'!AJ114,0)</f>
        <v>0</v>
      </c>
      <c r="AK121" s="159">
        <f>IFERROR('TS1'!$AT$88/'CF1'!$E$114*'CF1'!AK114,0)</f>
        <v>0</v>
      </c>
      <c r="AL121" s="159">
        <f>IFERROR('TS1'!$AT$88/'CF1'!$E$114*'CF1'!AL114,0)</f>
        <v>0</v>
      </c>
      <c r="AM121" s="159">
        <f>IFERROR('TS1'!$AT$88/'CF1'!$E$114*'CF1'!AM114,0)</f>
        <v>0</v>
      </c>
      <c r="AN121" s="159">
        <f>IFERROR('TS1'!$AT$88/'CF1'!$E$114*'CF1'!AN114,0)</f>
        <v>0</v>
      </c>
      <c r="AO121" s="159">
        <f>IFERROR('TS1'!$AT$88/'CF1'!$E$114*'CF1'!AO114,0)</f>
        <v>0</v>
      </c>
      <c r="AP121" s="159">
        <f>IFERROR('TS1'!$AT$88/'CF1'!$E$114*'CF1'!AP114,0)</f>
        <v>0</v>
      </c>
      <c r="AQ121" s="159">
        <f>IFERROR('TS1'!$AT$88/'CF1'!$E$114*'CF1'!AQ114,0)</f>
        <v>0</v>
      </c>
      <c r="AR121" s="159">
        <f>IFERROR('TS1'!$AT$88/'CF1'!$E$114*'CF1'!AR114,0)</f>
        <v>0</v>
      </c>
      <c r="AS121" s="159">
        <f>IFERROR('TS1'!$AT$88/'CF1'!$E$114*'CF1'!AS114,0)</f>
        <v>0</v>
      </c>
      <c r="AT121" s="159">
        <f>IFERROR('TS1'!$AT$88/'CF1'!$E$114*'CF1'!AT114,0)</f>
        <v>0</v>
      </c>
      <c r="AU121" s="159">
        <f>IFERROR('TS1'!$AT$88/'CF1'!$E$114*'CF1'!AU114,0)</f>
        <v>0</v>
      </c>
      <c r="AV121" s="159">
        <f>IFERROR('TS1'!$AT$88/'CF1'!$E$114*'CF1'!AV114,0)</f>
        <v>0</v>
      </c>
      <c r="AW121" s="159">
        <f>IFERROR('TS1'!$AT$88/'CF1'!$E$114*'CF1'!AW114,0)</f>
        <v>0</v>
      </c>
      <c r="AX121" s="159">
        <f>IFERROR('TS1'!$AT$88/'CF1'!$E$114*'CF1'!AX114,0)</f>
        <v>0</v>
      </c>
      <c r="AY121" s="159">
        <f>IFERROR('TS1'!$AT$88/'CF1'!$E$114*'CF1'!AY114,0)</f>
        <v>0</v>
      </c>
      <c r="AZ121" s="159">
        <f>IFERROR('TS1'!$AT$88/'CF1'!$E$114*'CF1'!AZ114,0)</f>
        <v>0</v>
      </c>
      <c r="BA121" s="159">
        <f>IFERROR('TS1'!$AT$88/'CF1'!$E$114*'CF1'!BA114,0)</f>
        <v>0</v>
      </c>
      <c r="BB121" s="159">
        <f>IFERROR('TS1'!$AT$88/'CF1'!$E$114*'CF1'!BB114,0)</f>
        <v>0</v>
      </c>
      <c r="BC121" s="159">
        <f>IFERROR('TS1'!$AT$88/'CF1'!$E$114*'CF1'!BC114,0)</f>
        <v>0</v>
      </c>
      <c r="BD121" s="159">
        <f>IFERROR('TS1'!$AT$88/'CF1'!$E$114*'CF1'!BD114,0)</f>
        <v>0</v>
      </c>
      <c r="BE121" s="159">
        <f>IFERROR('TS1'!$AT$88/'CF1'!$E$114*'CF1'!BE114,0)</f>
        <v>0</v>
      </c>
      <c r="BF121" s="159">
        <f>IFERROR('TS1'!$AT$88/'CF1'!$E$114*'CF1'!BF114,0)</f>
        <v>0</v>
      </c>
      <c r="BG121" s="159">
        <f>IFERROR('TS1'!$AT$88/'CF1'!$E$114*'CF1'!BG114,0)</f>
        <v>0</v>
      </c>
      <c r="BH121" s="159">
        <f>IFERROR('TS1'!$AT$88/'CF1'!$E$114*'CF1'!BH114,0)</f>
        <v>0</v>
      </c>
      <c r="BI121" s="159">
        <f>IFERROR('TS1'!$AT$88/'CF1'!$E$114*'CF1'!BI114,0)</f>
        <v>0</v>
      </c>
      <c r="BJ121" s="159">
        <f>IFERROR('TS1'!$AT$88/'CF1'!$E$114*'CF1'!BJ114,0)</f>
        <v>0</v>
      </c>
      <c r="BK121" s="159">
        <f>IFERROR('TS1'!$AT$88/'CF1'!$E$114*'CF1'!BK114,0)</f>
        <v>0</v>
      </c>
      <c r="BL121" s="159">
        <f>IFERROR('TS1'!$AT$88/'CF1'!$E$114*'CF1'!BL114,0)</f>
        <v>0</v>
      </c>
      <c r="BM121" s="159">
        <f>IFERROR('TS1'!$AT$88/'CF1'!$E$114*'CF1'!BM114,0)</f>
        <v>0</v>
      </c>
    </row>
    <row r="122" spans="1:65" s="134" customFormat="1" hidden="1" outlineLevel="1">
      <c r="B122" s="157"/>
      <c r="C122" s="157"/>
      <c r="D122" s="158" t="str">
        <f t="shared" si="66"/>
        <v>ОФИСЫ</v>
      </c>
      <c r="E122" s="154">
        <f t="shared" si="62"/>
        <v>0</v>
      </c>
      <c r="F122" s="159">
        <f>IFERROR(('TS1'!$AT$89+'TS1'!$AS$89)/'CF1'!$E$115*'CF1'!F115,0)</f>
        <v>0</v>
      </c>
      <c r="G122" s="159">
        <f>IFERROR(('TS1'!$AT$89+'TS1'!$AS$89)/'CF1'!$E$115*'CF1'!G115,0)</f>
        <v>0</v>
      </c>
      <c r="H122" s="159">
        <f>IFERROR(('TS1'!$AT$89+'TS1'!$AS$89)/'CF1'!$E$115*'CF1'!H115,0)</f>
        <v>0</v>
      </c>
      <c r="I122" s="159">
        <f>IFERROR(('TS1'!$AT$89+'TS1'!$AS$89)/'CF1'!$E$115*'CF1'!I115,0)</f>
        <v>0</v>
      </c>
      <c r="J122" s="159">
        <f>IFERROR(('TS1'!$AT$89+'TS1'!$AS$89)/'CF1'!$E$115*'CF1'!J115,0)</f>
        <v>0</v>
      </c>
      <c r="K122" s="159">
        <f>IFERROR(('TS1'!$AT$89+'TS1'!$AS$89)/'CF1'!$E$115*'CF1'!K115,0)</f>
        <v>0</v>
      </c>
      <c r="L122" s="159">
        <f>IFERROR(('TS1'!$AT$89+'TS1'!$AS$89)/'CF1'!$E$115*'CF1'!L115,0)</f>
        <v>0</v>
      </c>
      <c r="M122" s="159">
        <f>IFERROR(('TS1'!$AT$89+'TS1'!$AS$89)/'CF1'!$E$115*'CF1'!M115,0)</f>
        <v>0</v>
      </c>
      <c r="N122" s="159">
        <f>IFERROR(('TS1'!$AT$89+'TS1'!$AS$89)/'CF1'!$E$115*'CF1'!N115,0)</f>
        <v>0</v>
      </c>
      <c r="O122" s="159">
        <f>IFERROR(('TS1'!$AT$89+'TS1'!$AS$89)/'CF1'!$E$115*'CF1'!O115,0)</f>
        <v>0</v>
      </c>
      <c r="P122" s="159">
        <f>IFERROR(('TS1'!$AT$89+'TS1'!$AS$89)/'CF1'!$E$115*'CF1'!P115,0)</f>
        <v>0</v>
      </c>
      <c r="Q122" s="159">
        <f>IFERROR(('TS1'!$AT$89+'TS1'!$AS$89)/'CF1'!$E$115*'CF1'!Q115,0)</f>
        <v>0</v>
      </c>
      <c r="R122" s="159">
        <f>IFERROR(('TS1'!$AT$89+'TS1'!$AS$89)/'CF1'!$E$115*'CF1'!R115,0)</f>
        <v>0</v>
      </c>
      <c r="S122" s="159">
        <f>IFERROR(('TS1'!$AT$89+'TS1'!$AS$89)/'CF1'!$E$115*'CF1'!S115,0)</f>
        <v>0</v>
      </c>
      <c r="T122" s="159">
        <f>IFERROR(('TS1'!$AT$89+'TS1'!$AS$89)/'CF1'!$E$115*'CF1'!T115,0)</f>
        <v>0</v>
      </c>
      <c r="U122" s="159">
        <f>IFERROR(('TS1'!$AT$89+'TS1'!$AS$89)/'CF1'!$E$115*'CF1'!U115,0)</f>
        <v>0</v>
      </c>
      <c r="V122" s="159">
        <f>IFERROR(('TS1'!$AT$89+'TS1'!$AS$89)/'CF1'!$E$115*'CF1'!V115,0)</f>
        <v>0</v>
      </c>
      <c r="W122" s="159">
        <f>IFERROR(('TS1'!$AT$89+'TS1'!$AS$89)/'CF1'!$E$115*'CF1'!W115,0)</f>
        <v>0</v>
      </c>
      <c r="X122" s="159">
        <f>IFERROR(('TS1'!$AT$89+'TS1'!$AS$89)/'CF1'!$E$115*'CF1'!X115,0)</f>
        <v>0</v>
      </c>
      <c r="Y122" s="159">
        <f>IFERROR(('TS1'!$AT$89+'TS1'!$AS$89)/'CF1'!$E$115*'CF1'!Y115,0)</f>
        <v>0</v>
      </c>
      <c r="Z122" s="159">
        <f>IFERROR(('TS1'!$AT$89+'TS1'!$AS$89)/'CF1'!$E$115*'CF1'!Z115,0)</f>
        <v>0</v>
      </c>
      <c r="AA122" s="159">
        <f>IFERROR(('TS1'!$AT$89+'TS1'!$AS$89)/'CF1'!$E$115*'CF1'!AA115,0)</f>
        <v>0</v>
      </c>
      <c r="AB122" s="159">
        <f>IFERROR(('TS1'!$AT$89+'TS1'!$AS$89)/'CF1'!$E$115*'CF1'!AB115,0)</f>
        <v>0</v>
      </c>
      <c r="AC122" s="159">
        <f>IFERROR(('TS1'!$AT$89+'TS1'!$AS$89)/'CF1'!$E$115*'CF1'!AC115,0)</f>
        <v>0</v>
      </c>
      <c r="AD122" s="159">
        <f>IFERROR(('TS1'!$AT$89+'TS1'!$AS$89)/'CF1'!$E$115*'CF1'!AD115,0)</f>
        <v>0</v>
      </c>
      <c r="AE122" s="159">
        <f>IFERROR(('TS1'!$AT$89+'TS1'!$AS$89)/'CF1'!$E$115*'CF1'!AE115,0)</f>
        <v>0</v>
      </c>
      <c r="AF122" s="159">
        <f>IFERROR(('TS1'!$AT$89+'TS1'!$AS$89)/'CF1'!$E$115*'CF1'!AF115,0)</f>
        <v>0</v>
      </c>
      <c r="AG122" s="159">
        <f>IFERROR(('TS1'!$AT$89+'TS1'!$AS$89)/'CF1'!$E$115*'CF1'!AG115,0)</f>
        <v>0</v>
      </c>
      <c r="AH122" s="159">
        <f>IFERROR(('TS1'!$AT$89+'TS1'!$AS$89)/'CF1'!$E$115*'CF1'!AH115,0)</f>
        <v>0</v>
      </c>
      <c r="AI122" s="159">
        <f>IFERROR(('TS1'!$AT$89+'TS1'!$AS$89)/'CF1'!$E$115*'CF1'!AI115,0)</f>
        <v>0</v>
      </c>
      <c r="AJ122" s="159">
        <f>IFERROR(('TS1'!$AT$89+'TS1'!$AS$89)/'CF1'!$E$115*'CF1'!AJ115,0)</f>
        <v>0</v>
      </c>
      <c r="AK122" s="159">
        <f>IFERROR(('TS1'!$AT$89+'TS1'!$AS$89)/'CF1'!$E$115*'CF1'!AK115,0)</f>
        <v>0</v>
      </c>
      <c r="AL122" s="159">
        <f>IFERROR(('TS1'!$AT$89+'TS1'!$AS$89)/'CF1'!$E$115*'CF1'!AL115,0)</f>
        <v>0</v>
      </c>
      <c r="AM122" s="159">
        <f>IFERROR(('TS1'!$AT$89+'TS1'!$AS$89)/'CF1'!$E$115*'CF1'!AM115,0)</f>
        <v>0</v>
      </c>
      <c r="AN122" s="159">
        <f>IFERROR(('TS1'!$AT$89+'TS1'!$AS$89)/'CF1'!$E$115*'CF1'!AN115,0)</f>
        <v>0</v>
      </c>
      <c r="AO122" s="159">
        <f>IFERROR(('TS1'!$AT$89+'TS1'!$AS$89)/'CF1'!$E$115*'CF1'!AO115,0)</f>
        <v>0</v>
      </c>
      <c r="AP122" s="159">
        <f>IFERROR(('TS1'!$AT$89+'TS1'!$AS$89)/'CF1'!$E$115*'CF1'!AP115,0)</f>
        <v>0</v>
      </c>
      <c r="AQ122" s="159">
        <f>IFERROR(('TS1'!$AT$89+'TS1'!$AS$89)/'CF1'!$E$115*'CF1'!AQ115,0)</f>
        <v>0</v>
      </c>
      <c r="AR122" s="159">
        <f>IFERROR(('TS1'!$AT$89+'TS1'!$AS$89)/'CF1'!$E$115*'CF1'!AR115,0)</f>
        <v>0</v>
      </c>
      <c r="AS122" s="159">
        <f>IFERROR(('TS1'!$AT$89+'TS1'!$AS$89)/'CF1'!$E$115*'CF1'!AS115,0)</f>
        <v>0</v>
      </c>
      <c r="AT122" s="159">
        <f>IFERROR(('TS1'!$AT$89+'TS1'!$AS$89)/'CF1'!$E$115*'CF1'!AT115,0)</f>
        <v>0</v>
      </c>
      <c r="AU122" s="159">
        <f>IFERROR(('TS1'!$AT$89+'TS1'!$AS$89)/'CF1'!$E$115*'CF1'!AU115,0)</f>
        <v>0</v>
      </c>
      <c r="AV122" s="159">
        <f>IFERROR(('TS1'!$AT$89+'TS1'!$AS$89)/'CF1'!$E$115*'CF1'!AV115,0)</f>
        <v>0</v>
      </c>
      <c r="AW122" s="159">
        <f>IFERROR(('TS1'!$AT$89+'TS1'!$AS$89)/'CF1'!$E$115*'CF1'!AW115,0)</f>
        <v>0</v>
      </c>
      <c r="AX122" s="159">
        <f>IFERROR(('TS1'!$AT$89+'TS1'!$AS$89)/'CF1'!$E$115*'CF1'!AX115,0)</f>
        <v>0</v>
      </c>
      <c r="AY122" s="159">
        <f>IFERROR(('TS1'!$AT$89+'TS1'!$AS$89)/'CF1'!$E$115*'CF1'!AY115,0)</f>
        <v>0</v>
      </c>
      <c r="AZ122" s="159">
        <f>IFERROR(('TS1'!$AT$89+'TS1'!$AS$89)/'CF1'!$E$115*'CF1'!AZ115,0)</f>
        <v>0</v>
      </c>
      <c r="BA122" s="159">
        <f>IFERROR(('TS1'!$AT$89+'TS1'!$AS$89)/'CF1'!$E$115*'CF1'!BA115,0)</f>
        <v>0</v>
      </c>
      <c r="BB122" s="159">
        <f>IFERROR(('TS1'!$AT$89+'TS1'!$AS$89)/'CF1'!$E$115*'CF1'!BB115,0)</f>
        <v>0</v>
      </c>
      <c r="BC122" s="159">
        <f>IFERROR(('TS1'!$AT$89+'TS1'!$AS$89)/'CF1'!$E$115*'CF1'!BC115,0)</f>
        <v>0</v>
      </c>
      <c r="BD122" s="159">
        <f>IFERROR(('TS1'!$AT$89+'TS1'!$AS$89)/'CF1'!$E$115*'CF1'!BD115,0)</f>
        <v>0</v>
      </c>
      <c r="BE122" s="159">
        <f>IFERROR(('TS1'!$AT$89+'TS1'!$AS$89)/'CF1'!$E$115*'CF1'!BE115,0)</f>
        <v>0</v>
      </c>
      <c r="BF122" s="159">
        <f>IFERROR(('TS1'!$AT$89+'TS1'!$AS$89)/'CF1'!$E$115*'CF1'!BF115,0)</f>
        <v>0</v>
      </c>
      <c r="BG122" s="159">
        <f>IFERROR(('TS1'!$AT$89+'TS1'!$AS$89)/'CF1'!$E$115*'CF1'!BG115,0)</f>
        <v>0</v>
      </c>
      <c r="BH122" s="159">
        <f>IFERROR(('TS1'!$AT$89+'TS1'!$AS$89)/'CF1'!$E$115*'CF1'!BH115,0)</f>
        <v>0</v>
      </c>
      <c r="BI122" s="159">
        <f>IFERROR(('TS1'!$AT$89+'TS1'!$AS$89)/'CF1'!$E$115*'CF1'!BI115,0)</f>
        <v>0</v>
      </c>
      <c r="BJ122" s="159">
        <f>IFERROR(('TS1'!$AT$89+'TS1'!$AS$89)/'CF1'!$E$115*'CF1'!BJ115,0)</f>
        <v>0</v>
      </c>
      <c r="BK122" s="159">
        <f>IFERROR(('TS1'!$AT$89+'TS1'!$AS$89)/'CF1'!$E$115*'CF1'!BK115,0)</f>
        <v>0</v>
      </c>
      <c r="BL122" s="159">
        <f>IFERROR(('TS1'!$AT$89+'TS1'!$AS$89)/'CF1'!$E$115*'CF1'!BL115,0)</f>
        <v>0</v>
      </c>
      <c r="BM122" s="159">
        <f>IFERROR(('TS1'!$AT$89+'TS1'!$AS$89)/'CF1'!$E$115*'CF1'!BM115,0)</f>
        <v>0</v>
      </c>
    </row>
    <row r="123" spans="1:65" s="134" customFormat="1" hidden="1" outlineLevel="1">
      <c r="B123" s="157"/>
      <c r="C123" s="157"/>
      <c r="D123" s="158" t="str">
        <f t="shared" si="66"/>
        <v>РИТЕЙЛ</v>
      </c>
      <c r="E123" s="154">
        <f t="shared" si="62"/>
        <v>151.68290926241087</v>
      </c>
      <c r="F123" s="159">
        <f>IFERROR('TS1'!$AT$90/'CF1'!$E$116*'CF1'!F116,0)</f>
        <v>0</v>
      </c>
      <c r="G123" s="159">
        <f>IFERROR('TS1'!$AT$90/'CF1'!$E$116*'CF1'!G116,0)</f>
        <v>0</v>
      </c>
      <c r="H123" s="159">
        <f>IFERROR('TS1'!$AT$90/'CF1'!$E$116*'CF1'!H116,0)</f>
        <v>0</v>
      </c>
      <c r="I123" s="159">
        <f>IFERROR('TS1'!$AT$90/'CF1'!$E$116*'CF1'!I116,0)</f>
        <v>0</v>
      </c>
      <c r="J123" s="159">
        <f>IFERROR('TS1'!$AT$90/'CF1'!$E$116*'CF1'!J116,0)</f>
        <v>0</v>
      </c>
      <c r="K123" s="159">
        <f>IFERROR('TS1'!$AT$90/'CF1'!$E$116*'CF1'!K116,0)</f>
        <v>0</v>
      </c>
      <c r="L123" s="159">
        <f>IFERROR('TS1'!$AT$90/'CF1'!$E$116*'CF1'!L116,0)</f>
        <v>0</v>
      </c>
      <c r="M123" s="159">
        <f>IFERROR('TS1'!$AT$90/'CF1'!$E$116*'CF1'!M116,0)</f>
        <v>0</v>
      </c>
      <c r="N123" s="159">
        <f>IFERROR('TS1'!$AT$90/'CF1'!$E$116*'CF1'!N116,0)</f>
        <v>0</v>
      </c>
      <c r="O123" s="159">
        <f>IFERROR('TS1'!$AT$90/'CF1'!$E$116*'CF1'!O116,0)</f>
        <v>0</v>
      </c>
      <c r="P123" s="159">
        <f>IFERROR('TS1'!$AT$90/'CF1'!$E$116*'CF1'!P116,0)</f>
        <v>0</v>
      </c>
      <c r="Q123" s="159">
        <f>IFERROR('TS1'!$AT$90/'CF1'!$E$116*'CF1'!Q116,0)</f>
        <v>0</v>
      </c>
      <c r="R123" s="159">
        <f>IFERROR('TS1'!$AT$90/'CF1'!$E$116*'CF1'!R116,0)</f>
        <v>0</v>
      </c>
      <c r="S123" s="159">
        <f>IFERROR('TS1'!$AT$90/'CF1'!$E$116*'CF1'!S116,0)</f>
        <v>0</v>
      </c>
      <c r="T123" s="159">
        <f>IFERROR('TS1'!$AT$90/'CF1'!$E$116*'CF1'!T116,0)</f>
        <v>0</v>
      </c>
      <c r="U123" s="159">
        <f>IFERROR('TS1'!$AT$90/'CF1'!$E$116*'CF1'!U116,0)</f>
        <v>0</v>
      </c>
      <c r="V123" s="159">
        <f>IFERROR('TS1'!$AT$90/'CF1'!$E$116*'CF1'!V116,0)</f>
        <v>0</v>
      </c>
      <c r="W123" s="159">
        <f>IFERROR('TS1'!$AT$90/'CF1'!$E$116*'CF1'!W116,0)</f>
        <v>0</v>
      </c>
      <c r="X123" s="159">
        <f>IFERROR('TS1'!$AT$90/'CF1'!$E$116*'CF1'!X116,0)</f>
        <v>0</v>
      </c>
      <c r="Y123" s="159">
        <f>IFERROR('TS1'!$AT$90/'CF1'!$E$116*'CF1'!Y116,0)</f>
        <v>0</v>
      </c>
      <c r="Z123" s="159">
        <f>IFERROR('TS1'!$AT$90/'CF1'!$E$116*'CF1'!Z116,0)</f>
        <v>0</v>
      </c>
      <c r="AA123" s="159">
        <f>IFERROR('TS1'!$AT$90/'CF1'!$E$116*'CF1'!AA116,0)</f>
        <v>0</v>
      </c>
      <c r="AB123" s="159">
        <f>IFERROR('TS1'!$AT$90/'CF1'!$E$116*'CF1'!AB116,0)</f>
        <v>0</v>
      </c>
      <c r="AC123" s="159">
        <f>IFERROR('TS1'!$AT$90/'CF1'!$E$116*'CF1'!AC116,0)</f>
        <v>0</v>
      </c>
      <c r="AD123" s="159">
        <f>IFERROR('TS1'!$AT$90/'CF1'!$E$116*'CF1'!AD116,0)</f>
        <v>0</v>
      </c>
      <c r="AE123" s="159">
        <f>IFERROR('TS1'!$AT$90/'CF1'!$E$116*'CF1'!AE116,0)</f>
        <v>0</v>
      </c>
      <c r="AF123" s="159">
        <f>IFERROR('TS1'!$AT$90/'CF1'!$E$116*'CF1'!AF116,0)</f>
        <v>0</v>
      </c>
      <c r="AG123" s="159">
        <f>IFERROR('TS1'!$AT$90/'CF1'!$E$116*'CF1'!AG116,0)</f>
        <v>75.841454631205437</v>
      </c>
      <c r="AH123" s="159">
        <f>IFERROR('TS1'!$AT$90/'CF1'!$E$116*'CF1'!AH116,0)</f>
        <v>75.841454631205437</v>
      </c>
      <c r="AI123" s="159">
        <f>IFERROR('TS1'!$AT$90/'CF1'!$E$116*'CF1'!AI116,0)</f>
        <v>0</v>
      </c>
      <c r="AJ123" s="159">
        <f>IFERROR('TS1'!$AT$90/'CF1'!$E$116*'CF1'!AJ116,0)</f>
        <v>0</v>
      </c>
      <c r="AK123" s="159">
        <f>IFERROR('TS1'!$AT$90/'CF1'!$E$116*'CF1'!AK116,0)</f>
        <v>0</v>
      </c>
      <c r="AL123" s="159">
        <f>IFERROR('TS1'!$AT$90/'CF1'!$E$116*'CF1'!AL116,0)</f>
        <v>0</v>
      </c>
      <c r="AM123" s="159">
        <f>IFERROR('TS1'!$AT$90/'CF1'!$E$116*'CF1'!AM116,0)</f>
        <v>0</v>
      </c>
      <c r="AN123" s="159">
        <f>IFERROR('TS1'!$AT$90/'CF1'!$E$116*'CF1'!AN116,0)</f>
        <v>0</v>
      </c>
      <c r="AO123" s="159">
        <f>IFERROR('TS1'!$AT$90/'CF1'!$E$116*'CF1'!AO116,0)</f>
        <v>0</v>
      </c>
      <c r="AP123" s="159">
        <f>IFERROR('TS1'!$AT$90/'CF1'!$E$116*'CF1'!AP116,0)</f>
        <v>0</v>
      </c>
      <c r="AQ123" s="159">
        <f>IFERROR('TS1'!$AT$90/'CF1'!$E$116*'CF1'!AQ116,0)</f>
        <v>0</v>
      </c>
      <c r="AR123" s="159">
        <f>IFERROR('TS1'!$AT$90/'CF1'!$E$116*'CF1'!AR116,0)</f>
        <v>0</v>
      </c>
      <c r="AS123" s="159">
        <f>IFERROR('TS1'!$AT$90/'CF1'!$E$116*'CF1'!AS116,0)</f>
        <v>0</v>
      </c>
      <c r="AT123" s="159">
        <f>IFERROR('TS1'!$AT$90/'CF1'!$E$116*'CF1'!AT116,0)</f>
        <v>0</v>
      </c>
      <c r="AU123" s="159">
        <f>IFERROR('TS1'!$AT$90/'CF1'!$E$116*'CF1'!AU116,0)</f>
        <v>0</v>
      </c>
      <c r="AV123" s="159">
        <f>IFERROR('TS1'!$AT$90/'CF1'!$E$116*'CF1'!AV116,0)</f>
        <v>0</v>
      </c>
      <c r="AW123" s="159">
        <f>IFERROR('TS1'!$AT$90/'CF1'!$E$116*'CF1'!AW116,0)</f>
        <v>0</v>
      </c>
      <c r="AX123" s="159">
        <f>IFERROR('TS1'!$AT$90/'CF1'!$E$116*'CF1'!AX116,0)</f>
        <v>0</v>
      </c>
      <c r="AY123" s="159">
        <f>IFERROR('TS1'!$AT$90/'CF1'!$E$116*'CF1'!AY116,0)</f>
        <v>0</v>
      </c>
      <c r="AZ123" s="159">
        <f>IFERROR('TS1'!$AT$90/'CF1'!$E$116*'CF1'!AZ116,0)</f>
        <v>0</v>
      </c>
      <c r="BA123" s="159">
        <f>IFERROR('TS1'!$AT$90/'CF1'!$E$116*'CF1'!BA116,0)</f>
        <v>0</v>
      </c>
      <c r="BB123" s="159">
        <f>IFERROR('TS1'!$AT$90/'CF1'!$E$116*'CF1'!BB116,0)</f>
        <v>0</v>
      </c>
      <c r="BC123" s="159">
        <f>IFERROR('TS1'!$AT$90/'CF1'!$E$116*'CF1'!BC116,0)</f>
        <v>0</v>
      </c>
      <c r="BD123" s="159">
        <f>IFERROR('TS1'!$AT$90/'CF1'!$E$116*'CF1'!BD116,0)</f>
        <v>0</v>
      </c>
      <c r="BE123" s="159">
        <f>IFERROR('TS1'!$AT$90/'CF1'!$E$116*'CF1'!BE116,0)</f>
        <v>0</v>
      </c>
      <c r="BF123" s="159">
        <f>IFERROR('TS1'!$AT$90/'CF1'!$E$116*'CF1'!BF116,0)</f>
        <v>0</v>
      </c>
      <c r="BG123" s="159">
        <f>IFERROR('TS1'!$AT$90/'CF1'!$E$116*'CF1'!BG116,0)</f>
        <v>0</v>
      </c>
      <c r="BH123" s="159">
        <f>IFERROR('TS1'!$AT$90/'CF1'!$E$116*'CF1'!BH116,0)</f>
        <v>0</v>
      </c>
      <c r="BI123" s="159">
        <f>IFERROR('TS1'!$AT$90/'CF1'!$E$116*'CF1'!BI116,0)</f>
        <v>0</v>
      </c>
      <c r="BJ123" s="159">
        <f>IFERROR('TS1'!$AT$90/'CF1'!$E$116*'CF1'!BJ116,0)</f>
        <v>0</v>
      </c>
      <c r="BK123" s="159">
        <f>IFERROR('TS1'!$AT$90/'CF1'!$E$116*'CF1'!BK116,0)</f>
        <v>0</v>
      </c>
      <c r="BL123" s="159">
        <f>IFERROR('TS1'!$AT$90/'CF1'!$E$116*'CF1'!BL116,0)</f>
        <v>0</v>
      </c>
      <c r="BM123" s="159">
        <f>IFERROR('TS1'!$AT$90/'CF1'!$E$116*'CF1'!BM116,0)</f>
        <v>0</v>
      </c>
    </row>
    <row r="124" spans="1:65" s="134" customFormat="1" hidden="1" outlineLevel="1">
      <c r="B124" s="157"/>
      <c r="C124" s="157"/>
      <c r="D124" s="158" t="str">
        <f t="shared" si="66"/>
        <v>ТЦ</v>
      </c>
      <c r="E124" s="154">
        <f t="shared" si="62"/>
        <v>0</v>
      </c>
      <c r="F124" s="159">
        <f>IFERROR(('TS1'!$AT$91+'TS1'!$AS$91)/'CF1'!$E$117*'CF1'!F117,0)</f>
        <v>0</v>
      </c>
      <c r="G124" s="159">
        <f>IFERROR(('TS1'!$AT$91+'TS1'!$AS$91)/'CF1'!$E$117*'CF1'!G117,0)</f>
        <v>0</v>
      </c>
      <c r="H124" s="159">
        <f>IFERROR(('TS1'!$AT$91+'TS1'!$AS$91)/'CF1'!$E$117*'CF1'!H117,0)</f>
        <v>0</v>
      </c>
      <c r="I124" s="159">
        <f>IFERROR(('TS1'!$AT$91+'TS1'!$AS$91)/'CF1'!$E$117*'CF1'!I117,0)</f>
        <v>0</v>
      </c>
      <c r="J124" s="159">
        <f>IFERROR(('TS1'!$AT$91+'TS1'!$AS$91)/'CF1'!$E$117*'CF1'!J117,0)</f>
        <v>0</v>
      </c>
      <c r="K124" s="159">
        <f>IFERROR(('TS1'!$AT$91+'TS1'!$AS$91)/'CF1'!$E$117*'CF1'!K117,0)</f>
        <v>0</v>
      </c>
      <c r="L124" s="159">
        <f>IFERROR(('TS1'!$AT$91+'TS1'!$AS$91)/'CF1'!$E$117*'CF1'!L117,0)</f>
        <v>0</v>
      </c>
      <c r="M124" s="159">
        <f>IFERROR(('TS1'!$AT$91+'TS1'!$AS$91)/'CF1'!$E$117*'CF1'!M117,0)</f>
        <v>0</v>
      </c>
      <c r="N124" s="159">
        <f>IFERROR(('TS1'!$AT$91+'TS1'!$AS$91)/'CF1'!$E$117*'CF1'!N117,0)</f>
        <v>0</v>
      </c>
      <c r="O124" s="159">
        <f>IFERROR(('TS1'!$AT$91+'TS1'!$AS$91)/'CF1'!$E$117*'CF1'!O117,0)</f>
        <v>0</v>
      </c>
      <c r="P124" s="159">
        <f>IFERROR(('TS1'!$AT$91+'TS1'!$AS$91)/'CF1'!$E$117*'CF1'!P117,0)</f>
        <v>0</v>
      </c>
      <c r="Q124" s="159">
        <f>IFERROR(('TS1'!$AT$91+'TS1'!$AS$91)/'CF1'!$E$117*'CF1'!Q117,0)</f>
        <v>0</v>
      </c>
      <c r="R124" s="159">
        <f>IFERROR(('TS1'!$AT$91+'TS1'!$AS$91)/'CF1'!$E$117*'CF1'!R117,0)</f>
        <v>0</v>
      </c>
      <c r="S124" s="159">
        <f>IFERROR(('TS1'!$AT$91+'TS1'!$AS$91)/'CF1'!$E$117*'CF1'!S117,0)</f>
        <v>0</v>
      </c>
      <c r="T124" s="159">
        <f>IFERROR(('TS1'!$AT$91+'TS1'!$AS$91)/'CF1'!$E$117*'CF1'!T117,0)</f>
        <v>0</v>
      </c>
      <c r="U124" s="159">
        <f>IFERROR(('TS1'!$AT$91+'TS1'!$AS$91)/'CF1'!$E$117*'CF1'!U117,0)</f>
        <v>0</v>
      </c>
      <c r="V124" s="159">
        <f>IFERROR(('TS1'!$AT$91+'TS1'!$AS$91)/'CF1'!$E$117*'CF1'!V117,0)</f>
        <v>0</v>
      </c>
      <c r="W124" s="159">
        <f>IFERROR(('TS1'!$AT$91+'TS1'!$AS$91)/'CF1'!$E$117*'CF1'!W117,0)</f>
        <v>0</v>
      </c>
      <c r="X124" s="159">
        <f>IFERROR(('TS1'!$AT$91+'TS1'!$AS$91)/'CF1'!$E$117*'CF1'!X117,0)</f>
        <v>0</v>
      </c>
      <c r="Y124" s="159">
        <f>IFERROR(('TS1'!$AT$91+'TS1'!$AS$91)/'CF1'!$E$117*'CF1'!Y117,0)</f>
        <v>0</v>
      </c>
      <c r="Z124" s="159">
        <f>IFERROR(('TS1'!$AT$91+'TS1'!$AS$91)/'CF1'!$E$117*'CF1'!Z117,0)</f>
        <v>0</v>
      </c>
      <c r="AA124" s="159">
        <f>IFERROR(('TS1'!$AT$91+'TS1'!$AS$91)/'CF1'!$E$117*'CF1'!AA117,0)</f>
        <v>0</v>
      </c>
      <c r="AB124" s="159">
        <f>IFERROR(('TS1'!$AT$91+'TS1'!$AS$91)/'CF1'!$E$117*'CF1'!AB117,0)</f>
        <v>0</v>
      </c>
      <c r="AC124" s="159">
        <f>IFERROR(('TS1'!$AT$91+'TS1'!$AS$91)/'CF1'!$E$117*'CF1'!AC117,0)</f>
        <v>0</v>
      </c>
      <c r="AD124" s="159">
        <f>IFERROR(('TS1'!$AT$91+'TS1'!$AS$91)/'CF1'!$E$117*'CF1'!AD117,0)</f>
        <v>0</v>
      </c>
      <c r="AE124" s="159">
        <f>IFERROR(('TS1'!$AT$91+'TS1'!$AS$91)/'CF1'!$E$117*'CF1'!AE117,0)</f>
        <v>0</v>
      </c>
      <c r="AF124" s="159">
        <f>IFERROR(('TS1'!$AT$91+'TS1'!$AS$91)/'CF1'!$E$117*'CF1'!AF117,0)</f>
        <v>0</v>
      </c>
      <c r="AG124" s="159">
        <f>IFERROR(('TS1'!$AT$91+'TS1'!$AS$91)/'CF1'!$E$117*'CF1'!AG117,0)</f>
        <v>0</v>
      </c>
      <c r="AH124" s="159">
        <f>IFERROR(('TS1'!$AT$91+'TS1'!$AS$91)/'CF1'!$E$117*'CF1'!AH117,0)</f>
        <v>0</v>
      </c>
      <c r="AI124" s="159">
        <f>IFERROR(('TS1'!$AT$91+'TS1'!$AS$91)/'CF1'!$E$117*'CF1'!AI117,0)</f>
        <v>0</v>
      </c>
      <c r="AJ124" s="159">
        <f>IFERROR(('TS1'!$AT$91+'TS1'!$AS$91)/'CF1'!$E$117*'CF1'!AJ117,0)</f>
        <v>0</v>
      </c>
      <c r="AK124" s="159">
        <f>IFERROR(('TS1'!$AT$91+'TS1'!$AS$91)/'CF1'!$E$117*'CF1'!AK117,0)</f>
        <v>0</v>
      </c>
      <c r="AL124" s="159">
        <f>IFERROR(('TS1'!$AT$91+'TS1'!$AS$91)/'CF1'!$E$117*'CF1'!AL117,0)</f>
        <v>0</v>
      </c>
      <c r="AM124" s="159">
        <f>IFERROR(('TS1'!$AT$91+'TS1'!$AS$91)/'CF1'!$E$117*'CF1'!AM117,0)</f>
        <v>0</v>
      </c>
      <c r="AN124" s="159">
        <f>IFERROR(('TS1'!$AT$91+'TS1'!$AS$91)/'CF1'!$E$117*'CF1'!AN117,0)</f>
        <v>0</v>
      </c>
      <c r="AO124" s="159">
        <f>IFERROR(('TS1'!$AT$91+'TS1'!$AS$91)/'CF1'!$E$117*'CF1'!AO117,0)</f>
        <v>0</v>
      </c>
      <c r="AP124" s="159">
        <f>IFERROR(('TS1'!$AT$91+'TS1'!$AS$91)/'CF1'!$E$117*'CF1'!AP117,0)</f>
        <v>0</v>
      </c>
      <c r="AQ124" s="159">
        <f>IFERROR(('TS1'!$AT$91+'TS1'!$AS$91)/'CF1'!$E$117*'CF1'!AQ117,0)</f>
        <v>0</v>
      </c>
      <c r="AR124" s="159">
        <f>IFERROR(('TS1'!$AT$91+'TS1'!$AS$91)/'CF1'!$E$117*'CF1'!AR117,0)</f>
        <v>0</v>
      </c>
      <c r="AS124" s="159">
        <f>IFERROR(('TS1'!$AT$91+'TS1'!$AS$91)/'CF1'!$E$117*'CF1'!AS117,0)</f>
        <v>0</v>
      </c>
      <c r="AT124" s="159">
        <f>IFERROR(('TS1'!$AT$91+'TS1'!$AS$91)/'CF1'!$E$117*'CF1'!AT117,0)</f>
        <v>0</v>
      </c>
      <c r="AU124" s="159">
        <f>IFERROR(('TS1'!$AT$91+'TS1'!$AS$91)/'CF1'!$E$117*'CF1'!AU117,0)</f>
        <v>0</v>
      </c>
      <c r="AV124" s="159">
        <f>IFERROR(('TS1'!$AT$91+'TS1'!$AS$91)/'CF1'!$E$117*'CF1'!AV117,0)</f>
        <v>0</v>
      </c>
      <c r="AW124" s="159">
        <f>IFERROR(('TS1'!$AT$91+'TS1'!$AS$91)/'CF1'!$E$117*'CF1'!AW117,0)</f>
        <v>0</v>
      </c>
      <c r="AX124" s="159">
        <f>IFERROR(('TS1'!$AT$91+'TS1'!$AS$91)/'CF1'!$E$117*'CF1'!AX117,0)</f>
        <v>0</v>
      </c>
      <c r="AY124" s="159">
        <f>IFERROR(('TS1'!$AT$91+'TS1'!$AS$91)/'CF1'!$E$117*'CF1'!AY117,0)</f>
        <v>0</v>
      </c>
      <c r="AZ124" s="159">
        <f>IFERROR(('TS1'!$AT$91+'TS1'!$AS$91)/'CF1'!$E$117*'CF1'!AZ117,0)</f>
        <v>0</v>
      </c>
      <c r="BA124" s="159">
        <f>IFERROR(('TS1'!$AT$91+'TS1'!$AS$91)/'CF1'!$E$117*'CF1'!BA117,0)</f>
        <v>0</v>
      </c>
      <c r="BB124" s="159">
        <f>IFERROR(('TS1'!$AT$91+'TS1'!$AS$91)/'CF1'!$E$117*'CF1'!BB117,0)</f>
        <v>0</v>
      </c>
      <c r="BC124" s="159">
        <f>IFERROR(('TS1'!$AT$91+'TS1'!$AS$91)/'CF1'!$E$117*'CF1'!BC117,0)</f>
        <v>0</v>
      </c>
      <c r="BD124" s="159">
        <f>IFERROR(('TS1'!$AT$91+'TS1'!$AS$91)/'CF1'!$E$117*'CF1'!BD117,0)</f>
        <v>0</v>
      </c>
      <c r="BE124" s="159">
        <f>IFERROR(('TS1'!$AT$91+'TS1'!$AS$91)/'CF1'!$E$117*'CF1'!BE117,0)</f>
        <v>0</v>
      </c>
      <c r="BF124" s="159">
        <f>IFERROR(('TS1'!$AT$91+'TS1'!$AS$91)/'CF1'!$E$117*'CF1'!BF117,0)</f>
        <v>0</v>
      </c>
      <c r="BG124" s="159">
        <f>IFERROR(('TS1'!$AT$91+'TS1'!$AS$91)/'CF1'!$E$117*'CF1'!BG117,0)</f>
        <v>0</v>
      </c>
      <c r="BH124" s="159">
        <f>IFERROR(('TS1'!$AT$91+'TS1'!$AS$91)/'CF1'!$E$117*'CF1'!BH117,0)</f>
        <v>0</v>
      </c>
      <c r="BI124" s="159">
        <f>IFERROR(('TS1'!$AT$91+'TS1'!$AS$91)/'CF1'!$E$117*'CF1'!BI117,0)</f>
        <v>0</v>
      </c>
      <c r="BJ124" s="159">
        <f>IFERROR(('TS1'!$AT$91+'TS1'!$AS$91)/'CF1'!$E$117*'CF1'!BJ117,0)</f>
        <v>0</v>
      </c>
      <c r="BK124" s="159">
        <f>IFERROR(('TS1'!$AT$91+'TS1'!$AS$91)/'CF1'!$E$117*'CF1'!BK117,0)</f>
        <v>0</v>
      </c>
      <c r="BL124" s="159">
        <f>IFERROR(('TS1'!$AT$91+'TS1'!$AS$91)/'CF1'!$E$117*'CF1'!BL117,0)</f>
        <v>0</v>
      </c>
      <c r="BM124" s="159">
        <f>IFERROR(('TS1'!$AT$91+'TS1'!$AS$91)/'CF1'!$E$117*'CF1'!BM117,0)</f>
        <v>0</v>
      </c>
    </row>
    <row r="125" spans="1:65" s="134" customFormat="1" hidden="1" outlineLevel="1">
      <c r="B125" s="157"/>
      <c r="C125" s="157"/>
      <c r="D125" s="158" t="str">
        <f t="shared" si="66"/>
        <v>ПАРКИНГ ЖИЛЬЕ</v>
      </c>
      <c r="E125" s="154">
        <f t="shared" si="62"/>
        <v>179.25</v>
      </c>
      <c r="F125" s="159">
        <f>IFERROR('TS1'!$AT$92/'CF1'!$E$118*'CF1'!F118,0)</f>
        <v>0</v>
      </c>
      <c r="G125" s="159">
        <f>IFERROR('TS1'!$AT$92/'CF1'!$E$118*'CF1'!G118,0)</f>
        <v>0</v>
      </c>
      <c r="H125" s="159">
        <f>IFERROR('TS1'!$AT$92/'CF1'!$E$118*'CF1'!H118,0)</f>
        <v>0</v>
      </c>
      <c r="I125" s="159">
        <f>IFERROR('TS1'!$AT$92/'CF1'!$E$118*'CF1'!I118,0)</f>
        <v>0</v>
      </c>
      <c r="J125" s="159">
        <f>IFERROR('TS1'!$AT$92/'CF1'!$E$118*'CF1'!J118,0)</f>
        <v>0</v>
      </c>
      <c r="K125" s="159">
        <f>IFERROR('TS1'!$AT$92/'CF1'!$E$118*'CF1'!K118,0)</f>
        <v>0</v>
      </c>
      <c r="L125" s="159">
        <f>IFERROR('TS1'!$AT$92/'CF1'!$E$118*'CF1'!L118,0)</f>
        <v>0</v>
      </c>
      <c r="M125" s="159">
        <f>IFERROR('TS1'!$AT$92/'CF1'!$E$118*'CF1'!M118,0)</f>
        <v>0</v>
      </c>
      <c r="N125" s="159">
        <f>IFERROR('TS1'!$AT$92/'CF1'!$E$118*'CF1'!N118,0)</f>
        <v>0</v>
      </c>
      <c r="O125" s="159">
        <f>IFERROR('TS1'!$AT$92/'CF1'!$E$118*'CF1'!O118,0)</f>
        <v>0</v>
      </c>
      <c r="P125" s="159">
        <f>IFERROR('TS1'!$AT$92/'CF1'!$E$118*'CF1'!P118,0)</f>
        <v>0</v>
      </c>
      <c r="Q125" s="159">
        <f>IFERROR('TS1'!$AT$92/'CF1'!$E$118*'CF1'!Q118,0)</f>
        <v>0</v>
      </c>
      <c r="R125" s="159">
        <f>IFERROR('TS1'!$AT$92/'CF1'!$E$118*'CF1'!R118,0)</f>
        <v>0</v>
      </c>
      <c r="S125" s="159">
        <f>IFERROR('TS1'!$AT$92/'CF1'!$E$118*'CF1'!S118,0)</f>
        <v>0</v>
      </c>
      <c r="T125" s="159">
        <f>IFERROR('TS1'!$AT$92/'CF1'!$E$118*'CF1'!T118,0)</f>
        <v>0</v>
      </c>
      <c r="U125" s="159">
        <f>IFERROR('TS1'!$AT$92/'CF1'!$E$118*'CF1'!U118,0)</f>
        <v>0</v>
      </c>
      <c r="V125" s="159">
        <f>IFERROR('TS1'!$AT$92/'CF1'!$E$118*'CF1'!V118,0)</f>
        <v>0</v>
      </c>
      <c r="W125" s="159">
        <f>IFERROR('TS1'!$AT$92/'CF1'!$E$118*'CF1'!W118,0)</f>
        <v>0</v>
      </c>
      <c r="X125" s="159">
        <f>IFERROR('TS1'!$AT$92/'CF1'!$E$118*'CF1'!X118,0)</f>
        <v>0</v>
      </c>
      <c r="Y125" s="159">
        <f>IFERROR('TS1'!$AT$92/'CF1'!$E$118*'CF1'!Y118,0)</f>
        <v>0</v>
      </c>
      <c r="Z125" s="159">
        <f>IFERROR('TS1'!$AT$92/'CF1'!$E$118*'CF1'!Z118,0)</f>
        <v>0</v>
      </c>
      <c r="AA125" s="159">
        <f>IFERROR('TS1'!$AT$92/'CF1'!$E$118*'CF1'!AA118,0)</f>
        <v>0</v>
      </c>
      <c r="AB125" s="159">
        <f>IFERROR('TS1'!$AT$92/'CF1'!$E$118*'CF1'!AB118,0)</f>
        <v>0</v>
      </c>
      <c r="AC125" s="159">
        <f>IFERROR('TS1'!$AT$92/'CF1'!$E$118*'CF1'!AC118,0)</f>
        <v>0</v>
      </c>
      <c r="AD125" s="159">
        <f>IFERROR('TS1'!$AT$92/'CF1'!$E$118*'CF1'!AD118,0)</f>
        <v>0</v>
      </c>
      <c r="AE125" s="159">
        <f>IFERROR('TS1'!$AT$92/'CF1'!$E$118*'CF1'!AE118,0)</f>
        <v>0</v>
      </c>
      <c r="AF125" s="159">
        <f>IFERROR('TS1'!$AT$92/'CF1'!$E$118*'CF1'!AF118,0)</f>
        <v>22.5</v>
      </c>
      <c r="AG125" s="159">
        <f>IFERROR('TS1'!$AT$92/'CF1'!$E$118*'CF1'!AG118,0)</f>
        <v>22.5</v>
      </c>
      <c r="AH125" s="159">
        <f>IFERROR('TS1'!$AT$92/'CF1'!$E$118*'CF1'!AH118,0)</f>
        <v>22.5</v>
      </c>
      <c r="AI125" s="159">
        <f>IFERROR('TS1'!$AT$92/'CF1'!$E$118*'CF1'!AI118,0)</f>
        <v>22.5</v>
      </c>
      <c r="AJ125" s="159">
        <f>IFERROR('TS1'!$AT$92/'CF1'!$E$118*'CF1'!AJ118,0)</f>
        <v>22.5</v>
      </c>
      <c r="AK125" s="159">
        <f>IFERROR('TS1'!$AT$92/'CF1'!$E$118*'CF1'!AK118,0)</f>
        <v>22.5</v>
      </c>
      <c r="AL125" s="159">
        <f>IFERROR('TS1'!$AT$92/'CF1'!$E$118*'CF1'!AL118,0)</f>
        <v>22.5</v>
      </c>
      <c r="AM125" s="159">
        <f>IFERROR('TS1'!$AT$92/'CF1'!$E$118*'CF1'!AM118,0)</f>
        <v>21.75</v>
      </c>
      <c r="AN125" s="159">
        <f>IFERROR('TS1'!$AT$92/'CF1'!$E$118*'CF1'!AN118,0)</f>
        <v>0</v>
      </c>
      <c r="AO125" s="159">
        <f>IFERROR('TS1'!$AT$92/'CF1'!$E$118*'CF1'!AO118,0)</f>
        <v>0</v>
      </c>
      <c r="AP125" s="159">
        <f>IFERROR('TS1'!$AT$92/'CF1'!$E$118*'CF1'!AP118,0)</f>
        <v>0</v>
      </c>
      <c r="AQ125" s="159">
        <f>IFERROR('TS1'!$AT$92/'CF1'!$E$118*'CF1'!AQ118,0)</f>
        <v>0</v>
      </c>
      <c r="AR125" s="159">
        <f>IFERROR('TS1'!$AT$92/'CF1'!$E$118*'CF1'!AR118,0)</f>
        <v>0</v>
      </c>
      <c r="AS125" s="159">
        <f>IFERROR('TS1'!$AT$92/'CF1'!$E$118*'CF1'!AS118,0)</f>
        <v>0</v>
      </c>
      <c r="AT125" s="159">
        <f>IFERROR('TS1'!$AT$92/'CF1'!$E$118*'CF1'!AT118,0)</f>
        <v>0</v>
      </c>
      <c r="AU125" s="159">
        <f>IFERROR('TS1'!$AT$92/'CF1'!$E$118*'CF1'!AU118,0)</f>
        <v>0</v>
      </c>
      <c r="AV125" s="159">
        <f>IFERROR('TS1'!$AT$92/'CF1'!$E$118*'CF1'!AV118,0)</f>
        <v>0</v>
      </c>
      <c r="AW125" s="159">
        <f>IFERROR('TS1'!$AT$92/'CF1'!$E$118*'CF1'!AW118,0)</f>
        <v>0</v>
      </c>
      <c r="AX125" s="159">
        <f>IFERROR('TS1'!$AT$92/'CF1'!$E$118*'CF1'!AX118,0)</f>
        <v>0</v>
      </c>
      <c r="AY125" s="159">
        <f>IFERROR('TS1'!$AT$92/'CF1'!$E$118*'CF1'!AY118,0)</f>
        <v>0</v>
      </c>
      <c r="AZ125" s="159">
        <f>IFERROR('TS1'!$AT$92/'CF1'!$E$118*'CF1'!AZ118,0)</f>
        <v>0</v>
      </c>
      <c r="BA125" s="159">
        <f>IFERROR('TS1'!$AT$92/'CF1'!$E$118*'CF1'!BA118,0)</f>
        <v>0</v>
      </c>
      <c r="BB125" s="159">
        <f>IFERROR('TS1'!$AT$92/'CF1'!$E$118*'CF1'!BB118,0)</f>
        <v>0</v>
      </c>
      <c r="BC125" s="159">
        <f>IFERROR('TS1'!$AT$92/'CF1'!$E$118*'CF1'!BC118,0)</f>
        <v>0</v>
      </c>
      <c r="BD125" s="159">
        <f>IFERROR('TS1'!$AT$92/'CF1'!$E$118*'CF1'!BD118,0)</f>
        <v>0</v>
      </c>
      <c r="BE125" s="159">
        <f>IFERROR('TS1'!$AT$92/'CF1'!$E$118*'CF1'!BE118,0)</f>
        <v>0</v>
      </c>
      <c r="BF125" s="159">
        <f>IFERROR('TS1'!$AT$92/'CF1'!$E$118*'CF1'!BF118,0)</f>
        <v>0</v>
      </c>
      <c r="BG125" s="159">
        <f>IFERROR('TS1'!$AT$92/'CF1'!$E$118*'CF1'!BG118,0)</f>
        <v>0</v>
      </c>
      <c r="BH125" s="159">
        <f>IFERROR('TS1'!$AT$92/'CF1'!$E$118*'CF1'!BH118,0)</f>
        <v>0</v>
      </c>
      <c r="BI125" s="159">
        <f>IFERROR('TS1'!$AT$92/'CF1'!$E$118*'CF1'!BI118,0)</f>
        <v>0</v>
      </c>
      <c r="BJ125" s="159">
        <f>IFERROR('TS1'!$AT$92/'CF1'!$E$118*'CF1'!BJ118,0)</f>
        <v>0</v>
      </c>
      <c r="BK125" s="159">
        <f>IFERROR('TS1'!$AT$92/'CF1'!$E$118*'CF1'!BK118,0)</f>
        <v>0</v>
      </c>
      <c r="BL125" s="159">
        <f>IFERROR('TS1'!$AT$92/'CF1'!$E$118*'CF1'!BL118,0)</f>
        <v>0</v>
      </c>
      <c r="BM125" s="159">
        <f>IFERROR('TS1'!$AT$92/'CF1'!$E$118*'CF1'!BM118,0)</f>
        <v>0</v>
      </c>
    </row>
    <row r="126" spans="1:65" s="134" customFormat="1" hidden="1" outlineLevel="1">
      <c r="B126" s="157"/>
      <c r="C126" s="157"/>
      <c r="D126" s="158" t="str">
        <f t="shared" si="66"/>
        <v>ПАРКИНГ ОФИС</v>
      </c>
      <c r="E126" s="154">
        <f t="shared" si="62"/>
        <v>0</v>
      </c>
      <c r="F126" s="159">
        <f>IFERROR(('TS1'!$AT$93+'TS1'!$AS$93)/'CF1'!$E$119*'CF1'!F119,0)</f>
        <v>0</v>
      </c>
      <c r="G126" s="159">
        <f>IFERROR(('TS1'!$AT$93+'TS1'!$AS$93)/'CF1'!$E$119*'CF1'!G119,0)</f>
        <v>0</v>
      </c>
      <c r="H126" s="159">
        <f>IFERROR(('TS1'!$AT$93+'TS1'!$AS$93)/'CF1'!$E$119*'CF1'!H119,0)</f>
        <v>0</v>
      </c>
      <c r="I126" s="159">
        <f>IFERROR(('TS1'!$AT$93+'TS1'!$AS$93)/'CF1'!$E$119*'CF1'!I119,0)</f>
        <v>0</v>
      </c>
      <c r="J126" s="159">
        <f>IFERROR(('TS1'!$AT$93+'TS1'!$AS$93)/'CF1'!$E$119*'CF1'!J119,0)</f>
        <v>0</v>
      </c>
      <c r="K126" s="159">
        <f>IFERROR(('TS1'!$AT$93+'TS1'!$AS$93)/'CF1'!$E$119*'CF1'!K119,0)</f>
        <v>0</v>
      </c>
      <c r="L126" s="159">
        <f>IFERROR(('TS1'!$AT$93+'TS1'!$AS$93)/'CF1'!$E$119*'CF1'!L119,0)</f>
        <v>0</v>
      </c>
      <c r="M126" s="159">
        <f>IFERROR(('TS1'!$AT$93+'TS1'!$AS$93)/'CF1'!$E$119*'CF1'!M119,0)</f>
        <v>0</v>
      </c>
      <c r="N126" s="159">
        <f>IFERROR(('TS1'!$AT$93+'TS1'!$AS$93)/'CF1'!$E$119*'CF1'!N119,0)</f>
        <v>0</v>
      </c>
      <c r="O126" s="159">
        <f>IFERROR(('TS1'!$AT$93+'TS1'!$AS$93)/'CF1'!$E$119*'CF1'!O119,0)</f>
        <v>0</v>
      </c>
      <c r="P126" s="159">
        <f>IFERROR(('TS1'!$AT$93+'TS1'!$AS$93)/'CF1'!$E$119*'CF1'!P119,0)</f>
        <v>0</v>
      </c>
      <c r="Q126" s="159">
        <f>IFERROR(('TS1'!$AT$93+'TS1'!$AS$93)/'CF1'!$E$119*'CF1'!Q119,0)</f>
        <v>0</v>
      </c>
      <c r="R126" s="159">
        <f>IFERROR(('TS1'!$AT$93+'TS1'!$AS$93)/'CF1'!$E$119*'CF1'!R119,0)</f>
        <v>0</v>
      </c>
      <c r="S126" s="159">
        <f>IFERROR(('TS1'!$AT$93+'TS1'!$AS$93)/'CF1'!$E$119*'CF1'!S119,0)</f>
        <v>0</v>
      </c>
      <c r="T126" s="159">
        <f>IFERROR(('TS1'!$AT$93+'TS1'!$AS$93)/'CF1'!$E$119*'CF1'!T119,0)</f>
        <v>0</v>
      </c>
      <c r="U126" s="159">
        <f>IFERROR(('TS1'!$AT$93+'TS1'!$AS$93)/'CF1'!$E$119*'CF1'!U119,0)</f>
        <v>0</v>
      </c>
      <c r="V126" s="159">
        <f>IFERROR(('TS1'!$AT$93+'TS1'!$AS$93)/'CF1'!$E$119*'CF1'!V119,0)</f>
        <v>0</v>
      </c>
      <c r="W126" s="159">
        <f>IFERROR(('TS1'!$AT$93+'TS1'!$AS$93)/'CF1'!$E$119*'CF1'!W119,0)</f>
        <v>0</v>
      </c>
      <c r="X126" s="159">
        <f>IFERROR(('TS1'!$AT$93+'TS1'!$AS$93)/'CF1'!$E$119*'CF1'!X119,0)</f>
        <v>0</v>
      </c>
      <c r="Y126" s="159">
        <f>IFERROR(('TS1'!$AT$93+'TS1'!$AS$93)/'CF1'!$E$119*'CF1'!Y119,0)</f>
        <v>0</v>
      </c>
      <c r="Z126" s="159">
        <f>IFERROR(('TS1'!$AT$93+'TS1'!$AS$93)/'CF1'!$E$119*'CF1'!Z119,0)</f>
        <v>0</v>
      </c>
      <c r="AA126" s="159">
        <f>IFERROR(('TS1'!$AT$93+'TS1'!$AS$93)/'CF1'!$E$119*'CF1'!AA119,0)</f>
        <v>0</v>
      </c>
      <c r="AB126" s="159">
        <f>IFERROR(('TS1'!$AT$93+'TS1'!$AS$93)/'CF1'!$E$119*'CF1'!AB119,0)</f>
        <v>0</v>
      </c>
      <c r="AC126" s="159">
        <f>IFERROR(('TS1'!$AT$93+'TS1'!$AS$93)/'CF1'!$E$119*'CF1'!AC119,0)</f>
        <v>0</v>
      </c>
      <c r="AD126" s="159">
        <f>IFERROR(('TS1'!$AT$93+'TS1'!$AS$93)/'CF1'!$E$119*'CF1'!AD119,0)</f>
        <v>0</v>
      </c>
      <c r="AE126" s="159">
        <f>IFERROR(('TS1'!$AT$93+'TS1'!$AS$93)/'CF1'!$E$119*'CF1'!AE119,0)</f>
        <v>0</v>
      </c>
      <c r="AF126" s="159">
        <f>IFERROR(('TS1'!$AT$93+'TS1'!$AS$93)/'CF1'!$E$119*'CF1'!AF119,0)</f>
        <v>0</v>
      </c>
      <c r="AG126" s="159">
        <f>IFERROR(('TS1'!$AT$93+'TS1'!$AS$93)/'CF1'!$E$119*'CF1'!AG119,0)</f>
        <v>0</v>
      </c>
      <c r="AH126" s="159">
        <f>IFERROR(('TS1'!$AT$93+'TS1'!$AS$93)/'CF1'!$E$119*'CF1'!AH119,0)</f>
        <v>0</v>
      </c>
      <c r="AI126" s="159">
        <f>IFERROR(('TS1'!$AT$93+'TS1'!$AS$93)/'CF1'!$E$119*'CF1'!AI119,0)</f>
        <v>0</v>
      </c>
      <c r="AJ126" s="159">
        <f>IFERROR(('TS1'!$AT$93+'TS1'!$AS$93)/'CF1'!$E$119*'CF1'!AJ119,0)</f>
        <v>0</v>
      </c>
      <c r="AK126" s="159">
        <f>IFERROR(('TS1'!$AT$93+'TS1'!$AS$93)/'CF1'!$E$119*'CF1'!AK119,0)</f>
        <v>0</v>
      </c>
      <c r="AL126" s="159">
        <f>IFERROR(('TS1'!$AT$93+'TS1'!$AS$93)/'CF1'!$E$119*'CF1'!AL119,0)</f>
        <v>0</v>
      </c>
      <c r="AM126" s="159">
        <f>IFERROR(('TS1'!$AT$93+'TS1'!$AS$93)/'CF1'!$E$119*'CF1'!AM119,0)</f>
        <v>0</v>
      </c>
      <c r="AN126" s="159">
        <f>IFERROR(('TS1'!$AT$93+'TS1'!$AS$93)/'CF1'!$E$119*'CF1'!AN119,0)</f>
        <v>0</v>
      </c>
      <c r="AO126" s="159">
        <f>IFERROR(('TS1'!$AT$93+'TS1'!$AS$93)/'CF1'!$E$119*'CF1'!AO119,0)</f>
        <v>0</v>
      </c>
      <c r="AP126" s="159">
        <f>IFERROR(('TS1'!$AT$93+'TS1'!$AS$93)/'CF1'!$E$119*'CF1'!AP119,0)</f>
        <v>0</v>
      </c>
      <c r="AQ126" s="159">
        <f>IFERROR(('TS1'!$AT$93+'TS1'!$AS$93)/'CF1'!$E$119*'CF1'!AQ119,0)</f>
        <v>0</v>
      </c>
      <c r="AR126" s="159">
        <f>IFERROR(('TS1'!$AT$93+'TS1'!$AS$93)/'CF1'!$E$119*'CF1'!AR119,0)</f>
        <v>0</v>
      </c>
      <c r="AS126" s="159">
        <f>IFERROR(('TS1'!$AT$93+'TS1'!$AS$93)/'CF1'!$E$119*'CF1'!AS119,0)</f>
        <v>0</v>
      </c>
      <c r="AT126" s="159">
        <f>IFERROR(('TS1'!$AT$93+'TS1'!$AS$93)/'CF1'!$E$119*'CF1'!AT119,0)</f>
        <v>0</v>
      </c>
      <c r="AU126" s="159">
        <f>IFERROR(('TS1'!$AT$93+'TS1'!$AS$93)/'CF1'!$E$119*'CF1'!AU119,0)</f>
        <v>0</v>
      </c>
      <c r="AV126" s="159">
        <f>IFERROR(('TS1'!$AT$93+'TS1'!$AS$93)/'CF1'!$E$119*'CF1'!AV119,0)</f>
        <v>0</v>
      </c>
      <c r="AW126" s="159">
        <f>IFERROR(('TS1'!$AT$93+'TS1'!$AS$93)/'CF1'!$E$119*'CF1'!AW119,0)</f>
        <v>0</v>
      </c>
      <c r="AX126" s="159">
        <f>IFERROR(('TS1'!$AT$93+'TS1'!$AS$93)/'CF1'!$E$119*'CF1'!AX119,0)</f>
        <v>0</v>
      </c>
      <c r="AY126" s="159">
        <f>IFERROR(('TS1'!$AT$93+'TS1'!$AS$93)/'CF1'!$E$119*'CF1'!AY119,0)</f>
        <v>0</v>
      </c>
      <c r="AZ126" s="159">
        <f>IFERROR(('TS1'!$AT$93+'TS1'!$AS$93)/'CF1'!$E$119*'CF1'!AZ119,0)</f>
        <v>0</v>
      </c>
      <c r="BA126" s="159">
        <f>IFERROR(('TS1'!$AT$93+'TS1'!$AS$93)/'CF1'!$E$119*'CF1'!BA119,0)</f>
        <v>0</v>
      </c>
      <c r="BB126" s="159">
        <f>IFERROR(('TS1'!$AT$93+'TS1'!$AS$93)/'CF1'!$E$119*'CF1'!BB119,0)</f>
        <v>0</v>
      </c>
      <c r="BC126" s="159">
        <f>IFERROR(('TS1'!$AT$93+'TS1'!$AS$93)/'CF1'!$E$119*'CF1'!BC119,0)</f>
        <v>0</v>
      </c>
      <c r="BD126" s="159">
        <f>IFERROR(('TS1'!$AT$93+'TS1'!$AS$93)/'CF1'!$E$119*'CF1'!BD119,0)</f>
        <v>0</v>
      </c>
      <c r="BE126" s="159">
        <f>IFERROR(('TS1'!$AT$93+'TS1'!$AS$93)/'CF1'!$E$119*'CF1'!BE119,0)</f>
        <v>0</v>
      </c>
      <c r="BF126" s="159">
        <f>IFERROR(('TS1'!$AT$93+'TS1'!$AS$93)/'CF1'!$E$119*'CF1'!BF119,0)</f>
        <v>0</v>
      </c>
      <c r="BG126" s="159">
        <f>IFERROR(('TS1'!$AT$93+'TS1'!$AS$93)/'CF1'!$E$119*'CF1'!BG119,0)</f>
        <v>0</v>
      </c>
      <c r="BH126" s="159">
        <f>IFERROR(('TS1'!$AT$93+'TS1'!$AS$93)/'CF1'!$E$119*'CF1'!BH119,0)</f>
        <v>0</v>
      </c>
      <c r="BI126" s="159">
        <f>IFERROR(('TS1'!$AT$93+'TS1'!$AS$93)/'CF1'!$E$119*'CF1'!BI119,0)</f>
        <v>0</v>
      </c>
      <c r="BJ126" s="159">
        <f>IFERROR(('TS1'!$AT$93+'TS1'!$AS$93)/'CF1'!$E$119*'CF1'!BJ119,0)</f>
        <v>0</v>
      </c>
      <c r="BK126" s="159">
        <f>IFERROR(('TS1'!$AT$93+'TS1'!$AS$93)/'CF1'!$E$119*'CF1'!BK119,0)</f>
        <v>0</v>
      </c>
      <c r="BL126" s="159">
        <f>IFERROR(('TS1'!$AT$93+'TS1'!$AS$93)/'CF1'!$E$119*'CF1'!BL119,0)</f>
        <v>0</v>
      </c>
      <c r="BM126" s="159">
        <f>IFERROR(('TS1'!$AT$93+'TS1'!$AS$93)/'CF1'!$E$119*'CF1'!BM119,0)</f>
        <v>0</v>
      </c>
    </row>
    <row r="127" spans="1:65" collapsed="1">
      <c r="B127" s="145" t="s">
        <v>61</v>
      </c>
      <c r="C127" s="27"/>
      <c r="D127" s="150"/>
      <c r="E127" s="141">
        <f>SUM(F127:BM127)</f>
        <v>-1985.6368844309825</v>
      </c>
      <c r="F127" s="202">
        <f>F165*-'TS1'!$J$83</f>
        <v>0</v>
      </c>
      <c r="G127" s="202">
        <f>G165*-'TS1'!$J$83</f>
        <v>0</v>
      </c>
      <c r="H127" s="202">
        <f>H165*-'TS1'!$J$83</f>
        <v>0</v>
      </c>
      <c r="I127" s="202">
        <f>I165*-'TS1'!$J$83</f>
        <v>0</v>
      </c>
      <c r="J127" s="202">
        <f>J165*-'TS1'!$J$83</f>
        <v>0</v>
      </c>
      <c r="K127" s="202">
        <f>K165*-'TS1'!$J$83</f>
        <v>0</v>
      </c>
      <c r="L127" s="202">
        <f>L165*-'TS1'!$J$83</f>
        <v>0</v>
      </c>
      <c r="M127" s="202">
        <f>M165*-'TS1'!$J$83</f>
        <v>0</v>
      </c>
      <c r="N127" s="142">
        <f>N165*-'TS1'!$J$83</f>
        <v>0</v>
      </c>
      <c r="O127" s="142">
        <f>O165*-'TS1'!$J$83</f>
        <v>0</v>
      </c>
      <c r="P127" s="142">
        <f>P165*-'TS1'!$J$83</f>
        <v>0</v>
      </c>
      <c r="Q127" s="142">
        <f>Q165*-'TS1'!$J$83</f>
        <v>0</v>
      </c>
      <c r="R127" s="142">
        <f>R165*-'TS1'!$J$83</f>
        <v>0</v>
      </c>
      <c r="S127" s="142">
        <f>S165*-'TS1'!$J$83</f>
        <v>0</v>
      </c>
      <c r="T127" s="142">
        <f>T165*-'TS1'!$J$83</f>
        <v>0</v>
      </c>
      <c r="U127" s="142">
        <f>U165*-'TS1'!$J$83</f>
        <v>0</v>
      </c>
      <c r="V127" s="142">
        <f>V165*-'TS1'!$J$83</f>
        <v>0</v>
      </c>
      <c r="W127" s="142">
        <f>W165*-'TS1'!$J$83</f>
        <v>0</v>
      </c>
      <c r="X127" s="142">
        <f>X165*-'TS1'!$J$83</f>
        <v>0</v>
      </c>
      <c r="Y127" s="142">
        <f>Y165*-'TS1'!$J$83</f>
        <v>0</v>
      </c>
      <c r="Z127" s="142">
        <f>Z165*-'TS1'!$J$83</f>
        <v>0</v>
      </c>
      <c r="AA127" s="142">
        <f>AA165*-'TS1'!$J$83</f>
        <v>0</v>
      </c>
      <c r="AB127" s="142">
        <f>AB165*-'TS1'!$J$83</f>
        <v>0</v>
      </c>
      <c r="AC127" s="142">
        <f>AC165*-'TS1'!$J$83</f>
        <v>0</v>
      </c>
      <c r="AD127" s="142">
        <f>AD165*-'TS1'!$J$83</f>
        <v>0</v>
      </c>
      <c r="AE127" s="142">
        <f>AE165*-'TS1'!$J$83</f>
        <v>0</v>
      </c>
      <c r="AF127" s="142">
        <f>AF165*-'TS1'!$J$83</f>
        <v>-307.27129862156744</v>
      </c>
      <c r="AG127" s="142">
        <f>AG165*-'TS1'!$J$83</f>
        <v>-311.3168559715113</v>
      </c>
      <c r="AH127" s="142">
        <f>AH165*-'TS1'!$J$83</f>
        <v>-317.00163051905622</v>
      </c>
      <c r="AI127" s="142">
        <f>AI165*-'TS1'!$J$83</f>
        <v>-202.92081969927509</v>
      </c>
      <c r="AJ127" s="142">
        <f>AJ165*-'TS1'!$J$83</f>
        <v>-220.80456464883468</v>
      </c>
      <c r="AK127" s="142">
        <f>AK165*-'TS1'!$J$83</f>
        <v>-224.15115172305812</v>
      </c>
      <c r="AL127" s="142">
        <f>AL165*-'TS1'!$J$83</f>
        <v>-226.58608982343279</v>
      </c>
      <c r="AM127" s="142">
        <f>AM165*-'TS1'!$J$83</f>
        <v>-175.58447342424688</v>
      </c>
      <c r="AN127" s="142">
        <f>AN165*-'TS1'!$J$83</f>
        <v>0</v>
      </c>
      <c r="AO127" s="142">
        <f>AO165*-'TS1'!$J$83</f>
        <v>0</v>
      </c>
      <c r="AP127" s="142">
        <f>AP165*-'TS1'!$J$83</f>
        <v>0</v>
      </c>
      <c r="AQ127" s="142">
        <f>AQ165*-'TS1'!$J$83</f>
        <v>0</v>
      </c>
      <c r="AR127" s="142">
        <f>AR165*-'TS1'!$J$83</f>
        <v>0</v>
      </c>
      <c r="AS127" s="142">
        <f>AS165*-'TS1'!$J$83</f>
        <v>0</v>
      </c>
      <c r="AT127" s="142">
        <f>AT165*-'TS1'!$J$83</f>
        <v>0</v>
      </c>
      <c r="AU127" s="142">
        <f>AU165*-'TS1'!$J$83</f>
        <v>0</v>
      </c>
      <c r="AV127" s="142">
        <f>AV165*-'TS1'!$J$83</f>
        <v>0</v>
      </c>
      <c r="AW127" s="142">
        <f>AW165*-'TS1'!$J$83</f>
        <v>0</v>
      </c>
      <c r="AX127" s="142">
        <f>AX165*-'TS1'!$J$83</f>
        <v>0</v>
      </c>
      <c r="AY127" s="142">
        <f>AY165*-'TS1'!$J$83</f>
        <v>0</v>
      </c>
      <c r="AZ127" s="142">
        <f>AZ165*-'TS1'!$J$83</f>
        <v>0</v>
      </c>
      <c r="BA127" s="142">
        <f>BA165*-'TS1'!$J$83</f>
        <v>0</v>
      </c>
      <c r="BB127" s="142">
        <f>BB165*-'TS1'!$J$83</f>
        <v>0</v>
      </c>
      <c r="BC127" s="142">
        <f>BC165*-'TS1'!$J$83</f>
        <v>0</v>
      </c>
      <c r="BD127" s="142">
        <f>BD165*-'TS1'!$J$83</f>
        <v>0</v>
      </c>
      <c r="BE127" s="142">
        <f>BE165*-'TS1'!$J$83</f>
        <v>0</v>
      </c>
      <c r="BF127" s="142">
        <f>BF165*-'TS1'!$J$83</f>
        <v>0</v>
      </c>
      <c r="BG127" s="142">
        <f>BG165*-'TS1'!$J$83</f>
        <v>0</v>
      </c>
      <c r="BH127" s="142">
        <f>BH165*-'TS1'!$J$83</f>
        <v>0</v>
      </c>
      <c r="BI127" s="142">
        <f>BI165*-'TS1'!$J$83</f>
        <v>0</v>
      </c>
      <c r="BJ127" s="142">
        <f>BJ165*-'TS1'!$J$83</f>
        <v>0</v>
      </c>
      <c r="BK127" s="142">
        <f>BK165*-'TS1'!$J$83</f>
        <v>0</v>
      </c>
      <c r="BL127" s="142">
        <f>BL165*-'TS1'!$J$83</f>
        <v>0</v>
      </c>
      <c r="BM127" s="142">
        <f>BM165*-'TS1'!$J$83</f>
        <v>0</v>
      </c>
    </row>
    <row r="128" spans="1:65" s="151" customFormat="1" hidden="1" outlineLevel="1">
      <c r="B128" s="152"/>
      <c r="C128" s="152" t="s">
        <v>99</v>
      </c>
      <c r="D128" s="153"/>
      <c r="E128" s="154">
        <f t="shared" si="62"/>
        <v>0</v>
      </c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  <c r="AE128" s="155"/>
      <c r="AF128" s="155"/>
      <c r="AG128" s="155"/>
      <c r="AH128" s="155"/>
      <c r="AI128" s="155"/>
      <c r="AJ128" s="155"/>
      <c r="AK128" s="155"/>
      <c r="AL128" s="155"/>
      <c r="AM128" s="155"/>
      <c r="AN128" s="155"/>
      <c r="AO128" s="155"/>
      <c r="AP128" s="155"/>
      <c r="AQ128" s="155"/>
      <c r="AR128" s="155"/>
      <c r="AS128" s="155"/>
      <c r="AT128" s="155"/>
      <c r="AU128" s="155"/>
      <c r="AV128" s="155"/>
      <c r="AW128" s="155"/>
      <c r="AX128" s="155"/>
      <c r="AY128" s="155"/>
      <c r="AZ128" s="155"/>
      <c r="BA128" s="155"/>
      <c r="BB128" s="155"/>
      <c r="BC128" s="155"/>
      <c r="BD128" s="155"/>
      <c r="BE128" s="155"/>
      <c r="BF128" s="155"/>
      <c r="BG128" s="155"/>
      <c r="BH128" s="155"/>
      <c r="BI128" s="155"/>
      <c r="BJ128" s="155"/>
      <c r="BK128" s="155"/>
      <c r="BL128" s="155"/>
      <c r="BM128" s="155"/>
    </row>
    <row r="129" spans="1:65" hidden="1" outlineLevel="1">
      <c r="B129" s="27"/>
      <c r="C129" s="27"/>
      <c r="D129" s="158" t="str">
        <f>B35</f>
        <v>КВАРТИРЫ</v>
      </c>
      <c r="E129" s="154">
        <f t="shared" si="62"/>
        <v>36000</v>
      </c>
      <c r="F129" s="142"/>
      <c r="G129" s="142">
        <f>SUMPRODUCT($F8:$AS8,$F$174:$AS$174)*(1-G$174)-SUM($F129:F129)</f>
        <v>0</v>
      </c>
      <c r="H129" s="142">
        <f>SUMPRODUCT($F8:$AS8,$F$174:$AS$174)*(1-H$174)-SUM($F129:G129)</f>
        <v>0</v>
      </c>
      <c r="I129" s="142">
        <f>SUMPRODUCT($F8:$AS8,$F$174:$AS$174)*(1-I$174)-SUM($F129:H129)</f>
        <v>0</v>
      </c>
      <c r="J129" s="142">
        <f>SUMPRODUCT($F8:$AS8,$F$174:$AS$174)*(1-J$174)-SUM($F129:I129)</f>
        <v>0</v>
      </c>
      <c r="K129" s="142">
        <f>SUMPRODUCT($F8:$AS8,$F$174:$AS$174)*(1-K$174)-SUM($F129:J129)</f>
        <v>0</v>
      </c>
      <c r="L129" s="142">
        <f>SUMPRODUCT($F8:$AS8,$F$174:$AS$174)*(1-L$174)-SUM($F129:K129)</f>
        <v>0</v>
      </c>
      <c r="M129" s="142">
        <f>SUMPRODUCT($F8:$AS8,$F$174:$AS$174)*(1-M$174)-SUM($F129:L129)</f>
        <v>0</v>
      </c>
      <c r="N129" s="142">
        <f>SUMPRODUCT($F8:$AS8,$F$174:$AS$174)*(1-N$174)-SUM($F129:M129)</f>
        <v>0</v>
      </c>
      <c r="O129" s="142">
        <f>SUMPRODUCT($F8:$AS8,$F$174:$AS$174)*(1-O$174)-SUM($F129:N129)</f>
        <v>0</v>
      </c>
      <c r="P129" s="142">
        <f>SUMPRODUCT($F8:$AS8,$F$174:$AS$174)*(1-P$174)-SUM($F129:O129)</f>
        <v>0</v>
      </c>
      <c r="Q129" s="142">
        <f>SUMPRODUCT($F8:$AS8,$F$174:$AS$174)*(1-Q$174)-SUM($F129:P129)</f>
        <v>0</v>
      </c>
      <c r="R129" s="142">
        <f>SUMPRODUCT($F8:$AS8,$F$174:$AS$174)*(1-R$174)-SUM($F129:Q129)</f>
        <v>0</v>
      </c>
      <c r="S129" s="142">
        <f>SUMPRODUCT($F8:$AS8,$F$174:$AS$174)*(1-S$174)-SUM($F129:R129)</f>
        <v>0</v>
      </c>
      <c r="T129" s="142">
        <f>SUMPRODUCT($F8:$AS8,$F$174:$AS$174)*(1-T$174)-SUM($F129:S129)</f>
        <v>0</v>
      </c>
      <c r="U129" s="142">
        <f>SUMPRODUCT($F8:$AS8,$F$174:$AS$174)*(1-U$174)-SUM($F129:T129)</f>
        <v>0</v>
      </c>
      <c r="V129" s="142">
        <f>SUMPRODUCT($F8:$AS8,$F$174:$AS$174)*(1-V$174)-SUM($F129:U129)</f>
        <v>0</v>
      </c>
      <c r="W129" s="142">
        <f>SUMPRODUCT($F8:$AS8,$F$174:$AS$174)*(1-W$174)-SUM($F129:V129)</f>
        <v>0</v>
      </c>
      <c r="X129" s="142">
        <f>SUMPRODUCT($F8:$AS8,$F$174:$AS$174)*(1-X$174)-SUM($F129:W129)</f>
        <v>0</v>
      </c>
      <c r="Y129" s="142">
        <f>SUMPRODUCT($F8:$AS8,$F$174:$AS$174)*(1-Y$174)-SUM($F129:X129)</f>
        <v>0</v>
      </c>
      <c r="Z129" s="142">
        <f>SUMPRODUCT($F8:$AS8,$F$174:$AS$174)*(1-Z$174)-SUM($F129:Y129)</f>
        <v>0</v>
      </c>
      <c r="AA129" s="142">
        <f>SUMPRODUCT($F8:$AS8,$F$174:$AS$174)*(1-AA$174)-SUM($F129:Z129)</f>
        <v>0</v>
      </c>
      <c r="AB129" s="142">
        <f>SUMPRODUCT($F8:$AS8,$F$174:$AS$174)*(1-AB$174)-SUM($F129:AA129)</f>
        <v>0</v>
      </c>
      <c r="AC129" s="142">
        <f>SUMPRODUCT($F8:$AS8,$F$174:$AS$174)*(1-AC$174)-SUM($F129:AB129)</f>
        <v>0</v>
      </c>
      <c r="AD129" s="142">
        <f>SUMPRODUCT($F8:$AS8,$F$174:$AS$174)*(1-AD$174)-SUM($F129:AC129)</f>
        <v>0</v>
      </c>
      <c r="AE129" s="142">
        <f>SUMPRODUCT($F8:$AS8,$F$174:$AS$174)*(1-AE$174)-SUM($F129:AD129)</f>
        <v>0</v>
      </c>
      <c r="AF129" s="142">
        <f>SUMPRODUCT($F8:$AS8,$F$174:$AS$174)*(1-AF$174)-SUM($F129:AE129)</f>
        <v>36000</v>
      </c>
      <c r="AG129" s="142">
        <f>SUMPRODUCT($F8:$AS8,$F$174:$AS$174)*(1-AG$174)-SUM($F129:AF129)</f>
        <v>0</v>
      </c>
      <c r="AH129" s="142">
        <f>SUMPRODUCT($F8:$AS8,$F$174:$AS$174)*(1-AH$174)-SUM($F129:AG129)</f>
        <v>0</v>
      </c>
      <c r="AI129" s="142">
        <f>SUMPRODUCT($F8:$AS8,$F$174:$AS$174)*(1-AI$174)-SUM($F129:AH129)</f>
        <v>0</v>
      </c>
      <c r="AJ129" s="142">
        <f>SUMPRODUCT($F8:$AS8,$F$174:$AS$174)*(1-AJ$174)-SUM($F129:AI129)</f>
        <v>0</v>
      </c>
      <c r="AK129" s="142">
        <f>SUMPRODUCT($F8:$AS8,$F$174:$AS$174)*(1-AK$174)-SUM($F129:AJ129)</f>
        <v>0</v>
      </c>
      <c r="AL129" s="142">
        <f>SUMPRODUCT($F8:$AS8,$F$174:$AS$174)*(1-AL$174)-SUM($F129:AK129)</f>
        <v>0</v>
      </c>
      <c r="AM129" s="142">
        <f>SUMPRODUCT($F8:$AS8,$F$174:$AS$174)*(1-AM$174)-SUM($F129:AL129)</f>
        <v>0</v>
      </c>
      <c r="AN129" s="142">
        <f>SUMPRODUCT($F8:$AS8,$F$174:$AS$174)*(1-AN$174)-SUM($F129:AM129)</f>
        <v>0</v>
      </c>
      <c r="AO129" s="142">
        <f>SUMPRODUCT($F8:$AS8,$F$174:$AS$174)*(1-AO$174)-SUM($F129:AN129)</f>
        <v>0</v>
      </c>
      <c r="AP129" s="142">
        <f>SUMPRODUCT($F8:$AS8,$F$174:$AS$174)*(1-AP$174)-SUM($F129:AO129)</f>
        <v>0</v>
      </c>
      <c r="AQ129" s="142">
        <f>SUMPRODUCT($F8:$AS8,$F$174:$AS$174)*(1-AQ$174)-SUM($F129:AP129)</f>
        <v>0</v>
      </c>
      <c r="AR129" s="142">
        <f>SUMPRODUCT($F8:$AS8,$F$174:$AS$174)*(1-AR$174)-SUM($F129:AQ129)</f>
        <v>0</v>
      </c>
      <c r="AS129" s="142">
        <f>SUMPRODUCT($F8:$AS8,$F$174:$AS$174)*(1-AS$174)-SUM($F129:AR129)</f>
        <v>0</v>
      </c>
      <c r="AT129" s="142">
        <f>SUMPRODUCT($F8:$AS8,$F$174:$AS$174)*(1-AT$174)-SUM($F129:AS129)</f>
        <v>0</v>
      </c>
      <c r="AU129" s="142">
        <f>SUMPRODUCT($F8:$AS8,$F$174:$AS$174)*(1-AU$174)-SUM($F129:AT129)</f>
        <v>0</v>
      </c>
      <c r="AV129" s="142">
        <f>SUMPRODUCT($F8:$AS8,$F$174:$AS$174)*(1-AV$174)-SUM($F129:AU129)</f>
        <v>0</v>
      </c>
      <c r="AW129" s="142">
        <f>SUMPRODUCT($F8:$AS8,$F$174:$AS$174)*(1-AW$174)-SUM($F129:AV129)</f>
        <v>0</v>
      </c>
      <c r="AX129" s="142">
        <f>SUMPRODUCT($F8:$AS8,$F$174:$AS$174)*(1-AX$174)-SUM($F129:AW129)</f>
        <v>0</v>
      </c>
      <c r="AY129" s="142">
        <f>SUMPRODUCT($F8:$AS8,$F$174:$AS$174)*(1-AY$174)-SUM($F129:AX129)</f>
        <v>0</v>
      </c>
      <c r="AZ129" s="142">
        <f>SUMPRODUCT($F8:$AS8,$F$174:$AS$174)*(1-AZ$174)-SUM($F129:AY129)</f>
        <v>0</v>
      </c>
      <c r="BA129" s="142">
        <f>SUMPRODUCT($F8:$AS8,$F$174:$AS$174)*(1-BA$174)-SUM($F129:AZ129)</f>
        <v>0</v>
      </c>
      <c r="BB129" s="142">
        <f>SUMPRODUCT($F8:$AS8,$F$174:$AS$174)*(1-BB$174)-SUM($F129:BA129)</f>
        <v>0</v>
      </c>
      <c r="BC129" s="142">
        <f>SUMPRODUCT($F8:$AS8,$F$174:$AS$174)*(1-BC$174)-SUM($F129:BB129)</f>
        <v>0</v>
      </c>
      <c r="BD129" s="142">
        <f>SUMPRODUCT($F8:$AS8,$F$174:$AS$174)*(1-BD$174)-SUM($F129:BC129)</f>
        <v>0</v>
      </c>
      <c r="BE129" s="142">
        <f>SUMPRODUCT($F8:$AS8,$F$174:$AS$174)*(1-BE$174)-SUM($F129:BD129)</f>
        <v>0</v>
      </c>
      <c r="BF129" s="142">
        <f>SUMPRODUCT($F8:$AS8,$F$174:$AS$174)*(1-BF$174)-SUM($F129:BE129)</f>
        <v>0</v>
      </c>
      <c r="BG129" s="142">
        <f>SUMPRODUCT($F8:$AS8,$F$174:$AS$174)*(1-BG$174)-SUM($F129:BF129)</f>
        <v>0</v>
      </c>
      <c r="BH129" s="142">
        <f>SUMPRODUCT($F8:$AS8,$F$174:$AS$174)*(1-BH$174)-SUM($F129:BG129)</f>
        <v>0</v>
      </c>
      <c r="BI129" s="142">
        <f>SUMPRODUCT($F8:$AS8,$F$174:$AS$174)*(1-BI$174)-SUM($F129:BH129)</f>
        <v>0</v>
      </c>
      <c r="BJ129" s="142">
        <f>SUMPRODUCT($F8:$AS8,$F$174:$AS$174)*(1-BJ$174)-SUM($F129:BI129)</f>
        <v>0</v>
      </c>
      <c r="BK129" s="142">
        <f>SUMPRODUCT($F8:$AS8,$F$174:$AS$174)*(1-BK$174)-SUM($F129:BJ129)</f>
        <v>0</v>
      </c>
      <c r="BL129" s="142">
        <f>SUMPRODUCT($F8:$AS8,$F$174:$AS$174)*(1-BL$174)-SUM($F129:BK129)</f>
        <v>0</v>
      </c>
      <c r="BM129" s="142">
        <f>SUMPRODUCT($F8:$AS8,$F$174:$AS$174)*(1-BM$174)-SUM($F129:BL129)</f>
        <v>0</v>
      </c>
    </row>
    <row r="130" spans="1:65" hidden="1" outlineLevel="1">
      <c r="B130" s="27"/>
      <c r="C130" s="27"/>
      <c r="D130" s="158" t="str">
        <f t="shared" ref="D130:D135" si="67">B42</f>
        <v>АПАРТАМЕНТЫ</v>
      </c>
      <c r="E130" s="154">
        <f t="shared" si="62"/>
        <v>0</v>
      </c>
      <c r="F130" s="142"/>
      <c r="G130" s="142">
        <f>SUMPRODUCT($F9:$AS9,$F$174:$AS$174)*(1-G$174)-SUM($F130:F130)</f>
        <v>0</v>
      </c>
      <c r="H130" s="142">
        <f>SUMPRODUCT($F9:$AS9,$F$174:$AS$174)*(1-H$174)-SUM($F130:G130)</f>
        <v>0</v>
      </c>
      <c r="I130" s="142">
        <f>SUMPRODUCT($F9:$AS9,$F$174:$AS$174)*(1-I$174)-SUM($F130:H130)</f>
        <v>0</v>
      </c>
      <c r="J130" s="142">
        <f>SUMPRODUCT($F9:$AS9,$F$174:$AS$174)*(1-J$174)-SUM($F130:I130)</f>
        <v>0</v>
      </c>
      <c r="K130" s="142">
        <f>SUMPRODUCT($F9:$AS9,$F$174:$AS$174)*(1-K$174)-SUM($F130:J130)</f>
        <v>0</v>
      </c>
      <c r="L130" s="142">
        <f>SUMPRODUCT($F9:$AS9,$F$174:$AS$174)*(1-L$174)-SUM($F130:K130)</f>
        <v>0</v>
      </c>
      <c r="M130" s="142">
        <f>SUMPRODUCT($F9:$AS9,$F$174:$AS$174)*(1-M$174)-SUM($F130:L130)</f>
        <v>0</v>
      </c>
      <c r="N130" s="142">
        <f>SUMPRODUCT($F9:$AS9,$F$174:$AS$174)*(1-N$174)-SUM($F130:M130)</f>
        <v>0</v>
      </c>
      <c r="O130" s="142">
        <f>SUMPRODUCT($F9:$AS9,$F$174:$AS$174)*(1-O$174)-SUM($F130:N130)</f>
        <v>0</v>
      </c>
      <c r="P130" s="142">
        <f>SUMPRODUCT($F9:$AS9,$F$174:$AS$174)*(1-P$174)-SUM($F130:O130)</f>
        <v>0</v>
      </c>
      <c r="Q130" s="142">
        <f>SUMPRODUCT($F9:$AS9,$F$174:$AS$174)*(1-Q$174)-SUM($F130:P130)</f>
        <v>0</v>
      </c>
      <c r="R130" s="142">
        <f>SUMPRODUCT($F9:$AS9,$F$174:$AS$174)*(1-R$174)-SUM($F130:Q130)</f>
        <v>0</v>
      </c>
      <c r="S130" s="142">
        <f>SUMPRODUCT($F9:$AS9,$F$174:$AS$174)*(1-S$174)-SUM($F130:R130)</f>
        <v>0</v>
      </c>
      <c r="T130" s="142">
        <f>SUMPRODUCT($F9:$AS9,$F$174:$AS$174)*(1-T$174)-SUM($F130:S130)</f>
        <v>0</v>
      </c>
      <c r="U130" s="142">
        <f>SUMPRODUCT($F9:$AS9,$F$174:$AS$174)*(1-U$174)-SUM($F130:T130)</f>
        <v>0</v>
      </c>
      <c r="V130" s="142">
        <f>SUMPRODUCT($F9:$AS9,$F$174:$AS$174)*(1-V$174)-SUM($F130:U130)</f>
        <v>0</v>
      </c>
      <c r="W130" s="142">
        <f>SUMPRODUCT($F9:$AS9,$F$174:$AS$174)*(1-W$174)-SUM($F130:V130)</f>
        <v>0</v>
      </c>
      <c r="X130" s="142">
        <f>SUMPRODUCT($F9:$AS9,$F$174:$AS$174)*(1-X$174)-SUM($F130:W130)</f>
        <v>0</v>
      </c>
      <c r="Y130" s="142">
        <f>SUMPRODUCT($F9:$AS9,$F$174:$AS$174)*(1-Y$174)-SUM($F130:X130)</f>
        <v>0</v>
      </c>
      <c r="Z130" s="142">
        <f>SUMPRODUCT($F9:$AS9,$F$174:$AS$174)*(1-Z$174)-SUM($F130:Y130)</f>
        <v>0</v>
      </c>
      <c r="AA130" s="142">
        <f>SUMPRODUCT($F9:$AS9,$F$174:$AS$174)*(1-AA$174)-SUM($F130:Z130)</f>
        <v>0</v>
      </c>
      <c r="AB130" s="142">
        <f>SUMPRODUCT($F9:$AS9,$F$174:$AS$174)*(1-AB$174)-SUM($F130:AA130)</f>
        <v>0</v>
      </c>
      <c r="AC130" s="142">
        <f>SUMPRODUCT($F9:$AS9,$F$174:$AS$174)*(1-AC$174)-SUM($F130:AB130)</f>
        <v>0</v>
      </c>
      <c r="AD130" s="142">
        <f>SUMPRODUCT($F9:$AS9,$F$174:$AS$174)*(1-AD$174)-SUM($F130:AC130)</f>
        <v>0</v>
      </c>
      <c r="AE130" s="142">
        <f>SUMPRODUCT($F9:$AS9,$F$174:$AS$174)*(1-AE$174)-SUM($F130:AD130)</f>
        <v>0</v>
      </c>
      <c r="AF130" s="142">
        <f>SUMPRODUCT($F9:$AS9,$F$174:$AS$174)*(1-AF$174)-SUM($F130:AE130)</f>
        <v>0</v>
      </c>
      <c r="AG130" s="142">
        <f>SUMPRODUCT($F9:$AS9,$F$174:$AS$174)*(1-AG$174)-SUM($F130:AF130)</f>
        <v>0</v>
      </c>
      <c r="AH130" s="142">
        <f>SUMPRODUCT($F9:$AS9,$F$174:$AS$174)*(1-AH$174)-SUM($F130:AG130)</f>
        <v>0</v>
      </c>
      <c r="AI130" s="142">
        <f>SUMPRODUCT($F9:$AS9,$F$174:$AS$174)*(1-AI$174)-SUM($F130:AH130)</f>
        <v>0</v>
      </c>
      <c r="AJ130" s="142">
        <f>SUMPRODUCT($F9:$AS9,$F$174:$AS$174)*(1-AJ$174)-SUM($F130:AI130)</f>
        <v>0</v>
      </c>
      <c r="AK130" s="142">
        <f>SUMPRODUCT($F9:$AS9,$F$174:$AS$174)*(1-AK$174)-SUM($F130:AJ130)</f>
        <v>0</v>
      </c>
      <c r="AL130" s="142">
        <f>SUMPRODUCT($F9:$AS9,$F$174:$AS$174)*(1-AL$174)-SUM($F130:AK130)</f>
        <v>0</v>
      </c>
      <c r="AM130" s="142">
        <f>SUMPRODUCT($F9:$AS9,$F$174:$AS$174)*(1-AM$174)-SUM($F130:AL130)</f>
        <v>0</v>
      </c>
      <c r="AN130" s="142">
        <f>SUMPRODUCT($F9:$AS9,$F$174:$AS$174)*(1-AN$174)-SUM($F130:AM130)</f>
        <v>0</v>
      </c>
      <c r="AO130" s="142">
        <f>SUMPRODUCT($F9:$AS9,$F$174:$AS$174)*(1-AO$174)-SUM($F130:AN130)</f>
        <v>0</v>
      </c>
      <c r="AP130" s="142">
        <f>SUMPRODUCT($F9:$AS9,$F$174:$AS$174)*(1-AP$174)-SUM($F130:AO130)</f>
        <v>0</v>
      </c>
      <c r="AQ130" s="142">
        <f>SUMPRODUCT($F9:$AS9,$F$174:$AS$174)*(1-AQ$174)-SUM($F130:AP130)</f>
        <v>0</v>
      </c>
      <c r="AR130" s="142">
        <f>SUMPRODUCT($F9:$AS9,$F$174:$AS$174)*(1-AR$174)-SUM($F130:AQ130)</f>
        <v>0</v>
      </c>
      <c r="AS130" s="142">
        <f>SUMPRODUCT($F9:$AS9,$F$174:$AS$174)*(1-AS$174)-SUM($F130:AR130)</f>
        <v>0</v>
      </c>
      <c r="AT130" s="142">
        <f>SUMPRODUCT($F9:$AS9,$F$174:$AS$174)*(1-AT$174)-SUM($F130:AS130)</f>
        <v>0</v>
      </c>
      <c r="AU130" s="142">
        <f>SUMPRODUCT($F9:$AS9,$F$174:$AS$174)*(1-AU$174)-SUM($F130:AT130)</f>
        <v>0</v>
      </c>
      <c r="AV130" s="142">
        <f>SUMPRODUCT($F9:$AS9,$F$174:$AS$174)*(1-AV$174)-SUM($F130:AU130)</f>
        <v>0</v>
      </c>
      <c r="AW130" s="142">
        <f>SUMPRODUCT($F9:$AS9,$F$174:$AS$174)*(1-AW$174)-SUM($F130:AV130)</f>
        <v>0</v>
      </c>
      <c r="AX130" s="142">
        <f>SUMPRODUCT($F9:$AS9,$F$174:$AS$174)*(1-AX$174)-SUM($F130:AW130)</f>
        <v>0</v>
      </c>
      <c r="AY130" s="142">
        <f>SUMPRODUCT($F9:$AS9,$F$174:$AS$174)*(1-AY$174)-SUM($F130:AX130)</f>
        <v>0</v>
      </c>
      <c r="AZ130" s="142">
        <f>SUMPRODUCT($F9:$AS9,$F$174:$AS$174)*(1-AZ$174)-SUM($F130:AY130)</f>
        <v>0</v>
      </c>
      <c r="BA130" s="142">
        <f>SUMPRODUCT($F9:$AS9,$F$174:$AS$174)*(1-BA$174)-SUM($F130:AZ130)</f>
        <v>0</v>
      </c>
      <c r="BB130" s="142">
        <f>SUMPRODUCT($F9:$AS9,$F$174:$AS$174)*(1-BB$174)-SUM($F130:BA130)</f>
        <v>0</v>
      </c>
      <c r="BC130" s="142">
        <f>SUMPRODUCT($F9:$AS9,$F$174:$AS$174)*(1-BC$174)-SUM($F130:BB130)</f>
        <v>0</v>
      </c>
      <c r="BD130" s="142">
        <f>SUMPRODUCT($F9:$AS9,$F$174:$AS$174)*(1-BD$174)-SUM($F130:BC130)</f>
        <v>0</v>
      </c>
      <c r="BE130" s="142">
        <f>SUMPRODUCT($F9:$AS9,$F$174:$AS$174)*(1-BE$174)-SUM($F130:BD130)</f>
        <v>0</v>
      </c>
      <c r="BF130" s="142">
        <f>SUMPRODUCT($F9:$AS9,$F$174:$AS$174)*(1-BF$174)-SUM($F130:BE130)</f>
        <v>0</v>
      </c>
      <c r="BG130" s="142">
        <f>SUMPRODUCT($F9:$AS9,$F$174:$AS$174)*(1-BG$174)-SUM($F130:BF130)</f>
        <v>0</v>
      </c>
      <c r="BH130" s="142">
        <f>SUMPRODUCT($F9:$AS9,$F$174:$AS$174)*(1-BH$174)-SUM($F130:BG130)</f>
        <v>0</v>
      </c>
      <c r="BI130" s="142">
        <f>SUMPRODUCT($F9:$AS9,$F$174:$AS$174)*(1-BI$174)-SUM($F130:BH130)</f>
        <v>0</v>
      </c>
      <c r="BJ130" s="142">
        <f>SUMPRODUCT($F9:$AS9,$F$174:$AS$174)*(1-BJ$174)-SUM($F130:BI130)</f>
        <v>0</v>
      </c>
      <c r="BK130" s="142">
        <f>SUMPRODUCT($F9:$AS9,$F$174:$AS$174)*(1-BK$174)-SUM($F130:BJ130)</f>
        <v>0</v>
      </c>
      <c r="BL130" s="142">
        <f>SUMPRODUCT($F9:$AS9,$F$174:$AS$174)*(1-BL$174)-SUM($F130:BK130)</f>
        <v>0</v>
      </c>
      <c r="BM130" s="142">
        <f>SUMPRODUCT($F9:$AS9,$F$174:$AS$174)*(1-BM$174)-SUM($F130:BL130)</f>
        <v>0</v>
      </c>
    </row>
    <row r="131" spans="1:65" hidden="1" outlineLevel="1">
      <c r="B131" s="27"/>
      <c r="C131" s="27"/>
      <c r="D131" s="158" t="str">
        <f t="shared" si="67"/>
        <v>ОФИСЫ</v>
      </c>
      <c r="E131" s="154">
        <f t="shared" si="62"/>
        <v>0</v>
      </c>
      <c r="F131" s="142"/>
      <c r="G131" s="142">
        <f>SUMPRODUCT($F10:$AS10,$F$174:$AS$174)*(1-G$174)-SUM($F131:F131)</f>
        <v>0</v>
      </c>
      <c r="H131" s="142">
        <f>SUMPRODUCT($F10:$AS10,$F$174:$AS$174)*(1-H$174)-SUM($F131:G131)</f>
        <v>0</v>
      </c>
      <c r="I131" s="142">
        <f>SUMPRODUCT($F10:$AS10,$F$174:$AS$174)*(1-I$174)-SUM($F131:H131)</f>
        <v>0</v>
      </c>
      <c r="J131" s="142">
        <f>SUMPRODUCT($F10:$AS10,$F$174:$AS$174)*(1-J$174)-SUM($F131:I131)</f>
        <v>0</v>
      </c>
      <c r="K131" s="142">
        <f>SUMPRODUCT($F10:$AS10,$F$174:$AS$174)*(1-K$174)-SUM($F131:J131)</f>
        <v>0</v>
      </c>
      <c r="L131" s="142">
        <f>SUMPRODUCT($F10:$AS10,$F$174:$AS$174)*(1-L$174)-SUM($F131:K131)</f>
        <v>0</v>
      </c>
      <c r="M131" s="142">
        <f>SUMPRODUCT($F10:$AS10,$F$174:$AS$174)*(1-M$174)-SUM($F131:L131)</f>
        <v>0</v>
      </c>
      <c r="N131" s="142">
        <f>SUMPRODUCT($F10:$AS10,$F$174:$AS$174)*(1-N$174)-SUM($F131:M131)</f>
        <v>0</v>
      </c>
      <c r="O131" s="142">
        <f>SUMPRODUCT($F10:$AS10,$F$174:$AS$174)*(1-O$174)-SUM($F131:N131)</f>
        <v>0</v>
      </c>
      <c r="P131" s="142">
        <f>SUMPRODUCT($F10:$AS10,$F$174:$AS$174)*(1-P$174)-SUM($F131:O131)</f>
        <v>0</v>
      </c>
      <c r="Q131" s="142">
        <f>SUMPRODUCT($F10:$AS10,$F$174:$AS$174)*(1-Q$174)-SUM($F131:P131)</f>
        <v>0</v>
      </c>
      <c r="R131" s="142">
        <f>SUMPRODUCT($F10:$AS10,$F$174:$AS$174)*(1-R$174)-SUM($F131:Q131)</f>
        <v>0</v>
      </c>
      <c r="S131" s="142">
        <f>SUMPRODUCT($F10:$AS10,$F$174:$AS$174)*(1-S$174)-SUM($F131:R131)</f>
        <v>0</v>
      </c>
      <c r="T131" s="142">
        <f>SUMPRODUCT($F10:$AS10,$F$174:$AS$174)*(1-T$174)-SUM($F131:S131)</f>
        <v>0</v>
      </c>
      <c r="U131" s="142">
        <f>SUMPRODUCT($F10:$AS10,$F$174:$AS$174)*(1-U$174)-SUM($F131:T131)</f>
        <v>0</v>
      </c>
      <c r="V131" s="142">
        <f>SUMPRODUCT($F10:$AS10,$F$174:$AS$174)*(1-V$174)-SUM($F131:U131)</f>
        <v>0</v>
      </c>
      <c r="W131" s="142">
        <f>SUMPRODUCT($F10:$AS10,$F$174:$AS$174)*(1-W$174)-SUM($F131:V131)</f>
        <v>0</v>
      </c>
      <c r="X131" s="142">
        <f>SUMPRODUCT($F10:$AS10,$F$174:$AS$174)*(1-X$174)-SUM($F131:W131)</f>
        <v>0</v>
      </c>
      <c r="Y131" s="142">
        <f>SUMPRODUCT($F10:$AS10,$F$174:$AS$174)*(1-Y$174)-SUM($F131:X131)</f>
        <v>0</v>
      </c>
      <c r="Z131" s="142">
        <f>SUMPRODUCT($F10:$AS10,$F$174:$AS$174)*(1-Z$174)-SUM($F131:Y131)</f>
        <v>0</v>
      </c>
      <c r="AA131" s="142">
        <f>SUMPRODUCT($F10:$AS10,$F$174:$AS$174)*(1-AA$174)-SUM($F131:Z131)</f>
        <v>0</v>
      </c>
      <c r="AB131" s="142">
        <f>SUMPRODUCT($F10:$AS10,$F$174:$AS$174)*(1-AB$174)-SUM($F131:AA131)</f>
        <v>0</v>
      </c>
      <c r="AC131" s="142">
        <f>SUMPRODUCT($F10:$AS10,$F$174:$AS$174)*(1-AC$174)-SUM($F131:AB131)</f>
        <v>0</v>
      </c>
      <c r="AD131" s="142">
        <f>SUMPRODUCT($F10:$AS10,$F$174:$AS$174)*(1-AD$174)-SUM($F131:AC131)</f>
        <v>0</v>
      </c>
      <c r="AE131" s="142">
        <f>SUMPRODUCT($F10:$AS10,$F$174:$AS$174)*(1-AE$174)-SUM($F131:AD131)</f>
        <v>0</v>
      </c>
      <c r="AF131" s="142">
        <f>SUMPRODUCT($F10:$AS10,$F$174:$AS$174)*(1-AF$174)-SUM($F131:AE131)</f>
        <v>0</v>
      </c>
      <c r="AG131" s="142">
        <f>SUMPRODUCT($F10:$AS10,$F$174:$AS$174)*(1-AG$174)-SUM($F131:AF131)</f>
        <v>0</v>
      </c>
      <c r="AH131" s="142">
        <f>SUMPRODUCT($F10:$AS10,$F$174:$AS$174)*(1-AH$174)-SUM($F131:AG131)</f>
        <v>0</v>
      </c>
      <c r="AI131" s="142">
        <f>SUMPRODUCT($F10:$AS10,$F$174:$AS$174)*(1-AI$174)-SUM($F131:AH131)</f>
        <v>0</v>
      </c>
      <c r="AJ131" s="142">
        <f>SUMPRODUCT($F10:$AS10,$F$174:$AS$174)*(1-AJ$174)-SUM($F131:AI131)</f>
        <v>0</v>
      </c>
      <c r="AK131" s="142">
        <f>SUMPRODUCT($F10:$AS10,$F$174:$AS$174)*(1-AK$174)-SUM($F131:AJ131)</f>
        <v>0</v>
      </c>
      <c r="AL131" s="142">
        <f>SUMPRODUCT($F10:$AS10,$F$174:$AS$174)*(1-AL$174)-SUM($F131:AK131)</f>
        <v>0</v>
      </c>
      <c r="AM131" s="142">
        <f>SUMPRODUCT($F10:$AS10,$F$174:$AS$174)*(1-AM$174)-SUM($F131:AL131)</f>
        <v>0</v>
      </c>
      <c r="AN131" s="142">
        <f>SUMPRODUCT($F10:$AS10,$F$174:$AS$174)*(1-AN$174)-SUM($F131:AM131)</f>
        <v>0</v>
      </c>
      <c r="AO131" s="142">
        <f>SUMPRODUCT($F10:$AS10,$F$174:$AS$174)*(1-AO$174)-SUM($F131:AN131)</f>
        <v>0</v>
      </c>
      <c r="AP131" s="142">
        <f>SUMPRODUCT($F10:$AS10,$F$174:$AS$174)*(1-AP$174)-SUM($F131:AO131)</f>
        <v>0</v>
      </c>
      <c r="AQ131" s="142">
        <f>SUMPRODUCT($F10:$AS10,$F$174:$AS$174)*(1-AQ$174)-SUM($F131:AP131)</f>
        <v>0</v>
      </c>
      <c r="AR131" s="142">
        <f>SUMPRODUCT($F10:$AS10,$F$174:$AS$174)*(1-AR$174)-SUM($F131:AQ131)</f>
        <v>0</v>
      </c>
      <c r="AS131" s="142">
        <f>SUMPRODUCT($F10:$AS10,$F$174:$AS$174)*(1-AS$174)-SUM($F131:AR131)</f>
        <v>0</v>
      </c>
      <c r="AT131" s="142">
        <f>SUMPRODUCT($F10:$AS10,$F$174:$AS$174)*(1-AT$174)-SUM($F131:AS131)</f>
        <v>0</v>
      </c>
      <c r="AU131" s="142">
        <f>SUMPRODUCT($F10:$AS10,$F$174:$AS$174)*(1-AU$174)-SUM($F131:AT131)</f>
        <v>0</v>
      </c>
      <c r="AV131" s="142">
        <f>SUMPRODUCT($F10:$AS10,$F$174:$AS$174)*(1-AV$174)-SUM($F131:AU131)</f>
        <v>0</v>
      </c>
      <c r="AW131" s="142">
        <f>SUMPRODUCT($F10:$AS10,$F$174:$AS$174)*(1-AW$174)-SUM($F131:AV131)</f>
        <v>0</v>
      </c>
      <c r="AX131" s="142">
        <f>SUMPRODUCT($F10:$AS10,$F$174:$AS$174)*(1-AX$174)-SUM($F131:AW131)</f>
        <v>0</v>
      </c>
      <c r="AY131" s="142">
        <f>SUMPRODUCT($F10:$AS10,$F$174:$AS$174)*(1-AY$174)-SUM($F131:AX131)</f>
        <v>0</v>
      </c>
      <c r="AZ131" s="142">
        <f>SUMPRODUCT($F10:$AS10,$F$174:$AS$174)*(1-AZ$174)-SUM($F131:AY131)</f>
        <v>0</v>
      </c>
      <c r="BA131" s="142">
        <f>SUMPRODUCT($F10:$AS10,$F$174:$AS$174)*(1-BA$174)-SUM($F131:AZ131)</f>
        <v>0</v>
      </c>
      <c r="BB131" s="142">
        <f>SUMPRODUCT($F10:$AS10,$F$174:$AS$174)*(1-BB$174)-SUM($F131:BA131)</f>
        <v>0</v>
      </c>
      <c r="BC131" s="142">
        <f>SUMPRODUCT($F10:$AS10,$F$174:$AS$174)*(1-BC$174)-SUM($F131:BB131)</f>
        <v>0</v>
      </c>
      <c r="BD131" s="142">
        <f>SUMPRODUCT($F10:$AS10,$F$174:$AS$174)*(1-BD$174)-SUM($F131:BC131)</f>
        <v>0</v>
      </c>
      <c r="BE131" s="142">
        <f>SUMPRODUCT($F10:$AS10,$F$174:$AS$174)*(1-BE$174)-SUM($F131:BD131)</f>
        <v>0</v>
      </c>
      <c r="BF131" s="142">
        <f>SUMPRODUCT($F10:$AS10,$F$174:$AS$174)*(1-BF$174)-SUM($F131:BE131)</f>
        <v>0</v>
      </c>
      <c r="BG131" s="142">
        <f>SUMPRODUCT($F10:$AS10,$F$174:$AS$174)*(1-BG$174)-SUM($F131:BF131)</f>
        <v>0</v>
      </c>
      <c r="BH131" s="142">
        <f>SUMPRODUCT($F10:$AS10,$F$174:$AS$174)*(1-BH$174)-SUM($F131:BG131)</f>
        <v>0</v>
      </c>
      <c r="BI131" s="142">
        <f>SUMPRODUCT($F10:$AS10,$F$174:$AS$174)*(1-BI$174)-SUM($F131:BH131)</f>
        <v>0</v>
      </c>
      <c r="BJ131" s="142">
        <f>SUMPRODUCT($F10:$AS10,$F$174:$AS$174)*(1-BJ$174)-SUM($F131:BI131)</f>
        <v>0</v>
      </c>
      <c r="BK131" s="142">
        <f>SUMPRODUCT($F10:$AS10,$F$174:$AS$174)*(1-BK$174)-SUM($F131:BJ131)</f>
        <v>0</v>
      </c>
      <c r="BL131" s="142">
        <f>SUMPRODUCT($F10:$AS10,$F$174:$AS$174)*(1-BL$174)-SUM($F131:BK131)</f>
        <v>0</v>
      </c>
      <c r="BM131" s="142">
        <f>SUMPRODUCT($F10:$AS10,$F$174:$AS$174)*(1-BM$174)-SUM($F131:BL131)</f>
        <v>0</v>
      </c>
    </row>
    <row r="132" spans="1:65" hidden="1" outlineLevel="1">
      <c r="B132" s="27"/>
      <c r="C132" s="27"/>
      <c r="D132" s="158" t="str">
        <f t="shared" si="67"/>
        <v>РИТЕЙЛ</v>
      </c>
      <c r="E132" s="154">
        <f t="shared" si="62"/>
        <v>0</v>
      </c>
      <c r="F132" s="142"/>
      <c r="G132" s="142">
        <f>SUMPRODUCT($F11:$AS11,$F$174:$AS$174)*(1-G$174)-SUM($F132:F132)</f>
        <v>0</v>
      </c>
      <c r="H132" s="142">
        <f>SUMPRODUCT($F11:$AS11,$F$174:$AS$174)*(1-H$174)-SUM($F132:G132)</f>
        <v>0</v>
      </c>
      <c r="I132" s="142">
        <f>SUMPRODUCT($F11:$AS11,$F$174:$AS$174)*(1-I$174)-SUM($F132:H132)</f>
        <v>0</v>
      </c>
      <c r="J132" s="142">
        <f>SUMPRODUCT($F11:$AS11,$F$174:$AS$174)*(1-J$174)-SUM($F132:I132)</f>
        <v>0</v>
      </c>
      <c r="K132" s="142">
        <f>SUMPRODUCT($F11:$AS11,$F$174:$AS$174)*(1-K$174)-SUM($F132:J132)</f>
        <v>0</v>
      </c>
      <c r="L132" s="142">
        <f>SUMPRODUCT($F11:$AS11,$F$174:$AS$174)*(1-L$174)-SUM($F132:K132)</f>
        <v>0</v>
      </c>
      <c r="M132" s="142">
        <f>SUMPRODUCT($F11:$AS11,$F$174:$AS$174)*(1-M$174)-SUM($F132:L132)</f>
        <v>0</v>
      </c>
      <c r="N132" s="142">
        <f>SUMPRODUCT($F11:$AS11,$F$174:$AS$174)*(1-N$174)-SUM($F132:M132)</f>
        <v>0</v>
      </c>
      <c r="O132" s="142">
        <f>SUMPRODUCT($F11:$AS11,$F$174:$AS$174)*(1-O$174)-SUM($F132:N132)</f>
        <v>0</v>
      </c>
      <c r="P132" s="142">
        <f>SUMPRODUCT($F11:$AS11,$F$174:$AS$174)*(1-P$174)-SUM($F132:O132)</f>
        <v>0</v>
      </c>
      <c r="Q132" s="142">
        <f>SUMPRODUCT($F11:$AS11,$F$174:$AS$174)*(1-Q$174)-SUM($F132:P132)</f>
        <v>0</v>
      </c>
      <c r="R132" s="142">
        <f>SUMPRODUCT($F11:$AS11,$F$174:$AS$174)*(1-R$174)-SUM($F132:Q132)</f>
        <v>0</v>
      </c>
      <c r="S132" s="142">
        <f>SUMPRODUCT($F11:$AS11,$F$174:$AS$174)*(1-S$174)-SUM($F132:R132)</f>
        <v>0</v>
      </c>
      <c r="T132" s="142">
        <f>SUMPRODUCT($F11:$AS11,$F$174:$AS$174)*(1-T$174)-SUM($F132:S132)</f>
        <v>0</v>
      </c>
      <c r="U132" s="142">
        <f>SUMPRODUCT($F11:$AS11,$F$174:$AS$174)*(1-U$174)-SUM($F132:T132)</f>
        <v>0</v>
      </c>
      <c r="V132" s="142">
        <f>SUMPRODUCT($F11:$AS11,$F$174:$AS$174)*(1-V$174)-SUM($F132:U132)</f>
        <v>0</v>
      </c>
      <c r="W132" s="142">
        <f>SUMPRODUCT($F11:$AS11,$F$174:$AS$174)*(1-W$174)-SUM($F132:V132)</f>
        <v>0</v>
      </c>
      <c r="X132" s="142">
        <f>SUMPRODUCT($F11:$AS11,$F$174:$AS$174)*(1-X$174)-SUM($F132:W132)</f>
        <v>0</v>
      </c>
      <c r="Y132" s="142">
        <f>SUMPRODUCT($F11:$AS11,$F$174:$AS$174)*(1-Y$174)-SUM($F132:X132)</f>
        <v>0</v>
      </c>
      <c r="Z132" s="142">
        <f>SUMPRODUCT($F11:$AS11,$F$174:$AS$174)*(1-Z$174)-SUM($F132:Y132)</f>
        <v>0</v>
      </c>
      <c r="AA132" s="142">
        <f>SUMPRODUCT($F11:$AS11,$F$174:$AS$174)*(1-AA$174)-SUM($F132:Z132)</f>
        <v>0</v>
      </c>
      <c r="AB132" s="142">
        <f>SUMPRODUCT($F11:$AS11,$F$174:$AS$174)*(1-AB$174)-SUM($F132:AA132)</f>
        <v>0</v>
      </c>
      <c r="AC132" s="142">
        <f>SUMPRODUCT($F11:$AS11,$F$174:$AS$174)*(1-AC$174)-SUM($F132:AB132)</f>
        <v>0</v>
      </c>
      <c r="AD132" s="142">
        <f>SUMPRODUCT($F11:$AS11,$F$174:$AS$174)*(1-AD$174)-SUM($F132:AC132)</f>
        <v>0</v>
      </c>
      <c r="AE132" s="142">
        <f>SUMPRODUCT($F11:$AS11,$F$174:$AS$174)*(1-AE$174)-SUM($F132:AD132)</f>
        <v>0</v>
      </c>
      <c r="AF132" s="142">
        <f>SUMPRODUCT($F11:$AS11,$F$174:$AS$174)*(1-AF$174)-SUM($F132:AE132)</f>
        <v>0</v>
      </c>
      <c r="AG132" s="142">
        <f>SUMPRODUCT($F11:$AS11,$F$174:$AS$174)*(1-AG$174)-SUM($F132:AF132)</f>
        <v>0</v>
      </c>
      <c r="AH132" s="142">
        <f>SUMPRODUCT($F11:$AS11,$F$174:$AS$174)*(1-AH$174)-SUM($F132:AG132)</f>
        <v>0</v>
      </c>
      <c r="AI132" s="142">
        <f>SUMPRODUCT($F11:$AS11,$F$174:$AS$174)*(1-AI$174)-SUM($F132:AH132)</f>
        <v>0</v>
      </c>
      <c r="AJ132" s="142">
        <f>SUMPRODUCT($F11:$AS11,$F$174:$AS$174)*(1-AJ$174)-SUM($F132:AI132)</f>
        <v>0</v>
      </c>
      <c r="AK132" s="142">
        <f>SUMPRODUCT($F11:$AS11,$F$174:$AS$174)*(1-AK$174)-SUM($F132:AJ132)</f>
        <v>0</v>
      </c>
      <c r="AL132" s="142">
        <f>SUMPRODUCT($F11:$AS11,$F$174:$AS$174)*(1-AL$174)-SUM($F132:AK132)</f>
        <v>0</v>
      </c>
      <c r="AM132" s="142">
        <f>SUMPRODUCT($F11:$AS11,$F$174:$AS$174)*(1-AM$174)-SUM($F132:AL132)</f>
        <v>0</v>
      </c>
      <c r="AN132" s="142">
        <f>SUMPRODUCT($F11:$AS11,$F$174:$AS$174)*(1-AN$174)-SUM($F132:AM132)</f>
        <v>0</v>
      </c>
      <c r="AO132" s="142">
        <f>SUMPRODUCT($F11:$AS11,$F$174:$AS$174)*(1-AO$174)-SUM($F132:AN132)</f>
        <v>0</v>
      </c>
      <c r="AP132" s="142">
        <f>SUMPRODUCT($F11:$AS11,$F$174:$AS$174)*(1-AP$174)-SUM($F132:AO132)</f>
        <v>0</v>
      </c>
      <c r="AQ132" s="142">
        <f>SUMPRODUCT($F11:$AS11,$F$174:$AS$174)*(1-AQ$174)-SUM($F132:AP132)</f>
        <v>0</v>
      </c>
      <c r="AR132" s="142">
        <f>SUMPRODUCT($F11:$AS11,$F$174:$AS$174)*(1-AR$174)-SUM($F132:AQ132)</f>
        <v>0</v>
      </c>
      <c r="AS132" s="142">
        <f>SUMPRODUCT($F11:$AS11,$F$174:$AS$174)*(1-AS$174)-SUM($F132:AR132)</f>
        <v>0</v>
      </c>
      <c r="AT132" s="142">
        <f>SUMPRODUCT($F11:$AS11,$F$174:$AS$174)*(1-AT$174)-SUM($F132:AS132)</f>
        <v>0</v>
      </c>
      <c r="AU132" s="142">
        <f>SUMPRODUCT($F11:$AS11,$F$174:$AS$174)*(1-AU$174)-SUM($F132:AT132)</f>
        <v>0</v>
      </c>
      <c r="AV132" s="142">
        <f>SUMPRODUCT($F11:$AS11,$F$174:$AS$174)*(1-AV$174)-SUM($F132:AU132)</f>
        <v>0</v>
      </c>
      <c r="AW132" s="142">
        <f>SUMPRODUCT($F11:$AS11,$F$174:$AS$174)*(1-AW$174)-SUM($F132:AV132)</f>
        <v>0</v>
      </c>
      <c r="AX132" s="142">
        <f>SUMPRODUCT($F11:$AS11,$F$174:$AS$174)*(1-AX$174)-SUM($F132:AW132)</f>
        <v>0</v>
      </c>
      <c r="AY132" s="142">
        <f>SUMPRODUCT($F11:$AS11,$F$174:$AS$174)*(1-AY$174)-SUM($F132:AX132)</f>
        <v>0</v>
      </c>
      <c r="AZ132" s="142">
        <f>SUMPRODUCT($F11:$AS11,$F$174:$AS$174)*(1-AZ$174)-SUM($F132:AY132)</f>
        <v>0</v>
      </c>
      <c r="BA132" s="142">
        <f>SUMPRODUCT($F11:$AS11,$F$174:$AS$174)*(1-BA$174)-SUM($F132:AZ132)</f>
        <v>0</v>
      </c>
      <c r="BB132" s="142">
        <f>SUMPRODUCT($F11:$AS11,$F$174:$AS$174)*(1-BB$174)-SUM($F132:BA132)</f>
        <v>0</v>
      </c>
      <c r="BC132" s="142">
        <f>SUMPRODUCT($F11:$AS11,$F$174:$AS$174)*(1-BC$174)-SUM($F132:BB132)</f>
        <v>0</v>
      </c>
      <c r="BD132" s="142">
        <f>SUMPRODUCT($F11:$AS11,$F$174:$AS$174)*(1-BD$174)-SUM($F132:BC132)</f>
        <v>0</v>
      </c>
      <c r="BE132" s="142">
        <f>SUMPRODUCT($F11:$AS11,$F$174:$AS$174)*(1-BE$174)-SUM($F132:BD132)</f>
        <v>0</v>
      </c>
      <c r="BF132" s="142">
        <f>SUMPRODUCT($F11:$AS11,$F$174:$AS$174)*(1-BF$174)-SUM($F132:BE132)</f>
        <v>0</v>
      </c>
      <c r="BG132" s="142">
        <f>SUMPRODUCT($F11:$AS11,$F$174:$AS$174)*(1-BG$174)-SUM($F132:BF132)</f>
        <v>0</v>
      </c>
      <c r="BH132" s="142">
        <f>SUMPRODUCT($F11:$AS11,$F$174:$AS$174)*(1-BH$174)-SUM($F132:BG132)</f>
        <v>0</v>
      </c>
      <c r="BI132" s="142">
        <f>SUMPRODUCT($F11:$AS11,$F$174:$AS$174)*(1-BI$174)-SUM($F132:BH132)</f>
        <v>0</v>
      </c>
      <c r="BJ132" s="142">
        <f>SUMPRODUCT($F11:$AS11,$F$174:$AS$174)*(1-BJ$174)-SUM($F132:BI132)</f>
        <v>0</v>
      </c>
      <c r="BK132" s="142">
        <f>SUMPRODUCT($F11:$AS11,$F$174:$AS$174)*(1-BK$174)-SUM($F132:BJ132)</f>
        <v>0</v>
      </c>
      <c r="BL132" s="142">
        <f>SUMPRODUCT($F11:$AS11,$F$174:$AS$174)*(1-BL$174)-SUM($F132:BK132)</f>
        <v>0</v>
      </c>
      <c r="BM132" s="142">
        <f>SUMPRODUCT($F11:$AS11,$F$174:$AS$174)*(1-BM$174)-SUM($F132:BL132)</f>
        <v>0</v>
      </c>
    </row>
    <row r="133" spans="1:65" hidden="1" outlineLevel="1">
      <c r="B133" s="27"/>
      <c r="C133" s="27"/>
      <c r="D133" s="158" t="str">
        <f t="shared" si="67"/>
        <v>ТЦ</v>
      </c>
      <c r="E133" s="154">
        <f t="shared" si="62"/>
        <v>0</v>
      </c>
      <c r="F133" s="142"/>
      <c r="G133" s="142">
        <f>SUMPRODUCT($F12:$AS12,$F$174:$AS$174)*(1-G$174)-SUM($F133:F133)</f>
        <v>0</v>
      </c>
      <c r="H133" s="142">
        <f>SUMPRODUCT($F12:$AS12,$F$174:$AS$174)*(1-H$174)-SUM($F133:G133)</f>
        <v>0</v>
      </c>
      <c r="I133" s="142">
        <f>SUMPRODUCT($F12:$AS12,$F$174:$AS$174)*(1-I$174)-SUM($F133:H133)</f>
        <v>0</v>
      </c>
      <c r="J133" s="142">
        <f>SUMPRODUCT($F12:$AS12,$F$174:$AS$174)*(1-J$174)-SUM($F133:I133)</f>
        <v>0</v>
      </c>
      <c r="K133" s="142">
        <f>SUMPRODUCT($F12:$AS12,$F$174:$AS$174)*(1-K$174)-SUM($F133:J133)</f>
        <v>0</v>
      </c>
      <c r="L133" s="142">
        <f>SUMPRODUCT($F12:$AS12,$F$174:$AS$174)*(1-L$174)-SUM($F133:K133)</f>
        <v>0</v>
      </c>
      <c r="M133" s="142">
        <f>SUMPRODUCT($F12:$AS12,$F$174:$AS$174)*(1-M$174)-SUM($F133:L133)</f>
        <v>0</v>
      </c>
      <c r="N133" s="142">
        <f>SUMPRODUCT($F12:$AS12,$F$174:$AS$174)*(1-N$174)-SUM($F133:M133)</f>
        <v>0</v>
      </c>
      <c r="O133" s="142">
        <f>SUMPRODUCT($F12:$AS12,$F$174:$AS$174)*(1-O$174)-SUM($F133:N133)</f>
        <v>0</v>
      </c>
      <c r="P133" s="142">
        <f>SUMPRODUCT($F12:$AS12,$F$174:$AS$174)*(1-P$174)-SUM($F133:O133)</f>
        <v>0</v>
      </c>
      <c r="Q133" s="142">
        <f>SUMPRODUCT($F12:$AS12,$F$174:$AS$174)*(1-Q$174)-SUM($F133:P133)</f>
        <v>0</v>
      </c>
      <c r="R133" s="142">
        <f>SUMPRODUCT($F12:$AS12,$F$174:$AS$174)*(1-R$174)-SUM($F133:Q133)</f>
        <v>0</v>
      </c>
      <c r="S133" s="142">
        <f>SUMPRODUCT($F12:$AS12,$F$174:$AS$174)*(1-S$174)-SUM($F133:R133)</f>
        <v>0</v>
      </c>
      <c r="T133" s="142">
        <f>SUMPRODUCT($F12:$AS12,$F$174:$AS$174)*(1-T$174)-SUM($F133:S133)</f>
        <v>0</v>
      </c>
      <c r="U133" s="142">
        <f>SUMPRODUCT($F12:$AS12,$F$174:$AS$174)*(1-U$174)-SUM($F133:T133)</f>
        <v>0</v>
      </c>
      <c r="V133" s="142">
        <f>SUMPRODUCT($F12:$AS12,$F$174:$AS$174)*(1-V$174)-SUM($F133:U133)</f>
        <v>0</v>
      </c>
      <c r="W133" s="142">
        <f>SUMPRODUCT($F12:$AS12,$F$174:$AS$174)*(1-W$174)-SUM($F133:V133)</f>
        <v>0</v>
      </c>
      <c r="X133" s="142">
        <f>SUMPRODUCT($F12:$AS12,$F$174:$AS$174)*(1-X$174)-SUM($F133:W133)</f>
        <v>0</v>
      </c>
      <c r="Y133" s="142">
        <f>SUMPRODUCT($F12:$AS12,$F$174:$AS$174)*(1-Y$174)-SUM($F133:X133)</f>
        <v>0</v>
      </c>
      <c r="Z133" s="142">
        <f>SUMPRODUCT($F12:$AS12,$F$174:$AS$174)*(1-Z$174)-SUM($F133:Y133)</f>
        <v>0</v>
      </c>
      <c r="AA133" s="142">
        <f>SUMPRODUCT($F12:$AS12,$F$174:$AS$174)*(1-AA$174)-SUM($F133:Z133)</f>
        <v>0</v>
      </c>
      <c r="AB133" s="142">
        <f>SUMPRODUCT($F12:$AS12,$F$174:$AS$174)*(1-AB$174)-SUM($F133:AA133)</f>
        <v>0</v>
      </c>
      <c r="AC133" s="142">
        <f>SUMPRODUCT($F12:$AS12,$F$174:$AS$174)*(1-AC$174)-SUM($F133:AB133)</f>
        <v>0</v>
      </c>
      <c r="AD133" s="142">
        <f>SUMPRODUCT($F12:$AS12,$F$174:$AS$174)*(1-AD$174)-SUM($F133:AC133)</f>
        <v>0</v>
      </c>
      <c r="AE133" s="142">
        <f>SUMPRODUCT($F12:$AS12,$F$174:$AS$174)*(1-AE$174)-SUM($F133:AD133)</f>
        <v>0</v>
      </c>
      <c r="AF133" s="142">
        <f>SUMPRODUCT($F12:$AS12,$F$174:$AS$174)*(1-AF$174)-SUM($F133:AE133)</f>
        <v>0</v>
      </c>
      <c r="AG133" s="142">
        <f>SUMPRODUCT($F12:$AS12,$F$174:$AS$174)*(1-AG$174)-SUM($F133:AF133)</f>
        <v>0</v>
      </c>
      <c r="AH133" s="142">
        <f>SUMPRODUCT($F12:$AS12,$F$174:$AS$174)*(1-AH$174)-SUM($F133:AG133)</f>
        <v>0</v>
      </c>
      <c r="AI133" s="142">
        <f>SUMPRODUCT($F12:$AS12,$F$174:$AS$174)*(1-AI$174)-SUM($F133:AH133)</f>
        <v>0</v>
      </c>
      <c r="AJ133" s="142">
        <f>SUMPRODUCT($F12:$AS12,$F$174:$AS$174)*(1-AJ$174)-SUM($F133:AI133)</f>
        <v>0</v>
      </c>
      <c r="AK133" s="142">
        <f>SUMPRODUCT($F12:$AS12,$F$174:$AS$174)*(1-AK$174)-SUM($F133:AJ133)</f>
        <v>0</v>
      </c>
      <c r="AL133" s="142">
        <f>SUMPRODUCT($F12:$AS12,$F$174:$AS$174)*(1-AL$174)-SUM($F133:AK133)</f>
        <v>0</v>
      </c>
      <c r="AM133" s="142">
        <f>SUMPRODUCT($F12:$AS12,$F$174:$AS$174)*(1-AM$174)-SUM($F133:AL133)</f>
        <v>0</v>
      </c>
      <c r="AN133" s="142">
        <f>SUMPRODUCT($F12:$AS12,$F$174:$AS$174)*(1-AN$174)-SUM($F133:AM133)</f>
        <v>0</v>
      </c>
      <c r="AO133" s="142">
        <f>SUMPRODUCT($F12:$AS12,$F$174:$AS$174)*(1-AO$174)-SUM($F133:AN133)</f>
        <v>0</v>
      </c>
      <c r="AP133" s="142">
        <f>SUMPRODUCT($F12:$AS12,$F$174:$AS$174)*(1-AP$174)-SUM($F133:AO133)</f>
        <v>0</v>
      </c>
      <c r="AQ133" s="142">
        <f>SUMPRODUCT($F12:$AS12,$F$174:$AS$174)*(1-AQ$174)-SUM($F133:AP133)</f>
        <v>0</v>
      </c>
      <c r="AR133" s="142">
        <f>SUMPRODUCT($F12:$AS12,$F$174:$AS$174)*(1-AR$174)-SUM($F133:AQ133)</f>
        <v>0</v>
      </c>
      <c r="AS133" s="142">
        <f>SUMPRODUCT($F12:$AS12,$F$174:$AS$174)*(1-AS$174)-SUM($F133:AR133)</f>
        <v>0</v>
      </c>
      <c r="AT133" s="142">
        <f>SUMPRODUCT($F12:$AS12,$F$174:$AS$174)*(1-AT$174)-SUM($F133:AS133)</f>
        <v>0</v>
      </c>
      <c r="AU133" s="142">
        <f>SUMPRODUCT($F12:$AS12,$F$174:$AS$174)*(1-AU$174)-SUM($F133:AT133)</f>
        <v>0</v>
      </c>
      <c r="AV133" s="142">
        <f>SUMPRODUCT($F12:$AS12,$F$174:$AS$174)*(1-AV$174)-SUM($F133:AU133)</f>
        <v>0</v>
      </c>
      <c r="AW133" s="142">
        <f>SUMPRODUCT($F12:$AS12,$F$174:$AS$174)*(1-AW$174)-SUM($F133:AV133)</f>
        <v>0</v>
      </c>
      <c r="AX133" s="142">
        <f>SUMPRODUCT($F12:$AS12,$F$174:$AS$174)*(1-AX$174)-SUM($F133:AW133)</f>
        <v>0</v>
      </c>
      <c r="AY133" s="142">
        <f>SUMPRODUCT($F12:$AS12,$F$174:$AS$174)*(1-AY$174)-SUM($F133:AX133)</f>
        <v>0</v>
      </c>
      <c r="AZ133" s="142">
        <f>SUMPRODUCT($F12:$AS12,$F$174:$AS$174)*(1-AZ$174)-SUM($F133:AY133)</f>
        <v>0</v>
      </c>
      <c r="BA133" s="142">
        <f>SUMPRODUCT($F12:$AS12,$F$174:$AS$174)*(1-BA$174)-SUM($F133:AZ133)</f>
        <v>0</v>
      </c>
      <c r="BB133" s="142">
        <f>SUMPRODUCT($F12:$AS12,$F$174:$AS$174)*(1-BB$174)-SUM($F133:BA133)</f>
        <v>0</v>
      </c>
      <c r="BC133" s="142">
        <f>SUMPRODUCT($F12:$AS12,$F$174:$AS$174)*(1-BC$174)-SUM($F133:BB133)</f>
        <v>0</v>
      </c>
      <c r="BD133" s="142">
        <f>SUMPRODUCT($F12:$AS12,$F$174:$AS$174)*(1-BD$174)-SUM($F133:BC133)</f>
        <v>0</v>
      </c>
      <c r="BE133" s="142">
        <f>SUMPRODUCT($F12:$AS12,$F$174:$AS$174)*(1-BE$174)-SUM($F133:BD133)</f>
        <v>0</v>
      </c>
      <c r="BF133" s="142">
        <f>SUMPRODUCT($F12:$AS12,$F$174:$AS$174)*(1-BF$174)-SUM($F133:BE133)</f>
        <v>0</v>
      </c>
      <c r="BG133" s="142">
        <f>SUMPRODUCT($F12:$AS12,$F$174:$AS$174)*(1-BG$174)-SUM($F133:BF133)</f>
        <v>0</v>
      </c>
      <c r="BH133" s="142">
        <f>SUMPRODUCT($F12:$AS12,$F$174:$AS$174)*(1-BH$174)-SUM($F133:BG133)</f>
        <v>0</v>
      </c>
      <c r="BI133" s="142">
        <f>SUMPRODUCT($F12:$AS12,$F$174:$AS$174)*(1-BI$174)-SUM($F133:BH133)</f>
        <v>0</v>
      </c>
      <c r="BJ133" s="142">
        <f>SUMPRODUCT($F12:$AS12,$F$174:$AS$174)*(1-BJ$174)-SUM($F133:BI133)</f>
        <v>0</v>
      </c>
      <c r="BK133" s="142">
        <f>SUMPRODUCT($F12:$AS12,$F$174:$AS$174)*(1-BK$174)-SUM($F133:BJ133)</f>
        <v>0</v>
      </c>
      <c r="BL133" s="142">
        <f>SUMPRODUCT($F12:$AS12,$F$174:$AS$174)*(1-BL$174)-SUM($F133:BK133)</f>
        <v>0</v>
      </c>
      <c r="BM133" s="142">
        <f>SUMPRODUCT($F12:$AS12,$F$174:$AS$174)*(1-BM$174)-SUM($F133:BL133)</f>
        <v>0</v>
      </c>
    </row>
    <row r="134" spans="1:65" hidden="1" outlineLevel="1">
      <c r="B134" s="27"/>
      <c r="C134" s="27"/>
      <c r="D134" s="158" t="str">
        <f t="shared" si="67"/>
        <v>ПАРКИНГ ЖИЛЬЕ</v>
      </c>
      <c r="E134" s="154">
        <f t="shared" si="62"/>
        <v>360</v>
      </c>
      <c r="F134" s="142"/>
      <c r="G134" s="142">
        <f>SUMPRODUCT($F13:$AS13,$F$174:$AS$174)*(1-G$174)-SUM($F134:F134)</f>
        <v>0</v>
      </c>
      <c r="H134" s="142">
        <f>SUMPRODUCT($F13:$AS13,$F$174:$AS$174)*(1-H$174)-SUM($F134:G134)</f>
        <v>0</v>
      </c>
      <c r="I134" s="142">
        <f>SUMPRODUCT($F13:$AS13,$F$174:$AS$174)*(1-I$174)-SUM($F134:H134)</f>
        <v>0</v>
      </c>
      <c r="J134" s="142">
        <f>SUMPRODUCT($F13:$AS13,$F$174:$AS$174)*(1-J$174)-SUM($F134:I134)</f>
        <v>0</v>
      </c>
      <c r="K134" s="142">
        <f>SUMPRODUCT($F13:$AS13,$F$174:$AS$174)*(1-K$174)-SUM($F134:J134)</f>
        <v>0</v>
      </c>
      <c r="L134" s="142">
        <f>SUMPRODUCT($F13:$AS13,$F$174:$AS$174)*(1-L$174)-SUM($F134:K134)</f>
        <v>0</v>
      </c>
      <c r="M134" s="142">
        <f>SUMPRODUCT($F13:$AS13,$F$174:$AS$174)*(1-M$174)-SUM($F134:L134)</f>
        <v>0</v>
      </c>
      <c r="N134" s="142">
        <f>SUMPRODUCT($F13:$AS13,$F$174:$AS$174)*(1-N$174)-SUM($F134:M134)</f>
        <v>0</v>
      </c>
      <c r="O134" s="142">
        <f>SUMPRODUCT($F13:$AS13,$F$174:$AS$174)*(1-O$174)-SUM($F134:N134)</f>
        <v>0</v>
      </c>
      <c r="P134" s="142">
        <f>SUMPRODUCT($F13:$AS13,$F$174:$AS$174)*(1-P$174)-SUM($F134:O134)</f>
        <v>0</v>
      </c>
      <c r="Q134" s="142">
        <f>SUMPRODUCT($F13:$AS13,$F$174:$AS$174)*(1-Q$174)-SUM($F134:P134)</f>
        <v>0</v>
      </c>
      <c r="R134" s="142">
        <f>SUMPRODUCT($F13:$AS13,$F$174:$AS$174)*(1-R$174)-SUM($F134:Q134)</f>
        <v>0</v>
      </c>
      <c r="S134" s="142">
        <f>SUMPRODUCT($F13:$AS13,$F$174:$AS$174)*(1-S$174)-SUM($F134:R134)</f>
        <v>0</v>
      </c>
      <c r="T134" s="142">
        <f>SUMPRODUCT($F13:$AS13,$F$174:$AS$174)*(1-T$174)-SUM($F134:S134)</f>
        <v>0</v>
      </c>
      <c r="U134" s="142">
        <f>SUMPRODUCT($F13:$AS13,$F$174:$AS$174)*(1-U$174)-SUM($F134:T134)</f>
        <v>0</v>
      </c>
      <c r="V134" s="142">
        <f>SUMPRODUCT($F13:$AS13,$F$174:$AS$174)*(1-V$174)-SUM($F134:U134)</f>
        <v>0</v>
      </c>
      <c r="W134" s="142">
        <f>SUMPRODUCT($F13:$AS13,$F$174:$AS$174)*(1-W$174)-SUM($F134:V134)</f>
        <v>0</v>
      </c>
      <c r="X134" s="142">
        <f>SUMPRODUCT($F13:$AS13,$F$174:$AS$174)*(1-X$174)-SUM($F134:W134)</f>
        <v>0</v>
      </c>
      <c r="Y134" s="142">
        <f>SUMPRODUCT($F13:$AS13,$F$174:$AS$174)*(1-Y$174)-SUM($F134:X134)</f>
        <v>0</v>
      </c>
      <c r="Z134" s="142">
        <f>SUMPRODUCT($F13:$AS13,$F$174:$AS$174)*(1-Z$174)-SUM($F134:Y134)</f>
        <v>0</v>
      </c>
      <c r="AA134" s="142">
        <f>SUMPRODUCT($F13:$AS13,$F$174:$AS$174)*(1-AA$174)-SUM($F134:Z134)</f>
        <v>0</v>
      </c>
      <c r="AB134" s="142">
        <f>SUMPRODUCT($F13:$AS13,$F$174:$AS$174)*(1-AB$174)-SUM($F134:AA134)</f>
        <v>0</v>
      </c>
      <c r="AC134" s="142">
        <f>SUMPRODUCT($F13:$AS13,$F$174:$AS$174)*(1-AC$174)-SUM($F134:AB134)</f>
        <v>0</v>
      </c>
      <c r="AD134" s="142">
        <f>SUMPRODUCT($F13:$AS13,$F$174:$AS$174)*(1-AD$174)-SUM($F134:AC134)</f>
        <v>0</v>
      </c>
      <c r="AE134" s="142">
        <f>SUMPRODUCT($F13:$AS13,$F$174:$AS$174)*(1-AE$174)-SUM($F134:AD134)</f>
        <v>0</v>
      </c>
      <c r="AF134" s="142">
        <f>SUMPRODUCT($F13:$AS13,$F$174:$AS$174)*(1-AF$174)-SUM($F134:AE134)</f>
        <v>360</v>
      </c>
      <c r="AG134" s="142">
        <f>SUMPRODUCT($F13:$AS13,$F$174:$AS$174)*(1-AG$174)-SUM($F134:AF134)</f>
        <v>0</v>
      </c>
      <c r="AH134" s="142">
        <f>SUMPRODUCT($F13:$AS13,$F$174:$AS$174)*(1-AH$174)-SUM($F134:AG134)</f>
        <v>0</v>
      </c>
      <c r="AI134" s="142">
        <f>SUMPRODUCT($F13:$AS13,$F$174:$AS$174)*(1-AI$174)-SUM($F134:AH134)</f>
        <v>0</v>
      </c>
      <c r="AJ134" s="142">
        <f>SUMPRODUCT($F13:$AS13,$F$174:$AS$174)*(1-AJ$174)-SUM($F134:AI134)</f>
        <v>0</v>
      </c>
      <c r="AK134" s="142">
        <f>SUMPRODUCT($F13:$AS13,$F$174:$AS$174)*(1-AK$174)-SUM($F134:AJ134)</f>
        <v>0</v>
      </c>
      <c r="AL134" s="142">
        <f>SUMPRODUCT($F13:$AS13,$F$174:$AS$174)*(1-AL$174)-SUM($F134:AK134)</f>
        <v>0</v>
      </c>
      <c r="AM134" s="142">
        <f>SUMPRODUCT($F13:$AS13,$F$174:$AS$174)*(1-AM$174)-SUM($F134:AL134)</f>
        <v>0</v>
      </c>
      <c r="AN134" s="142">
        <f>SUMPRODUCT($F13:$AS13,$F$174:$AS$174)*(1-AN$174)-SUM($F134:AM134)</f>
        <v>0</v>
      </c>
      <c r="AO134" s="142">
        <f>SUMPRODUCT($F13:$AS13,$F$174:$AS$174)*(1-AO$174)-SUM($F134:AN134)</f>
        <v>0</v>
      </c>
      <c r="AP134" s="142">
        <f>SUMPRODUCT($F13:$AS13,$F$174:$AS$174)*(1-AP$174)-SUM($F134:AO134)</f>
        <v>0</v>
      </c>
      <c r="AQ134" s="142">
        <f>SUMPRODUCT($F13:$AS13,$F$174:$AS$174)*(1-AQ$174)-SUM($F134:AP134)</f>
        <v>0</v>
      </c>
      <c r="AR134" s="142">
        <f>SUMPRODUCT($F13:$AS13,$F$174:$AS$174)*(1-AR$174)-SUM($F134:AQ134)</f>
        <v>0</v>
      </c>
      <c r="AS134" s="142">
        <f>SUMPRODUCT($F13:$AS13,$F$174:$AS$174)*(1-AS$174)-SUM($F134:AR134)</f>
        <v>0</v>
      </c>
      <c r="AT134" s="142">
        <f>SUMPRODUCT($F13:$AS13,$F$174:$AS$174)*(1-AT$174)-SUM($F134:AS134)</f>
        <v>0</v>
      </c>
      <c r="AU134" s="142">
        <f>SUMPRODUCT($F13:$AS13,$F$174:$AS$174)*(1-AU$174)-SUM($F134:AT134)</f>
        <v>0</v>
      </c>
      <c r="AV134" s="142">
        <f>SUMPRODUCT($F13:$AS13,$F$174:$AS$174)*(1-AV$174)-SUM($F134:AU134)</f>
        <v>0</v>
      </c>
      <c r="AW134" s="142">
        <f>SUMPRODUCT($F13:$AS13,$F$174:$AS$174)*(1-AW$174)-SUM($F134:AV134)</f>
        <v>0</v>
      </c>
      <c r="AX134" s="142">
        <f>SUMPRODUCT($F13:$AS13,$F$174:$AS$174)*(1-AX$174)-SUM($F134:AW134)</f>
        <v>0</v>
      </c>
      <c r="AY134" s="142">
        <f>SUMPRODUCT($F13:$AS13,$F$174:$AS$174)*(1-AY$174)-SUM($F134:AX134)</f>
        <v>0</v>
      </c>
      <c r="AZ134" s="142">
        <f>SUMPRODUCT($F13:$AS13,$F$174:$AS$174)*(1-AZ$174)-SUM($F134:AY134)</f>
        <v>0</v>
      </c>
      <c r="BA134" s="142">
        <f>SUMPRODUCT($F13:$AS13,$F$174:$AS$174)*(1-BA$174)-SUM($F134:AZ134)</f>
        <v>0</v>
      </c>
      <c r="BB134" s="142">
        <f>SUMPRODUCT($F13:$AS13,$F$174:$AS$174)*(1-BB$174)-SUM($F134:BA134)</f>
        <v>0</v>
      </c>
      <c r="BC134" s="142">
        <f>SUMPRODUCT($F13:$AS13,$F$174:$AS$174)*(1-BC$174)-SUM($F134:BB134)</f>
        <v>0</v>
      </c>
      <c r="BD134" s="142">
        <f>SUMPRODUCT($F13:$AS13,$F$174:$AS$174)*(1-BD$174)-SUM($F134:BC134)</f>
        <v>0</v>
      </c>
      <c r="BE134" s="142">
        <f>SUMPRODUCT($F13:$AS13,$F$174:$AS$174)*(1-BE$174)-SUM($F134:BD134)</f>
        <v>0</v>
      </c>
      <c r="BF134" s="142">
        <f>SUMPRODUCT($F13:$AS13,$F$174:$AS$174)*(1-BF$174)-SUM($F134:BE134)</f>
        <v>0</v>
      </c>
      <c r="BG134" s="142">
        <f>SUMPRODUCT($F13:$AS13,$F$174:$AS$174)*(1-BG$174)-SUM($F134:BF134)</f>
        <v>0</v>
      </c>
      <c r="BH134" s="142">
        <f>SUMPRODUCT($F13:$AS13,$F$174:$AS$174)*(1-BH$174)-SUM($F134:BG134)</f>
        <v>0</v>
      </c>
      <c r="BI134" s="142">
        <f>SUMPRODUCT($F13:$AS13,$F$174:$AS$174)*(1-BI$174)-SUM($F134:BH134)</f>
        <v>0</v>
      </c>
      <c r="BJ134" s="142">
        <f>SUMPRODUCT($F13:$AS13,$F$174:$AS$174)*(1-BJ$174)-SUM($F134:BI134)</f>
        <v>0</v>
      </c>
      <c r="BK134" s="142">
        <f>SUMPRODUCT($F13:$AS13,$F$174:$AS$174)*(1-BK$174)-SUM($F134:BJ134)</f>
        <v>0</v>
      </c>
      <c r="BL134" s="142">
        <f>SUMPRODUCT($F13:$AS13,$F$174:$AS$174)*(1-BL$174)-SUM($F134:BK134)</f>
        <v>0</v>
      </c>
      <c r="BM134" s="142">
        <f>SUMPRODUCT($F13:$AS13,$F$174:$AS$174)*(1-BM$174)-SUM($F134:BL134)</f>
        <v>0</v>
      </c>
    </row>
    <row r="135" spans="1:65" hidden="1" outlineLevel="1">
      <c r="B135" s="27"/>
      <c r="C135" s="27"/>
      <c r="D135" s="158" t="str">
        <f t="shared" si="67"/>
        <v>ПАРКИНГ ОФИС</v>
      </c>
      <c r="E135" s="154">
        <f t="shared" si="62"/>
        <v>0</v>
      </c>
      <c r="F135" s="142"/>
      <c r="G135" s="142">
        <f>SUMPRODUCT($F14:$AS14,$F$174:$AS$174)*(1-G$174)-SUM($F135:F135)</f>
        <v>0</v>
      </c>
      <c r="H135" s="142">
        <f>SUMPRODUCT($F14:$AS14,$F$174:$AS$174)*(1-H$174)-SUM($F135:G135)</f>
        <v>0</v>
      </c>
      <c r="I135" s="142">
        <f>SUMPRODUCT($F14:$AS14,$F$174:$AS$174)*(1-I$174)-SUM($F135:H135)</f>
        <v>0</v>
      </c>
      <c r="J135" s="142">
        <f>SUMPRODUCT($F14:$AS14,$F$174:$AS$174)*(1-J$174)-SUM($F135:I135)</f>
        <v>0</v>
      </c>
      <c r="K135" s="142">
        <f>SUMPRODUCT($F14:$AS14,$F$174:$AS$174)*(1-K$174)-SUM($F135:J135)</f>
        <v>0</v>
      </c>
      <c r="L135" s="142">
        <f>SUMPRODUCT($F14:$AS14,$F$174:$AS$174)*(1-L$174)-SUM($F135:K135)</f>
        <v>0</v>
      </c>
      <c r="M135" s="142">
        <f>SUMPRODUCT($F14:$AS14,$F$174:$AS$174)*(1-M$174)-SUM($F135:L135)</f>
        <v>0</v>
      </c>
      <c r="N135" s="142">
        <f>SUMPRODUCT($F14:$AS14,$F$174:$AS$174)*(1-N$174)-SUM($F135:M135)</f>
        <v>0</v>
      </c>
      <c r="O135" s="142">
        <f>SUMPRODUCT($F14:$AS14,$F$174:$AS$174)*(1-O$174)-SUM($F135:N135)</f>
        <v>0</v>
      </c>
      <c r="P135" s="142">
        <f>SUMPRODUCT($F14:$AS14,$F$174:$AS$174)*(1-P$174)-SUM($F135:O135)</f>
        <v>0</v>
      </c>
      <c r="Q135" s="142">
        <f>SUMPRODUCT($F14:$AS14,$F$174:$AS$174)*(1-Q$174)-SUM($F135:P135)</f>
        <v>0</v>
      </c>
      <c r="R135" s="142">
        <f>SUMPRODUCT($F14:$AS14,$F$174:$AS$174)*(1-R$174)-SUM($F135:Q135)</f>
        <v>0</v>
      </c>
      <c r="S135" s="142">
        <f>SUMPRODUCT($F14:$AS14,$F$174:$AS$174)*(1-S$174)-SUM($F135:R135)</f>
        <v>0</v>
      </c>
      <c r="T135" s="142">
        <f>SUMPRODUCT($F14:$AS14,$F$174:$AS$174)*(1-T$174)-SUM($F135:S135)</f>
        <v>0</v>
      </c>
      <c r="U135" s="142">
        <f>SUMPRODUCT($F14:$AS14,$F$174:$AS$174)*(1-U$174)-SUM($F135:T135)</f>
        <v>0</v>
      </c>
      <c r="V135" s="142">
        <f>SUMPRODUCT($F14:$AS14,$F$174:$AS$174)*(1-V$174)-SUM($F135:U135)</f>
        <v>0</v>
      </c>
      <c r="W135" s="142">
        <f>SUMPRODUCT($F14:$AS14,$F$174:$AS$174)*(1-W$174)-SUM($F135:V135)</f>
        <v>0</v>
      </c>
      <c r="X135" s="142">
        <f>SUMPRODUCT($F14:$AS14,$F$174:$AS$174)*(1-X$174)-SUM($F135:W135)</f>
        <v>0</v>
      </c>
      <c r="Y135" s="142">
        <f>SUMPRODUCT($F14:$AS14,$F$174:$AS$174)*(1-Y$174)-SUM($F135:X135)</f>
        <v>0</v>
      </c>
      <c r="Z135" s="142">
        <f>SUMPRODUCT($F14:$AS14,$F$174:$AS$174)*(1-Z$174)-SUM($F135:Y135)</f>
        <v>0</v>
      </c>
      <c r="AA135" s="142">
        <f>SUMPRODUCT($F14:$AS14,$F$174:$AS$174)*(1-AA$174)-SUM($F135:Z135)</f>
        <v>0</v>
      </c>
      <c r="AB135" s="142">
        <f>SUMPRODUCT($F14:$AS14,$F$174:$AS$174)*(1-AB$174)-SUM($F135:AA135)</f>
        <v>0</v>
      </c>
      <c r="AC135" s="142">
        <f>SUMPRODUCT($F14:$AS14,$F$174:$AS$174)*(1-AC$174)-SUM($F135:AB135)</f>
        <v>0</v>
      </c>
      <c r="AD135" s="142">
        <f>SUMPRODUCT($F14:$AS14,$F$174:$AS$174)*(1-AD$174)-SUM($F135:AC135)</f>
        <v>0</v>
      </c>
      <c r="AE135" s="142">
        <f>SUMPRODUCT($F14:$AS14,$F$174:$AS$174)*(1-AE$174)-SUM($F135:AD135)</f>
        <v>0</v>
      </c>
      <c r="AF135" s="142">
        <f>SUMPRODUCT($F14:$AS14,$F$174:$AS$174)*(1-AF$174)-SUM($F135:AE135)</f>
        <v>0</v>
      </c>
      <c r="AG135" s="142">
        <f>SUMPRODUCT($F14:$AS14,$F$174:$AS$174)*(1-AG$174)-SUM($F135:AF135)</f>
        <v>0</v>
      </c>
      <c r="AH135" s="142">
        <f>SUMPRODUCT($F14:$AS14,$F$174:$AS$174)*(1-AH$174)-SUM($F135:AG135)</f>
        <v>0</v>
      </c>
      <c r="AI135" s="142">
        <f>SUMPRODUCT($F14:$AS14,$F$174:$AS$174)*(1-AI$174)-SUM($F135:AH135)</f>
        <v>0</v>
      </c>
      <c r="AJ135" s="142">
        <f>SUMPRODUCT($F14:$AS14,$F$174:$AS$174)*(1-AJ$174)-SUM($F135:AI135)</f>
        <v>0</v>
      </c>
      <c r="AK135" s="142">
        <f>SUMPRODUCT($F14:$AS14,$F$174:$AS$174)*(1-AK$174)-SUM($F135:AJ135)</f>
        <v>0</v>
      </c>
      <c r="AL135" s="142">
        <f>SUMPRODUCT($F14:$AS14,$F$174:$AS$174)*(1-AL$174)-SUM($F135:AK135)</f>
        <v>0</v>
      </c>
      <c r="AM135" s="142">
        <f>SUMPRODUCT($F14:$AS14,$F$174:$AS$174)*(1-AM$174)-SUM($F135:AL135)</f>
        <v>0</v>
      </c>
      <c r="AN135" s="142">
        <f>SUMPRODUCT($F14:$AS14,$F$174:$AS$174)*(1-AN$174)-SUM($F135:AM135)</f>
        <v>0</v>
      </c>
      <c r="AO135" s="142">
        <f>SUMPRODUCT($F14:$AS14,$F$174:$AS$174)*(1-AO$174)-SUM($F135:AN135)</f>
        <v>0</v>
      </c>
      <c r="AP135" s="142">
        <f>SUMPRODUCT($F14:$AS14,$F$174:$AS$174)*(1-AP$174)-SUM($F135:AO135)</f>
        <v>0</v>
      </c>
      <c r="AQ135" s="142">
        <f>SUMPRODUCT($F14:$AS14,$F$174:$AS$174)*(1-AQ$174)-SUM($F135:AP135)</f>
        <v>0</v>
      </c>
      <c r="AR135" s="142">
        <f>SUMPRODUCT($F14:$AS14,$F$174:$AS$174)*(1-AR$174)-SUM($F135:AQ135)</f>
        <v>0</v>
      </c>
      <c r="AS135" s="142">
        <f>SUMPRODUCT($F14:$AS14,$F$174:$AS$174)*(1-AS$174)-SUM($F135:AR135)</f>
        <v>0</v>
      </c>
      <c r="AT135" s="142">
        <f>SUMPRODUCT($F14:$AS14,$F$174:$AS$174)*(1-AT$174)-SUM($F135:AS135)</f>
        <v>0</v>
      </c>
      <c r="AU135" s="142">
        <f>SUMPRODUCT($F14:$AS14,$F$174:$AS$174)*(1-AU$174)-SUM($F135:AT135)</f>
        <v>0</v>
      </c>
      <c r="AV135" s="142">
        <f>SUMPRODUCT($F14:$AS14,$F$174:$AS$174)*(1-AV$174)-SUM($F135:AU135)</f>
        <v>0</v>
      </c>
      <c r="AW135" s="142">
        <f>SUMPRODUCT($F14:$AS14,$F$174:$AS$174)*(1-AW$174)-SUM($F135:AV135)</f>
        <v>0</v>
      </c>
      <c r="AX135" s="142">
        <f>SUMPRODUCT($F14:$AS14,$F$174:$AS$174)*(1-AX$174)-SUM($F135:AW135)</f>
        <v>0</v>
      </c>
      <c r="AY135" s="142">
        <f>SUMPRODUCT($F14:$AS14,$F$174:$AS$174)*(1-AY$174)-SUM($F135:AX135)</f>
        <v>0</v>
      </c>
      <c r="AZ135" s="142">
        <f>SUMPRODUCT($F14:$AS14,$F$174:$AS$174)*(1-AZ$174)-SUM($F135:AY135)</f>
        <v>0</v>
      </c>
      <c r="BA135" s="142">
        <f>SUMPRODUCT($F14:$AS14,$F$174:$AS$174)*(1-BA$174)-SUM($F135:AZ135)</f>
        <v>0</v>
      </c>
      <c r="BB135" s="142">
        <f>SUMPRODUCT($F14:$AS14,$F$174:$AS$174)*(1-BB$174)-SUM($F135:BA135)</f>
        <v>0</v>
      </c>
      <c r="BC135" s="142">
        <f>SUMPRODUCT($F14:$AS14,$F$174:$AS$174)*(1-BC$174)-SUM($F135:BB135)</f>
        <v>0</v>
      </c>
      <c r="BD135" s="142">
        <f>SUMPRODUCT($F14:$AS14,$F$174:$AS$174)*(1-BD$174)-SUM($F135:BC135)</f>
        <v>0</v>
      </c>
      <c r="BE135" s="142">
        <f>SUMPRODUCT($F14:$AS14,$F$174:$AS$174)*(1-BE$174)-SUM($F135:BD135)</f>
        <v>0</v>
      </c>
      <c r="BF135" s="142">
        <f>SUMPRODUCT($F14:$AS14,$F$174:$AS$174)*(1-BF$174)-SUM($F135:BE135)</f>
        <v>0</v>
      </c>
      <c r="BG135" s="142">
        <f>SUMPRODUCT($F14:$AS14,$F$174:$AS$174)*(1-BG$174)-SUM($F135:BF135)</f>
        <v>0</v>
      </c>
      <c r="BH135" s="142">
        <f>SUMPRODUCT($F14:$AS14,$F$174:$AS$174)*(1-BH$174)-SUM($F135:BG135)</f>
        <v>0</v>
      </c>
      <c r="BI135" s="142">
        <f>SUMPRODUCT($F14:$AS14,$F$174:$AS$174)*(1-BI$174)-SUM($F135:BH135)</f>
        <v>0</v>
      </c>
      <c r="BJ135" s="142">
        <f>SUMPRODUCT($F14:$AS14,$F$174:$AS$174)*(1-BJ$174)-SUM($F135:BI135)</f>
        <v>0</v>
      </c>
      <c r="BK135" s="142">
        <f>SUMPRODUCT($F14:$AS14,$F$174:$AS$174)*(1-BK$174)-SUM($F135:BJ135)</f>
        <v>0</v>
      </c>
      <c r="BL135" s="142">
        <f>SUMPRODUCT($F14:$AS14,$F$174:$AS$174)*(1-BL$174)-SUM($F135:BK135)</f>
        <v>0</v>
      </c>
      <c r="BM135" s="142">
        <f>SUMPRODUCT($F14:$AS14,$F$174:$AS$174)*(1-BM$174)-SUM($F135:BL135)</f>
        <v>0</v>
      </c>
    </row>
    <row r="136" spans="1:65" s="151" customFormat="1" hidden="1" outlineLevel="1">
      <c r="B136" s="152"/>
      <c r="C136" s="152" t="s">
        <v>100</v>
      </c>
      <c r="D136" s="153"/>
      <c r="E136" s="154">
        <f t="shared" si="62"/>
        <v>0</v>
      </c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5"/>
      <c r="AG136" s="155"/>
      <c r="AH136" s="155"/>
      <c r="AI136" s="155"/>
      <c r="AJ136" s="155"/>
      <c r="AK136" s="155"/>
      <c r="AL136" s="155"/>
      <c r="AM136" s="155"/>
      <c r="AN136" s="155"/>
      <c r="AO136" s="155"/>
      <c r="AP136" s="155"/>
      <c r="AQ136" s="155"/>
      <c r="AR136" s="155"/>
      <c r="AS136" s="155"/>
      <c r="AT136" s="155"/>
      <c r="AU136" s="155"/>
      <c r="AV136" s="155"/>
      <c r="AW136" s="155"/>
      <c r="AX136" s="155"/>
      <c r="AY136" s="155"/>
      <c r="AZ136" s="155"/>
      <c r="BA136" s="155"/>
      <c r="BB136" s="155"/>
      <c r="BC136" s="155"/>
      <c r="BD136" s="155"/>
      <c r="BE136" s="155"/>
      <c r="BF136" s="155"/>
      <c r="BG136" s="155"/>
      <c r="BH136" s="155"/>
      <c r="BI136" s="155"/>
      <c r="BJ136" s="155"/>
      <c r="BK136" s="155"/>
      <c r="BL136" s="155"/>
      <c r="BM136" s="155"/>
    </row>
    <row r="137" spans="1:65" hidden="1" outlineLevel="1">
      <c r="B137" s="27"/>
      <c r="C137" s="157"/>
      <c r="D137" s="158" t="str">
        <f>D129</f>
        <v>КВАРТИРЫ</v>
      </c>
      <c r="E137" s="154">
        <f t="shared" si="62"/>
        <v>23425.363199999985</v>
      </c>
      <c r="F137" s="142"/>
      <c r="G137" s="142">
        <f t="shared" ref="G137:AL137" si="68">G8*(1-G$174)</f>
        <v>0</v>
      </c>
      <c r="H137" s="142">
        <f t="shared" si="68"/>
        <v>0</v>
      </c>
      <c r="I137" s="142">
        <f t="shared" si="68"/>
        <v>0</v>
      </c>
      <c r="J137" s="142">
        <f t="shared" si="68"/>
        <v>0</v>
      </c>
      <c r="K137" s="142">
        <f t="shared" si="68"/>
        <v>0</v>
      </c>
      <c r="L137" s="142">
        <f t="shared" si="68"/>
        <v>0</v>
      </c>
      <c r="M137" s="142">
        <f t="shared" si="68"/>
        <v>0</v>
      </c>
      <c r="N137" s="142">
        <f t="shared" si="68"/>
        <v>0</v>
      </c>
      <c r="O137" s="142">
        <f t="shared" si="68"/>
        <v>0</v>
      </c>
      <c r="P137" s="142">
        <f t="shared" si="68"/>
        <v>0</v>
      </c>
      <c r="Q137" s="142">
        <f t="shared" si="68"/>
        <v>0</v>
      </c>
      <c r="R137" s="142">
        <f t="shared" si="68"/>
        <v>0</v>
      </c>
      <c r="S137" s="142">
        <f t="shared" si="68"/>
        <v>0</v>
      </c>
      <c r="T137" s="142">
        <f t="shared" si="68"/>
        <v>0</v>
      </c>
      <c r="U137" s="142">
        <f t="shared" si="68"/>
        <v>0</v>
      </c>
      <c r="V137" s="142">
        <f t="shared" si="68"/>
        <v>0</v>
      </c>
      <c r="W137" s="142">
        <f t="shared" si="68"/>
        <v>0</v>
      </c>
      <c r="X137" s="142">
        <f t="shared" si="68"/>
        <v>0</v>
      </c>
      <c r="Y137" s="142">
        <f t="shared" si="68"/>
        <v>0</v>
      </c>
      <c r="Z137" s="142">
        <f t="shared" si="68"/>
        <v>0</v>
      </c>
      <c r="AA137" s="142">
        <f t="shared" si="68"/>
        <v>0</v>
      </c>
      <c r="AB137" s="142">
        <f t="shared" si="68"/>
        <v>0</v>
      </c>
      <c r="AC137" s="142">
        <f t="shared" si="68"/>
        <v>0</v>
      </c>
      <c r="AD137" s="142">
        <f t="shared" si="68"/>
        <v>0</v>
      </c>
      <c r="AE137" s="142">
        <f t="shared" si="68"/>
        <v>0</v>
      </c>
      <c r="AF137" s="142">
        <f t="shared" si="68"/>
        <v>3000</v>
      </c>
      <c r="AG137" s="142">
        <f t="shared" si="68"/>
        <v>3000</v>
      </c>
      <c r="AH137" s="142">
        <f t="shared" si="68"/>
        <v>3000</v>
      </c>
      <c r="AI137" s="142">
        <f t="shared" si="68"/>
        <v>3000</v>
      </c>
      <c r="AJ137" s="142">
        <f t="shared" si="68"/>
        <v>3000</v>
      </c>
      <c r="AK137" s="142">
        <f t="shared" si="68"/>
        <v>3000</v>
      </c>
      <c r="AL137" s="142">
        <f t="shared" si="68"/>
        <v>3000</v>
      </c>
      <c r="AM137" s="142">
        <f t="shared" ref="AM137:BM137" si="69">AM8*(1-AM$174)</f>
        <v>2425.3631999999852</v>
      </c>
      <c r="AN137" s="142">
        <f t="shared" si="69"/>
        <v>0</v>
      </c>
      <c r="AO137" s="142">
        <f t="shared" si="69"/>
        <v>0</v>
      </c>
      <c r="AP137" s="142">
        <f t="shared" si="69"/>
        <v>0</v>
      </c>
      <c r="AQ137" s="142">
        <f t="shared" si="69"/>
        <v>0</v>
      </c>
      <c r="AR137" s="142">
        <f t="shared" si="69"/>
        <v>0</v>
      </c>
      <c r="AS137" s="142">
        <f t="shared" si="69"/>
        <v>0</v>
      </c>
      <c r="AT137" s="142">
        <f t="shared" si="69"/>
        <v>0</v>
      </c>
      <c r="AU137" s="142">
        <f t="shared" si="69"/>
        <v>0</v>
      </c>
      <c r="AV137" s="142">
        <f t="shared" si="69"/>
        <v>0</v>
      </c>
      <c r="AW137" s="142">
        <f t="shared" si="69"/>
        <v>0</v>
      </c>
      <c r="AX137" s="142">
        <f t="shared" si="69"/>
        <v>0</v>
      </c>
      <c r="AY137" s="142">
        <f t="shared" si="69"/>
        <v>0</v>
      </c>
      <c r="AZ137" s="142">
        <f t="shared" si="69"/>
        <v>0</v>
      </c>
      <c r="BA137" s="142">
        <f t="shared" si="69"/>
        <v>0</v>
      </c>
      <c r="BB137" s="142">
        <f t="shared" si="69"/>
        <v>0</v>
      </c>
      <c r="BC137" s="142">
        <f t="shared" si="69"/>
        <v>0</v>
      </c>
      <c r="BD137" s="142">
        <f t="shared" si="69"/>
        <v>0</v>
      </c>
      <c r="BE137" s="142">
        <f t="shared" si="69"/>
        <v>0</v>
      </c>
      <c r="BF137" s="142">
        <f t="shared" si="69"/>
        <v>0</v>
      </c>
      <c r="BG137" s="142">
        <f t="shared" si="69"/>
        <v>0</v>
      </c>
      <c r="BH137" s="142">
        <f t="shared" si="69"/>
        <v>0</v>
      </c>
      <c r="BI137" s="142">
        <f t="shared" si="69"/>
        <v>0</v>
      </c>
      <c r="BJ137" s="142">
        <f t="shared" si="69"/>
        <v>0</v>
      </c>
      <c r="BK137" s="142">
        <f t="shared" si="69"/>
        <v>0</v>
      </c>
      <c r="BL137" s="142">
        <f t="shared" si="69"/>
        <v>0</v>
      </c>
      <c r="BM137" s="142">
        <f t="shared" si="69"/>
        <v>0</v>
      </c>
    </row>
    <row r="138" spans="1:65" hidden="1" outlineLevel="1">
      <c r="B138" s="27"/>
      <c r="C138" s="157"/>
      <c r="D138" s="158" t="str">
        <f t="shared" ref="D138:D143" si="70">D130</f>
        <v>АПАРТАМЕНТЫ</v>
      </c>
      <c r="E138" s="154">
        <f t="shared" si="62"/>
        <v>0</v>
      </c>
      <c r="F138" s="142"/>
      <c r="G138" s="142">
        <f t="shared" ref="G138:AL138" si="71">G9*(1-G$174)</f>
        <v>0</v>
      </c>
      <c r="H138" s="142">
        <f t="shared" si="71"/>
        <v>0</v>
      </c>
      <c r="I138" s="142">
        <f t="shared" si="71"/>
        <v>0</v>
      </c>
      <c r="J138" s="142">
        <f t="shared" si="71"/>
        <v>0</v>
      </c>
      <c r="K138" s="142">
        <f t="shared" si="71"/>
        <v>0</v>
      </c>
      <c r="L138" s="142">
        <f t="shared" si="71"/>
        <v>0</v>
      </c>
      <c r="M138" s="142">
        <f t="shared" si="71"/>
        <v>0</v>
      </c>
      <c r="N138" s="142">
        <f t="shared" si="71"/>
        <v>0</v>
      </c>
      <c r="O138" s="142">
        <f t="shared" si="71"/>
        <v>0</v>
      </c>
      <c r="P138" s="142">
        <f t="shared" si="71"/>
        <v>0</v>
      </c>
      <c r="Q138" s="142">
        <f t="shared" si="71"/>
        <v>0</v>
      </c>
      <c r="R138" s="142">
        <f t="shared" si="71"/>
        <v>0</v>
      </c>
      <c r="S138" s="142">
        <f t="shared" si="71"/>
        <v>0</v>
      </c>
      <c r="T138" s="142">
        <f t="shared" si="71"/>
        <v>0</v>
      </c>
      <c r="U138" s="142">
        <f t="shared" si="71"/>
        <v>0</v>
      </c>
      <c r="V138" s="142">
        <f t="shared" si="71"/>
        <v>0</v>
      </c>
      <c r="W138" s="142">
        <f t="shared" si="71"/>
        <v>0</v>
      </c>
      <c r="X138" s="142">
        <f t="shared" si="71"/>
        <v>0</v>
      </c>
      <c r="Y138" s="142">
        <f t="shared" si="71"/>
        <v>0</v>
      </c>
      <c r="Z138" s="142">
        <f t="shared" si="71"/>
        <v>0</v>
      </c>
      <c r="AA138" s="142">
        <f t="shared" si="71"/>
        <v>0</v>
      </c>
      <c r="AB138" s="142">
        <f t="shared" si="71"/>
        <v>0</v>
      </c>
      <c r="AC138" s="142">
        <f t="shared" si="71"/>
        <v>0</v>
      </c>
      <c r="AD138" s="142">
        <f t="shared" si="71"/>
        <v>0</v>
      </c>
      <c r="AE138" s="142">
        <f t="shared" si="71"/>
        <v>0</v>
      </c>
      <c r="AF138" s="142">
        <f t="shared" si="71"/>
        <v>0</v>
      </c>
      <c r="AG138" s="142">
        <f t="shared" si="71"/>
        <v>0</v>
      </c>
      <c r="AH138" s="142">
        <f t="shared" si="71"/>
        <v>0</v>
      </c>
      <c r="AI138" s="142">
        <f t="shared" si="71"/>
        <v>0</v>
      </c>
      <c r="AJ138" s="142">
        <f t="shared" si="71"/>
        <v>0</v>
      </c>
      <c r="AK138" s="142">
        <f t="shared" si="71"/>
        <v>0</v>
      </c>
      <c r="AL138" s="142">
        <f t="shared" si="71"/>
        <v>0</v>
      </c>
      <c r="AM138" s="142">
        <f t="shared" ref="AM138:BM138" si="72">AM9*(1-AM$174)</f>
        <v>0</v>
      </c>
      <c r="AN138" s="142">
        <f t="shared" si="72"/>
        <v>0</v>
      </c>
      <c r="AO138" s="142">
        <f t="shared" si="72"/>
        <v>0</v>
      </c>
      <c r="AP138" s="142">
        <f t="shared" si="72"/>
        <v>0</v>
      </c>
      <c r="AQ138" s="142">
        <f t="shared" si="72"/>
        <v>0</v>
      </c>
      <c r="AR138" s="142">
        <f t="shared" si="72"/>
        <v>0</v>
      </c>
      <c r="AS138" s="142">
        <f t="shared" si="72"/>
        <v>0</v>
      </c>
      <c r="AT138" s="142">
        <f t="shared" si="72"/>
        <v>0</v>
      </c>
      <c r="AU138" s="142">
        <f t="shared" si="72"/>
        <v>0</v>
      </c>
      <c r="AV138" s="142">
        <f t="shared" si="72"/>
        <v>0</v>
      </c>
      <c r="AW138" s="142">
        <f t="shared" si="72"/>
        <v>0</v>
      </c>
      <c r="AX138" s="142">
        <f t="shared" si="72"/>
        <v>0</v>
      </c>
      <c r="AY138" s="142">
        <f t="shared" si="72"/>
        <v>0</v>
      </c>
      <c r="AZ138" s="142">
        <f t="shared" si="72"/>
        <v>0</v>
      </c>
      <c r="BA138" s="142">
        <f t="shared" si="72"/>
        <v>0</v>
      </c>
      <c r="BB138" s="142">
        <f t="shared" si="72"/>
        <v>0</v>
      </c>
      <c r="BC138" s="142">
        <f t="shared" si="72"/>
        <v>0</v>
      </c>
      <c r="BD138" s="142">
        <f t="shared" si="72"/>
        <v>0</v>
      </c>
      <c r="BE138" s="142">
        <f t="shared" si="72"/>
        <v>0</v>
      </c>
      <c r="BF138" s="142">
        <f t="shared" si="72"/>
        <v>0</v>
      </c>
      <c r="BG138" s="142">
        <f t="shared" si="72"/>
        <v>0</v>
      </c>
      <c r="BH138" s="142">
        <f t="shared" si="72"/>
        <v>0</v>
      </c>
      <c r="BI138" s="142">
        <f t="shared" si="72"/>
        <v>0</v>
      </c>
      <c r="BJ138" s="142">
        <f t="shared" si="72"/>
        <v>0</v>
      </c>
      <c r="BK138" s="142">
        <f t="shared" si="72"/>
        <v>0</v>
      </c>
      <c r="BL138" s="142">
        <f t="shared" si="72"/>
        <v>0</v>
      </c>
      <c r="BM138" s="142">
        <f t="shared" si="72"/>
        <v>0</v>
      </c>
    </row>
    <row r="139" spans="1:65" hidden="1" outlineLevel="1">
      <c r="B139" s="27"/>
      <c r="C139" s="157"/>
      <c r="D139" s="158" t="str">
        <f t="shared" si="70"/>
        <v>ОФИСЫ</v>
      </c>
      <c r="E139" s="154">
        <f t="shared" si="62"/>
        <v>0</v>
      </c>
      <c r="F139" s="142"/>
      <c r="G139" s="142">
        <f t="shared" ref="G139:AL139" si="73">G10*(1-G$174)</f>
        <v>0</v>
      </c>
      <c r="H139" s="142">
        <f t="shared" si="73"/>
        <v>0</v>
      </c>
      <c r="I139" s="142">
        <f t="shared" si="73"/>
        <v>0</v>
      </c>
      <c r="J139" s="142">
        <f t="shared" si="73"/>
        <v>0</v>
      </c>
      <c r="K139" s="142">
        <f t="shared" si="73"/>
        <v>0</v>
      </c>
      <c r="L139" s="142">
        <f t="shared" si="73"/>
        <v>0</v>
      </c>
      <c r="M139" s="142">
        <f t="shared" si="73"/>
        <v>0</v>
      </c>
      <c r="N139" s="142">
        <f t="shared" si="73"/>
        <v>0</v>
      </c>
      <c r="O139" s="142">
        <f t="shared" si="73"/>
        <v>0</v>
      </c>
      <c r="P139" s="142">
        <f t="shared" si="73"/>
        <v>0</v>
      </c>
      <c r="Q139" s="142">
        <f t="shared" si="73"/>
        <v>0</v>
      </c>
      <c r="R139" s="142">
        <f t="shared" si="73"/>
        <v>0</v>
      </c>
      <c r="S139" s="142">
        <f t="shared" si="73"/>
        <v>0</v>
      </c>
      <c r="T139" s="142">
        <f t="shared" si="73"/>
        <v>0</v>
      </c>
      <c r="U139" s="142">
        <f t="shared" si="73"/>
        <v>0</v>
      </c>
      <c r="V139" s="142">
        <f t="shared" si="73"/>
        <v>0</v>
      </c>
      <c r="W139" s="142">
        <f t="shared" si="73"/>
        <v>0</v>
      </c>
      <c r="X139" s="142">
        <f t="shared" si="73"/>
        <v>0</v>
      </c>
      <c r="Y139" s="142">
        <f t="shared" si="73"/>
        <v>0</v>
      </c>
      <c r="Z139" s="142">
        <f t="shared" si="73"/>
        <v>0</v>
      </c>
      <c r="AA139" s="142">
        <f t="shared" si="73"/>
        <v>0</v>
      </c>
      <c r="AB139" s="142">
        <f t="shared" si="73"/>
        <v>0</v>
      </c>
      <c r="AC139" s="142">
        <f t="shared" si="73"/>
        <v>0</v>
      </c>
      <c r="AD139" s="142">
        <f t="shared" si="73"/>
        <v>0</v>
      </c>
      <c r="AE139" s="142">
        <f t="shared" si="73"/>
        <v>0</v>
      </c>
      <c r="AF139" s="142">
        <f t="shared" si="73"/>
        <v>0</v>
      </c>
      <c r="AG139" s="142">
        <f t="shared" si="73"/>
        <v>0</v>
      </c>
      <c r="AH139" s="142">
        <f t="shared" si="73"/>
        <v>0</v>
      </c>
      <c r="AI139" s="142">
        <f t="shared" si="73"/>
        <v>0</v>
      </c>
      <c r="AJ139" s="142">
        <f t="shared" si="73"/>
        <v>0</v>
      </c>
      <c r="AK139" s="142">
        <f t="shared" si="73"/>
        <v>0</v>
      </c>
      <c r="AL139" s="142">
        <f t="shared" si="73"/>
        <v>0</v>
      </c>
      <c r="AM139" s="142">
        <f t="shared" ref="AM139:BM139" si="74">AM10*(1-AM$174)</f>
        <v>0</v>
      </c>
      <c r="AN139" s="142">
        <f t="shared" si="74"/>
        <v>0</v>
      </c>
      <c r="AO139" s="142">
        <f t="shared" si="74"/>
        <v>0</v>
      </c>
      <c r="AP139" s="142">
        <f t="shared" si="74"/>
        <v>0</v>
      </c>
      <c r="AQ139" s="142">
        <f t="shared" si="74"/>
        <v>0</v>
      </c>
      <c r="AR139" s="142">
        <f t="shared" si="74"/>
        <v>0</v>
      </c>
      <c r="AS139" s="142">
        <f t="shared" si="74"/>
        <v>0</v>
      </c>
      <c r="AT139" s="142">
        <f t="shared" si="74"/>
        <v>0</v>
      </c>
      <c r="AU139" s="142">
        <f t="shared" si="74"/>
        <v>0</v>
      </c>
      <c r="AV139" s="142">
        <f t="shared" si="74"/>
        <v>0</v>
      </c>
      <c r="AW139" s="142">
        <f t="shared" si="74"/>
        <v>0</v>
      </c>
      <c r="AX139" s="142">
        <f t="shared" si="74"/>
        <v>0</v>
      </c>
      <c r="AY139" s="142">
        <f t="shared" si="74"/>
        <v>0</v>
      </c>
      <c r="AZ139" s="142">
        <f t="shared" si="74"/>
        <v>0</v>
      </c>
      <c r="BA139" s="142">
        <f t="shared" si="74"/>
        <v>0</v>
      </c>
      <c r="BB139" s="142">
        <f t="shared" si="74"/>
        <v>0</v>
      </c>
      <c r="BC139" s="142">
        <f t="shared" si="74"/>
        <v>0</v>
      </c>
      <c r="BD139" s="142">
        <f t="shared" si="74"/>
        <v>0</v>
      </c>
      <c r="BE139" s="142">
        <f t="shared" si="74"/>
        <v>0</v>
      </c>
      <c r="BF139" s="142">
        <f t="shared" si="74"/>
        <v>0</v>
      </c>
      <c r="BG139" s="142">
        <f t="shared" si="74"/>
        <v>0</v>
      </c>
      <c r="BH139" s="142">
        <f t="shared" si="74"/>
        <v>0</v>
      </c>
      <c r="BI139" s="142">
        <f t="shared" si="74"/>
        <v>0</v>
      </c>
      <c r="BJ139" s="142">
        <f t="shared" si="74"/>
        <v>0</v>
      </c>
      <c r="BK139" s="142">
        <f t="shared" si="74"/>
        <v>0</v>
      </c>
      <c r="BL139" s="142">
        <f t="shared" si="74"/>
        <v>0</v>
      </c>
      <c r="BM139" s="142">
        <f t="shared" si="74"/>
        <v>0</v>
      </c>
    </row>
    <row r="140" spans="1:65" hidden="1" outlineLevel="1">
      <c r="B140" s="27"/>
      <c r="C140" s="157"/>
      <c r="D140" s="158" t="str">
        <f t="shared" si="70"/>
        <v>РИТЕЙЛ</v>
      </c>
      <c r="E140" s="154">
        <f t="shared" si="62"/>
        <v>3517.3530000000001</v>
      </c>
      <c r="F140" s="142"/>
      <c r="G140" s="142">
        <f t="shared" ref="G140:AL140" si="75">G11*(1-G$174)</f>
        <v>0</v>
      </c>
      <c r="H140" s="142">
        <f t="shared" si="75"/>
        <v>0</v>
      </c>
      <c r="I140" s="142">
        <f t="shared" si="75"/>
        <v>0</v>
      </c>
      <c r="J140" s="142">
        <f t="shared" si="75"/>
        <v>0</v>
      </c>
      <c r="K140" s="142">
        <f t="shared" si="75"/>
        <v>0</v>
      </c>
      <c r="L140" s="142">
        <f t="shared" si="75"/>
        <v>0</v>
      </c>
      <c r="M140" s="142">
        <f t="shared" si="75"/>
        <v>0</v>
      </c>
      <c r="N140" s="142">
        <f t="shared" si="75"/>
        <v>0</v>
      </c>
      <c r="O140" s="142">
        <f t="shared" si="75"/>
        <v>0</v>
      </c>
      <c r="P140" s="142">
        <f t="shared" si="75"/>
        <v>0</v>
      </c>
      <c r="Q140" s="142">
        <f t="shared" si="75"/>
        <v>0</v>
      </c>
      <c r="R140" s="142">
        <f t="shared" si="75"/>
        <v>0</v>
      </c>
      <c r="S140" s="142">
        <f t="shared" si="75"/>
        <v>0</v>
      </c>
      <c r="T140" s="142">
        <f t="shared" si="75"/>
        <v>0</v>
      </c>
      <c r="U140" s="142">
        <f t="shared" si="75"/>
        <v>0</v>
      </c>
      <c r="V140" s="142">
        <f t="shared" si="75"/>
        <v>0</v>
      </c>
      <c r="W140" s="142">
        <f t="shared" si="75"/>
        <v>0</v>
      </c>
      <c r="X140" s="142">
        <f t="shared" si="75"/>
        <v>0</v>
      </c>
      <c r="Y140" s="142">
        <f t="shared" si="75"/>
        <v>0</v>
      </c>
      <c r="Z140" s="142">
        <f t="shared" si="75"/>
        <v>0</v>
      </c>
      <c r="AA140" s="142">
        <f t="shared" si="75"/>
        <v>0</v>
      </c>
      <c r="AB140" s="142">
        <f t="shared" si="75"/>
        <v>0</v>
      </c>
      <c r="AC140" s="142">
        <f t="shared" si="75"/>
        <v>0</v>
      </c>
      <c r="AD140" s="142">
        <f t="shared" si="75"/>
        <v>0</v>
      </c>
      <c r="AE140" s="142">
        <f t="shared" si="75"/>
        <v>0</v>
      </c>
      <c r="AF140" s="142">
        <f t="shared" si="75"/>
        <v>0</v>
      </c>
      <c r="AG140" s="142">
        <f t="shared" si="75"/>
        <v>1758.6765</v>
      </c>
      <c r="AH140" s="142">
        <f t="shared" si="75"/>
        <v>1758.6765</v>
      </c>
      <c r="AI140" s="142">
        <f t="shared" si="75"/>
        <v>0</v>
      </c>
      <c r="AJ140" s="142">
        <f t="shared" si="75"/>
        <v>0</v>
      </c>
      <c r="AK140" s="142">
        <f t="shared" si="75"/>
        <v>0</v>
      </c>
      <c r="AL140" s="142">
        <f t="shared" si="75"/>
        <v>0</v>
      </c>
      <c r="AM140" s="142">
        <f t="shared" ref="AM140:BM140" si="76">AM11*(1-AM$174)</f>
        <v>0</v>
      </c>
      <c r="AN140" s="142">
        <f t="shared" si="76"/>
        <v>0</v>
      </c>
      <c r="AO140" s="142">
        <f t="shared" si="76"/>
        <v>0</v>
      </c>
      <c r="AP140" s="142">
        <f t="shared" si="76"/>
        <v>0</v>
      </c>
      <c r="AQ140" s="142">
        <f t="shared" si="76"/>
        <v>0</v>
      </c>
      <c r="AR140" s="142">
        <f t="shared" si="76"/>
        <v>0</v>
      </c>
      <c r="AS140" s="142">
        <f t="shared" si="76"/>
        <v>0</v>
      </c>
      <c r="AT140" s="142">
        <f t="shared" si="76"/>
        <v>0</v>
      </c>
      <c r="AU140" s="142">
        <f t="shared" si="76"/>
        <v>0</v>
      </c>
      <c r="AV140" s="142">
        <f t="shared" si="76"/>
        <v>0</v>
      </c>
      <c r="AW140" s="142">
        <f t="shared" si="76"/>
        <v>0</v>
      </c>
      <c r="AX140" s="142">
        <f t="shared" si="76"/>
        <v>0</v>
      </c>
      <c r="AY140" s="142">
        <f t="shared" si="76"/>
        <v>0</v>
      </c>
      <c r="AZ140" s="142">
        <f t="shared" si="76"/>
        <v>0</v>
      </c>
      <c r="BA140" s="142">
        <f t="shared" si="76"/>
        <v>0</v>
      </c>
      <c r="BB140" s="142">
        <f t="shared" si="76"/>
        <v>0</v>
      </c>
      <c r="BC140" s="142">
        <f t="shared" si="76"/>
        <v>0</v>
      </c>
      <c r="BD140" s="142">
        <f t="shared" si="76"/>
        <v>0</v>
      </c>
      <c r="BE140" s="142">
        <f t="shared" si="76"/>
        <v>0</v>
      </c>
      <c r="BF140" s="142">
        <f t="shared" si="76"/>
        <v>0</v>
      </c>
      <c r="BG140" s="142">
        <f t="shared" si="76"/>
        <v>0</v>
      </c>
      <c r="BH140" s="142">
        <f t="shared" si="76"/>
        <v>0</v>
      </c>
      <c r="BI140" s="142">
        <f t="shared" si="76"/>
        <v>0</v>
      </c>
      <c r="BJ140" s="142">
        <f t="shared" si="76"/>
        <v>0</v>
      </c>
      <c r="BK140" s="142">
        <f t="shared" si="76"/>
        <v>0</v>
      </c>
      <c r="BL140" s="142">
        <f t="shared" si="76"/>
        <v>0</v>
      </c>
      <c r="BM140" s="142">
        <f t="shared" si="76"/>
        <v>0</v>
      </c>
    </row>
    <row r="141" spans="1:65" hidden="1" outlineLevel="1">
      <c r="B141" s="27"/>
      <c r="C141" s="157"/>
      <c r="D141" s="158" t="str">
        <f t="shared" si="70"/>
        <v>ТЦ</v>
      </c>
      <c r="E141" s="154">
        <f t="shared" si="62"/>
        <v>0</v>
      </c>
      <c r="F141" s="142"/>
      <c r="G141" s="142">
        <f t="shared" ref="G141:AL141" si="77">G12*(1-G$174)</f>
        <v>0</v>
      </c>
      <c r="H141" s="142">
        <f t="shared" si="77"/>
        <v>0</v>
      </c>
      <c r="I141" s="142">
        <f t="shared" si="77"/>
        <v>0</v>
      </c>
      <c r="J141" s="142">
        <f t="shared" si="77"/>
        <v>0</v>
      </c>
      <c r="K141" s="142">
        <f t="shared" si="77"/>
        <v>0</v>
      </c>
      <c r="L141" s="142">
        <f t="shared" si="77"/>
        <v>0</v>
      </c>
      <c r="M141" s="142">
        <f t="shared" si="77"/>
        <v>0</v>
      </c>
      <c r="N141" s="142">
        <f t="shared" si="77"/>
        <v>0</v>
      </c>
      <c r="O141" s="142">
        <f t="shared" si="77"/>
        <v>0</v>
      </c>
      <c r="P141" s="142">
        <f t="shared" si="77"/>
        <v>0</v>
      </c>
      <c r="Q141" s="142">
        <f t="shared" si="77"/>
        <v>0</v>
      </c>
      <c r="R141" s="142">
        <f t="shared" si="77"/>
        <v>0</v>
      </c>
      <c r="S141" s="142">
        <f t="shared" si="77"/>
        <v>0</v>
      </c>
      <c r="T141" s="142">
        <f t="shared" si="77"/>
        <v>0</v>
      </c>
      <c r="U141" s="142">
        <f t="shared" si="77"/>
        <v>0</v>
      </c>
      <c r="V141" s="142">
        <f t="shared" si="77"/>
        <v>0</v>
      </c>
      <c r="W141" s="142">
        <f t="shared" si="77"/>
        <v>0</v>
      </c>
      <c r="X141" s="142">
        <f t="shared" si="77"/>
        <v>0</v>
      </c>
      <c r="Y141" s="142">
        <f t="shared" si="77"/>
        <v>0</v>
      </c>
      <c r="Z141" s="142">
        <f t="shared" si="77"/>
        <v>0</v>
      </c>
      <c r="AA141" s="142">
        <f t="shared" si="77"/>
        <v>0</v>
      </c>
      <c r="AB141" s="142">
        <f t="shared" si="77"/>
        <v>0</v>
      </c>
      <c r="AC141" s="142">
        <f t="shared" si="77"/>
        <v>0</v>
      </c>
      <c r="AD141" s="142">
        <f t="shared" si="77"/>
        <v>0</v>
      </c>
      <c r="AE141" s="142">
        <f t="shared" si="77"/>
        <v>0</v>
      </c>
      <c r="AF141" s="142">
        <f t="shared" si="77"/>
        <v>0</v>
      </c>
      <c r="AG141" s="142">
        <f t="shared" si="77"/>
        <v>0</v>
      </c>
      <c r="AH141" s="142">
        <f t="shared" si="77"/>
        <v>0</v>
      </c>
      <c r="AI141" s="142">
        <f t="shared" si="77"/>
        <v>0</v>
      </c>
      <c r="AJ141" s="142">
        <f t="shared" si="77"/>
        <v>0</v>
      </c>
      <c r="AK141" s="142">
        <f t="shared" si="77"/>
        <v>0</v>
      </c>
      <c r="AL141" s="142">
        <f t="shared" si="77"/>
        <v>0</v>
      </c>
      <c r="AM141" s="142">
        <f t="shared" ref="AM141:BM141" si="78">AM12*(1-AM$174)</f>
        <v>0</v>
      </c>
      <c r="AN141" s="142">
        <f t="shared" si="78"/>
        <v>0</v>
      </c>
      <c r="AO141" s="142">
        <f t="shared" si="78"/>
        <v>0</v>
      </c>
      <c r="AP141" s="142">
        <f t="shared" si="78"/>
        <v>0</v>
      </c>
      <c r="AQ141" s="142">
        <f t="shared" si="78"/>
        <v>0</v>
      </c>
      <c r="AR141" s="142">
        <f t="shared" si="78"/>
        <v>0</v>
      </c>
      <c r="AS141" s="142">
        <f t="shared" si="78"/>
        <v>0</v>
      </c>
      <c r="AT141" s="142">
        <f t="shared" si="78"/>
        <v>0</v>
      </c>
      <c r="AU141" s="142">
        <f t="shared" si="78"/>
        <v>0</v>
      </c>
      <c r="AV141" s="142">
        <f t="shared" si="78"/>
        <v>0</v>
      </c>
      <c r="AW141" s="142">
        <f t="shared" si="78"/>
        <v>0</v>
      </c>
      <c r="AX141" s="142">
        <f t="shared" si="78"/>
        <v>0</v>
      </c>
      <c r="AY141" s="142">
        <f t="shared" si="78"/>
        <v>0</v>
      </c>
      <c r="AZ141" s="142">
        <f t="shared" si="78"/>
        <v>0</v>
      </c>
      <c r="BA141" s="142">
        <f t="shared" si="78"/>
        <v>0</v>
      </c>
      <c r="BB141" s="142">
        <f t="shared" si="78"/>
        <v>0</v>
      </c>
      <c r="BC141" s="142">
        <f t="shared" si="78"/>
        <v>0</v>
      </c>
      <c r="BD141" s="142">
        <f t="shared" si="78"/>
        <v>0</v>
      </c>
      <c r="BE141" s="142">
        <f t="shared" si="78"/>
        <v>0</v>
      </c>
      <c r="BF141" s="142">
        <f t="shared" si="78"/>
        <v>0</v>
      </c>
      <c r="BG141" s="142">
        <f t="shared" si="78"/>
        <v>0</v>
      </c>
      <c r="BH141" s="142">
        <f t="shared" si="78"/>
        <v>0</v>
      </c>
      <c r="BI141" s="142">
        <f t="shared" si="78"/>
        <v>0</v>
      </c>
      <c r="BJ141" s="142">
        <f t="shared" si="78"/>
        <v>0</v>
      </c>
      <c r="BK141" s="142">
        <f t="shared" si="78"/>
        <v>0</v>
      </c>
      <c r="BL141" s="142">
        <f t="shared" si="78"/>
        <v>0</v>
      </c>
      <c r="BM141" s="142">
        <f t="shared" si="78"/>
        <v>0</v>
      </c>
    </row>
    <row r="142" spans="1:65" hidden="1" outlineLevel="1">
      <c r="B142" s="27"/>
      <c r="C142" s="157"/>
      <c r="D142" s="158" t="str">
        <f t="shared" si="70"/>
        <v>ПАРКИНГ ЖИЛЬЕ</v>
      </c>
      <c r="E142" s="154">
        <f t="shared" si="62"/>
        <v>239</v>
      </c>
      <c r="F142" s="142"/>
      <c r="G142" s="142">
        <f t="shared" ref="G142:AL142" si="79">G13*(1-G$174)</f>
        <v>0</v>
      </c>
      <c r="H142" s="142">
        <f t="shared" si="79"/>
        <v>0</v>
      </c>
      <c r="I142" s="142">
        <f t="shared" si="79"/>
        <v>0</v>
      </c>
      <c r="J142" s="142">
        <f t="shared" si="79"/>
        <v>0</v>
      </c>
      <c r="K142" s="142">
        <f t="shared" si="79"/>
        <v>0</v>
      </c>
      <c r="L142" s="142">
        <f t="shared" si="79"/>
        <v>0</v>
      </c>
      <c r="M142" s="142">
        <f t="shared" si="79"/>
        <v>0</v>
      </c>
      <c r="N142" s="142">
        <f t="shared" si="79"/>
        <v>0</v>
      </c>
      <c r="O142" s="142">
        <f t="shared" si="79"/>
        <v>0</v>
      </c>
      <c r="P142" s="142">
        <f t="shared" si="79"/>
        <v>0</v>
      </c>
      <c r="Q142" s="142">
        <f t="shared" si="79"/>
        <v>0</v>
      </c>
      <c r="R142" s="142">
        <f t="shared" si="79"/>
        <v>0</v>
      </c>
      <c r="S142" s="142">
        <f t="shared" si="79"/>
        <v>0</v>
      </c>
      <c r="T142" s="142">
        <f t="shared" si="79"/>
        <v>0</v>
      </c>
      <c r="U142" s="142">
        <f t="shared" si="79"/>
        <v>0</v>
      </c>
      <c r="V142" s="142">
        <f t="shared" si="79"/>
        <v>0</v>
      </c>
      <c r="W142" s="142">
        <f t="shared" si="79"/>
        <v>0</v>
      </c>
      <c r="X142" s="142">
        <f t="shared" si="79"/>
        <v>0</v>
      </c>
      <c r="Y142" s="142">
        <f t="shared" si="79"/>
        <v>0</v>
      </c>
      <c r="Z142" s="142">
        <f t="shared" si="79"/>
        <v>0</v>
      </c>
      <c r="AA142" s="142">
        <f t="shared" si="79"/>
        <v>0</v>
      </c>
      <c r="AB142" s="142">
        <f t="shared" si="79"/>
        <v>0</v>
      </c>
      <c r="AC142" s="142">
        <f t="shared" si="79"/>
        <v>0</v>
      </c>
      <c r="AD142" s="142">
        <f t="shared" si="79"/>
        <v>0</v>
      </c>
      <c r="AE142" s="142">
        <f t="shared" si="79"/>
        <v>0</v>
      </c>
      <c r="AF142" s="142">
        <f t="shared" si="79"/>
        <v>30</v>
      </c>
      <c r="AG142" s="142">
        <f t="shared" si="79"/>
        <v>30</v>
      </c>
      <c r="AH142" s="142">
        <f t="shared" si="79"/>
        <v>30</v>
      </c>
      <c r="AI142" s="142">
        <f t="shared" si="79"/>
        <v>30</v>
      </c>
      <c r="AJ142" s="142">
        <f t="shared" si="79"/>
        <v>30</v>
      </c>
      <c r="AK142" s="142">
        <f t="shared" si="79"/>
        <v>30</v>
      </c>
      <c r="AL142" s="142">
        <f t="shared" si="79"/>
        <v>30</v>
      </c>
      <c r="AM142" s="142">
        <f t="shared" ref="AM142:BM142" si="80">AM13*(1-AM$174)</f>
        <v>29</v>
      </c>
      <c r="AN142" s="142">
        <f t="shared" si="80"/>
        <v>0</v>
      </c>
      <c r="AO142" s="142">
        <f t="shared" si="80"/>
        <v>0</v>
      </c>
      <c r="AP142" s="142">
        <f t="shared" si="80"/>
        <v>0</v>
      </c>
      <c r="AQ142" s="142">
        <f t="shared" si="80"/>
        <v>0</v>
      </c>
      <c r="AR142" s="142">
        <f t="shared" si="80"/>
        <v>0</v>
      </c>
      <c r="AS142" s="142">
        <f t="shared" si="80"/>
        <v>0</v>
      </c>
      <c r="AT142" s="142">
        <f t="shared" si="80"/>
        <v>0</v>
      </c>
      <c r="AU142" s="142">
        <f t="shared" si="80"/>
        <v>0</v>
      </c>
      <c r="AV142" s="142">
        <f t="shared" si="80"/>
        <v>0</v>
      </c>
      <c r="AW142" s="142">
        <f t="shared" si="80"/>
        <v>0</v>
      </c>
      <c r="AX142" s="142">
        <f t="shared" si="80"/>
        <v>0</v>
      </c>
      <c r="AY142" s="142">
        <f t="shared" si="80"/>
        <v>0</v>
      </c>
      <c r="AZ142" s="142">
        <f t="shared" si="80"/>
        <v>0</v>
      </c>
      <c r="BA142" s="142">
        <f t="shared" si="80"/>
        <v>0</v>
      </c>
      <c r="BB142" s="142">
        <f t="shared" si="80"/>
        <v>0</v>
      </c>
      <c r="BC142" s="142">
        <f t="shared" si="80"/>
        <v>0</v>
      </c>
      <c r="BD142" s="142">
        <f t="shared" si="80"/>
        <v>0</v>
      </c>
      <c r="BE142" s="142">
        <f t="shared" si="80"/>
        <v>0</v>
      </c>
      <c r="BF142" s="142">
        <f t="shared" si="80"/>
        <v>0</v>
      </c>
      <c r="BG142" s="142">
        <f t="shared" si="80"/>
        <v>0</v>
      </c>
      <c r="BH142" s="142">
        <f t="shared" si="80"/>
        <v>0</v>
      </c>
      <c r="BI142" s="142">
        <f t="shared" si="80"/>
        <v>0</v>
      </c>
      <c r="BJ142" s="142">
        <f t="shared" si="80"/>
        <v>0</v>
      </c>
      <c r="BK142" s="142">
        <f t="shared" si="80"/>
        <v>0</v>
      </c>
      <c r="BL142" s="142">
        <f t="shared" si="80"/>
        <v>0</v>
      </c>
      <c r="BM142" s="142">
        <f t="shared" si="80"/>
        <v>0</v>
      </c>
    </row>
    <row r="143" spans="1:65" hidden="1" outlineLevel="1">
      <c r="B143" s="27"/>
      <c r="C143" s="157"/>
      <c r="D143" s="158" t="str">
        <f t="shared" si="70"/>
        <v>ПАРКИНГ ОФИС</v>
      </c>
      <c r="E143" s="154">
        <f t="shared" si="62"/>
        <v>0</v>
      </c>
      <c r="F143" s="142"/>
      <c r="G143" s="142">
        <f t="shared" ref="G143:AL143" si="81">G14*(1-G$174)</f>
        <v>0</v>
      </c>
      <c r="H143" s="142">
        <f t="shared" si="81"/>
        <v>0</v>
      </c>
      <c r="I143" s="142">
        <f t="shared" si="81"/>
        <v>0</v>
      </c>
      <c r="J143" s="142">
        <f t="shared" si="81"/>
        <v>0</v>
      </c>
      <c r="K143" s="142">
        <f t="shared" si="81"/>
        <v>0</v>
      </c>
      <c r="L143" s="142">
        <f t="shared" si="81"/>
        <v>0</v>
      </c>
      <c r="M143" s="142">
        <f t="shared" si="81"/>
        <v>0</v>
      </c>
      <c r="N143" s="142">
        <f t="shared" si="81"/>
        <v>0</v>
      </c>
      <c r="O143" s="142">
        <f t="shared" si="81"/>
        <v>0</v>
      </c>
      <c r="P143" s="142">
        <f t="shared" si="81"/>
        <v>0</v>
      </c>
      <c r="Q143" s="142">
        <f t="shared" si="81"/>
        <v>0</v>
      </c>
      <c r="R143" s="142">
        <f t="shared" si="81"/>
        <v>0</v>
      </c>
      <c r="S143" s="142">
        <f t="shared" si="81"/>
        <v>0</v>
      </c>
      <c r="T143" s="142">
        <f t="shared" si="81"/>
        <v>0</v>
      </c>
      <c r="U143" s="142">
        <f t="shared" si="81"/>
        <v>0</v>
      </c>
      <c r="V143" s="142">
        <f t="shared" si="81"/>
        <v>0</v>
      </c>
      <c r="W143" s="142">
        <f t="shared" si="81"/>
        <v>0</v>
      </c>
      <c r="X143" s="142">
        <f t="shared" si="81"/>
        <v>0</v>
      </c>
      <c r="Y143" s="142">
        <f t="shared" si="81"/>
        <v>0</v>
      </c>
      <c r="Z143" s="142">
        <f t="shared" si="81"/>
        <v>0</v>
      </c>
      <c r="AA143" s="142">
        <f t="shared" si="81"/>
        <v>0</v>
      </c>
      <c r="AB143" s="142">
        <f t="shared" si="81"/>
        <v>0</v>
      </c>
      <c r="AC143" s="142">
        <f t="shared" si="81"/>
        <v>0</v>
      </c>
      <c r="AD143" s="142">
        <f t="shared" si="81"/>
        <v>0</v>
      </c>
      <c r="AE143" s="142">
        <f t="shared" si="81"/>
        <v>0</v>
      </c>
      <c r="AF143" s="142">
        <f t="shared" si="81"/>
        <v>0</v>
      </c>
      <c r="AG143" s="142">
        <f t="shared" si="81"/>
        <v>0</v>
      </c>
      <c r="AH143" s="142">
        <f t="shared" si="81"/>
        <v>0</v>
      </c>
      <c r="AI143" s="142">
        <f t="shared" si="81"/>
        <v>0</v>
      </c>
      <c r="AJ143" s="142">
        <f t="shared" si="81"/>
        <v>0</v>
      </c>
      <c r="AK143" s="142">
        <f t="shared" si="81"/>
        <v>0</v>
      </c>
      <c r="AL143" s="142">
        <f t="shared" si="81"/>
        <v>0</v>
      </c>
      <c r="AM143" s="142">
        <f t="shared" ref="AM143:BM143" si="82">AM14*(1-AM$174)</f>
        <v>0</v>
      </c>
      <c r="AN143" s="142">
        <f t="shared" si="82"/>
        <v>0</v>
      </c>
      <c r="AO143" s="142">
        <f t="shared" si="82"/>
        <v>0</v>
      </c>
      <c r="AP143" s="142">
        <f t="shared" si="82"/>
        <v>0</v>
      </c>
      <c r="AQ143" s="142">
        <f t="shared" si="82"/>
        <v>0</v>
      </c>
      <c r="AR143" s="142">
        <f t="shared" si="82"/>
        <v>0</v>
      </c>
      <c r="AS143" s="142">
        <f t="shared" si="82"/>
        <v>0</v>
      </c>
      <c r="AT143" s="142">
        <f t="shared" si="82"/>
        <v>0</v>
      </c>
      <c r="AU143" s="142">
        <f t="shared" si="82"/>
        <v>0</v>
      </c>
      <c r="AV143" s="142">
        <f t="shared" si="82"/>
        <v>0</v>
      </c>
      <c r="AW143" s="142">
        <f t="shared" si="82"/>
        <v>0</v>
      </c>
      <c r="AX143" s="142">
        <f t="shared" si="82"/>
        <v>0</v>
      </c>
      <c r="AY143" s="142">
        <f t="shared" si="82"/>
        <v>0</v>
      </c>
      <c r="AZ143" s="142">
        <f t="shared" si="82"/>
        <v>0</v>
      </c>
      <c r="BA143" s="142">
        <f t="shared" si="82"/>
        <v>0</v>
      </c>
      <c r="BB143" s="142">
        <f t="shared" si="82"/>
        <v>0</v>
      </c>
      <c r="BC143" s="142">
        <f t="shared" si="82"/>
        <v>0</v>
      </c>
      <c r="BD143" s="142">
        <f t="shared" si="82"/>
        <v>0</v>
      </c>
      <c r="BE143" s="142">
        <f t="shared" si="82"/>
        <v>0</v>
      </c>
      <c r="BF143" s="142">
        <f t="shared" si="82"/>
        <v>0</v>
      </c>
      <c r="BG143" s="142">
        <f t="shared" si="82"/>
        <v>0</v>
      </c>
      <c r="BH143" s="142">
        <f t="shared" si="82"/>
        <v>0</v>
      </c>
      <c r="BI143" s="142">
        <f t="shared" si="82"/>
        <v>0</v>
      </c>
      <c r="BJ143" s="142">
        <f t="shared" si="82"/>
        <v>0</v>
      </c>
      <c r="BK143" s="142">
        <f t="shared" si="82"/>
        <v>0</v>
      </c>
      <c r="BL143" s="142">
        <f t="shared" si="82"/>
        <v>0</v>
      </c>
      <c r="BM143" s="142">
        <f t="shared" si="82"/>
        <v>0</v>
      </c>
    </row>
    <row r="144" spans="1:65" s="151" customFormat="1" hidden="1" outlineLevel="1">
      <c r="A144" s="160"/>
      <c r="B144" s="152"/>
      <c r="C144" s="152" t="s">
        <v>96</v>
      </c>
      <c r="D144" s="153"/>
      <c r="E144" s="154">
        <f t="shared" si="62"/>
        <v>0</v>
      </c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155"/>
      <c r="AI144" s="155"/>
      <c r="AJ144" s="155"/>
      <c r="AK144" s="155"/>
      <c r="AL144" s="155"/>
      <c r="AM144" s="155"/>
      <c r="AN144" s="155"/>
      <c r="AO144" s="155"/>
      <c r="AP144" s="155"/>
      <c r="AQ144" s="155"/>
      <c r="AR144" s="155"/>
      <c r="AS144" s="155"/>
      <c r="AT144" s="155"/>
      <c r="AU144" s="155"/>
      <c r="AV144" s="155"/>
      <c r="AW144" s="155"/>
      <c r="AX144" s="155"/>
      <c r="AY144" s="155"/>
      <c r="AZ144" s="155"/>
      <c r="BA144" s="155"/>
      <c r="BB144" s="155"/>
      <c r="BC144" s="155"/>
      <c r="BD144" s="155"/>
      <c r="BE144" s="155"/>
      <c r="BF144" s="155"/>
      <c r="BG144" s="155"/>
      <c r="BH144" s="155"/>
      <c r="BI144" s="155"/>
      <c r="BJ144" s="155"/>
      <c r="BK144" s="155"/>
      <c r="BL144" s="155"/>
      <c r="BM144" s="155"/>
    </row>
    <row r="145" spans="1:65" hidden="1" outlineLevel="1">
      <c r="A145" s="149"/>
      <c r="B145" s="27"/>
      <c r="C145" s="27"/>
      <c r="D145" s="158" t="str">
        <f>D137</f>
        <v>КВАРТИРЫ</v>
      </c>
      <c r="E145" s="154">
        <f t="shared" si="62"/>
        <v>21078.385266100318</v>
      </c>
      <c r="F145" s="142"/>
      <c r="G145" s="142">
        <f>SUMPRODUCT($F26:$AS26,$F$174:$AS$174)*(1-G$174)-SUM($F145:F145)</f>
        <v>0</v>
      </c>
      <c r="H145" s="142">
        <f>SUMPRODUCT($F26:$AS26,$F$174:$AS$174)*(1-H$174)-SUM($F145:G145)</f>
        <v>0</v>
      </c>
      <c r="I145" s="142">
        <f>SUMPRODUCT($F26:$AS26,$F$174:$AS$174)*(1-I$174)-SUM($F145:H145)</f>
        <v>0</v>
      </c>
      <c r="J145" s="142">
        <f>SUMPRODUCT($F26:$AS26,$F$174:$AS$174)*(1-J$174)-SUM($F145:I145)</f>
        <v>0</v>
      </c>
      <c r="K145" s="142">
        <f>SUMPRODUCT($F26:$AS26,$F$174:$AS$174)*(1-K$174)-SUM($F145:J145)</f>
        <v>0</v>
      </c>
      <c r="L145" s="142">
        <f>SUMPRODUCT($F26:$AS26,$F$174:$AS$174)*(1-L$174)-SUM($F145:K145)</f>
        <v>0</v>
      </c>
      <c r="M145" s="142">
        <f>SUMPRODUCT($F26:$AS26,$F$174:$AS$174)*(1-M$174)-SUM($F145:L145)</f>
        <v>0</v>
      </c>
      <c r="N145" s="142">
        <f>SUMPRODUCT($F26:$AS26,$F$174:$AS$174)*(1-N$174)-SUM($F145:M145)</f>
        <v>0</v>
      </c>
      <c r="O145" s="142">
        <f>SUMPRODUCT($F26:$AS26,$F$174:$AS$174)*(1-O$174)-SUM($F145:N145)</f>
        <v>0</v>
      </c>
      <c r="P145" s="142">
        <f>SUMPRODUCT($F26:$AS26,$F$174:$AS$174)*(1-P$174)-SUM($F145:O145)</f>
        <v>0</v>
      </c>
      <c r="Q145" s="142">
        <f>SUMPRODUCT($F26:$AS26,$F$174:$AS$174)*(1-Q$174)-SUM($F145:P145)</f>
        <v>0</v>
      </c>
      <c r="R145" s="142">
        <f>SUMPRODUCT($F26:$AS26,$F$174:$AS$174)*(1-R$174)-SUM($F145:Q145)</f>
        <v>0</v>
      </c>
      <c r="S145" s="142">
        <f>SUMPRODUCT($F26:$AS26,$F$174:$AS$174)*(1-S$174)-SUM($F145:R145)</f>
        <v>0</v>
      </c>
      <c r="T145" s="142">
        <f>SUMPRODUCT($F26:$AS26,$F$174:$AS$174)*(1-T$174)-SUM($F145:S145)</f>
        <v>0</v>
      </c>
      <c r="U145" s="142">
        <f>SUMPRODUCT($F26:$AS26,$F$174:$AS$174)*(1-U$174)-SUM($F145:T145)</f>
        <v>0</v>
      </c>
      <c r="V145" s="142">
        <f>SUMPRODUCT($F26:$AS26,$F$174:$AS$174)*(1-V$174)-SUM($F145:U145)</f>
        <v>0</v>
      </c>
      <c r="W145" s="142">
        <f>SUMPRODUCT($F26:$AS26,$F$174:$AS$174)*(1-W$174)-SUM($F145:V145)</f>
        <v>0</v>
      </c>
      <c r="X145" s="142">
        <f>SUMPRODUCT($F26:$AS26,$F$174:$AS$174)*(1-X$174)-SUM($F145:W145)</f>
        <v>0</v>
      </c>
      <c r="Y145" s="142">
        <f>SUMPRODUCT($F26:$AS26,$F$174:$AS$174)*(1-Y$174)-SUM($F145:X145)</f>
        <v>0</v>
      </c>
      <c r="Z145" s="142">
        <f>SUMPRODUCT($F26:$AS26,$F$174:$AS$174)*(1-Z$174)-SUM($F145:Y145)</f>
        <v>0</v>
      </c>
      <c r="AA145" s="142">
        <f>SUMPRODUCT($F26:$AS26,$F$174:$AS$174)*(1-AA$174)-SUM($F145:Z145)</f>
        <v>0</v>
      </c>
      <c r="AB145" s="142">
        <f>SUMPRODUCT($F26:$AS26,$F$174:$AS$174)*(1-AB$174)-SUM($F145:AA145)</f>
        <v>0</v>
      </c>
      <c r="AC145" s="142">
        <f>SUMPRODUCT($F26:$AS26,$F$174:$AS$174)*(1-AC$174)-SUM($F145:AB145)</f>
        <v>0</v>
      </c>
      <c r="AD145" s="142">
        <f>SUMPRODUCT($F26:$AS26,$F$174:$AS$174)*(1-AD$174)-SUM($F145:AC145)</f>
        <v>0</v>
      </c>
      <c r="AE145" s="142">
        <f>SUMPRODUCT($F26:$AS26,$F$174:$AS$174)*(1-AE$174)-SUM($F145:AD145)</f>
        <v>0</v>
      </c>
      <c r="AF145" s="142">
        <f>SUMPRODUCT($F26:$AS26,$F$174:$AS$174)*(1-AF$174)-SUM($F145:AE145)</f>
        <v>21078.385266100318</v>
      </c>
      <c r="AG145" s="142">
        <f>SUMPRODUCT($F26:$AS26,$F$174:$AS$174)*(1-AG$174)-SUM($F145:AF145)</f>
        <v>0</v>
      </c>
      <c r="AH145" s="142">
        <f>SUMPRODUCT($F26:$AS26,$F$174:$AS$174)*(1-AH$174)-SUM($F145:AG145)</f>
        <v>0</v>
      </c>
      <c r="AI145" s="142">
        <f>SUMPRODUCT($F26:$AS26,$F$174:$AS$174)*(1-AI$174)-SUM($F145:AH145)</f>
        <v>0</v>
      </c>
      <c r="AJ145" s="142">
        <f>SUMPRODUCT($F26:$AS26,$F$174:$AS$174)*(1-AJ$174)-SUM($F145:AI145)</f>
        <v>0</v>
      </c>
      <c r="AK145" s="142">
        <f>SUMPRODUCT($F26:$AS26,$F$174:$AS$174)*(1-AK$174)-SUM($F145:AJ145)</f>
        <v>0</v>
      </c>
      <c r="AL145" s="142">
        <f>SUMPRODUCT($F26:$AS26,$F$174:$AS$174)*(1-AL$174)-SUM($F145:AK145)</f>
        <v>0</v>
      </c>
      <c r="AM145" s="142">
        <f>SUMPRODUCT($F26:$AS26,$F$174:$AS$174)*(1-AM$174)-SUM($F145:AL145)</f>
        <v>0</v>
      </c>
      <c r="AN145" s="142">
        <f>SUMPRODUCT($F26:$AS26,$F$174:$AS$174)*(1-AN$174)-SUM($F145:AM145)</f>
        <v>0</v>
      </c>
      <c r="AO145" s="142">
        <f>SUMPRODUCT($F26:$AS26,$F$174:$AS$174)*(1-AO$174)-SUM($F145:AN145)</f>
        <v>0</v>
      </c>
      <c r="AP145" s="142">
        <f>SUMPRODUCT($F26:$AS26,$F$174:$AS$174)*(1-AP$174)-SUM($F145:AO145)</f>
        <v>0</v>
      </c>
      <c r="AQ145" s="142">
        <f>SUMPRODUCT($F26:$AS26,$F$174:$AS$174)*(1-AQ$174)-SUM($F145:AP145)</f>
        <v>0</v>
      </c>
      <c r="AR145" s="142">
        <f>SUMPRODUCT($F26:$AS26,$F$174:$AS$174)*(1-AR$174)-SUM($F145:AQ145)</f>
        <v>0</v>
      </c>
      <c r="AS145" s="142">
        <f>SUMPRODUCT($F26:$AS26,$F$174:$AS$174)*(1-AS$174)-SUM($F145:AR145)</f>
        <v>0</v>
      </c>
      <c r="AT145" s="142">
        <f>SUMPRODUCT($F26:$AS26,$F$174:$AS$174)*(1-AT$174)-SUM($F145:AS145)</f>
        <v>0</v>
      </c>
      <c r="AU145" s="142">
        <f>SUMPRODUCT($F26:$AS26,$F$174:$AS$174)*(1-AU$174)-SUM($F145:AT145)</f>
        <v>0</v>
      </c>
      <c r="AV145" s="142">
        <f>SUMPRODUCT($F26:$AS26,$F$174:$AS$174)*(1-AV$174)-SUM($F145:AU145)</f>
        <v>0</v>
      </c>
      <c r="AW145" s="142">
        <f>SUMPRODUCT($F26:$AS26,$F$174:$AS$174)*(1-AW$174)-SUM($F145:AV145)</f>
        <v>0</v>
      </c>
      <c r="AX145" s="142">
        <f>SUMPRODUCT($F26:$AS26,$F$174:$AS$174)*(1-AX$174)-SUM($F145:AW145)</f>
        <v>0</v>
      </c>
      <c r="AY145" s="142">
        <f>SUMPRODUCT($F26:$AS26,$F$174:$AS$174)*(1-AY$174)-SUM($F145:AX145)</f>
        <v>0</v>
      </c>
      <c r="AZ145" s="142">
        <f>SUMPRODUCT($F26:$AS26,$F$174:$AS$174)*(1-AZ$174)-SUM($F145:AY145)</f>
        <v>0</v>
      </c>
      <c r="BA145" s="142">
        <f>SUMPRODUCT($F26:$AS26,$F$174:$AS$174)*(1-BA$174)-SUM($F145:AZ145)</f>
        <v>0</v>
      </c>
      <c r="BB145" s="142">
        <f>SUMPRODUCT($F26:$AS26,$F$174:$AS$174)*(1-BB$174)-SUM($F145:BA145)</f>
        <v>0</v>
      </c>
      <c r="BC145" s="142">
        <f>SUMPRODUCT($F26:$AS26,$F$174:$AS$174)*(1-BC$174)-SUM($F145:BB145)</f>
        <v>0</v>
      </c>
      <c r="BD145" s="142">
        <f>SUMPRODUCT($F26:$AS26,$F$174:$AS$174)*(1-BD$174)-SUM($F145:BC145)</f>
        <v>0</v>
      </c>
      <c r="BE145" s="142">
        <f>SUMPRODUCT($F26:$AS26,$F$174:$AS$174)*(1-BE$174)-SUM($F145:BD145)</f>
        <v>0</v>
      </c>
      <c r="BF145" s="142">
        <f>SUMPRODUCT($F26:$AS26,$F$174:$AS$174)*(1-BF$174)-SUM($F145:BE145)</f>
        <v>0</v>
      </c>
      <c r="BG145" s="142">
        <f>SUMPRODUCT($F26:$AS26,$F$174:$AS$174)*(1-BG$174)-SUM($F145:BF145)</f>
        <v>0</v>
      </c>
      <c r="BH145" s="142">
        <f>SUMPRODUCT($F26:$AS26,$F$174:$AS$174)*(1-BH$174)-SUM($F145:BG145)</f>
        <v>0</v>
      </c>
      <c r="BI145" s="142">
        <f>SUMPRODUCT($F26:$AS26,$F$174:$AS$174)*(1-BI$174)-SUM($F145:BH145)</f>
        <v>0</v>
      </c>
      <c r="BJ145" s="142">
        <f>SUMPRODUCT($F26:$AS26,$F$174:$AS$174)*(1-BJ$174)-SUM($F145:BI145)</f>
        <v>0</v>
      </c>
      <c r="BK145" s="142">
        <f>SUMPRODUCT($F26:$AS26,$F$174:$AS$174)*(1-BK$174)-SUM($F145:BJ145)</f>
        <v>0</v>
      </c>
      <c r="BL145" s="142">
        <f>SUMPRODUCT($F26:$AS26,$F$174:$AS$174)*(1-BL$174)-SUM($F145:BK145)</f>
        <v>0</v>
      </c>
      <c r="BM145" s="142">
        <f>SUMPRODUCT($F26:$AS26,$F$174:$AS$174)*(1-BM$174)-SUM($F145:BL145)</f>
        <v>0</v>
      </c>
    </row>
    <row r="146" spans="1:65" hidden="1" outlineLevel="1">
      <c r="A146" s="149"/>
      <c r="B146" s="27"/>
      <c r="C146" s="27"/>
      <c r="D146" s="158" t="str">
        <f t="shared" ref="D146:D151" si="83">D138</f>
        <v>АПАРТАМЕНТЫ</v>
      </c>
      <c r="E146" s="154">
        <f t="shared" si="62"/>
        <v>0</v>
      </c>
      <c r="F146" s="142"/>
      <c r="G146" s="142">
        <f>SUMPRODUCT($F27:$AS27,$F$174:$AS$174)*(1-G$174)-SUM($F146:F146)</f>
        <v>0</v>
      </c>
      <c r="H146" s="142">
        <f>SUMPRODUCT($F27:$AS27,$F$174:$AS$174)*(1-H$174)-SUM($F146:G146)</f>
        <v>0</v>
      </c>
      <c r="I146" s="142">
        <f>SUMPRODUCT($F27:$AS27,$F$174:$AS$174)*(1-I$174)-SUM($F146:H146)</f>
        <v>0</v>
      </c>
      <c r="J146" s="142">
        <f>SUMPRODUCT($F27:$AS27,$F$174:$AS$174)*(1-J$174)-SUM($F146:I146)</f>
        <v>0</v>
      </c>
      <c r="K146" s="142">
        <f>SUMPRODUCT($F27:$AS27,$F$174:$AS$174)*(1-K$174)-SUM($F146:J146)</f>
        <v>0</v>
      </c>
      <c r="L146" s="142">
        <f>SUMPRODUCT($F27:$AS27,$F$174:$AS$174)*(1-L$174)-SUM($F146:K146)</f>
        <v>0</v>
      </c>
      <c r="M146" s="142">
        <f>SUMPRODUCT($F27:$AS27,$F$174:$AS$174)*(1-M$174)-SUM($F146:L146)</f>
        <v>0</v>
      </c>
      <c r="N146" s="142">
        <f>SUMPRODUCT($F27:$AS27,$F$174:$AS$174)*(1-N$174)-SUM($F146:M146)</f>
        <v>0</v>
      </c>
      <c r="O146" s="142">
        <f>SUMPRODUCT($F27:$AS27,$F$174:$AS$174)*(1-O$174)-SUM($F146:N146)</f>
        <v>0</v>
      </c>
      <c r="P146" s="142">
        <f>SUMPRODUCT($F27:$AS27,$F$174:$AS$174)*(1-P$174)-SUM($F146:O146)</f>
        <v>0</v>
      </c>
      <c r="Q146" s="142">
        <f>SUMPRODUCT($F27:$AS27,$F$174:$AS$174)*(1-Q$174)-SUM($F146:P146)</f>
        <v>0</v>
      </c>
      <c r="R146" s="142">
        <f>SUMPRODUCT($F27:$AS27,$F$174:$AS$174)*(1-R$174)-SUM($F146:Q146)</f>
        <v>0</v>
      </c>
      <c r="S146" s="142">
        <f>SUMPRODUCT($F27:$AS27,$F$174:$AS$174)*(1-S$174)-SUM($F146:R146)</f>
        <v>0</v>
      </c>
      <c r="T146" s="142">
        <f>SUMPRODUCT($F27:$AS27,$F$174:$AS$174)*(1-T$174)-SUM($F146:S146)</f>
        <v>0</v>
      </c>
      <c r="U146" s="142">
        <f>SUMPRODUCT($F27:$AS27,$F$174:$AS$174)*(1-U$174)-SUM($F146:T146)</f>
        <v>0</v>
      </c>
      <c r="V146" s="142">
        <f>SUMPRODUCT($F27:$AS27,$F$174:$AS$174)*(1-V$174)-SUM($F146:U146)</f>
        <v>0</v>
      </c>
      <c r="W146" s="142">
        <f>SUMPRODUCT($F27:$AS27,$F$174:$AS$174)*(1-W$174)-SUM($F146:V146)</f>
        <v>0</v>
      </c>
      <c r="X146" s="142">
        <f>SUMPRODUCT($F27:$AS27,$F$174:$AS$174)*(1-X$174)-SUM($F146:W146)</f>
        <v>0</v>
      </c>
      <c r="Y146" s="142">
        <f>SUMPRODUCT($F27:$AS27,$F$174:$AS$174)*(1-Y$174)-SUM($F146:X146)</f>
        <v>0</v>
      </c>
      <c r="Z146" s="142">
        <f>SUMPRODUCT($F27:$AS27,$F$174:$AS$174)*(1-Z$174)-SUM($F146:Y146)</f>
        <v>0</v>
      </c>
      <c r="AA146" s="142">
        <f>SUMPRODUCT($F27:$AS27,$F$174:$AS$174)*(1-AA$174)-SUM($F146:Z146)</f>
        <v>0</v>
      </c>
      <c r="AB146" s="142">
        <f>SUMPRODUCT($F27:$AS27,$F$174:$AS$174)*(1-AB$174)-SUM($F146:AA146)</f>
        <v>0</v>
      </c>
      <c r="AC146" s="142">
        <f>SUMPRODUCT($F27:$AS27,$F$174:$AS$174)*(1-AC$174)-SUM($F146:AB146)</f>
        <v>0</v>
      </c>
      <c r="AD146" s="142">
        <f>SUMPRODUCT($F27:$AS27,$F$174:$AS$174)*(1-AD$174)-SUM($F146:AC146)</f>
        <v>0</v>
      </c>
      <c r="AE146" s="142">
        <f>SUMPRODUCT($F27:$AS27,$F$174:$AS$174)*(1-AE$174)-SUM($F146:AD146)</f>
        <v>0</v>
      </c>
      <c r="AF146" s="142">
        <f>SUMPRODUCT($F27:$AS27,$F$174:$AS$174)*(1-AF$174)-SUM($F146:AE146)</f>
        <v>0</v>
      </c>
      <c r="AG146" s="142">
        <f>SUMPRODUCT($F27:$AS27,$F$174:$AS$174)*(1-AG$174)-SUM($F146:AF146)</f>
        <v>0</v>
      </c>
      <c r="AH146" s="142">
        <f>SUMPRODUCT($F27:$AS27,$F$174:$AS$174)*(1-AH$174)-SUM($F146:AG146)</f>
        <v>0</v>
      </c>
      <c r="AI146" s="142">
        <f>SUMPRODUCT($F27:$AS27,$F$174:$AS$174)*(1-AI$174)-SUM($F146:AH146)</f>
        <v>0</v>
      </c>
      <c r="AJ146" s="142">
        <f>SUMPRODUCT($F27:$AS27,$F$174:$AS$174)*(1-AJ$174)-SUM($F146:AI146)</f>
        <v>0</v>
      </c>
      <c r="AK146" s="142">
        <f>SUMPRODUCT($F27:$AS27,$F$174:$AS$174)*(1-AK$174)-SUM($F146:AJ146)</f>
        <v>0</v>
      </c>
      <c r="AL146" s="142">
        <f>SUMPRODUCT($F27:$AS27,$F$174:$AS$174)*(1-AL$174)-SUM($F146:AK146)</f>
        <v>0</v>
      </c>
      <c r="AM146" s="142">
        <f>SUMPRODUCT($F27:$AS27,$F$174:$AS$174)*(1-AM$174)-SUM($F146:AL146)</f>
        <v>0</v>
      </c>
      <c r="AN146" s="142">
        <f>SUMPRODUCT($F27:$AS27,$F$174:$AS$174)*(1-AN$174)-SUM($F146:AM146)</f>
        <v>0</v>
      </c>
      <c r="AO146" s="142">
        <f>SUMPRODUCT($F27:$AS27,$F$174:$AS$174)*(1-AO$174)-SUM($F146:AN146)</f>
        <v>0</v>
      </c>
      <c r="AP146" s="142">
        <f>SUMPRODUCT($F27:$AS27,$F$174:$AS$174)*(1-AP$174)-SUM($F146:AO146)</f>
        <v>0</v>
      </c>
      <c r="AQ146" s="142">
        <f>SUMPRODUCT($F27:$AS27,$F$174:$AS$174)*(1-AQ$174)-SUM($F146:AP146)</f>
        <v>0</v>
      </c>
      <c r="AR146" s="142">
        <f>SUMPRODUCT($F27:$AS27,$F$174:$AS$174)*(1-AR$174)-SUM($F146:AQ146)</f>
        <v>0</v>
      </c>
      <c r="AS146" s="142">
        <f>SUMPRODUCT($F27:$AS27,$F$174:$AS$174)*(1-AS$174)-SUM($F146:AR146)</f>
        <v>0</v>
      </c>
      <c r="AT146" s="142">
        <f>SUMPRODUCT($F27:$AS27,$F$174:$AS$174)*(1-AT$174)-SUM($F146:AS146)</f>
        <v>0</v>
      </c>
      <c r="AU146" s="142">
        <f>SUMPRODUCT($F27:$AS27,$F$174:$AS$174)*(1-AU$174)-SUM($F146:AT146)</f>
        <v>0</v>
      </c>
      <c r="AV146" s="142">
        <f>SUMPRODUCT($F27:$AS27,$F$174:$AS$174)*(1-AV$174)-SUM($F146:AU146)</f>
        <v>0</v>
      </c>
      <c r="AW146" s="142">
        <f>SUMPRODUCT($F27:$AS27,$F$174:$AS$174)*(1-AW$174)-SUM($F146:AV146)</f>
        <v>0</v>
      </c>
      <c r="AX146" s="142">
        <f>SUMPRODUCT($F27:$AS27,$F$174:$AS$174)*(1-AX$174)-SUM($F146:AW146)</f>
        <v>0</v>
      </c>
      <c r="AY146" s="142">
        <f>SUMPRODUCT($F27:$AS27,$F$174:$AS$174)*(1-AY$174)-SUM($F146:AX146)</f>
        <v>0</v>
      </c>
      <c r="AZ146" s="142">
        <f>SUMPRODUCT($F27:$AS27,$F$174:$AS$174)*(1-AZ$174)-SUM($F146:AY146)</f>
        <v>0</v>
      </c>
      <c r="BA146" s="142">
        <f>SUMPRODUCT($F27:$AS27,$F$174:$AS$174)*(1-BA$174)-SUM($F146:AZ146)</f>
        <v>0</v>
      </c>
      <c r="BB146" s="142">
        <f>SUMPRODUCT($F27:$AS27,$F$174:$AS$174)*(1-BB$174)-SUM($F146:BA146)</f>
        <v>0</v>
      </c>
      <c r="BC146" s="142">
        <f>SUMPRODUCT($F27:$AS27,$F$174:$AS$174)*(1-BC$174)-SUM($F146:BB146)</f>
        <v>0</v>
      </c>
      <c r="BD146" s="142">
        <f>SUMPRODUCT($F27:$AS27,$F$174:$AS$174)*(1-BD$174)-SUM($F146:BC146)</f>
        <v>0</v>
      </c>
      <c r="BE146" s="142">
        <f>SUMPRODUCT($F27:$AS27,$F$174:$AS$174)*(1-BE$174)-SUM($F146:BD146)</f>
        <v>0</v>
      </c>
      <c r="BF146" s="142">
        <f>SUMPRODUCT($F27:$AS27,$F$174:$AS$174)*(1-BF$174)-SUM($F146:BE146)</f>
        <v>0</v>
      </c>
      <c r="BG146" s="142">
        <f>SUMPRODUCT($F27:$AS27,$F$174:$AS$174)*(1-BG$174)-SUM($F146:BF146)</f>
        <v>0</v>
      </c>
      <c r="BH146" s="142">
        <f>SUMPRODUCT($F27:$AS27,$F$174:$AS$174)*(1-BH$174)-SUM($F146:BG146)</f>
        <v>0</v>
      </c>
      <c r="BI146" s="142">
        <f>SUMPRODUCT($F27:$AS27,$F$174:$AS$174)*(1-BI$174)-SUM($F146:BH146)</f>
        <v>0</v>
      </c>
      <c r="BJ146" s="142">
        <f>SUMPRODUCT($F27:$AS27,$F$174:$AS$174)*(1-BJ$174)-SUM($F146:BI146)</f>
        <v>0</v>
      </c>
      <c r="BK146" s="142">
        <f>SUMPRODUCT($F27:$AS27,$F$174:$AS$174)*(1-BK$174)-SUM($F146:BJ146)</f>
        <v>0</v>
      </c>
      <c r="BL146" s="142">
        <f>SUMPRODUCT($F27:$AS27,$F$174:$AS$174)*(1-BL$174)-SUM($F146:BK146)</f>
        <v>0</v>
      </c>
      <c r="BM146" s="142">
        <f>SUMPRODUCT($F27:$AS27,$F$174:$AS$174)*(1-BM$174)-SUM($F146:BL146)</f>
        <v>0</v>
      </c>
    </row>
    <row r="147" spans="1:65" hidden="1" outlineLevel="1">
      <c r="A147" s="149"/>
      <c r="B147" s="27"/>
      <c r="C147" s="27"/>
      <c r="D147" s="158" t="str">
        <f t="shared" si="83"/>
        <v>ОФИСЫ</v>
      </c>
      <c r="E147" s="154">
        <f t="shared" si="62"/>
        <v>0</v>
      </c>
      <c r="F147" s="142"/>
      <c r="G147" s="142">
        <f>(SUMPRODUCT($F28:$AS28,$F$174:$AS$174)*(1-G$174)/(1+'TS1'!$J$84)-SUM($F147:F147))</f>
        <v>0</v>
      </c>
      <c r="H147" s="142">
        <f>(SUMPRODUCT($F28:$AS28,$F$174:$AS$174)*(1-H$174)/(1+'TS1'!$J$84)-SUM($F147:G147))</f>
        <v>0</v>
      </c>
      <c r="I147" s="142">
        <f>(SUMPRODUCT($F28:$AS28,$F$174:$AS$174)*(1-I$174)/(1+'TS1'!$J$84)-SUM($F147:H147))</f>
        <v>0</v>
      </c>
      <c r="J147" s="142">
        <f>(SUMPRODUCT($F28:$AS28,$F$174:$AS$174)*(1-J$174)/(1+'TS1'!$J$84)-SUM($F147:I147))</f>
        <v>0</v>
      </c>
      <c r="K147" s="142">
        <f>(SUMPRODUCT($F28:$AS28,$F$174:$AS$174)*(1-K$174)/(1+'TS1'!$J$84)-SUM($F147:J147))</f>
        <v>0</v>
      </c>
      <c r="L147" s="142">
        <f>(SUMPRODUCT($F28:$AS28,$F$174:$AS$174)*(1-L$174)/(1+'TS1'!$J$84)-SUM($F147:K147))</f>
        <v>0</v>
      </c>
      <c r="M147" s="142">
        <f>(SUMPRODUCT($F28:$AS28,$F$174:$AS$174)*(1-M$174)/(1+'TS1'!$J$84)-SUM($F147:L147))</f>
        <v>0</v>
      </c>
      <c r="N147" s="142">
        <f>(SUMPRODUCT($F28:$AS28,$F$174:$AS$174)*(1-N$174)/(1+'TS1'!$J$84)-SUM($F147:M147))</f>
        <v>0</v>
      </c>
      <c r="O147" s="142">
        <f>(SUMPRODUCT($F28:$AS28,$F$174:$AS$174)*(1-O$174)/(1+'TS1'!$J$84)-SUM($F147:N147))</f>
        <v>0</v>
      </c>
      <c r="P147" s="142">
        <f>(SUMPRODUCT($F28:$AS28,$F$174:$AS$174)*(1-P$174)/(1+'TS1'!$J$84)-SUM($F147:O147))</f>
        <v>0</v>
      </c>
      <c r="Q147" s="142">
        <f>(SUMPRODUCT($F28:$AS28,$F$174:$AS$174)*(1-Q$174)/(1+'TS1'!$J$84)-SUM($F147:P147))</f>
        <v>0</v>
      </c>
      <c r="R147" s="142">
        <f>(SUMPRODUCT($F28:$AS28,$F$174:$AS$174)*(1-R$174)/(1+'TS1'!$J$84)-SUM($F147:Q147))</f>
        <v>0</v>
      </c>
      <c r="S147" s="142">
        <f>(SUMPRODUCT($F28:$AS28,$F$174:$AS$174)*(1-S$174)/(1+'TS1'!$J$84)-SUM($F147:R147))</f>
        <v>0</v>
      </c>
      <c r="T147" s="142">
        <f>(SUMPRODUCT($F28:$AS28,$F$174:$AS$174)*(1-T$174)/(1+'TS1'!$J$84)-SUM($F147:S147))</f>
        <v>0</v>
      </c>
      <c r="U147" s="142">
        <f>(SUMPRODUCT($F28:$AS28,$F$174:$AS$174)*(1-U$174)/(1+'TS1'!$J$84)-SUM($F147:T147))</f>
        <v>0</v>
      </c>
      <c r="V147" s="142">
        <f>(SUMPRODUCT($F28:$AS28,$F$174:$AS$174)*(1-V$174)/(1+'TS1'!$J$84)-SUM($F147:U147))</f>
        <v>0</v>
      </c>
      <c r="W147" s="142">
        <f>(SUMPRODUCT($F28:$AS28,$F$174:$AS$174)*(1-W$174)/(1+'TS1'!$J$84)-SUM($F147:V147))</f>
        <v>0</v>
      </c>
      <c r="X147" s="142">
        <f>(SUMPRODUCT($F28:$AS28,$F$174:$AS$174)*(1-X$174)/(1+'TS1'!$J$84)-SUM($F147:W147))</f>
        <v>0</v>
      </c>
      <c r="Y147" s="142">
        <f>(SUMPRODUCT($F28:$AS28,$F$174:$AS$174)*(1-Y$174)/(1+'TS1'!$J$84)-SUM($F147:X147))</f>
        <v>0</v>
      </c>
      <c r="Z147" s="142">
        <f>(SUMPRODUCT($F28:$AS28,$F$174:$AS$174)*(1-Z$174)/(1+'TS1'!$J$84)-SUM($F147:Y147))</f>
        <v>0</v>
      </c>
      <c r="AA147" s="142">
        <f>(SUMPRODUCT($F28:$AS28,$F$174:$AS$174)*(1-AA$174)/(1+'TS1'!$J$84)-SUM($F147:Z147))</f>
        <v>0</v>
      </c>
      <c r="AB147" s="142">
        <f>(SUMPRODUCT($F28:$AS28,$F$174:$AS$174)*(1-AB$174)/(1+'TS1'!$J$84)-SUM($F147:AA147))</f>
        <v>0</v>
      </c>
      <c r="AC147" s="142">
        <f>(SUMPRODUCT($F28:$AS28,$F$174:$AS$174)*(1-AC$174)/(1+'TS1'!$J$84)-SUM($F147:AB147))</f>
        <v>0</v>
      </c>
      <c r="AD147" s="142">
        <f>(SUMPRODUCT($F28:$AS28,$F$174:$AS$174)*(1-AD$174)/(1+'TS1'!$J$84)-SUM($F147:AC147))</f>
        <v>0</v>
      </c>
      <c r="AE147" s="142">
        <f>(SUMPRODUCT($F28:$AS28,$F$174:$AS$174)*(1-AE$174)/(1+'TS1'!$J$84)-SUM($F147:AD147))</f>
        <v>0</v>
      </c>
      <c r="AF147" s="142">
        <f>(SUMPRODUCT($F28:$AS28,$F$174:$AS$174)*(1-AF$174)/(1+'TS1'!$J$84)-SUM($F147:AE147))</f>
        <v>0</v>
      </c>
      <c r="AG147" s="142">
        <f>(SUMPRODUCT($F28:$AS28,$F$174:$AS$174)*(1-AG$174)/(1+'TS1'!$J$84)-SUM($F147:AF147))</f>
        <v>0</v>
      </c>
      <c r="AH147" s="142">
        <f>(SUMPRODUCT($F28:$AS28,$F$174:$AS$174)*(1-AH$174)/(1+'TS1'!$J$84)-SUM($F147:AG147))</f>
        <v>0</v>
      </c>
      <c r="AI147" s="142">
        <f>(SUMPRODUCT($F28:$AS28,$F$174:$AS$174)*(1-AI$174)/(1+'TS1'!$J$84)-SUM($F147:AH147))</f>
        <v>0</v>
      </c>
      <c r="AJ147" s="142">
        <f>(SUMPRODUCT($F28:$AS28,$F$174:$AS$174)*(1-AJ$174)/(1+'TS1'!$J$84)-SUM($F147:AI147))</f>
        <v>0</v>
      </c>
      <c r="AK147" s="142">
        <f>(SUMPRODUCT($F28:$AS28,$F$174:$AS$174)*(1-AK$174)/(1+'TS1'!$J$84)-SUM($F147:AJ147))</f>
        <v>0</v>
      </c>
      <c r="AL147" s="142">
        <f>(SUMPRODUCT($F28:$AS28,$F$174:$AS$174)*(1-AL$174)/(1+'TS1'!$J$84)-SUM($F147:AK147))</f>
        <v>0</v>
      </c>
      <c r="AM147" s="142">
        <f>(SUMPRODUCT($F28:$AS28,$F$174:$AS$174)*(1-AM$174)/(1+'TS1'!$J$84)-SUM($F147:AL147))</f>
        <v>0</v>
      </c>
      <c r="AN147" s="142">
        <f>(SUMPRODUCT($F28:$AS28,$F$174:$AS$174)*(1-AN$174)/(1+'TS1'!$J$84)-SUM($F147:AM147))</f>
        <v>0</v>
      </c>
      <c r="AO147" s="142">
        <f>(SUMPRODUCT($F28:$AS28,$F$174:$AS$174)*(1-AO$174)/(1+'TS1'!$J$84)-SUM($F147:AN147))</f>
        <v>0</v>
      </c>
      <c r="AP147" s="142">
        <f>(SUMPRODUCT($F28:$AS28,$F$174:$AS$174)*(1-AP$174)/(1+'TS1'!$J$84)-SUM($F147:AO147))</f>
        <v>0</v>
      </c>
      <c r="AQ147" s="142">
        <f>(SUMPRODUCT($F28:$AS28,$F$174:$AS$174)*(1-AQ$174)/(1+'TS1'!$J$84)-SUM($F147:AP147))</f>
        <v>0</v>
      </c>
      <c r="AR147" s="142">
        <f>(SUMPRODUCT($F28:$AS28,$F$174:$AS$174)*(1-AR$174)/(1+'TS1'!$J$84)-SUM($F147:AQ147))</f>
        <v>0</v>
      </c>
      <c r="AS147" s="142">
        <f>(SUMPRODUCT($F28:$AS28,$F$174:$AS$174)*(1-AS$174)/(1+'TS1'!$J$84)-SUM($F147:AR147))</f>
        <v>0</v>
      </c>
      <c r="AT147" s="142">
        <f>(SUMPRODUCT($F28:$AS28,$F$174:$AS$174)*(1-AT$174)/(1+'TS1'!$J$84)-SUM($F147:AS147))</f>
        <v>0</v>
      </c>
      <c r="AU147" s="142">
        <f>(SUMPRODUCT($F28:$AS28,$F$174:$AS$174)*(1-AU$174)/(1+'TS1'!$J$84)-SUM($F147:AT147))</f>
        <v>0</v>
      </c>
      <c r="AV147" s="142">
        <f>(SUMPRODUCT($F28:$AS28,$F$174:$AS$174)*(1-AV$174)/(1+'TS1'!$J$84)-SUM($F147:AU147))</f>
        <v>0</v>
      </c>
      <c r="AW147" s="142">
        <f>(SUMPRODUCT($F28:$AS28,$F$174:$AS$174)*(1-AW$174)/(1+'TS1'!$J$84)-SUM($F147:AV147))</f>
        <v>0</v>
      </c>
      <c r="AX147" s="142">
        <f>(SUMPRODUCT($F28:$AS28,$F$174:$AS$174)*(1-AX$174)/(1+'TS1'!$J$84)-SUM($F147:AW147))</f>
        <v>0</v>
      </c>
      <c r="AY147" s="142">
        <f>(SUMPRODUCT($F28:$AS28,$F$174:$AS$174)*(1-AY$174)/(1+'TS1'!$J$84)-SUM($F147:AX147))</f>
        <v>0</v>
      </c>
      <c r="AZ147" s="142">
        <f>(SUMPRODUCT($F28:$AS28,$F$174:$AS$174)*(1-AZ$174)/(1+'TS1'!$J$84)-SUM($F147:AY147))</f>
        <v>0</v>
      </c>
      <c r="BA147" s="142">
        <f>(SUMPRODUCT($F28:$AS28,$F$174:$AS$174)*(1-BA$174)/(1+'TS1'!$J$84)-SUM($F147:AZ147))</f>
        <v>0</v>
      </c>
      <c r="BB147" s="142">
        <f>(SUMPRODUCT($F28:$AS28,$F$174:$AS$174)*(1-BB$174)/(1+'TS1'!$J$84)-SUM($F147:BA147))</f>
        <v>0</v>
      </c>
      <c r="BC147" s="142">
        <f>(SUMPRODUCT($F28:$AS28,$F$174:$AS$174)*(1-BC$174)/(1+'TS1'!$J$84)-SUM($F147:BB147))</f>
        <v>0</v>
      </c>
      <c r="BD147" s="142">
        <f>(SUMPRODUCT($F28:$AS28,$F$174:$AS$174)*(1-BD$174)/(1+'TS1'!$J$84)-SUM($F147:BC147))</f>
        <v>0</v>
      </c>
      <c r="BE147" s="142">
        <f>(SUMPRODUCT($F28:$AS28,$F$174:$AS$174)*(1-BE$174)/(1+'TS1'!$J$84)-SUM($F147:BD147))</f>
        <v>0</v>
      </c>
      <c r="BF147" s="142">
        <f>(SUMPRODUCT($F28:$AS28,$F$174:$AS$174)*(1-BF$174)/(1+'TS1'!$J$84)-SUM($F147:BE147))</f>
        <v>0</v>
      </c>
      <c r="BG147" s="142">
        <f>(SUMPRODUCT($F28:$AS28,$F$174:$AS$174)*(1-BG$174)/(1+'TS1'!$J$84)-SUM($F147:BF147))</f>
        <v>0</v>
      </c>
      <c r="BH147" s="142">
        <f>(SUMPRODUCT($F28:$AS28,$F$174:$AS$174)*(1-BH$174)/(1+'TS1'!$J$84)-SUM($F147:BG147))</f>
        <v>0</v>
      </c>
      <c r="BI147" s="142">
        <f>(SUMPRODUCT($F28:$AS28,$F$174:$AS$174)*(1-BI$174)/(1+'TS1'!$J$84)-SUM($F147:BH147))</f>
        <v>0</v>
      </c>
      <c r="BJ147" s="142">
        <f>(SUMPRODUCT($F28:$AS28,$F$174:$AS$174)*(1-BJ$174)/(1+'TS1'!$J$84)-SUM($F147:BI147))</f>
        <v>0</v>
      </c>
      <c r="BK147" s="142">
        <f>(SUMPRODUCT($F28:$AS28,$F$174:$AS$174)*(1-BK$174)/(1+'TS1'!$J$84)-SUM($F147:BJ147))</f>
        <v>0</v>
      </c>
      <c r="BL147" s="142">
        <f>(SUMPRODUCT($F28:$AS28,$F$174:$AS$174)*(1-BL$174)/(1+'TS1'!$J$84)-SUM($F147:BK147))</f>
        <v>0</v>
      </c>
      <c r="BM147" s="142">
        <f>(SUMPRODUCT($F28:$AS28,$F$174:$AS$174)*(1-BM$174)/(1+'TS1'!$J$84)-SUM($F147:BL147))</f>
        <v>0</v>
      </c>
    </row>
    <row r="148" spans="1:65" hidden="1" outlineLevel="1">
      <c r="A148" s="149"/>
      <c r="B148" s="27"/>
      <c r="C148" s="27"/>
      <c r="D148" s="158" t="str">
        <f t="shared" si="83"/>
        <v>РИТЕЙЛ</v>
      </c>
      <c r="E148" s="154">
        <f t="shared" si="62"/>
        <v>0</v>
      </c>
      <c r="F148" s="142"/>
      <c r="G148" s="142">
        <f>SUMPRODUCT($F29:$AS29,$F$174:$AS$174)*(1-G$174)-SUM($F148:F148)</f>
        <v>0</v>
      </c>
      <c r="H148" s="142">
        <f>SUMPRODUCT($F29:$AS29,$F$174:$AS$174)*(1-H$174)-SUM($F148:G148)</f>
        <v>0</v>
      </c>
      <c r="I148" s="142">
        <f>SUMPRODUCT($F29:$AS29,$F$174:$AS$174)*(1-I$174)-SUM($F148:H148)</f>
        <v>0</v>
      </c>
      <c r="J148" s="142">
        <f>SUMPRODUCT($F29:$AS29,$F$174:$AS$174)*(1-J$174)-SUM($F148:I148)</f>
        <v>0</v>
      </c>
      <c r="K148" s="142">
        <f>SUMPRODUCT($F29:$AS29,$F$174:$AS$174)*(1-K$174)-SUM($F148:J148)</f>
        <v>0</v>
      </c>
      <c r="L148" s="142">
        <f>SUMPRODUCT($F29:$AS29,$F$174:$AS$174)*(1-L$174)-SUM($F148:K148)</f>
        <v>0</v>
      </c>
      <c r="M148" s="142">
        <f>SUMPRODUCT($F29:$AS29,$F$174:$AS$174)*(1-M$174)-SUM($F148:L148)</f>
        <v>0</v>
      </c>
      <c r="N148" s="142">
        <f>SUMPRODUCT($F29:$AS29,$F$174:$AS$174)*(1-N$174)-SUM($F148:M148)</f>
        <v>0</v>
      </c>
      <c r="O148" s="142">
        <f>SUMPRODUCT($F29:$AS29,$F$174:$AS$174)*(1-O$174)-SUM($F148:N148)</f>
        <v>0</v>
      </c>
      <c r="P148" s="142">
        <f>SUMPRODUCT($F29:$AS29,$F$174:$AS$174)*(1-P$174)-SUM($F148:O148)</f>
        <v>0</v>
      </c>
      <c r="Q148" s="142">
        <f>SUMPRODUCT($F29:$AS29,$F$174:$AS$174)*(1-Q$174)-SUM($F148:P148)</f>
        <v>0</v>
      </c>
      <c r="R148" s="142">
        <f>SUMPRODUCT($F29:$AS29,$F$174:$AS$174)*(1-R$174)-SUM($F148:Q148)</f>
        <v>0</v>
      </c>
      <c r="S148" s="142">
        <f>SUMPRODUCT($F29:$AS29,$F$174:$AS$174)*(1-S$174)-SUM($F148:R148)</f>
        <v>0</v>
      </c>
      <c r="T148" s="142">
        <f>SUMPRODUCT($F29:$AS29,$F$174:$AS$174)*(1-T$174)-SUM($F148:S148)</f>
        <v>0</v>
      </c>
      <c r="U148" s="142">
        <f>SUMPRODUCT($F29:$AS29,$F$174:$AS$174)*(1-U$174)-SUM($F148:T148)</f>
        <v>0</v>
      </c>
      <c r="V148" s="142">
        <f>SUMPRODUCT($F29:$AS29,$F$174:$AS$174)*(1-V$174)-SUM($F148:U148)</f>
        <v>0</v>
      </c>
      <c r="W148" s="142">
        <f>SUMPRODUCT($F29:$AS29,$F$174:$AS$174)*(1-W$174)-SUM($F148:V148)</f>
        <v>0</v>
      </c>
      <c r="X148" s="142">
        <f>SUMPRODUCT($F29:$AS29,$F$174:$AS$174)*(1-X$174)-SUM($F148:W148)</f>
        <v>0</v>
      </c>
      <c r="Y148" s="142">
        <f>SUMPRODUCT($F29:$AS29,$F$174:$AS$174)*(1-Y$174)-SUM($F148:X148)</f>
        <v>0</v>
      </c>
      <c r="Z148" s="142">
        <f>SUMPRODUCT($F29:$AS29,$F$174:$AS$174)*(1-Z$174)-SUM($F148:Y148)</f>
        <v>0</v>
      </c>
      <c r="AA148" s="142">
        <f>SUMPRODUCT($F29:$AS29,$F$174:$AS$174)*(1-AA$174)-SUM($F148:Z148)</f>
        <v>0</v>
      </c>
      <c r="AB148" s="142">
        <f>SUMPRODUCT($F29:$AS29,$F$174:$AS$174)*(1-AB$174)-SUM($F148:AA148)</f>
        <v>0</v>
      </c>
      <c r="AC148" s="142">
        <f>SUMPRODUCT($F29:$AS29,$F$174:$AS$174)*(1-AC$174)-SUM($F148:AB148)</f>
        <v>0</v>
      </c>
      <c r="AD148" s="142">
        <f>SUMPRODUCT($F29:$AS29,$F$174:$AS$174)*(1-AD$174)-SUM($F148:AC148)</f>
        <v>0</v>
      </c>
      <c r="AE148" s="142">
        <f>SUMPRODUCT($F29:$AS29,$F$174:$AS$174)*(1-AE$174)-SUM($F148:AD148)</f>
        <v>0</v>
      </c>
      <c r="AF148" s="142">
        <f>SUMPRODUCT($F29:$AS29,$F$174:$AS$174)*(1-AF$174)-SUM($F148:AE148)</f>
        <v>0</v>
      </c>
      <c r="AG148" s="142">
        <f>SUMPRODUCT($F29:$AS29,$F$174:$AS$174)*(1-AG$174)-SUM($F148:AF148)</f>
        <v>0</v>
      </c>
      <c r="AH148" s="142">
        <f>SUMPRODUCT($F29:$AS29,$F$174:$AS$174)*(1-AH$174)-SUM($F148:AG148)</f>
        <v>0</v>
      </c>
      <c r="AI148" s="142">
        <f>SUMPRODUCT($F29:$AS29,$F$174:$AS$174)*(1-AI$174)-SUM($F148:AH148)</f>
        <v>0</v>
      </c>
      <c r="AJ148" s="142">
        <f>SUMPRODUCT($F29:$AS29,$F$174:$AS$174)*(1-AJ$174)-SUM($F148:AI148)</f>
        <v>0</v>
      </c>
      <c r="AK148" s="142">
        <f>SUMPRODUCT($F29:$AS29,$F$174:$AS$174)*(1-AK$174)-SUM($F148:AJ148)</f>
        <v>0</v>
      </c>
      <c r="AL148" s="142">
        <f>SUMPRODUCT($F29:$AS29,$F$174:$AS$174)*(1-AL$174)-SUM($F148:AK148)</f>
        <v>0</v>
      </c>
      <c r="AM148" s="142">
        <f>SUMPRODUCT($F29:$AS29,$F$174:$AS$174)*(1-AM$174)-SUM($F148:AL148)</f>
        <v>0</v>
      </c>
      <c r="AN148" s="142">
        <f>SUMPRODUCT($F29:$AS29,$F$174:$AS$174)*(1-AN$174)-SUM($F148:AM148)</f>
        <v>0</v>
      </c>
      <c r="AO148" s="142">
        <f>SUMPRODUCT($F29:$AS29,$F$174:$AS$174)*(1-AO$174)-SUM($F148:AN148)</f>
        <v>0</v>
      </c>
      <c r="AP148" s="142">
        <f>SUMPRODUCT($F29:$AS29,$F$174:$AS$174)*(1-AP$174)-SUM($F148:AO148)</f>
        <v>0</v>
      </c>
      <c r="AQ148" s="142">
        <f>SUMPRODUCT($F29:$AS29,$F$174:$AS$174)*(1-AQ$174)-SUM($F148:AP148)</f>
        <v>0</v>
      </c>
      <c r="AR148" s="142">
        <f>SUMPRODUCT($F29:$AS29,$F$174:$AS$174)*(1-AR$174)-SUM($F148:AQ148)</f>
        <v>0</v>
      </c>
      <c r="AS148" s="142">
        <f>SUMPRODUCT($F29:$AS29,$F$174:$AS$174)*(1-AS$174)-SUM($F148:AR148)</f>
        <v>0</v>
      </c>
      <c r="AT148" s="142">
        <f>SUMPRODUCT($F29:$AS29,$F$174:$AS$174)*(1-AT$174)-SUM($F148:AS148)</f>
        <v>0</v>
      </c>
      <c r="AU148" s="142">
        <f>SUMPRODUCT($F29:$AS29,$F$174:$AS$174)*(1-AU$174)-SUM($F148:AT148)</f>
        <v>0</v>
      </c>
      <c r="AV148" s="142">
        <f>SUMPRODUCT($F29:$AS29,$F$174:$AS$174)*(1-AV$174)-SUM($F148:AU148)</f>
        <v>0</v>
      </c>
      <c r="AW148" s="142">
        <f>SUMPRODUCT($F29:$AS29,$F$174:$AS$174)*(1-AW$174)-SUM($F148:AV148)</f>
        <v>0</v>
      </c>
      <c r="AX148" s="142">
        <f>SUMPRODUCT($F29:$AS29,$F$174:$AS$174)*(1-AX$174)-SUM($F148:AW148)</f>
        <v>0</v>
      </c>
      <c r="AY148" s="142">
        <f>SUMPRODUCT($F29:$AS29,$F$174:$AS$174)*(1-AY$174)-SUM($F148:AX148)</f>
        <v>0</v>
      </c>
      <c r="AZ148" s="142">
        <f>SUMPRODUCT($F29:$AS29,$F$174:$AS$174)*(1-AZ$174)-SUM($F148:AY148)</f>
        <v>0</v>
      </c>
      <c r="BA148" s="142">
        <f>SUMPRODUCT($F29:$AS29,$F$174:$AS$174)*(1-BA$174)-SUM($F148:AZ148)</f>
        <v>0</v>
      </c>
      <c r="BB148" s="142">
        <f>SUMPRODUCT($F29:$AS29,$F$174:$AS$174)*(1-BB$174)-SUM($F148:BA148)</f>
        <v>0</v>
      </c>
      <c r="BC148" s="142">
        <f>SUMPRODUCT($F29:$AS29,$F$174:$AS$174)*(1-BC$174)-SUM($F148:BB148)</f>
        <v>0</v>
      </c>
      <c r="BD148" s="142">
        <f>SUMPRODUCT($F29:$AS29,$F$174:$AS$174)*(1-BD$174)-SUM($F148:BC148)</f>
        <v>0</v>
      </c>
      <c r="BE148" s="142">
        <f>SUMPRODUCT($F29:$AS29,$F$174:$AS$174)*(1-BE$174)-SUM($F148:BD148)</f>
        <v>0</v>
      </c>
      <c r="BF148" s="142">
        <f>SUMPRODUCT($F29:$AS29,$F$174:$AS$174)*(1-BF$174)-SUM($F148:BE148)</f>
        <v>0</v>
      </c>
      <c r="BG148" s="142">
        <f>SUMPRODUCT($F29:$AS29,$F$174:$AS$174)*(1-BG$174)-SUM($F148:BF148)</f>
        <v>0</v>
      </c>
      <c r="BH148" s="142">
        <f>SUMPRODUCT($F29:$AS29,$F$174:$AS$174)*(1-BH$174)-SUM($F148:BG148)</f>
        <v>0</v>
      </c>
      <c r="BI148" s="142">
        <f>SUMPRODUCT($F29:$AS29,$F$174:$AS$174)*(1-BI$174)-SUM($F148:BH148)</f>
        <v>0</v>
      </c>
      <c r="BJ148" s="142">
        <f>SUMPRODUCT($F29:$AS29,$F$174:$AS$174)*(1-BJ$174)-SUM($F148:BI148)</f>
        <v>0</v>
      </c>
      <c r="BK148" s="142">
        <f>SUMPRODUCT($F29:$AS29,$F$174:$AS$174)*(1-BK$174)-SUM($F148:BJ148)</f>
        <v>0</v>
      </c>
      <c r="BL148" s="142">
        <f>SUMPRODUCT($F29:$AS29,$F$174:$AS$174)*(1-BL$174)-SUM($F148:BK148)</f>
        <v>0</v>
      </c>
      <c r="BM148" s="142">
        <f>SUMPRODUCT($F29:$AS29,$F$174:$AS$174)*(1-BM$174)-SUM($F148:BL148)</f>
        <v>0</v>
      </c>
    </row>
    <row r="149" spans="1:65" hidden="1" outlineLevel="1">
      <c r="A149" s="149"/>
      <c r="B149" s="27"/>
      <c r="C149" s="27"/>
      <c r="D149" s="158" t="str">
        <f t="shared" si="83"/>
        <v>ТЦ</v>
      </c>
      <c r="E149" s="154">
        <f t="shared" si="62"/>
        <v>0</v>
      </c>
      <c r="F149" s="142"/>
      <c r="G149" s="142">
        <f>(SUMPRODUCT($F30:$AS30,$F$174:$AS$174)*(1-G$174)/(1+'TS1'!$J$84)-SUM($F149:F149))</f>
        <v>0</v>
      </c>
      <c r="H149" s="142">
        <f>(SUMPRODUCT($F30:$AS30,$F$174:$AS$174)*(1-H$174)/(1+'TS1'!$J$84)-SUM($F149:G149))</f>
        <v>0</v>
      </c>
      <c r="I149" s="142">
        <f>(SUMPRODUCT($F30:$AS30,$F$174:$AS$174)*(1-I$174)/(1+'TS1'!$J$84)-SUM($F149:H149))</f>
        <v>0</v>
      </c>
      <c r="J149" s="142">
        <f>(SUMPRODUCT($F30:$AS30,$F$174:$AS$174)*(1-J$174)/(1+'TS1'!$J$84)-SUM($F149:I149))</f>
        <v>0</v>
      </c>
      <c r="K149" s="142">
        <f>(SUMPRODUCT($F30:$AS30,$F$174:$AS$174)*(1-K$174)/(1+'TS1'!$J$84)-SUM($F149:J149))</f>
        <v>0</v>
      </c>
      <c r="L149" s="142">
        <f>(SUMPRODUCT($F30:$AS30,$F$174:$AS$174)*(1-L$174)/(1+'TS1'!$J$84)-SUM($F149:K149))</f>
        <v>0</v>
      </c>
      <c r="M149" s="142">
        <f>(SUMPRODUCT($F30:$AS30,$F$174:$AS$174)*(1-M$174)/(1+'TS1'!$J$84)-SUM($F149:L149))</f>
        <v>0</v>
      </c>
      <c r="N149" s="142">
        <f>(SUMPRODUCT($F30:$AS30,$F$174:$AS$174)*(1-N$174)/(1+'TS1'!$J$84)-SUM($F149:M149))</f>
        <v>0</v>
      </c>
      <c r="O149" s="142">
        <f>(SUMPRODUCT($F30:$AS30,$F$174:$AS$174)*(1-O$174)/(1+'TS1'!$J$84)-SUM($F149:N149))</f>
        <v>0</v>
      </c>
      <c r="P149" s="142">
        <f>(SUMPRODUCT($F30:$AS30,$F$174:$AS$174)*(1-P$174)/(1+'TS1'!$J$84)-SUM($F149:O149))</f>
        <v>0</v>
      </c>
      <c r="Q149" s="142">
        <f>(SUMPRODUCT($F30:$AS30,$F$174:$AS$174)*(1-Q$174)/(1+'TS1'!$J$84)-SUM($F149:P149))</f>
        <v>0</v>
      </c>
      <c r="R149" s="142">
        <f>(SUMPRODUCT($F30:$AS30,$F$174:$AS$174)*(1-R$174)/(1+'TS1'!$J$84)-SUM($F149:Q149))</f>
        <v>0</v>
      </c>
      <c r="S149" s="142">
        <f>(SUMPRODUCT($F30:$AS30,$F$174:$AS$174)*(1-S$174)/(1+'TS1'!$J$84)-SUM($F149:R149))</f>
        <v>0</v>
      </c>
      <c r="T149" s="142">
        <f>(SUMPRODUCT($F30:$AS30,$F$174:$AS$174)*(1-T$174)/(1+'TS1'!$J$84)-SUM($F149:S149))</f>
        <v>0</v>
      </c>
      <c r="U149" s="142">
        <f>(SUMPRODUCT($F30:$AS30,$F$174:$AS$174)*(1-U$174)/(1+'TS1'!$J$84)-SUM($F149:T149))</f>
        <v>0</v>
      </c>
      <c r="V149" s="142">
        <f>(SUMPRODUCT($F30:$AS30,$F$174:$AS$174)*(1-V$174)/(1+'TS1'!$J$84)-SUM($F149:U149))</f>
        <v>0</v>
      </c>
      <c r="W149" s="142">
        <f>(SUMPRODUCT($F30:$AS30,$F$174:$AS$174)*(1-W$174)/(1+'TS1'!$J$84)-SUM($F149:V149))</f>
        <v>0</v>
      </c>
      <c r="X149" s="142">
        <f>(SUMPRODUCT($F30:$AS30,$F$174:$AS$174)*(1-X$174)/(1+'TS1'!$J$84)-SUM($F149:W149))</f>
        <v>0</v>
      </c>
      <c r="Y149" s="142">
        <f>(SUMPRODUCT($F30:$AS30,$F$174:$AS$174)*(1-Y$174)/(1+'TS1'!$J$84)-SUM($F149:X149))</f>
        <v>0</v>
      </c>
      <c r="Z149" s="142">
        <f>(SUMPRODUCT($F30:$AS30,$F$174:$AS$174)*(1-Z$174)/(1+'TS1'!$J$84)-SUM($F149:Y149))</f>
        <v>0</v>
      </c>
      <c r="AA149" s="142">
        <f>(SUMPRODUCT($F30:$AS30,$F$174:$AS$174)*(1-AA$174)/(1+'TS1'!$J$84)-SUM($F149:Z149))</f>
        <v>0</v>
      </c>
      <c r="AB149" s="142">
        <f>(SUMPRODUCT($F30:$AS30,$F$174:$AS$174)*(1-AB$174)/(1+'TS1'!$J$84)-SUM($F149:AA149))</f>
        <v>0</v>
      </c>
      <c r="AC149" s="142">
        <f>(SUMPRODUCT($F30:$AS30,$F$174:$AS$174)*(1-AC$174)/(1+'TS1'!$J$84)-SUM($F149:AB149))</f>
        <v>0</v>
      </c>
      <c r="AD149" s="142">
        <f>(SUMPRODUCT($F30:$AS30,$F$174:$AS$174)*(1-AD$174)/(1+'TS1'!$J$84)-SUM($F149:AC149))</f>
        <v>0</v>
      </c>
      <c r="AE149" s="142">
        <f>(SUMPRODUCT($F30:$AS30,$F$174:$AS$174)*(1-AE$174)/(1+'TS1'!$J$84)-SUM($F149:AD149))</f>
        <v>0</v>
      </c>
      <c r="AF149" s="142">
        <f>(SUMPRODUCT($F30:$AS30,$F$174:$AS$174)*(1-AF$174)/(1+'TS1'!$J$84)-SUM($F149:AE149))</f>
        <v>0</v>
      </c>
      <c r="AG149" s="142">
        <f>(SUMPRODUCT($F30:$AS30,$F$174:$AS$174)*(1-AG$174)/(1+'TS1'!$J$84)-SUM($F149:AF149))</f>
        <v>0</v>
      </c>
      <c r="AH149" s="142">
        <f>(SUMPRODUCT($F30:$AS30,$F$174:$AS$174)*(1-AH$174)/(1+'TS1'!$J$84)-SUM($F149:AG149))</f>
        <v>0</v>
      </c>
      <c r="AI149" s="142">
        <f>(SUMPRODUCT($F30:$AS30,$F$174:$AS$174)*(1-AI$174)/(1+'TS1'!$J$84)-SUM($F149:AH149))</f>
        <v>0</v>
      </c>
      <c r="AJ149" s="142">
        <f>(SUMPRODUCT($F30:$AS30,$F$174:$AS$174)*(1-AJ$174)/(1+'TS1'!$J$84)-SUM($F149:AI149))</f>
        <v>0</v>
      </c>
      <c r="AK149" s="142">
        <f>(SUMPRODUCT($F30:$AS30,$F$174:$AS$174)*(1-AK$174)/(1+'TS1'!$J$84)-SUM($F149:AJ149))</f>
        <v>0</v>
      </c>
      <c r="AL149" s="142">
        <f>(SUMPRODUCT($F30:$AS30,$F$174:$AS$174)*(1-AL$174)/(1+'TS1'!$J$84)-SUM($F149:AK149))</f>
        <v>0</v>
      </c>
      <c r="AM149" s="142">
        <f>(SUMPRODUCT($F30:$AS30,$F$174:$AS$174)*(1-AM$174)/(1+'TS1'!$J$84)-SUM($F149:AL149))</f>
        <v>0</v>
      </c>
      <c r="AN149" s="142">
        <f>(SUMPRODUCT($F30:$AS30,$F$174:$AS$174)*(1-AN$174)/(1+'TS1'!$J$84)-SUM($F149:AM149))</f>
        <v>0</v>
      </c>
      <c r="AO149" s="142">
        <f>(SUMPRODUCT($F30:$AS30,$F$174:$AS$174)*(1-AO$174)/(1+'TS1'!$J$84)-SUM($F149:AN149))</f>
        <v>0</v>
      </c>
      <c r="AP149" s="142">
        <f>(SUMPRODUCT($F30:$AS30,$F$174:$AS$174)*(1-AP$174)/(1+'TS1'!$J$84)-SUM($F149:AO149))</f>
        <v>0</v>
      </c>
      <c r="AQ149" s="142">
        <f>(SUMPRODUCT($F30:$AS30,$F$174:$AS$174)*(1-AQ$174)/(1+'TS1'!$J$84)-SUM($F149:AP149))</f>
        <v>0</v>
      </c>
      <c r="AR149" s="142">
        <f>(SUMPRODUCT($F30:$AS30,$F$174:$AS$174)*(1-AR$174)/(1+'TS1'!$J$84)-SUM($F149:AQ149))</f>
        <v>0</v>
      </c>
      <c r="AS149" s="142">
        <f>(SUMPRODUCT($F30:$AS30,$F$174:$AS$174)*(1-AS$174)/(1+'TS1'!$J$84)-SUM($F149:AR149))</f>
        <v>0</v>
      </c>
      <c r="AT149" s="142">
        <f>(SUMPRODUCT($F30:$AS30,$F$174:$AS$174)*(1-AT$174)/(1+'TS1'!$J$84)-SUM($F149:AS149))</f>
        <v>0</v>
      </c>
      <c r="AU149" s="142">
        <f>(SUMPRODUCT($F30:$AS30,$F$174:$AS$174)*(1-AU$174)/(1+'TS1'!$J$84)-SUM($F149:AT149))</f>
        <v>0</v>
      </c>
      <c r="AV149" s="142">
        <f>(SUMPRODUCT($F30:$AS30,$F$174:$AS$174)*(1-AV$174)/(1+'TS1'!$J$84)-SUM($F149:AU149))</f>
        <v>0</v>
      </c>
      <c r="AW149" s="142">
        <f>(SUMPRODUCT($F30:$AS30,$F$174:$AS$174)*(1-AW$174)/(1+'TS1'!$J$84)-SUM($F149:AV149))</f>
        <v>0</v>
      </c>
      <c r="AX149" s="142">
        <f>(SUMPRODUCT($F30:$AS30,$F$174:$AS$174)*(1-AX$174)/(1+'TS1'!$J$84)-SUM($F149:AW149))</f>
        <v>0</v>
      </c>
      <c r="AY149" s="142">
        <f>(SUMPRODUCT($F30:$AS30,$F$174:$AS$174)*(1-AY$174)/(1+'TS1'!$J$84)-SUM($F149:AX149))</f>
        <v>0</v>
      </c>
      <c r="AZ149" s="142">
        <f>(SUMPRODUCT($F30:$AS30,$F$174:$AS$174)*(1-AZ$174)/(1+'TS1'!$J$84)-SUM($F149:AY149))</f>
        <v>0</v>
      </c>
      <c r="BA149" s="142">
        <f>(SUMPRODUCT($F30:$AS30,$F$174:$AS$174)*(1-BA$174)/(1+'TS1'!$J$84)-SUM($F149:AZ149))</f>
        <v>0</v>
      </c>
      <c r="BB149" s="142">
        <f>(SUMPRODUCT($F30:$AS30,$F$174:$AS$174)*(1-BB$174)/(1+'TS1'!$J$84)-SUM($F149:BA149))</f>
        <v>0</v>
      </c>
      <c r="BC149" s="142">
        <f>(SUMPRODUCT($F30:$AS30,$F$174:$AS$174)*(1-BC$174)/(1+'TS1'!$J$84)-SUM($F149:BB149))</f>
        <v>0</v>
      </c>
      <c r="BD149" s="142">
        <f>(SUMPRODUCT($F30:$AS30,$F$174:$AS$174)*(1-BD$174)/(1+'TS1'!$J$84)-SUM($F149:BC149))</f>
        <v>0</v>
      </c>
      <c r="BE149" s="142">
        <f>(SUMPRODUCT($F30:$AS30,$F$174:$AS$174)*(1-BE$174)/(1+'TS1'!$J$84)-SUM($F149:BD149))</f>
        <v>0</v>
      </c>
      <c r="BF149" s="142">
        <f>(SUMPRODUCT($F30:$AS30,$F$174:$AS$174)*(1-BF$174)/(1+'TS1'!$J$84)-SUM($F149:BE149))</f>
        <v>0</v>
      </c>
      <c r="BG149" s="142">
        <f>(SUMPRODUCT($F30:$AS30,$F$174:$AS$174)*(1-BG$174)/(1+'TS1'!$J$84)-SUM($F149:BF149))</f>
        <v>0</v>
      </c>
      <c r="BH149" s="142">
        <f>(SUMPRODUCT($F30:$AS30,$F$174:$AS$174)*(1-BH$174)/(1+'TS1'!$J$84)-SUM($F149:BG149))</f>
        <v>0</v>
      </c>
      <c r="BI149" s="142">
        <f>(SUMPRODUCT($F30:$AS30,$F$174:$AS$174)*(1-BI$174)/(1+'TS1'!$J$84)-SUM($F149:BH149))</f>
        <v>0</v>
      </c>
      <c r="BJ149" s="142">
        <f>(SUMPRODUCT($F30:$AS30,$F$174:$AS$174)*(1-BJ$174)/(1+'TS1'!$J$84)-SUM($F149:BI149))</f>
        <v>0</v>
      </c>
      <c r="BK149" s="142">
        <f>(SUMPRODUCT($F30:$AS30,$F$174:$AS$174)*(1-BK$174)/(1+'TS1'!$J$84)-SUM($F149:BJ149))</f>
        <v>0</v>
      </c>
      <c r="BL149" s="142">
        <f>(SUMPRODUCT($F30:$AS30,$F$174:$AS$174)*(1-BL$174)/(1+'TS1'!$J$84)-SUM($F149:BK149))</f>
        <v>0</v>
      </c>
      <c r="BM149" s="142">
        <f>(SUMPRODUCT($F30:$AS30,$F$174:$AS$174)*(1-BM$174)/(1+'TS1'!$J$84)-SUM($F149:BL149))</f>
        <v>0</v>
      </c>
    </row>
    <row r="150" spans="1:65" hidden="1" outlineLevel="1">
      <c r="A150" s="149"/>
      <c r="B150" s="27"/>
      <c r="C150" s="27"/>
      <c r="D150" s="158" t="str">
        <f t="shared" si="83"/>
        <v>ПАРКИНГ ЖИЛЬЕ</v>
      </c>
      <c r="E150" s="154">
        <f t="shared" si="62"/>
        <v>1620</v>
      </c>
      <c r="F150" s="142"/>
      <c r="G150" s="142">
        <f>SUMPRODUCT($F31:$AS31,$F$174:$AS$174)*(1-G$174)-SUM($F150:F150)</f>
        <v>0</v>
      </c>
      <c r="H150" s="142">
        <f>SUMPRODUCT($F31:$AS31,$F$174:$AS$174)*(1-H$174)-SUM($F150:G150)</f>
        <v>0</v>
      </c>
      <c r="I150" s="142">
        <f>SUMPRODUCT($F31:$AS31,$F$174:$AS$174)*(1-I$174)-SUM($F150:H150)</f>
        <v>0</v>
      </c>
      <c r="J150" s="142">
        <f>SUMPRODUCT($F31:$AS31,$F$174:$AS$174)*(1-J$174)-SUM($F150:I150)</f>
        <v>0</v>
      </c>
      <c r="K150" s="142">
        <f>SUMPRODUCT($F31:$AS31,$F$174:$AS$174)*(1-K$174)-SUM($F150:J150)</f>
        <v>0</v>
      </c>
      <c r="L150" s="142">
        <f>SUMPRODUCT($F31:$AS31,$F$174:$AS$174)*(1-L$174)-SUM($F150:K150)</f>
        <v>0</v>
      </c>
      <c r="M150" s="142">
        <f>SUMPRODUCT($F31:$AS31,$F$174:$AS$174)*(1-M$174)-SUM($F150:L150)</f>
        <v>0</v>
      </c>
      <c r="N150" s="142">
        <f>SUMPRODUCT($F31:$AS31,$F$174:$AS$174)*(1-N$174)-SUM($F150:M150)</f>
        <v>0</v>
      </c>
      <c r="O150" s="142">
        <f>SUMPRODUCT($F31:$AS31,$F$174:$AS$174)*(1-O$174)-SUM($F150:N150)</f>
        <v>0</v>
      </c>
      <c r="P150" s="142">
        <f>SUMPRODUCT($F31:$AS31,$F$174:$AS$174)*(1-P$174)-SUM($F150:O150)</f>
        <v>0</v>
      </c>
      <c r="Q150" s="142">
        <f>SUMPRODUCT($F31:$AS31,$F$174:$AS$174)*(1-Q$174)-SUM($F150:P150)</f>
        <v>0</v>
      </c>
      <c r="R150" s="142">
        <f>SUMPRODUCT($F31:$AS31,$F$174:$AS$174)*(1-R$174)-SUM($F150:Q150)</f>
        <v>0</v>
      </c>
      <c r="S150" s="142">
        <f>SUMPRODUCT($F31:$AS31,$F$174:$AS$174)*(1-S$174)-SUM($F150:R150)</f>
        <v>0</v>
      </c>
      <c r="T150" s="142">
        <f>SUMPRODUCT($F31:$AS31,$F$174:$AS$174)*(1-T$174)-SUM($F150:S150)</f>
        <v>0</v>
      </c>
      <c r="U150" s="142">
        <f>SUMPRODUCT($F31:$AS31,$F$174:$AS$174)*(1-U$174)-SUM($F150:T150)</f>
        <v>0</v>
      </c>
      <c r="V150" s="142">
        <f>SUMPRODUCT($F31:$AS31,$F$174:$AS$174)*(1-V$174)-SUM($F150:U150)</f>
        <v>0</v>
      </c>
      <c r="W150" s="142">
        <f>SUMPRODUCT($F31:$AS31,$F$174:$AS$174)*(1-W$174)-SUM($F150:V150)</f>
        <v>0</v>
      </c>
      <c r="X150" s="142">
        <f>SUMPRODUCT($F31:$AS31,$F$174:$AS$174)*(1-X$174)-SUM($F150:W150)</f>
        <v>0</v>
      </c>
      <c r="Y150" s="142">
        <f>SUMPRODUCT($F31:$AS31,$F$174:$AS$174)*(1-Y$174)-SUM($F150:X150)</f>
        <v>0</v>
      </c>
      <c r="Z150" s="142">
        <f>SUMPRODUCT($F31:$AS31,$F$174:$AS$174)*(1-Z$174)-SUM($F150:Y150)</f>
        <v>0</v>
      </c>
      <c r="AA150" s="142">
        <f>SUMPRODUCT($F31:$AS31,$F$174:$AS$174)*(1-AA$174)-SUM($F150:Z150)</f>
        <v>0</v>
      </c>
      <c r="AB150" s="142">
        <f>SUMPRODUCT($F31:$AS31,$F$174:$AS$174)*(1-AB$174)-SUM($F150:AA150)</f>
        <v>0</v>
      </c>
      <c r="AC150" s="142">
        <f>SUMPRODUCT($F31:$AS31,$F$174:$AS$174)*(1-AC$174)-SUM($F150:AB150)</f>
        <v>0</v>
      </c>
      <c r="AD150" s="142">
        <f>SUMPRODUCT($F31:$AS31,$F$174:$AS$174)*(1-AD$174)-SUM($F150:AC150)</f>
        <v>0</v>
      </c>
      <c r="AE150" s="142">
        <f>SUMPRODUCT($F31:$AS31,$F$174:$AS$174)*(1-AE$174)-SUM($F150:AD150)</f>
        <v>0</v>
      </c>
      <c r="AF150" s="142">
        <f>SUMPRODUCT($F31:$AS31,$F$174:$AS$174)*(1-AF$174)-SUM($F150:AE150)</f>
        <v>1620</v>
      </c>
      <c r="AG150" s="142">
        <f>SUMPRODUCT($F31:$AS31,$F$174:$AS$174)*(1-AG$174)-SUM($F150:AF150)</f>
        <v>0</v>
      </c>
      <c r="AH150" s="142">
        <f>SUMPRODUCT($F31:$AS31,$F$174:$AS$174)*(1-AH$174)-SUM($F150:AG150)</f>
        <v>0</v>
      </c>
      <c r="AI150" s="142">
        <f>SUMPRODUCT($F31:$AS31,$F$174:$AS$174)*(1-AI$174)-SUM($F150:AH150)</f>
        <v>0</v>
      </c>
      <c r="AJ150" s="142">
        <f>SUMPRODUCT($F31:$AS31,$F$174:$AS$174)*(1-AJ$174)-SUM($F150:AI150)</f>
        <v>0</v>
      </c>
      <c r="AK150" s="142">
        <f>SUMPRODUCT($F31:$AS31,$F$174:$AS$174)*(1-AK$174)-SUM($F150:AJ150)</f>
        <v>0</v>
      </c>
      <c r="AL150" s="142">
        <f>SUMPRODUCT($F31:$AS31,$F$174:$AS$174)*(1-AL$174)-SUM($F150:AK150)</f>
        <v>0</v>
      </c>
      <c r="AM150" s="142">
        <f>SUMPRODUCT($F31:$AS31,$F$174:$AS$174)*(1-AM$174)-SUM($F150:AL150)</f>
        <v>0</v>
      </c>
      <c r="AN150" s="142">
        <f>SUMPRODUCT($F31:$AS31,$F$174:$AS$174)*(1-AN$174)-SUM($F150:AM150)</f>
        <v>0</v>
      </c>
      <c r="AO150" s="142">
        <f>SUMPRODUCT($F31:$AS31,$F$174:$AS$174)*(1-AO$174)-SUM($F150:AN150)</f>
        <v>0</v>
      </c>
      <c r="AP150" s="142">
        <f>SUMPRODUCT($F31:$AS31,$F$174:$AS$174)*(1-AP$174)-SUM($F150:AO150)</f>
        <v>0</v>
      </c>
      <c r="AQ150" s="142">
        <f>SUMPRODUCT($F31:$AS31,$F$174:$AS$174)*(1-AQ$174)-SUM($F150:AP150)</f>
        <v>0</v>
      </c>
      <c r="AR150" s="142">
        <f>SUMPRODUCT($F31:$AS31,$F$174:$AS$174)*(1-AR$174)-SUM($F150:AQ150)</f>
        <v>0</v>
      </c>
      <c r="AS150" s="142">
        <f>SUMPRODUCT($F31:$AS31,$F$174:$AS$174)*(1-AS$174)-SUM($F150:AR150)</f>
        <v>0</v>
      </c>
      <c r="AT150" s="142">
        <f>SUMPRODUCT($F31:$AS31,$F$174:$AS$174)*(1-AT$174)-SUM($F150:AS150)</f>
        <v>0</v>
      </c>
      <c r="AU150" s="142">
        <f>SUMPRODUCT($F31:$AS31,$F$174:$AS$174)*(1-AU$174)-SUM($F150:AT150)</f>
        <v>0</v>
      </c>
      <c r="AV150" s="142">
        <f>SUMPRODUCT($F31:$AS31,$F$174:$AS$174)*(1-AV$174)-SUM($F150:AU150)</f>
        <v>0</v>
      </c>
      <c r="AW150" s="142">
        <f>SUMPRODUCT($F31:$AS31,$F$174:$AS$174)*(1-AW$174)-SUM($F150:AV150)</f>
        <v>0</v>
      </c>
      <c r="AX150" s="142">
        <f>SUMPRODUCT($F31:$AS31,$F$174:$AS$174)*(1-AX$174)-SUM($F150:AW150)</f>
        <v>0</v>
      </c>
      <c r="AY150" s="142">
        <f>SUMPRODUCT($F31:$AS31,$F$174:$AS$174)*(1-AY$174)-SUM($F150:AX150)</f>
        <v>0</v>
      </c>
      <c r="AZ150" s="142">
        <f>SUMPRODUCT($F31:$AS31,$F$174:$AS$174)*(1-AZ$174)-SUM($F150:AY150)</f>
        <v>0</v>
      </c>
      <c r="BA150" s="142">
        <f>SUMPRODUCT($F31:$AS31,$F$174:$AS$174)*(1-BA$174)-SUM($F150:AZ150)</f>
        <v>0</v>
      </c>
      <c r="BB150" s="142">
        <f>SUMPRODUCT($F31:$AS31,$F$174:$AS$174)*(1-BB$174)-SUM($F150:BA150)</f>
        <v>0</v>
      </c>
      <c r="BC150" s="142">
        <f>SUMPRODUCT($F31:$AS31,$F$174:$AS$174)*(1-BC$174)-SUM($F150:BB150)</f>
        <v>0</v>
      </c>
      <c r="BD150" s="142">
        <f>SUMPRODUCT($F31:$AS31,$F$174:$AS$174)*(1-BD$174)-SUM($F150:BC150)</f>
        <v>0</v>
      </c>
      <c r="BE150" s="142">
        <f>SUMPRODUCT($F31:$AS31,$F$174:$AS$174)*(1-BE$174)-SUM($F150:BD150)</f>
        <v>0</v>
      </c>
      <c r="BF150" s="142">
        <f>SUMPRODUCT($F31:$AS31,$F$174:$AS$174)*(1-BF$174)-SUM($F150:BE150)</f>
        <v>0</v>
      </c>
      <c r="BG150" s="142">
        <f>SUMPRODUCT($F31:$AS31,$F$174:$AS$174)*(1-BG$174)-SUM($F150:BF150)</f>
        <v>0</v>
      </c>
      <c r="BH150" s="142">
        <f>SUMPRODUCT($F31:$AS31,$F$174:$AS$174)*(1-BH$174)-SUM($F150:BG150)</f>
        <v>0</v>
      </c>
      <c r="BI150" s="142">
        <f>SUMPRODUCT($F31:$AS31,$F$174:$AS$174)*(1-BI$174)-SUM($F150:BH150)</f>
        <v>0</v>
      </c>
      <c r="BJ150" s="142">
        <f>SUMPRODUCT($F31:$AS31,$F$174:$AS$174)*(1-BJ$174)-SUM($F150:BI150)</f>
        <v>0</v>
      </c>
      <c r="BK150" s="142">
        <f>SUMPRODUCT($F31:$AS31,$F$174:$AS$174)*(1-BK$174)-SUM($F150:BJ150)</f>
        <v>0</v>
      </c>
      <c r="BL150" s="142">
        <f>SUMPRODUCT($F31:$AS31,$F$174:$AS$174)*(1-BL$174)-SUM($F150:BK150)</f>
        <v>0</v>
      </c>
      <c r="BM150" s="142">
        <f>SUMPRODUCT($F31:$AS31,$F$174:$AS$174)*(1-BM$174)-SUM($F150:BL150)</f>
        <v>0</v>
      </c>
    </row>
    <row r="151" spans="1:65" hidden="1" outlineLevel="1">
      <c r="A151" s="149"/>
      <c r="B151" s="27"/>
      <c r="C151" s="27"/>
      <c r="D151" s="158" t="str">
        <f t="shared" si="83"/>
        <v>ПАРКИНГ ОФИС</v>
      </c>
      <c r="E151" s="154">
        <f t="shared" si="62"/>
        <v>0</v>
      </c>
      <c r="F151" s="142"/>
      <c r="G151" s="142">
        <f>(SUMPRODUCT($F32:$AS32,$F$174:$AS$174)*(1-G$174)/(1+'TS1'!$J$84)-SUM($F151:F151))</f>
        <v>0</v>
      </c>
      <c r="H151" s="142">
        <f>(SUMPRODUCT($F32:$AS32,$F$174:$AS$174)*(1-H$174)/(1+'TS1'!$J$84)-SUM($F151:G151))</f>
        <v>0</v>
      </c>
      <c r="I151" s="142">
        <f>(SUMPRODUCT($F32:$AS32,$F$174:$AS$174)*(1-I$174)/(1+'TS1'!$J$84)-SUM($F151:H151))</f>
        <v>0</v>
      </c>
      <c r="J151" s="142">
        <f>(SUMPRODUCT($F32:$AS32,$F$174:$AS$174)*(1-J$174)/(1+'TS1'!$J$84)-SUM($F151:I151))</f>
        <v>0</v>
      </c>
      <c r="K151" s="142">
        <f>(SUMPRODUCT($F32:$AS32,$F$174:$AS$174)*(1-K$174)/(1+'TS1'!$J$84)-SUM($F151:J151))</f>
        <v>0</v>
      </c>
      <c r="L151" s="142">
        <f>(SUMPRODUCT($F32:$AS32,$F$174:$AS$174)*(1-L$174)/(1+'TS1'!$J$84)-SUM($F151:K151))</f>
        <v>0</v>
      </c>
      <c r="M151" s="142">
        <f>(SUMPRODUCT($F32:$AS32,$F$174:$AS$174)*(1-M$174)/(1+'TS1'!$J$84)-SUM($F151:L151))</f>
        <v>0</v>
      </c>
      <c r="N151" s="142">
        <f>(SUMPRODUCT($F32:$AS32,$F$174:$AS$174)*(1-N$174)/(1+'TS1'!$J$84)-SUM($F151:M151))</f>
        <v>0</v>
      </c>
      <c r="O151" s="142">
        <f>(SUMPRODUCT($F32:$AS32,$F$174:$AS$174)*(1-O$174)/(1+'TS1'!$J$84)-SUM($F151:N151))</f>
        <v>0</v>
      </c>
      <c r="P151" s="142">
        <f>(SUMPRODUCT($F32:$AS32,$F$174:$AS$174)*(1-P$174)/(1+'TS1'!$J$84)-SUM($F151:O151))</f>
        <v>0</v>
      </c>
      <c r="Q151" s="142">
        <f>(SUMPRODUCT($F32:$AS32,$F$174:$AS$174)*(1-Q$174)/(1+'TS1'!$J$84)-SUM($F151:P151))</f>
        <v>0</v>
      </c>
      <c r="R151" s="142">
        <f>(SUMPRODUCT($F32:$AS32,$F$174:$AS$174)*(1-R$174)/(1+'TS1'!$J$84)-SUM($F151:Q151))</f>
        <v>0</v>
      </c>
      <c r="S151" s="142">
        <f>(SUMPRODUCT($F32:$AS32,$F$174:$AS$174)*(1-S$174)/(1+'TS1'!$J$84)-SUM($F151:R151))</f>
        <v>0</v>
      </c>
      <c r="T151" s="142">
        <f>(SUMPRODUCT($F32:$AS32,$F$174:$AS$174)*(1-T$174)/(1+'TS1'!$J$84)-SUM($F151:S151))</f>
        <v>0</v>
      </c>
      <c r="U151" s="142">
        <f>(SUMPRODUCT($F32:$AS32,$F$174:$AS$174)*(1-U$174)/(1+'TS1'!$J$84)-SUM($F151:T151))</f>
        <v>0</v>
      </c>
      <c r="V151" s="142">
        <f>(SUMPRODUCT($F32:$AS32,$F$174:$AS$174)*(1-V$174)/(1+'TS1'!$J$84)-SUM($F151:U151))</f>
        <v>0</v>
      </c>
      <c r="W151" s="142">
        <f>(SUMPRODUCT($F32:$AS32,$F$174:$AS$174)*(1-W$174)/(1+'TS1'!$J$84)-SUM($F151:V151))</f>
        <v>0</v>
      </c>
      <c r="X151" s="142">
        <f>(SUMPRODUCT($F32:$AS32,$F$174:$AS$174)*(1-X$174)/(1+'TS1'!$J$84)-SUM($F151:W151))</f>
        <v>0</v>
      </c>
      <c r="Y151" s="142">
        <f>(SUMPRODUCT($F32:$AS32,$F$174:$AS$174)*(1-Y$174)/(1+'TS1'!$J$84)-SUM($F151:X151))</f>
        <v>0</v>
      </c>
      <c r="Z151" s="142">
        <f>(SUMPRODUCT($F32:$AS32,$F$174:$AS$174)*(1-Z$174)/(1+'TS1'!$J$84)-SUM($F151:Y151))</f>
        <v>0</v>
      </c>
      <c r="AA151" s="142">
        <f>(SUMPRODUCT($F32:$AS32,$F$174:$AS$174)*(1-AA$174)/(1+'TS1'!$J$84)-SUM($F151:Z151))</f>
        <v>0</v>
      </c>
      <c r="AB151" s="142">
        <f>(SUMPRODUCT($F32:$AS32,$F$174:$AS$174)*(1-AB$174)/(1+'TS1'!$J$84)-SUM($F151:AA151))</f>
        <v>0</v>
      </c>
      <c r="AC151" s="142">
        <f>(SUMPRODUCT($F32:$AS32,$F$174:$AS$174)*(1-AC$174)/(1+'TS1'!$J$84)-SUM($F151:AB151))</f>
        <v>0</v>
      </c>
      <c r="AD151" s="142">
        <f>(SUMPRODUCT($F32:$AS32,$F$174:$AS$174)*(1-AD$174)/(1+'TS1'!$J$84)-SUM($F151:AC151))</f>
        <v>0</v>
      </c>
      <c r="AE151" s="142">
        <f>(SUMPRODUCT($F32:$AS32,$F$174:$AS$174)*(1-AE$174)/(1+'TS1'!$J$84)-SUM($F151:AD151))</f>
        <v>0</v>
      </c>
      <c r="AF151" s="142">
        <f>(SUMPRODUCT($F32:$AS32,$F$174:$AS$174)*(1-AF$174)/(1+'TS1'!$J$84)-SUM($F151:AE151))</f>
        <v>0</v>
      </c>
      <c r="AG151" s="142">
        <f>(SUMPRODUCT($F32:$AS32,$F$174:$AS$174)*(1-AG$174)/(1+'TS1'!$J$84)-SUM($F151:AF151))</f>
        <v>0</v>
      </c>
      <c r="AH151" s="142">
        <f>(SUMPRODUCT($F32:$AS32,$F$174:$AS$174)*(1-AH$174)/(1+'TS1'!$J$84)-SUM($F151:AG151))</f>
        <v>0</v>
      </c>
      <c r="AI151" s="142">
        <f>(SUMPRODUCT($F32:$AS32,$F$174:$AS$174)*(1-AI$174)/(1+'TS1'!$J$84)-SUM($F151:AH151))</f>
        <v>0</v>
      </c>
      <c r="AJ151" s="142">
        <f>(SUMPRODUCT($F32:$AS32,$F$174:$AS$174)*(1-AJ$174)/(1+'TS1'!$J$84)-SUM($F151:AI151))</f>
        <v>0</v>
      </c>
      <c r="AK151" s="142">
        <f>(SUMPRODUCT($F32:$AS32,$F$174:$AS$174)*(1-AK$174)/(1+'TS1'!$J$84)-SUM($F151:AJ151))</f>
        <v>0</v>
      </c>
      <c r="AL151" s="142">
        <f>(SUMPRODUCT($F32:$AS32,$F$174:$AS$174)*(1-AL$174)/(1+'TS1'!$J$84)-SUM($F151:AK151))</f>
        <v>0</v>
      </c>
      <c r="AM151" s="142">
        <f>(SUMPRODUCT($F32:$AS32,$F$174:$AS$174)*(1-AM$174)/(1+'TS1'!$J$84)-SUM($F151:AL151))</f>
        <v>0</v>
      </c>
      <c r="AN151" s="142">
        <f>(SUMPRODUCT($F32:$AS32,$F$174:$AS$174)*(1-AN$174)/(1+'TS1'!$J$84)-SUM($F151:AM151))</f>
        <v>0</v>
      </c>
      <c r="AO151" s="142">
        <f>(SUMPRODUCT($F32:$AS32,$F$174:$AS$174)*(1-AO$174)/(1+'TS1'!$J$84)-SUM($F151:AN151))</f>
        <v>0</v>
      </c>
      <c r="AP151" s="142">
        <f>(SUMPRODUCT($F32:$AS32,$F$174:$AS$174)*(1-AP$174)/(1+'TS1'!$J$84)-SUM($F151:AO151))</f>
        <v>0</v>
      </c>
      <c r="AQ151" s="142">
        <f>(SUMPRODUCT($F32:$AS32,$F$174:$AS$174)*(1-AQ$174)/(1+'TS1'!$J$84)-SUM($F151:AP151))</f>
        <v>0</v>
      </c>
      <c r="AR151" s="142">
        <f>(SUMPRODUCT($F32:$AS32,$F$174:$AS$174)*(1-AR$174)/(1+'TS1'!$J$84)-SUM($F151:AQ151))</f>
        <v>0</v>
      </c>
      <c r="AS151" s="142">
        <f>(SUMPRODUCT($F32:$AS32,$F$174:$AS$174)*(1-AS$174)/(1+'TS1'!$J$84)-SUM($F151:AR151))</f>
        <v>0</v>
      </c>
      <c r="AT151" s="142">
        <f>(SUMPRODUCT($F32:$AS32,$F$174:$AS$174)*(1-AT$174)/(1+'TS1'!$J$84)-SUM($F151:AS151))</f>
        <v>0</v>
      </c>
      <c r="AU151" s="142">
        <f>(SUMPRODUCT($F32:$AS32,$F$174:$AS$174)*(1-AU$174)/(1+'TS1'!$J$84)-SUM($F151:AT151))</f>
        <v>0</v>
      </c>
      <c r="AV151" s="142">
        <f>(SUMPRODUCT($F32:$AS32,$F$174:$AS$174)*(1-AV$174)/(1+'TS1'!$J$84)-SUM($F151:AU151))</f>
        <v>0</v>
      </c>
      <c r="AW151" s="142">
        <f>(SUMPRODUCT($F32:$AS32,$F$174:$AS$174)*(1-AW$174)/(1+'TS1'!$J$84)-SUM($F151:AV151))</f>
        <v>0</v>
      </c>
      <c r="AX151" s="142">
        <f>(SUMPRODUCT($F32:$AS32,$F$174:$AS$174)*(1-AX$174)/(1+'TS1'!$J$84)-SUM($F151:AW151))</f>
        <v>0</v>
      </c>
      <c r="AY151" s="142">
        <f>(SUMPRODUCT($F32:$AS32,$F$174:$AS$174)*(1-AY$174)/(1+'TS1'!$J$84)-SUM($F151:AX151))</f>
        <v>0</v>
      </c>
      <c r="AZ151" s="142">
        <f>(SUMPRODUCT($F32:$AS32,$F$174:$AS$174)*(1-AZ$174)/(1+'TS1'!$J$84)-SUM($F151:AY151))</f>
        <v>0</v>
      </c>
      <c r="BA151" s="142">
        <f>(SUMPRODUCT($F32:$AS32,$F$174:$AS$174)*(1-BA$174)/(1+'TS1'!$J$84)-SUM($F151:AZ151))</f>
        <v>0</v>
      </c>
      <c r="BB151" s="142">
        <f>(SUMPRODUCT($F32:$AS32,$F$174:$AS$174)*(1-BB$174)/(1+'TS1'!$J$84)-SUM($F151:BA151))</f>
        <v>0</v>
      </c>
      <c r="BC151" s="142">
        <f>(SUMPRODUCT($F32:$AS32,$F$174:$AS$174)*(1-BC$174)/(1+'TS1'!$J$84)-SUM($F151:BB151))</f>
        <v>0</v>
      </c>
      <c r="BD151" s="142">
        <f>(SUMPRODUCT($F32:$AS32,$F$174:$AS$174)*(1-BD$174)/(1+'TS1'!$J$84)-SUM($F151:BC151))</f>
        <v>0</v>
      </c>
      <c r="BE151" s="142">
        <f>(SUMPRODUCT($F32:$AS32,$F$174:$AS$174)*(1-BE$174)/(1+'TS1'!$J$84)-SUM($F151:BD151))</f>
        <v>0</v>
      </c>
      <c r="BF151" s="142">
        <f>(SUMPRODUCT($F32:$AS32,$F$174:$AS$174)*(1-BF$174)/(1+'TS1'!$J$84)-SUM($F151:BE151))</f>
        <v>0</v>
      </c>
      <c r="BG151" s="142">
        <f>(SUMPRODUCT($F32:$AS32,$F$174:$AS$174)*(1-BG$174)/(1+'TS1'!$J$84)-SUM($F151:BF151))</f>
        <v>0</v>
      </c>
      <c r="BH151" s="142">
        <f>(SUMPRODUCT($F32:$AS32,$F$174:$AS$174)*(1-BH$174)/(1+'TS1'!$J$84)-SUM($F151:BG151))</f>
        <v>0</v>
      </c>
      <c r="BI151" s="142">
        <f>(SUMPRODUCT($F32:$AS32,$F$174:$AS$174)*(1-BI$174)/(1+'TS1'!$J$84)-SUM($F151:BH151))</f>
        <v>0</v>
      </c>
      <c r="BJ151" s="142">
        <f>(SUMPRODUCT($F32:$AS32,$F$174:$AS$174)*(1-BJ$174)/(1+'TS1'!$J$84)-SUM($F151:BI151))</f>
        <v>0</v>
      </c>
      <c r="BK151" s="142">
        <f>(SUMPRODUCT($F32:$AS32,$F$174:$AS$174)*(1-BK$174)/(1+'TS1'!$J$84)-SUM($F151:BJ151))</f>
        <v>0</v>
      </c>
      <c r="BL151" s="142">
        <f>(SUMPRODUCT($F32:$AS32,$F$174:$AS$174)*(1-BL$174)/(1+'TS1'!$J$84)-SUM($F151:BK151))</f>
        <v>0</v>
      </c>
      <c r="BM151" s="142">
        <f>(SUMPRODUCT($F32:$AS32,$F$174:$AS$174)*(1-BM$174)/(1+'TS1'!$J$84)-SUM($F151:BL151))</f>
        <v>0</v>
      </c>
    </row>
    <row r="152" spans="1:65" s="151" customFormat="1" hidden="1" outlineLevel="1">
      <c r="B152" s="152"/>
      <c r="C152" s="152" t="s">
        <v>97</v>
      </c>
      <c r="D152" s="153"/>
      <c r="E152" s="154">
        <f t="shared" si="62"/>
        <v>0</v>
      </c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155"/>
      <c r="AI152" s="155"/>
      <c r="AJ152" s="155"/>
      <c r="AK152" s="155"/>
      <c r="AL152" s="155"/>
      <c r="AM152" s="155"/>
      <c r="AN152" s="155"/>
      <c r="AO152" s="155"/>
      <c r="AP152" s="155"/>
      <c r="AQ152" s="155"/>
      <c r="AR152" s="155"/>
      <c r="AS152" s="155"/>
      <c r="AT152" s="155"/>
      <c r="AU152" s="155"/>
      <c r="AV152" s="155"/>
      <c r="AW152" s="155"/>
      <c r="AX152" s="155"/>
      <c r="AY152" s="155"/>
      <c r="AZ152" s="155"/>
      <c r="BA152" s="155"/>
      <c r="BB152" s="155"/>
      <c r="BC152" s="155"/>
      <c r="BD152" s="155"/>
      <c r="BE152" s="155"/>
      <c r="BF152" s="155"/>
      <c r="BG152" s="155"/>
      <c r="BH152" s="155"/>
      <c r="BI152" s="155"/>
      <c r="BJ152" s="155"/>
      <c r="BK152" s="155"/>
      <c r="BL152" s="155"/>
      <c r="BM152" s="155"/>
    </row>
    <row r="153" spans="1:65" hidden="1" outlineLevel="1">
      <c r="A153" s="149"/>
      <c r="B153" s="27"/>
      <c r="C153" s="157"/>
      <c r="D153" s="158" t="str">
        <f t="shared" ref="D153:D159" si="84">D145</f>
        <v>КВАРТИРЫ</v>
      </c>
      <c r="E153" s="154">
        <f t="shared" si="62"/>
        <v>16359.593549899671</v>
      </c>
      <c r="F153" s="142"/>
      <c r="G153" s="142">
        <f t="shared" ref="G153:AL153" si="85">G26*(1-G$174)</f>
        <v>0</v>
      </c>
      <c r="H153" s="142">
        <f t="shared" si="85"/>
        <v>0</v>
      </c>
      <c r="I153" s="142">
        <f t="shared" si="85"/>
        <v>0</v>
      </c>
      <c r="J153" s="142">
        <f t="shared" si="85"/>
        <v>0</v>
      </c>
      <c r="K153" s="142">
        <f t="shared" si="85"/>
        <v>0</v>
      </c>
      <c r="L153" s="142">
        <f t="shared" si="85"/>
        <v>0</v>
      </c>
      <c r="M153" s="142">
        <f t="shared" si="85"/>
        <v>0</v>
      </c>
      <c r="N153" s="142">
        <f t="shared" si="85"/>
        <v>0</v>
      </c>
      <c r="O153" s="142">
        <f t="shared" si="85"/>
        <v>0</v>
      </c>
      <c r="P153" s="142">
        <f t="shared" si="85"/>
        <v>0</v>
      </c>
      <c r="Q153" s="142">
        <f t="shared" si="85"/>
        <v>0</v>
      </c>
      <c r="R153" s="142">
        <f t="shared" si="85"/>
        <v>0</v>
      </c>
      <c r="S153" s="142">
        <f t="shared" si="85"/>
        <v>0</v>
      </c>
      <c r="T153" s="142">
        <f t="shared" si="85"/>
        <v>0</v>
      </c>
      <c r="U153" s="142">
        <f t="shared" si="85"/>
        <v>0</v>
      </c>
      <c r="V153" s="142">
        <f t="shared" si="85"/>
        <v>0</v>
      </c>
      <c r="W153" s="142">
        <f t="shared" si="85"/>
        <v>0</v>
      </c>
      <c r="X153" s="142">
        <f t="shared" si="85"/>
        <v>0</v>
      </c>
      <c r="Y153" s="142">
        <f t="shared" si="85"/>
        <v>0</v>
      </c>
      <c r="Z153" s="142">
        <f t="shared" si="85"/>
        <v>0</v>
      </c>
      <c r="AA153" s="142">
        <f t="shared" si="85"/>
        <v>0</v>
      </c>
      <c r="AB153" s="142">
        <f t="shared" si="85"/>
        <v>0</v>
      </c>
      <c r="AC153" s="142">
        <f t="shared" si="85"/>
        <v>0</v>
      </c>
      <c r="AD153" s="142">
        <f t="shared" si="85"/>
        <v>0</v>
      </c>
      <c r="AE153" s="142">
        <f t="shared" si="85"/>
        <v>0</v>
      </c>
      <c r="AF153" s="142">
        <f t="shared" si="85"/>
        <v>2095.1129009474248</v>
      </c>
      <c r="AG153" s="142">
        <f t="shared" si="85"/>
        <v>2095.1129009474248</v>
      </c>
      <c r="AH153" s="142">
        <f t="shared" si="85"/>
        <v>2095.1129009474248</v>
      </c>
      <c r="AI153" s="142">
        <f t="shared" si="85"/>
        <v>2095.1129009474248</v>
      </c>
      <c r="AJ153" s="142">
        <f t="shared" si="85"/>
        <v>2095.1129009474248</v>
      </c>
      <c r="AK153" s="142">
        <f t="shared" si="85"/>
        <v>2095.1129009474248</v>
      </c>
      <c r="AL153" s="142">
        <f t="shared" si="85"/>
        <v>2095.1129009474248</v>
      </c>
      <c r="AM153" s="142">
        <f t="shared" ref="AM153:BM153" si="86">AM26*(1-AM$174)</f>
        <v>1693.8032432676994</v>
      </c>
      <c r="AN153" s="142">
        <f t="shared" si="86"/>
        <v>0</v>
      </c>
      <c r="AO153" s="142">
        <f t="shared" si="86"/>
        <v>0</v>
      </c>
      <c r="AP153" s="142">
        <f t="shared" si="86"/>
        <v>0</v>
      </c>
      <c r="AQ153" s="142">
        <f t="shared" si="86"/>
        <v>0</v>
      </c>
      <c r="AR153" s="142">
        <f t="shared" si="86"/>
        <v>0</v>
      </c>
      <c r="AS153" s="142">
        <f t="shared" si="86"/>
        <v>0</v>
      </c>
      <c r="AT153" s="142">
        <f t="shared" si="86"/>
        <v>0</v>
      </c>
      <c r="AU153" s="142">
        <f t="shared" si="86"/>
        <v>0</v>
      </c>
      <c r="AV153" s="142">
        <f t="shared" si="86"/>
        <v>0</v>
      </c>
      <c r="AW153" s="142">
        <f t="shared" si="86"/>
        <v>0</v>
      </c>
      <c r="AX153" s="142">
        <f t="shared" si="86"/>
        <v>0</v>
      </c>
      <c r="AY153" s="142">
        <f t="shared" si="86"/>
        <v>0</v>
      </c>
      <c r="AZ153" s="142">
        <f t="shared" si="86"/>
        <v>0</v>
      </c>
      <c r="BA153" s="142">
        <f t="shared" si="86"/>
        <v>0</v>
      </c>
      <c r="BB153" s="142">
        <f t="shared" si="86"/>
        <v>0</v>
      </c>
      <c r="BC153" s="142">
        <f t="shared" si="86"/>
        <v>0</v>
      </c>
      <c r="BD153" s="142">
        <f t="shared" si="86"/>
        <v>0</v>
      </c>
      <c r="BE153" s="142">
        <f t="shared" si="86"/>
        <v>0</v>
      </c>
      <c r="BF153" s="142">
        <f t="shared" si="86"/>
        <v>0</v>
      </c>
      <c r="BG153" s="142">
        <f t="shared" si="86"/>
        <v>0</v>
      </c>
      <c r="BH153" s="142">
        <f t="shared" si="86"/>
        <v>0</v>
      </c>
      <c r="BI153" s="142">
        <f t="shared" si="86"/>
        <v>0</v>
      </c>
      <c r="BJ153" s="142">
        <f t="shared" si="86"/>
        <v>0</v>
      </c>
      <c r="BK153" s="142">
        <f t="shared" si="86"/>
        <v>0</v>
      </c>
      <c r="BL153" s="142">
        <f t="shared" si="86"/>
        <v>0</v>
      </c>
      <c r="BM153" s="142">
        <f t="shared" si="86"/>
        <v>0</v>
      </c>
    </row>
    <row r="154" spans="1:65" hidden="1" outlineLevel="1">
      <c r="A154" s="149"/>
      <c r="B154" s="27"/>
      <c r="C154" s="157"/>
      <c r="D154" s="158" t="str">
        <f t="shared" si="84"/>
        <v>АПАРТАМЕНТЫ</v>
      </c>
      <c r="E154" s="154">
        <f t="shared" si="62"/>
        <v>0</v>
      </c>
      <c r="F154" s="142"/>
      <c r="G154" s="161">
        <f>G27*(1-G$174)/(1+'TS1'!$J$84)</f>
        <v>0</v>
      </c>
      <c r="H154" s="161">
        <f>H27*(1-H$174)/(1+'TS1'!$J$84)</f>
        <v>0</v>
      </c>
      <c r="I154" s="161">
        <f>I27*(1-I$174)/(1+'TS1'!$J$84)</f>
        <v>0</v>
      </c>
      <c r="J154" s="161">
        <f>J27*(1-J$174)/(1+'TS1'!$J$84)</f>
        <v>0</v>
      </c>
      <c r="K154" s="161">
        <f>K27*(1-K$174)/(1+'TS1'!$J$84)</f>
        <v>0</v>
      </c>
      <c r="L154" s="161">
        <f>L27*(1-L$174)/(1+'TS1'!$J$84)</f>
        <v>0</v>
      </c>
      <c r="M154" s="161">
        <f>M27*(1-M$174)/(1+'TS1'!$J$84)</f>
        <v>0</v>
      </c>
      <c r="N154" s="161">
        <f>N27*(1-N$174)/(1+'TS1'!$J$84)</f>
        <v>0</v>
      </c>
      <c r="O154" s="161">
        <f>O27*(1-O$174)/(1+'TS1'!$J$84)</f>
        <v>0</v>
      </c>
      <c r="P154" s="161">
        <f>P27*(1-P$174)/(1+'TS1'!$J$84)</f>
        <v>0</v>
      </c>
      <c r="Q154" s="161">
        <f>Q27*(1-Q$174)/(1+'TS1'!$J$84)</f>
        <v>0</v>
      </c>
      <c r="R154" s="161">
        <f>R27*(1-R$174)/(1+'TS1'!$J$84)</f>
        <v>0</v>
      </c>
      <c r="S154" s="161">
        <f>S27*(1-S$174)/(1+'TS1'!$J$84)</f>
        <v>0</v>
      </c>
      <c r="T154" s="161">
        <f>T27*(1-T$174)/(1+'TS1'!$J$84)</f>
        <v>0</v>
      </c>
      <c r="U154" s="161">
        <f>U27*(1-U$174)/(1+'TS1'!$J$84)</f>
        <v>0</v>
      </c>
      <c r="V154" s="161">
        <f>V27*(1-V$174)/(1+'TS1'!$J$84)</f>
        <v>0</v>
      </c>
      <c r="W154" s="161">
        <f>W27*(1-W$174)/(1+'TS1'!$J$84)</f>
        <v>0</v>
      </c>
      <c r="X154" s="161">
        <f>X27*(1-X$174)/(1+'TS1'!$J$84)</f>
        <v>0</v>
      </c>
      <c r="Y154" s="161">
        <f>Y27*(1-Y$174)/(1+'TS1'!$J$84)</f>
        <v>0</v>
      </c>
      <c r="Z154" s="161">
        <f>Z27*(1-Z$174)/(1+'TS1'!$J$84)</f>
        <v>0</v>
      </c>
      <c r="AA154" s="161">
        <f>AA27*(1-AA$174)/(1+'TS1'!$J$84)</f>
        <v>0</v>
      </c>
      <c r="AB154" s="161">
        <f>AB27*(1-AB$174)/(1+'TS1'!$J$84)</f>
        <v>0</v>
      </c>
      <c r="AC154" s="161">
        <f>AC27*(1-AC$174)/(1+'TS1'!$J$84)</f>
        <v>0</v>
      </c>
      <c r="AD154" s="161">
        <f>AD27*(1-AD$174)/(1+'TS1'!$J$84)</f>
        <v>0</v>
      </c>
      <c r="AE154" s="161">
        <f>AE27*(1-AE$174)/(1+'TS1'!$J$84)</f>
        <v>0</v>
      </c>
      <c r="AF154" s="161">
        <f>AF27*(1-AF$174)/(1+'TS1'!$J$84)</f>
        <v>0</v>
      </c>
      <c r="AG154" s="161">
        <f>AG27*(1-AG$174)/(1+'TS1'!$J$84)</f>
        <v>0</v>
      </c>
      <c r="AH154" s="161">
        <f>AH27*(1-AH$174)/(1+'TS1'!$J$84)</f>
        <v>0</v>
      </c>
      <c r="AI154" s="161">
        <f>AI27*(1-AI$174)/(1+'TS1'!$J$84)</f>
        <v>0</v>
      </c>
      <c r="AJ154" s="161">
        <f>AJ27*(1-AJ$174)/(1+'TS1'!$J$84)</f>
        <v>0</v>
      </c>
      <c r="AK154" s="161">
        <f>AK27*(1-AK$174)/(1+'TS1'!$J$84)</f>
        <v>0</v>
      </c>
      <c r="AL154" s="161">
        <f>AL27*(1-AL$174)/(1+'TS1'!$J$84)</f>
        <v>0</v>
      </c>
      <c r="AM154" s="161">
        <f>AM27*(1-AM$174)/(1+'TS1'!$J$84)</f>
        <v>0</v>
      </c>
      <c r="AN154" s="161">
        <f>AN27*(1-AN$174)/(1+'TS1'!$J$84)</f>
        <v>0</v>
      </c>
      <c r="AO154" s="161">
        <f>AO27*(1-AO$174)/(1+'TS1'!$J$84)</f>
        <v>0</v>
      </c>
      <c r="AP154" s="161">
        <f>AP27*(1-AP$174)/(1+'TS1'!$J$84)</f>
        <v>0</v>
      </c>
      <c r="AQ154" s="161">
        <f>AQ27*(1-AQ$174)/(1+'TS1'!$J$84)</f>
        <v>0</v>
      </c>
      <c r="AR154" s="161">
        <f>AR27*(1-AR$174)/(1+'TS1'!$J$84)</f>
        <v>0</v>
      </c>
      <c r="AS154" s="161">
        <f>AS27*(1-AS$174)/(1+'TS1'!$J$84)</f>
        <v>0</v>
      </c>
      <c r="AT154" s="161">
        <f>AT27*(1-AT$174)/(1+'TS1'!$J$84)</f>
        <v>0</v>
      </c>
      <c r="AU154" s="161">
        <f>AU27*(1-AU$174)/(1+'TS1'!$J$84)</f>
        <v>0</v>
      </c>
      <c r="AV154" s="161">
        <f>AV27*(1-AV$174)/(1+'TS1'!$J$84)</f>
        <v>0</v>
      </c>
      <c r="AW154" s="161">
        <f>AW27*(1-AW$174)/(1+'TS1'!$J$84)</f>
        <v>0</v>
      </c>
      <c r="AX154" s="161">
        <f>AX27*(1-AX$174)/(1+'TS1'!$J$84)</f>
        <v>0</v>
      </c>
      <c r="AY154" s="161">
        <f>AY27*(1-AY$174)/(1+'TS1'!$J$84)</f>
        <v>0</v>
      </c>
      <c r="AZ154" s="161">
        <f>AZ27*(1-AZ$174)/(1+'TS1'!$J$84)</f>
        <v>0</v>
      </c>
      <c r="BA154" s="161">
        <f>BA27*(1-BA$174)/(1+'TS1'!$J$84)</f>
        <v>0</v>
      </c>
      <c r="BB154" s="161">
        <f>BB27*(1-BB$174)/(1+'TS1'!$J$84)</f>
        <v>0</v>
      </c>
      <c r="BC154" s="161">
        <f>BC27*(1-BC$174)/(1+'TS1'!$J$84)</f>
        <v>0</v>
      </c>
      <c r="BD154" s="161">
        <f>BD27*(1-BD$174)/(1+'TS1'!$J$84)</f>
        <v>0</v>
      </c>
      <c r="BE154" s="161">
        <f>BE27*(1-BE$174)/(1+'TS1'!$J$84)</f>
        <v>0</v>
      </c>
      <c r="BF154" s="161">
        <f>BF27*(1-BF$174)/(1+'TS1'!$J$84)</f>
        <v>0</v>
      </c>
      <c r="BG154" s="161">
        <f>BG27*(1-BG$174)/(1+'TS1'!$J$84)</f>
        <v>0</v>
      </c>
      <c r="BH154" s="161">
        <f>BH27*(1-BH$174)/(1+'TS1'!$J$84)</f>
        <v>0</v>
      </c>
      <c r="BI154" s="161">
        <f>BI27*(1-BI$174)/(1+'TS1'!$J$84)</f>
        <v>0</v>
      </c>
      <c r="BJ154" s="161">
        <f>BJ27*(1-BJ$174)/(1+'TS1'!$J$84)</f>
        <v>0</v>
      </c>
      <c r="BK154" s="161">
        <f>BK27*(1-BK$174)/(1+'TS1'!$J$84)</f>
        <v>0</v>
      </c>
      <c r="BL154" s="161">
        <f>BL27*(1-BL$174)/(1+'TS1'!$J$84)</f>
        <v>0</v>
      </c>
      <c r="BM154" s="161">
        <f>BM27*(1-BM$174)/(1+'TS1'!$J$84)</f>
        <v>0</v>
      </c>
    </row>
    <row r="155" spans="1:65" hidden="1" outlineLevel="1">
      <c r="A155" s="149"/>
      <c r="B155" s="27"/>
      <c r="C155" s="157"/>
      <c r="D155" s="158" t="str">
        <f t="shared" si="84"/>
        <v>ОФИСЫ</v>
      </c>
      <c r="E155" s="154">
        <f t="shared" si="62"/>
        <v>0</v>
      </c>
      <c r="F155" s="142"/>
      <c r="G155" s="161">
        <f>G28*(1-G$174)/(1+'TS1'!$J$84)</f>
        <v>0</v>
      </c>
      <c r="H155" s="161">
        <f>H28*(1-H$174)/(1+'TS1'!$J$84)</f>
        <v>0</v>
      </c>
      <c r="I155" s="161">
        <f>I28*(1-I$174)/(1+'TS1'!$J$84)</f>
        <v>0</v>
      </c>
      <c r="J155" s="161">
        <f>J28*(1-J$174)/(1+'TS1'!$J$84)</f>
        <v>0</v>
      </c>
      <c r="K155" s="161">
        <f>K28*(1-K$174)/(1+'TS1'!$J$84)</f>
        <v>0</v>
      </c>
      <c r="L155" s="161">
        <f>L28*(1-L$174)/(1+'TS1'!$J$84)</f>
        <v>0</v>
      </c>
      <c r="M155" s="161">
        <f>M28*(1-M$174)/(1+'TS1'!$J$84)</f>
        <v>0</v>
      </c>
      <c r="N155" s="161">
        <f>N28*(1-N$174)/(1+'TS1'!$J$84)</f>
        <v>0</v>
      </c>
      <c r="O155" s="161">
        <f>O28*(1-O$174)/(1+'TS1'!$J$84)</f>
        <v>0</v>
      </c>
      <c r="P155" s="161">
        <f>P28*(1-P$174)/(1+'TS1'!$J$84)</f>
        <v>0</v>
      </c>
      <c r="Q155" s="161">
        <f>Q28*(1-Q$174)/(1+'TS1'!$J$84)</f>
        <v>0</v>
      </c>
      <c r="R155" s="161">
        <f>R28*(1-R$174)/(1+'TS1'!$J$84)</f>
        <v>0</v>
      </c>
      <c r="S155" s="161">
        <f>S28*(1-S$174)/(1+'TS1'!$J$84)</f>
        <v>0</v>
      </c>
      <c r="T155" s="161">
        <f>T28*(1-T$174)/(1+'TS1'!$J$84)</f>
        <v>0</v>
      </c>
      <c r="U155" s="161">
        <f>U28*(1-U$174)/(1+'TS1'!$J$84)</f>
        <v>0</v>
      </c>
      <c r="V155" s="161">
        <f>V28*(1-V$174)/(1+'TS1'!$J$84)</f>
        <v>0</v>
      </c>
      <c r="W155" s="161">
        <f>W28*(1-W$174)/(1+'TS1'!$J$84)</f>
        <v>0</v>
      </c>
      <c r="X155" s="161">
        <f>X28*(1-X$174)/(1+'TS1'!$J$84)</f>
        <v>0</v>
      </c>
      <c r="Y155" s="161">
        <f>Y28*(1-Y$174)/(1+'TS1'!$J$84)</f>
        <v>0</v>
      </c>
      <c r="Z155" s="161">
        <f>Z28*(1-Z$174)/(1+'TS1'!$J$84)</f>
        <v>0</v>
      </c>
      <c r="AA155" s="161">
        <f>AA28*(1-AA$174)/(1+'TS1'!$J$84)</f>
        <v>0</v>
      </c>
      <c r="AB155" s="161">
        <f>AB28*(1-AB$174)/(1+'TS1'!$J$84)</f>
        <v>0</v>
      </c>
      <c r="AC155" s="161">
        <f>AC28*(1-AC$174)/(1+'TS1'!$J$84)</f>
        <v>0</v>
      </c>
      <c r="AD155" s="161">
        <f>AD28*(1-AD$174)/(1+'TS1'!$J$84)</f>
        <v>0</v>
      </c>
      <c r="AE155" s="161">
        <f>AE28*(1-AE$174)/(1+'TS1'!$J$84)</f>
        <v>0</v>
      </c>
      <c r="AF155" s="161">
        <f>AF28*(1-AF$174)/(1+'TS1'!$J$84)</f>
        <v>0</v>
      </c>
      <c r="AG155" s="161">
        <f>AG28*(1-AG$174)/(1+'TS1'!$J$84)</f>
        <v>0</v>
      </c>
      <c r="AH155" s="161">
        <f>AH28*(1-AH$174)/(1+'TS1'!$J$84)</f>
        <v>0</v>
      </c>
      <c r="AI155" s="161">
        <f>AI28*(1-AI$174)/(1+'TS1'!$J$84)</f>
        <v>0</v>
      </c>
      <c r="AJ155" s="161">
        <f>AJ28*(1-AJ$174)/(1+'TS1'!$J$84)</f>
        <v>0</v>
      </c>
      <c r="AK155" s="161">
        <f>AK28*(1-AK$174)/(1+'TS1'!$J$84)</f>
        <v>0</v>
      </c>
      <c r="AL155" s="161">
        <f>AL28*(1-AL$174)/(1+'TS1'!$J$84)</f>
        <v>0</v>
      </c>
      <c r="AM155" s="161">
        <f>AM28*(1-AM$174)/(1+'TS1'!$J$84)</f>
        <v>0</v>
      </c>
      <c r="AN155" s="161">
        <f>AN28*(1-AN$174)/(1+'TS1'!$J$84)</f>
        <v>0</v>
      </c>
      <c r="AO155" s="161">
        <f>AO28*(1-AO$174)/(1+'TS1'!$J$84)</f>
        <v>0</v>
      </c>
      <c r="AP155" s="161">
        <f>AP28*(1-AP$174)/(1+'TS1'!$J$84)</f>
        <v>0</v>
      </c>
      <c r="AQ155" s="161">
        <f>AQ28*(1-AQ$174)/(1+'TS1'!$J$84)</f>
        <v>0</v>
      </c>
      <c r="AR155" s="161">
        <f>AR28*(1-AR$174)/(1+'TS1'!$J$84)</f>
        <v>0</v>
      </c>
      <c r="AS155" s="161">
        <f>AS28*(1-AS$174)/(1+'TS1'!$J$84)</f>
        <v>0</v>
      </c>
      <c r="AT155" s="161">
        <f>AT28*(1-AT$174)/(1+'TS1'!$J$84)</f>
        <v>0</v>
      </c>
      <c r="AU155" s="161">
        <f>AU28*(1-AU$174)/(1+'TS1'!$J$84)</f>
        <v>0</v>
      </c>
      <c r="AV155" s="161">
        <f>AV28*(1-AV$174)/(1+'TS1'!$J$84)</f>
        <v>0</v>
      </c>
      <c r="AW155" s="161">
        <f>AW28*(1-AW$174)/(1+'TS1'!$J$84)</f>
        <v>0</v>
      </c>
      <c r="AX155" s="161">
        <f>AX28*(1-AX$174)/(1+'TS1'!$J$84)</f>
        <v>0</v>
      </c>
      <c r="AY155" s="161">
        <f>AY28*(1-AY$174)/(1+'TS1'!$J$84)</f>
        <v>0</v>
      </c>
      <c r="AZ155" s="161">
        <f>AZ28*(1-AZ$174)/(1+'TS1'!$J$84)</f>
        <v>0</v>
      </c>
      <c r="BA155" s="161">
        <f>BA28*(1-BA$174)/(1+'TS1'!$J$84)</f>
        <v>0</v>
      </c>
      <c r="BB155" s="161">
        <f>BB28*(1-BB$174)/(1+'TS1'!$J$84)</f>
        <v>0</v>
      </c>
      <c r="BC155" s="161">
        <f>BC28*(1-BC$174)/(1+'TS1'!$J$84)</f>
        <v>0</v>
      </c>
      <c r="BD155" s="161">
        <f>BD28*(1-BD$174)/(1+'TS1'!$J$84)</f>
        <v>0</v>
      </c>
      <c r="BE155" s="161">
        <f>BE28*(1-BE$174)/(1+'TS1'!$J$84)</f>
        <v>0</v>
      </c>
      <c r="BF155" s="161">
        <f>BF28*(1-BF$174)/(1+'TS1'!$J$84)</f>
        <v>0</v>
      </c>
      <c r="BG155" s="161">
        <f>BG28*(1-BG$174)/(1+'TS1'!$J$84)</f>
        <v>0</v>
      </c>
      <c r="BH155" s="161">
        <f>BH28*(1-BH$174)/(1+'TS1'!$J$84)</f>
        <v>0</v>
      </c>
      <c r="BI155" s="161">
        <f>BI28*(1-BI$174)/(1+'TS1'!$J$84)</f>
        <v>0</v>
      </c>
      <c r="BJ155" s="161">
        <f>BJ28*(1-BJ$174)/(1+'TS1'!$J$84)</f>
        <v>0</v>
      </c>
      <c r="BK155" s="161">
        <f>BK28*(1-BK$174)/(1+'TS1'!$J$84)</f>
        <v>0</v>
      </c>
      <c r="BL155" s="161">
        <f>BL28*(1-BL$174)/(1+'TS1'!$J$84)</f>
        <v>0</v>
      </c>
      <c r="BM155" s="161">
        <f>BM28*(1-BM$174)/(1+'TS1'!$J$84)</f>
        <v>0</v>
      </c>
    </row>
    <row r="156" spans="1:65" hidden="1" outlineLevel="1">
      <c r="A156" s="149"/>
      <c r="B156" s="27"/>
      <c r="C156" s="157"/>
      <c r="D156" s="158" t="str">
        <f t="shared" si="84"/>
        <v>РИТЕЙЛ</v>
      </c>
      <c r="E156" s="154">
        <f t="shared" si="62"/>
        <v>2051.7892500000003</v>
      </c>
      <c r="F156" s="142"/>
      <c r="G156" s="161">
        <f>G29*(1-G$174)/(1+'TS1'!$J$84)</f>
        <v>0</v>
      </c>
      <c r="H156" s="161">
        <f>H29*(1-H$174)/(1+'TS1'!$J$84)</f>
        <v>0</v>
      </c>
      <c r="I156" s="161">
        <f>I29*(1-I$174)/(1+'TS1'!$J$84)</f>
        <v>0</v>
      </c>
      <c r="J156" s="161">
        <f>J29*(1-J$174)/(1+'TS1'!$J$84)</f>
        <v>0</v>
      </c>
      <c r="K156" s="161">
        <f>K29*(1-K$174)/(1+'TS1'!$J$84)</f>
        <v>0</v>
      </c>
      <c r="L156" s="161">
        <f>L29*(1-L$174)/(1+'TS1'!$J$84)</f>
        <v>0</v>
      </c>
      <c r="M156" s="161">
        <f>M29*(1-M$174)/(1+'TS1'!$J$84)</f>
        <v>0</v>
      </c>
      <c r="N156" s="161">
        <f>N29*(1-N$174)/(1+'TS1'!$J$84)</f>
        <v>0</v>
      </c>
      <c r="O156" s="161">
        <f>O29*(1-O$174)/(1+'TS1'!$J$84)</f>
        <v>0</v>
      </c>
      <c r="P156" s="161">
        <f>P29*(1-P$174)/(1+'TS1'!$J$84)</f>
        <v>0</v>
      </c>
      <c r="Q156" s="161">
        <f>Q29*(1-Q$174)/(1+'TS1'!$J$84)</f>
        <v>0</v>
      </c>
      <c r="R156" s="161">
        <f>R29*(1-R$174)/(1+'TS1'!$J$84)</f>
        <v>0</v>
      </c>
      <c r="S156" s="161">
        <f>S29*(1-S$174)/(1+'TS1'!$J$84)</f>
        <v>0</v>
      </c>
      <c r="T156" s="161">
        <f>T29*(1-T$174)/(1+'TS1'!$J$84)</f>
        <v>0</v>
      </c>
      <c r="U156" s="161">
        <f>U29*(1-U$174)/(1+'TS1'!$J$84)</f>
        <v>0</v>
      </c>
      <c r="V156" s="161">
        <f>V29*(1-V$174)/(1+'TS1'!$J$84)</f>
        <v>0</v>
      </c>
      <c r="W156" s="161">
        <f>W29*(1-W$174)/(1+'TS1'!$J$84)</f>
        <v>0</v>
      </c>
      <c r="X156" s="161">
        <f>X29*(1-X$174)/(1+'TS1'!$J$84)</f>
        <v>0</v>
      </c>
      <c r="Y156" s="161">
        <f>Y29*(1-Y$174)/(1+'TS1'!$J$84)</f>
        <v>0</v>
      </c>
      <c r="Z156" s="161">
        <f>Z29*(1-Z$174)/(1+'TS1'!$J$84)</f>
        <v>0</v>
      </c>
      <c r="AA156" s="161">
        <f>AA29*(1-AA$174)/(1+'TS1'!$J$84)</f>
        <v>0</v>
      </c>
      <c r="AB156" s="161">
        <f>AB29*(1-AB$174)/(1+'TS1'!$J$84)</f>
        <v>0</v>
      </c>
      <c r="AC156" s="161">
        <f>AC29*(1-AC$174)/(1+'TS1'!$J$84)</f>
        <v>0</v>
      </c>
      <c r="AD156" s="161">
        <f>AD29*(1-AD$174)/(1+'TS1'!$J$84)</f>
        <v>0</v>
      </c>
      <c r="AE156" s="161">
        <f>AE29*(1-AE$174)/(1+'TS1'!$J$84)</f>
        <v>0</v>
      </c>
      <c r="AF156" s="161">
        <f>AF29*(1-AF$174)/(1+'TS1'!$J$84)</f>
        <v>0</v>
      </c>
      <c r="AG156" s="161">
        <f>AG29*(1-AG$174)/(1+'TS1'!$J$84)</f>
        <v>1025.8946250000001</v>
      </c>
      <c r="AH156" s="161">
        <f>AH29*(1-AH$174)/(1+'TS1'!$J$84)</f>
        <v>1025.8946250000001</v>
      </c>
      <c r="AI156" s="161">
        <f>AI29*(1-AI$174)/(1+'TS1'!$J$84)</f>
        <v>0</v>
      </c>
      <c r="AJ156" s="161">
        <f>AJ29*(1-AJ$174)/(1+'TS1'!$J$84)</f>
        <v>0</v>
      </c>
      <c r="AK156" s="161">
        <f>AK29*(1-AK$174)/(1+'TS1'!$J$84)</f>
        <v>0</v>
      </c>
      <c r="AL156" s="161">
        <f>AL29*(1-AL$174)/(1+'TS1'!$J$84)</f>
        <v>0</v>
      </c>
      <c r="AM156" s="161">
        <f>AM29*(1-AM$174)/(1+'TS1'!$J$84)</f>
        <v>0</v>
      </c>
      <c r="AN156" s="161">
        <f>AN29*(1-AN$174)/(1+'TS1'!$J$84)</f>
        <v>0</v>
      </c>
      <c r="AO156" s="161">
        <f>AO29*(1-AO$174)/(1+'TS1'!$J$84)</f>
        <v>0</v>
      </c>
      <c r="AP156" s="161">
        <f>AP29*(1-AP$174)/(1+'TS1'!$J$84)</f>
        <v>0</v>
      </c>
      <c r="AQ156" s="161">
        <f>AQ29*(1-AQ$174)/(1+'TS1'!$J$84)</f>
        <v>0</v>
      </c>
      <c r="AR156" s="161">
        <f>AR29*(1-AR$174)/(1+'TS1'!$J$84)</f>
        <v>0</v>
      </c>
      <c r="AS156" s="161">
        <f>AS29*(1-AS$174)/(1+'TS1'!$J$84)</f>
        <v>0</v>
      </c>
      <c r="AT156" s="161">
        <f>AT29*(1-AT$174)/(1+'TS1'!$J$84)</f>
        <v>0</v>
      </c>
      <c r="AU156" s="161">
        <f>AU29*(1-AU$174)/(1+'TS1'!$J$84)</f>
        <v>0</v>
      </c>
      <c r="AV156" s="161">
        <f>AV29*(1-AV$174)/(1+'TS1'!$J$84)</f>
        <v>0</v>
      </c>
      <c r="AW156" s="161">
        <f>AW29*(1-AW$174)/(1+'TS1'!$J$84)</f>
        <v>0</v>
      </c>
      <c r="AX156" s="161">
        <f>AX29*(1-AX$174)/(1+'TS1'!$J$84)</f>
        <v>0</v>
      </c>
      <c r="AY156" s="161">
        <f>AY29*(1-AY$174)/(1+'TS1'!$J$84)</f>
        <v>0</v>
      </c>
      <c r="AZ156" s="161">
        <f>AZ29*(1-AZ$174)/(1+'TS1'!$J$84)</f>
        <v>0</v>
      </c>
      <c r="BA156" s="161">
        <f>BA29*(1-BA$174)/(1+'TS1'!$J$84)</f>
        <v>0</v>
      </c>
      <c r="BB156" s="161">
        <f>BB29*(1-BB$174)/(1+'TS1'!$J$84)</f>
        <v>0</v>
      </c>
      <c r="BC156" s="161">
        <f>BC29*(1-BC$174)/(1+'TS1'!$J$84)</f>
        <v>0</v>
      </c>
      <c r="BD156" s="161">
        <f>BD29*(1-BD$174)/(1+'TS1'!$J$84)</f>
        <v>0</v>
      </c>
      <c r="BE156" s="161">
        <f>BE29*(1-BE$174)/(1+'TS1'!$J$84)</f>
        <v>0</v>
      </c>
      <c r="BF156" s="161">
        <f>BF29*(1-BF$174)/(1+'TS1'!$J$84)</f>
        <v>0</v>
      </c>
      <c r="BG156" s="161">
        <f>BG29*(1-BG$174)/(1+'TS1'!$J$84)</f>
        <v>0</v>
      </c>
      <c r="BH156" s="161">
        <f>BH29*(1-BH$174)/(1+'TS1'!$J$84)</f>
        <v>0</v>
      </c>
      <c r="BI156" s="161">
        <f>BI29*(1-BI$174)/(1+'TS1'!$J$84)</f>
        <v>0</v>
      </c>
      <c r="BJ156" s="161">
        <f>BJ29*(1-BJ$174)/(1+'TS1'!$J$84)</f>
        <v>0</v>
      </c>
      <c r="BK156" s="161">
        <f>BK29*(1-BK$174)/(1+'TS1'!$J$84)</f>
        <v>0</v>
      </c>
      <c r="BL156" s="161">
        <f>BL29*(1-BL$174)/(1+'TS1'!$J$84)</f>
        <v>0</v>
      </c>
      <c r="BM156" s="161">
        <f>BM29*(1-BM$174)/(1+'TS1'!$J$84)</f>
        <v>0</v>
      </c>
    </row>
    <row r="157" spans="1:65" hidden="1" outlineLevel="1">
      <c r="A157" s="149"/>
      <c r="B157" s="27"/>
      <c r="C157" s="157"/>
      <c r="D157" s="158" t="str">
        <f t="shared" si="84"/>
        <v>ТЦ</v>
      </c>
      <c r="E157" s="154">
        <f t="shared" si="62"/>
        <v>0</v>
      </c>
      <c r="F157" s="142"/>
      <c r="G157" s="161">
        <f>G30*(1-G$174)/(1+'TS1'!$J$84)</f>
        <v>0</v>
      </c>
      <c r="H157" s="161">
        <f>H30*(1-H$174)/(1+'TS1'!$J$84)</f>
        <v>0</v>
      </c>
      <c r="I157" s="161">
        <f>I30*(1-I$174)/(1+'TS1'!$J$84)</f>
        <v>0</v>
      </c>
      <c r="J157" s="161">
        <f>J30*(1-J$174)/(1+'TS1'!$J$84)</f>
        <v>0</v>
      </c>
      <c r="K157" s="161">
        <f>K30*(1-K$174)/(1+'TS1'!$J$84)</f>
        <v>0</v>
      </c>
      <c r="L157" s="161">
        <f>L30*(1-L$174)/(1+'TS1'!$J$84)</f>
        <v>0</v>
      </c>
      <c r="M157" s="161">
        <f>M30*(1-M$174)/(1+'TS1'!$J$84)</f>
        <v>0</v>
      </c>
      <c r="N157" s="161">
        <f>N30*(1-N$174)/(1+'TS1'!$J$84)</f>
        <v>0</v>
      </c>
      <c r="O157" s="161">
        <f>O30*(1-O$174)/(1+'TS1'!$J$84)</f>
        <v>0</v>
      </c>
      <c r="P157" s="161">
        <f>P30*(1-P$174)/(1+'TS1'!$J$84)</f>
        <v>0</v>
      </c>
      <c r="Q157" s="161">
        <f>Q30*(1-Q$174)/(1+'TS1'!$J$84)</f>
        <v>0</v>
      </c>
      <c r="R157" s="161">
        <f>R30*(1-R$174)/(1+'TS1'!$J$84)</f>
        <v>0</v>
      </c>
      <c r="S157" s="161">
        <f>S30*(1-S$174)/(1+'TS1'!$J$84)</f>
        <v>0</v>
      </c>
      <c r="T157" s="161">
        <f>T30*(1-T$174)/(1+'TS1'!$J$84)</f>
        <v>0</v>
      </c>
      <c r="U157" s="161">
        <f>U30*(1-U$174)/(1+'TS1'!$J$84)</f>
        <v>0</v>
      </c>
      <c r="V157" s="161">
        <f>V30*(1-V$174)/(1+'TS1'!$J$84)</f>
        <v>0</v>
      </c>
      <c r="W157" s="161">
        <f>W30*(1-W$174)/(1+'TS1'!$J$84)</f>
        <v>0</v>
      </c>
      <c r="X157" s="161">
        <f>X30*(1-X$174)/(1+'TS1'!$J$84)</f>
        <v>0</v>
      </c>
      <c r="Y157" s="161">
        <f>Y30*(1-Y$174)/(1+'TS1'!$J$84)</f>
        <v>0</v>
      </c>
      <c r="Z157" s="161">
        <f>Z30*(1-Z$174)/(1+'TS1'!$J$84)</f>
        <v>0</v>
      </c>
      <c r="AA157" s="161">
        <f>AA30*(1-AA$174)/(1+'TS1'!$J$84)</f>
        <v>0</v>
      </c>
      <c r="AB157" s="161">
        <f>AB30*(1-AB$174)/(1+'TS1'!$J$84)</f>
        <v>0</v>
      </c>
      <c r="AC157" s="161">
        <f>AC30*(1-AC$174)/(1+'TS1'!$J$84)</f>
        <v>0</v>
      </c>
      <c r="AD157" s="161">
        <f>AD30*(1-AD$174)/(1+'TS1'!$J$84)</f>
        <v>0</v>
      </c>
      <c r="AE157" s="161">
        <f>AE30*(1-AE$174)/(1+'TS1'!$J$84)</f>
        <v>0</v>
      </c>
      <c r="AF157" s="161">
        <f>AF30*(1-AF$174)/(1+'TS1'!$J$84)</f>
        <v>0</v>
      </c>
      <c r="AG157" s="161">
        <f>AG30*(1-AG$174)/(1+'TS1'!$J$84)</f>
        <v>0</v>
      </c>
      <c r="AH157" s="161">
        <f>AH30*(1-AH$174)/(1+'TS1'!$J$84)</f>
        <v>0</v>
      </c>
      <c r="AI157" s="161">
        <f>AI30*(1-AI$174)/(1+'TS1'!$J$84)</f>
        <v>0</v>
      </c>
      <c r="AJ157" s="161">
        <f>AJ30*(1-AJ$174)/(1+'TS1'!$J$84)</f>
        <v>0</v>
      </c>
      <c r="AK157" s="161">
        <f>AK30*(1-AK$174)/(1+'TS1'!$J$84)</f>
        <v>0</v>
      </c>
      <c r="AL157" s="161">
        <f>AL30*(1-AL$174)/(1+'TS1'!$J$84)</f>
        <v>0</v>
      </c>
      <c r="AM157" s="161">
        <f>AM30*(1-AM$174)/(1+'TS1'!$J$84)</f>
        <v>0</v>
      </c>
      <c r="AN157" s="161">
        <f>AN30*(1-AN$174)/(1+'TS1'!$J$84)</f>
        <v>0</v>
      </c>
      <c r="AO157" s="161">
        <f>AO30*(1-AO$174)/(1+'TS1'!$J$84)</f>
        <v>0</v>
      </c>
      <c r="AP157" s="161">
        <f>AP30*(1-AP$174)/(1+'TS1'!$J$84)</f>
        <v>0</v>
      </c>
      <c r="AQ157" s="161">
        <f>AQ30*(1-AQ$174)/(1+'TS1'!$J$84)</f>
        <v>0</v>
      </c>
      <c r="AR157" s="161">
        <f>AR30*(1-AR$174)/(1+'TS1'!$J$84)</f>
        <v>0</v>
      </c>
      <c r="AS157" s="161">
        <f>AS30*(1-AS$174)/(1+'TS1'!$J$84)</f>
        <v>0</v>
      </c>
      <c r="AT157" s="161">
        <f>AT30*(1-AT$174)/(1+'TS1'!$J$84)</f>
        <v>0</v>
      </c>
      <c r="AU157" s="161">
        <f>AU30*(1-AU$174)/(1+'TS1'!$J$84)</f>
        <v>0</v>
      </c>
      <c r="AV157" s="161">
        <f>AV30*(1-AV$174)/(1+'TS1'!$J$84)</f>
        <v>0</v>
      </c>
      <c r="AW157" s="161">
        <f>AW30*(1-AW$174)/(1+'TS1'!$J$84)</f>
        <v>0</v>
      </c>
      <c r="AX157" s="161">
        <f>AX30*(1-AX$174)/(1+'TS1'!$J$84)</f>
        <v>0</v>
      </c>
      <c r="AY157" s="161">
        <f>AY30*(1-AY$174)/(1+'TS1'!$J$84)</f>
        <v>0</v>
      </c>
      <c r="AZ157" s="161">
        <f>AZ30*(1-AZ$174)/(1+'TS1'!$J$84)</f>
        <v>0</v>
      </c>
      <c r="BA157" s="161">
        <f>BA30*(1-BA$174)/(1+'TS1'!$J$84)</f>
        <v>0</v>
      </c>
      <c r="BB157" s="161">
        <f>BB30*(1-BB$174)/(1+'TS1'!$J$84)</f>
        <v>0</v>
      </c>
      <c r="BC157" s="161">
        <f>BC30*(1-BC$174)/(1+'TS1'!$J$84)</f>
        <v>0</v>
      </c>
      <c r="BD157" s="161">
        <f>BD30*(1-BD$174)/(1+'TS1'!$J$84)</f>
        <v>0</v>
      </c>
      <c r="BE157" s="161">
        <f>BE30*(1-BE$174)/(1+'TS1'!$J$84)</f>
        <v>0</v>
      </c>
      <c r="BF157" s="161">
        <f>BF30*(1-BF$174)/(1+'TS1'!$J$84)</f>
        <v>0</v>
      </c>
      <c r="BG157" s="161">
        <f>BG30*(1-BG$174)/(1+'TS1'!$J$84)</f>
        <v>0</v>
      </c>
      <c r="BH157" s="161">
        <f>BH30*(1-BH$174)/(1+'TS1'!$J$84)</f>
        <v>0</v>
      </c>
      <c r="BI157" s="161">
        <f>BI30*(1-BI$174)/(1+'TS1'!$J$84)</f>
        <v>0</v>
      </c>
      <c r="BJ157" s="161">
        <f>BJ30*(1-BJ$174)/(1+'TS1'!$J$84)</f>
        <v>0</v>
      </c>
      <c r="BK157" s="161">
        <f>BK30*(1-BK$174)/(1+'TS1'!$J$84)</f>
        <v>0</v>
      </c>
      <c r="BL157" s="161">
        <f>BL30*(1-BL$174)/(1+'TS1'!$J$84)</f>
        <v>0</v>
      </c>
      <c r="BM157" s="161">
        <f>BM30*(1-BM$174)/(1+'TS1'!$J$84)</f>
        <v>0</v>
      </c>
    </row>
    <row r="158" spans="1:65" hidden="1" outlineLevel="1">
      <c r="A158" s="149"/>
      <c r="B158" s="27"/>
      <c r="C158" s="157"/>
      <c r="D158" s="158" t="str">
        <f t="shared" si="84"/>
        <v>ПАРКИНГ ЖИЛЬЕ</v>
      </c>
      <c r="E158" s="154">
        <f t="shared" si="62"/>
        <v>896.25</v>
      </c>
      <c r="F158" s="142"/>
      <c r="G158" s="161">
        <f>G31*(1-G$174)/(1+'TS1'!$J$84)</f>
        <v>0</v>
      </c>
      <c r="H158" s="161">
        <f>H31*(1-H$174)/(1+'TS1'!$J$84)</f>
        <v>0</v>
      </c>
      <c r="I158" s="161">
        <f>I31*(1-I$174)/(1+'TS1'!$J$84)</f>
        <v>0</v>
      </c>
      <c r="J158" s="161">
        <f>J31*(1-J$174)/(1+'TS1'!$J$84)</f>
        <v>0</v>
      </c>
      <c r="K158" s="161">
        <f>K31*(1-K$174)/(1+'TS1'!$J$84)</f>
        <v>0</v>
      </c>
      <c r="L158" s="161">
        <f>L31*(1-L$174)/(1+'TS1'!$J$84)</f>
        <v>0</v>
      </c>
      <c r="M158" s="161">
        <f>M31*(1-M$174)/(1+'TS1'!$J$84)</f>
        <v>0</v>
      </c>
      <c r="N158" s="161">
        <f>N31*(1-N$174)/(1+'TS1'!$J$84)</f>
        <v>0</v>
      </c>
      <c r="O158" s="161">
        <f>O31*(1-O$174)/(1+'TS1'!$J$84)</f>
        <v>0</v>
      </c>
      <c r="P158" s="161">
        <f>P31*(1-P$174)/(1+'TS1'!$J$84)</f>
        <v>0</v>
      </c>
      <c r="Q158" s="161">
        <f>Q31*(1-Q$174)/(1+'TS1'!$J$84)</f>
        <v>0</v>
      </c>
      <c r="R158" s="161">
        <f>R31*(1-R$174)/(1+'TS1'!$J$84)</f>
        <v>0</v>
      </c>
      <c r="S158" s="161">
        <f>S31*(1-S$174)/(1+'TS1'!$J$84)</f>
        <v>0</v>
      </c>
      <c r="T158" s="161">
        <f>T31*(1-T$174)/(1+'TS1'!$J$84)</f>
        <v>0</v>
      </c>
      <c r="U158" s="161">
        <f>U31*(1-U$174)/(1+'TS1'!$J$84)</f>
        <v>0</v>
      </c>
      <c r="V158" s="161">
        <f>V31*(1-V$174)/(1+'TS1'!$J$84)</f>
        <v>0</v>
      </c>
      <c r="W158" s="161">
        <f>W31*(1-W$174)/(1+'TS1'!$J$84)</f>
        <v>0</v>
      </c>
      <c r="X158" s="161">
        <f>X31*(1-X$174)/(1+'TS1'!$J$84)</f>
        <v>0</v>
      </c>
      <c r="Y158" s="161">
        <f>Y31*(1-Y$174)/(1+'TS1'!$J$84)</f>
        <v>0</v>
      </c>
      <c r="Z158" s="161">
        <f>Z31*(1-Z$174)/(1+'TS1'!$J$84)</f>
        <v>0</v>
      </c>
      <c r="AA158" s="161">
        <f>AA31*(1-AA$174)/(1+'TS1'!$J$84)</f>
        <v>0</v>
      </c>
      <c r="AB158" s="161">
        <f>AB31*(1-AB$174)/(1+'TS1'!$J$84)</f>
        <v>0</v>
      </c>
      <c r="AC158" s="161">
        <f>AC31*(1-AC$174)/(1+'TS1'!$J$84)</f>
        <v>0</v>
      </c>
      <c r="AD158" s="161">
        <f>AD31*(1-AD$174)/(1+'TS1'!$J$84)</f>
        <v>0</v>
      </c>
      <c r="AE158" s="161">
        <f>AE31*(1-AE$174)/(1+'TS1'!$J$84)</f>
        <v>0</v>
      </c>
      <c r="AF158" s="161">
        <f>AF31*(1-AF$174)/(1+'TS1'!$J$84)</f>
        <v>112.5</v>
      </c>
      <c r="AG158" s="161">
        <f>AG31*(1-AG$174)/(1+'TS1'!$J$84)</f>
        <v>112.5</v>
      </c>
      <c r="AH158" s="161">
        <f>AH31*(1-AH$174)/(1+'TS1'!$J$84)</f>
        <v>112.5</v>
      </c>
      <c r="AI158" s="161">
        <f>AI31*(1-AI$174)/(1+'TS1'!$J$84)</f>
        <v>112.5</v>
      </c>
      <c r="AJ158" s="161">
        <f>AJ31*(1-AJ$174)/(1+'TS1'!$J$84)</f>
        <v>112.5</v>
      </c>
      <c r="AK158" s="161">
        <f>AK31*(1-AK$174)/(1+'TS1'!$J$84)</f>
        <v>112.5</v>
      </c>
      <c r="AL158" s="161">
        <f>AL31*(1-AL$174)/(1+'TS1'!$J$84)</f>
        <v>112.5</v>
      </c>
      <c r="AM158" s="161">
        <f>AM31*(1-AM$174)/(1+'TS1'!$J$84)</f>
        <v>108.75</v>
      </c>
      <c r="AN158" s="161">
        <f>AN31*(1-AN$174)/(1+'TS1'!$J$84)</f>
        <v>0</v>
      </c>
      <c r="AO158" s="161">
        <f>AO31*(1-AO$174)/(1+'TS1'!$J$84)</f>
        <v>0</v>
      </c>
      <c r="AP158" s="161">
        <f>AP31*(1-AP$174)/(1+'TS1'!$J$84)</f>
        <v>0</v>
      </c>
      <c r="AQ158" s="161">
        <f>AQ31*(1-AQ$174)/(1+'TS1'!$J$84)</f>
        <v>0</v>
      </c>
      <c r="AR158" s="161">
        <f>AR31*(1-AR$174)/(1+'TS1'!$J$84)</f>
        <v>0</v>
      </c>
      <c r="AS158" s="161">
        <f>AS31*(1-AS$174)/(1+'TS1'!$J$84)</f>
        <v>0</v>
      </c>
      <c r="AT158" s="161">
        <f>AT31*(1-AT$174)/(1+'TS1'!$J$84)</f>
        <v>0</v>
      </c>
      <c r="AU158" s="161">
        <f>AU31*(1-AU$174)/(1+'TS1'!$J$84)</f>
        <v>0</v>
      </c>
      <c r="AV158" s="161">
        <f>AV31*(1-AV$174)/(1+'TS1'!$J$84)</f>
        <v>0</v>
      </c>
      <c r="AW158" s="161">
        <f>AW31*(1-AW$174)/(1+'TS1'!$J$84)</f>
        <v>0</v>
      </c>
      <c r="AX158" s="161">
        <f>AX31*(1-AX$174)/(1+'TS1'!$J$84)</f>
        <v>0</v>
      </c>
      <c r="AY158" s="161">
        <f>AY31*(1-AY$174)/(1+'TS1'!$J$84)</f>
        <v>0</v>
      </c>
      <c r="AZ158" s="161">
        <f>AZ31*(1-AZ$174)/(1+'TS1'!$J$84)</f>
        <v>0</v>
      </c>
      <c r="BA158" s="161">
        <f>BA31*(1-BA$174)/(1+'TS1'!$J$84)</f>
        <v>0</v>
      </c>
      <c r="BB158" s="161">
        <f>BB31*(1-BB$174)/(1+'TS1'!$J$84)</f>
        <v>0</v>
      </c>
      <c r="BC158" s="161">
        <f>BC31*(1-BC$174)/(1+'TS1'!$J$84)</f>
        <v>0</v>
      </c>
      <c r="BD158" s="161">
        <f>BD31*(1-BD$174)/(1+'TS1'!$J$84)</f>
        <v>0</v>
      </c>
      <c r="BE158" s="161">
        <f>BE31*(1-BE$174)/(1+'TS1'!$J$84)</f>
        <v>0</v>
      </c>
      <c r="BF158" s="161">
        <f>BF31*(1-BF$174)/(1+'TS1'!$J$84)</f>
        <v>0</v>
      </c>
      <c r="BG158" s="161">
        <f>BG31*(1-BG$174)/(1+'TS1'!$J$84)</f>
        <v>0</v>
      </c>
      <c r="BH158" s="161">
        <f>BH31*(1-BH$174)/(1+'TS1'!$J$84)</f>
        <v>0</v>
      </c>
      <c r="BI158" s="161">
        <f>BI31*(1-BI$174)/(1+'TS1'!$J$84)</f>
        <v>0</v>
      </c>
      <c r="BJ158" s="161">
        <f>BJ31*(1-BJ$174)/(1+'TS1'!$J$84)</f>
        <v>0</v>
      </c>
      <c r="BK158" s="161">
        <f>BK31*(1-BK$174)/(1+'TS1'!$J$84)</f>
        <v>0</v>
      </c>
      <c r="BL158" s="161">
        <f>BL31*(1-BL$174)/(1+'TS1'!$J$84)</f>
        <v>0</v>
      </c>
      <c r="BM158" s="161">
        <f>BM31*(1-BM$174)/(1+'TS1'!$J$84)</f>
        <v>0</v>
      </c>
    </row>
    <row r="159" spans="1:65" hidden="1" outlineLevel="1">
      <c r="A159" s="149"/>
      <c r="B159" s="27"/>
      <c r="C159" s="157"/>
      <c r="D159" s="158" t="str">
        <f t="shared" si="84"/>
        <v>ПАРКИНГ ОФИС</v>
      </c>
      <c r="E159" s="154">
        <f t="shared" si="62"/>
        <v>0</v>
      </c>
      <c r="F159" s="142"/>
      <c r="G159" s="161">
        <f>G32*(1-G$174)/(1+'TS1'!$J$84)</f>
        <v>0</v>
      </c>
      <c r="H159" s="161">
        <f>H32*(1-H$174)/(1+'TS1'!$J$84)</f>
        <v>0</v>
      </c>
      <c r="I159" s="161">
        <f>I32*(1-I$174)/(1+'TS1'!$J$84)</f>
        <v>0</v>
      </c>
      <c r="J159" s="161">
        <f>J32*(1-J$174)/(1+'TS1'!$J$84)</f>
        <v>0</v>
      </c>
      <c r="K159" s="161">
        <f>K32*(1-K$174)/(1+'TS1'!$J$84)</f>
        <v>0</v>
      </c>
      <c r="L159" s="161">
        <f>L32*(1-L$174)/(1+'TS1'!$J$84)</f>
        <v>0</v>
      </c>
      <c r="M159" s="161">
        <f>M32*(1-M$174)/(1+'TS1'!$J$84)</f>
        <v>0</v>
      </c>
      <c r="N159" s="161">
        <f>N32*(1-N$174)/(1+'TS1'!$J$84)</f>
        <v>0</v>
      </c>
      <c r="O159" s="161">
        <f>O32*(1-O$174)/(1+'TS1'!$J$84)</f>
        <v>0</v>
      </c>
      <c r="P159" s="161">
        <f>P32*(1-P$174)/(1+'TS1'!$J$84)</f>
        <v>0</v>
      </c>
      <c r="Q159" s="161">
        <f>Q32*(1-Q$174)/(1+'TS1'!$J$84)</f>
        <v>0</v>
      </c>
      <c r="R159" s="161">
        <f>R32*(1-R$174)/(1+'TS1'!$J$84)</f>
        <v>0</v>
      </c>
      <c r="S159" s="161">
        <f>S32*(1-S$174)/(1+'TS1'!$J$84)</f>
        <v>0</v>
      </c>
      <c r="T159" s="161">
        <f>T32*(1-T$174)/(1+'TS1'!$J$84)</f>
        <v>0</v>
      </c>
      <c r="U159" s="161">
        <f>U32*(1-U$174)/(1+'TS1'!$J$84)</f>
        <v>0</v>
      </c>
      <c r="V159" s="161">
        <f>V32*(1-V$174)/(1+'TS1'!$J$84)</f>
        <v>0</v>
      </c>
      <c r="W159" s="161">
        <f>W32*(1-W$174)/(1+'TS1'!$J$84)</f>
        <v>0</v>
      </c>
      <c r="X159" s="161">
        <f>X32*(1-X$174)/(1+'TS1'!$J$84)</f>
        <v>0</v>
      </c>
      <c r="Y159" s="161">
        <f>Y32*(1-Y$174)/(1+'TS1'!$J$84)</f>
        <v>0</v>
      </c>
      <c r="Z159" s="161">
        <f>Z32*(1-Z$174)/(1+'TS1'!$J$84)</f>
        <v>0</v>
      </c>
      <c r="AA159" s="161">
        <f>AA32*(1-AA$174)/(1+'TS1'!$J$84)</f>
        <v>0</v>
      </c>
      <c r="AB159" s="161">
        <f>AB32*(1-AB$174)/(1+'TS1'!$J$84)</f>
        <v>0</v>
      </c>
      <c r="AC159" s="161">
        <f>AC32*(1-AC$174)/(1+'TS1'!$J$84)</f>
        <v>0</v>
      </c>
      <c r="AD159" s="161">
        <f>AD32*(1-AD$174)/(1+'TS1'!$J$84)</f>
        <v>0</v>
      </c>
      <c r="AE159" s="161">
        <f>AE32*(1-AE$174)/(1+'TS1'!$J$84)</f>
        <v>0</v>
      </c>
      <c r="AF159" s="161">
        <f>AF32*(1-AF$174)/(1+'TS1'!$J$84)</f>
        <v>0</v>
      </c>
      <c r="AG159" s="161">
        <f>AG32*(1-AG$174)/(1+'TS1'!$J$84)</f>
        <v>0</v>
      </c>
      <c r="AH159" s="161">
        <f>AH32*(1-AH$174)/(1+'TS1'!$J$84)</f>
        <v>0</v>
      </c>
      <c r="AI159" s="161">
        <f>AI32*(1-AI$174)/(1+'TS1'!$J$84)</f>
        <v>0</v>
      </c>
      <c r="AJ159" s="161">
        <f>AJ32*(1-AJ$174)/(1+'TS1'!$J$84)</f>
        <v>0</v>
      </c>
      <c r="AK159" s="161">
        <f>AK32*(1-AK$174)/(1+'TS1'!$J$84)</f>
        <v>0</v>
      </c>
      <c r="AL159" s="161">
        <f>AL32*(1-AL$174)/(1+'TS1'!$J$84)</f>
        <v>0</v>
      </c>
      <c r="AM159" s="161">
        <f>AM32*(1-AM$174)/(1+'TS1'!$J$84)</f>
        <v>0</v>
      </c>
      <c r="AN159" s="161">
        <f>AN32*(1-AN$174)/(1+'TS1'!$J$84)</f>
        <v>0</v>
      </c>
      <c r="AO159" s="161">
        <f>AO32*(1-AO$174)/(1+'TS1'!$J$84)</f>
        <v>0</v>
      </c>
      <c r="AP159" s="161">
        <f>AP32*(1-AP$174)/(1+'TS1'!$J$84)</f>
        <v>0</v>
      </c>
      <c r="AQ159" s="161">
        <f>AQ32*(1-AQ$174)/(1+'TS1'!$J$84)</f>
        <v>0</v>
      </c>
      <c r="AR159" s="161">
        <f>AR32*(1-AR$174)/(1+'TS1'!$J$84)</f>
        <v>0</v>
      </c>
      <c r="AS159" s="161">
        <f>AS32*(1-AS$174)/(1+'TS1'!$J$84)</f>
        <v>0</v>
      </c>
      <c r="AT159" s="161">
        <f>AT32*(1-AT$174)/(1+'TS1'!$J$84)</f>
        <v>0</v>
      </c>
      <c r="AU159" s="161">
        <f>AU32*(1-AU$174)/(1+'TS1'!$J$84)</f>
        <v>0</v>
      </c>
      <c r="AV159" s="161">
        <f>AV32*(1-AV$174)/(1+'TS1'!$J$84)</f>
        <v>0</v>
      </c>
      <c r="AW159" s="161">
        <f>AW32*(1-AW$174)/(1+'TS1'!$J$84)</f>
        <v>0</v>
      </c>
      <c r="AX159" s="161">
        <f>AX32*(1-AX$174)/(1+'TS1'!$J$84)</f>
        <v>0</v>
      </c>
      <c r="AY159" s="161">
        <f>AY32*(1-AY$174)/(1+'TS1'!$J$84)</f>
        <v>0</v>
      </c>
      <c r="AZ159" s="161">
        <f>AZ32*(1-AZ$174)/(1+'TS1'!$J$84)</f>
        <v>0</v>
      </c>
      <c r="BA159" s="161">
        <f>BA32*(1-BA$174)/(1+'TS1'!$J$84)</f>
        <v>0</v>
      </c>
      <c r="BB159" s="161">
        <f>BB32*(1-BB$174)/(1+'TS1'!$J$84)</f>
        <v>0</v>
      </c>
      <c r="BC159" s="161">
        <f>BC32*(1-BC$174)/(1+'TS1'!$J$84)</f>
        <v>0</v>
      </c>
      <c r="BD159" s="161">
        <f>BD32*(1-BD$174)/(1+'TS1'!$J$84)</f>
        <v>0</v>
      </c>
      <c r="BE159" s="161">
        <f>BE32*(1-BE$174)/(1+'TS1'!$J$84)</f>
        <v>0</v>
      </c>
      <c r="BF159" s="161">
        <f>BF32*(1-BF$174)/(1+'TS1'!$J$84)</f>
        <v>0</v>
      </c>
      <c r="BG159" s="161">
        <f>BG32*(1-BG$174)/(1+'TS1'!$J$84)</f>
        <v>0</v>
      </c>
      <c r="BH159" s="161">
        <f>BH32*(1-BH$174)/(1+'TS1'!$J$84)</f>
        <v>0</v>
      </c>
      <c r="BI159" s="161">
        <f>BI32*(1-BI$174)/(1+'TS1'!$J$84)</f>
        <v>0</v>
      </c>
      <c r="BJ159" s="161">
        <f>BJ32*(1-BJ$174)/(1+'TS1'!$J$84)</f>
        <v>0</v>
      </c>
      <c r="BK159" s="161">
        <f>BK32*(1-BK$174)/(1+'TS1'!$J$84)</f>
        <v>0</v>
      </c>
      <c r="BL159" s="161">
        <f>BL32*(1-BL$174)/(1+'TS1'!$J$84)</f>
        <v>0</v>
      </c>
      <c r="BM159" s="161">
        <f>BM32*(1-BM$174)/(1+'TS1'!$J$84)</f>
        <v>0</v>
      </c>
    </row>
    <row r="160" spans="1:65" s="151" customFormat="1" hidden="1" outlineLevel="1">
      <c r="B160" s="152"/>
      <c r="C160" s="152" t="s">
        <v>93</v>
      </c>
      <c r="D160" s="153"/>
      <c r="E160" s="154">
        <f t="shared" si="62"/>
        <v>-23937.215084207179</v>
      </c>
      <c r="F160" s="155">
        <f>-SUM(F129*'TS1'!$AS$103,'CF1'!F130*'TS1'!$AS$104,'CF1'!F131*'TS1'!$AS$105,'CF1'!F132*'TS1'!$AS$106,'CF1'!F133*'TS1'!$AS$107,'CF1'!F134*'TS1'!$AS$108,'CF1'!F135*'TS1'!$AS$109)/10^6-SUM(F137*'TS1'!$AT$103,'CF1'!F138*'TS1'!$AT$104,'CF1'!F139*'TS1'!$AT$105,'CF1'!F140*'TS1'!$AT$106,'CF1'!F141*'TS1'!$AT$107,'CF1'!F142*'TS1'!$AT$108,'CF1'!F143*'TS1'!$AT$109)/10^6</f>
        <v>0</v>
      </c>
      <c r="G160" s="155">
        <f>-SUM(G129*'TS1'!$AS$103,'CF1'!G130*'TS1'!$AS$104,'CF1'!G131*'TS1'!$AS$105,'CF1'!G132*'TS1'!$AS$106,'CF1'!G133*'TS1'!$AS$107,'CF1'!G134*'TS1'!$AS$108,'CF1'!G135*'TS1'!$AS$109)/10^6-SUM(G137*'TS1'!$AT$103,'CF1'!G138*'TS1'!$AT$104,'CF1'!G139*'TS1'!$AT$105,'CF1'!G140*'TS1'!$AT$106,'CF1'!G141*'TS1'!$AT$107,'CF1'!G142*'TS1'!$AT$108,'CF1'!G143*'TS1'!$AT$109)/10^6</f>
        <v>0</v>
      </c>
      <c r="H160" s="155">
        <f>-SUM(H129*'TS1'!$AS$103,'CF1'!H130*'TS1'!$AS$104,'CF1'!H131*'TS1'!$AS$105,'CF1'!H132*'TS1'!$AS$106,'CF1'!H133*'TS1'!$AS$107,'CF1'!H134*'TS1'!$AS$108,'CF1'!H135*'TS1'!$AS$109)/10^6-SUM(H137*'TS1'!$AT$103,'CF1'!H138*'TS1'!$AT$104,'CF1'!H139*'TS1'!$AT$105,'CF1'!H140*'TS1'!$AT$106,'CF1'!H141*'TS1'!$AT$107,'CF1'!H142*'TS1'!$AT$108,'CF1'!H143*'TS1'!$AT$109)/10^6</f>
        <v>0</v>
      </c>
      <c r="I160" s="155">
        <f>-SUM(I129*'TS1'!$AS$103,'CF1'!I130*'TS1'!$AS$104,'CF1'!I131*'TS1'!$AS$105,'CF1'!I132*'TS1'!$AS$106,'CF1'!I133*'TS1'!$AS$107,'CF1'!I134*'TS1'!$AS$108,'CF1'!I135*'TS1'!$AS$109)/10^6-SUM(I137*'TS1'!$AT$103,'CF1'!I138*'TS1'!$AT$104,'CF1'!I139*'TS1'!$AT$105,'CF1'!I140*'TS1'!$AT$106,'CF1'!I141*'TS1'!$AT$107,'CF1'!I142*'TS1'!$AT$108,'CF1'!I143*'TS1'!$AT$109)/10^6</f>
        <v>0</v>
      </c>
      <c r="J160" s="155">
        <f>-SUM(J129*'TS1'!$AS$103,'CF1'!J130*'TS1'!$AS$104,'CF1'!J131*'TS1'!$AS$105,'CF1'!J132*'TS1'!$AS$106,'CF1'!J133*'TS1'!$AS$107,'CF1'!J134*'TS1'!$AS$108,'CF1'!J135*'TS1'!$AS$109)/10^6-SUM(J137*'TS1'!$AT$103,'CF1'!J138*'TS1'!$AT$104,'CF1'!J139*'TS1'!$AT$105,'CF1'!J140*'TS1'!$AT$106,'CF1'!J141*'TS1'!$AT$107,'CF1'!J142*'TS1'!$AT$108,'CF1'!J143*'TS1'!$AT$109)/10^6</f>
        <v>0</v>
      </c>
      <c r="K160" s="155">
        <f>-SUM(K129*'TS1'!$AS$103,'CF1'!K130*'TS1'!$AS$104,'CF1'!K131*'TS1'!$AS$105,'CF1'!K132*'TS1'!$AS$106,'CF1'!K133*'TS1'!$AS$107,'CF1'!K134*'TS1'!$AS$108,'CF1'!K135*'TS1'!$AS$109)/10^6-SUM(K137*'TS1'!$AT$103,'CF1'!K138*'TS1'!$AT$104,'CF1'!K139*'TS1'!$AT$105,'CF1'!K140*'TS1'!$AT$106,'CF1'!K141*'TS1'!$AT$107,'CF1'!K142*'TS1'!$AT$108,'CF1'!K143*'TS1'!$AT$109)/10^6</f>
        <v>0</v>
      </c>
      <c r="L160" s="155">
        <f>-SUM(L129*'TS1'!$AS$103,'CF1'!L130*'TS1'!$AS$104,'CF1'!L131*'TS1'!$AS$105,'CF1'!L132*'TS1'!$AS$106,'CF1'!L133*'TS1'!$AS$107,'CF1'!L134*'TS1'!$AS$108,'CF1'!L135*'TS1'!$AS$109)/10^6-SUM(L137*'TS1'!$AT$103,'CF1'!L138*'TS1'!$AT$104,'CF1'!L139*'TS1'!$AT$105,'CF1'!L140*'TS1'!$AT$106,'CF1'!L141*'TS1'!$AT$107,'CF1'!L142*'TS1'!$AT$108,'CF1'!L143*'TS1'!$AT$109)/10^6</f>
        <v>0</v>
      </c>
      <c r="M160" s="155">
        <f>-SUM(M129*'TS1'!$AS$103,'CF1'!M130*'TS1'!$AS$104,'CF1'!M131*'TS1'!$AS$105,'CF1'!M132*'TS1'!$AS$106,'CF1'!M133*'TS1'!$AS$107,'CF1'!M134*'TS1'!$AS$108,'CF1'!M135*'TS1'!$AS$109)/10^6-SUM(M137*'TS1'!$AT$103,'CF1'!M138*'TS1'!$AT$104,'CF1'!M139*'TS1'!$AT$105,'CF1'!M140*'TS1'!$AT$106,'CF1'!M141*'TS1'!$AT$107,'CF1'!M142*'TS1'!$AT$108,'CF1'!M143*'TS1'!$AT$109)/10^6</f>
        <v>0</v>
      </c>
      <c r="N160" s="155">
        <f>-SUM(N129*'TS1'!$AS$103,'CF1'!N130*'TS1'!$AS$104,'CF1'!N131*'TS1'!$AS$105,'CF1'!N132*'TS1'!$AS$106,'CF1'!N133*'TS1'!$AS$107,'CF1'!N134*'TS1'!$AS$108,'CF1'!N135*'TS1'!$AS$109)/10^6-SUM(N137*'TS1'!$AT$103,'CF1'!N138*'TS1'!$AT$104,'CF1'!N139*'TS1'!$AT$105,'CF1'!N140*'TS1'!$AT$106,'CF1'!N141*'TS1'!$AT$107,'CF1'!N142*'TS1'!$AT$108,'CF1'!N143*'TS1'!$AT$109)/10^6</f>
        <v>0</v>
      </c>
      <c r="O160" s="155">
        <f>-SUM(O129*'TS1'!$AS$103,'CF1'!O130*'TS1'!$AS$104,'CF1'!O131*'TS1'!$AS$105,'CF1'!O132*'TS1'!$AS$106,'CF1'!O133*'TS1'!$AS$107,'CF1'!O134*'TS1'!$AS$108,'CF1'!O135*'TS1'!$AS$109)/10^6-SUM(O137*'TS1'!$AT$103,'CF1'!O138*'TS1'!$AT$104,'CF1'!O139*'TS1'!$AT$105,'CF1'!O140*'TS1'!$AT$106,'CF1'!O141*'TS1'!$AT$107,'CF1'!O142*'TS1'!$AT$108,'CF1'!O143*'TS1'!$AT$109)/10^6</f>
        <v>0</v>
      </c>
      <c r="P160" s="155">
        <f>-SUM(P129*'TS1'!$AS$103,'CF1'!P130*'TS1'!$AS$104,'CF1'!P131*'TS1'!$AS$105,'CF1'!P132*'TS1'!$AS$106,'CF1'!P133*'TS1'!$AS$107,'CF1'!P134*'TS1'!$AS$108,'CF1'!P135*'TS1'!$AS$109)/10^6-SUM(P137*'TS1'!$AT$103,'CF1'!P138*'TS1'!$AT$104,'CF1'!P139*'TS1'!$AT$105,'CF1'!P140*'TS1'!$AT$106,'CF1'!P141*'TS1'!$AT$107,'CF1'!P142*'TS1'!$AT$108,'CF1'!P143*'TS1'!$AT$109)/10^6</f>
        <v>0</v>
      </c>
      <c r="Q160" s="155">
        <f>-SUM(Q129*'TS1'!$AS$103,'CF1'!Q130*'TS1'!$AS$104,'CF1'!Q131*'TS1'!$AS$105,'CF1'!Q132*'TS1'!$AS$106,'CF1'!Q133*'TS1'!$AS$107,'CF1'!Q134*'TS1'!$AS$108,'CF1'!Q135*'TS1'!$AS$109)/10^6-SUM(Q137*'TS1'!$AT$103,'CF1'!Q138*'TS1'!$AT$104,'CF1'!Q139*'TS1'!$AT$105,'CF1'!Q140*'TS1'!$AT$106,'CF1'!Q141*'TS1'!$AT$107,'CF1'!Q142*'TS1'!$AT$108,'CF1'!Q143*'TS1'!$AT$109)/10^6</f>
        <v>0</v>
      </c>
      <c r="R160" s="155">
        <f>-SUM(R129*'TS1'!$AS$103,'CF1'!R130*'TS1'!$AS$104,'CF1'!R131*'TS1'!$AS$105,'CF1'!R132*'TS1'!$AS$106,'CF1'!R133*'TS1'!$AS$107,'CF1'!R134*'TS1'!$AS$108,'CF1'!R135*'TS1'!$AS$109)/10^6-SUM(R137*'TS1'!$AT$103,'CF1'!R138*'TS1'!$AT$104,'CF1'!R139*'TS1'!$AT$105,'CF1'!R140*'TS1'!$AT$106,'CF1'!R141*'TS1'!$AT$107,'CF1'!R142*'TS1'!$AT$108,'CF1'!R143*'TS1'!$AT$109)/10^6</f>
        <v>0</v>
      </c>
      <c r="S160" s="155">
        <f>-SUM(S129*'TS1'!$AS$103,'CF1'!S130*'TS1'!$AS$104,'CF1'!S131*'TS1'!$AS$105,'CF1'!S132*'TS1'!$AS$106,'CF1'!S133*'TS1'!$AS$107,'CF1'!S134*'TS1'!$AS$108,'CF1'!S135*'TS1'!$AS$109)/10^6-SUM(S137*'TS1'!$AT$103,'CF1'!S138*'TS1'!$AT$104,'CF1'!S139*'TS1'!$AT$105,'CF1'!S140*'TS1'!$AT$106,'CF1'!S141*'TS1'!$AT$107,'CF1'!S142*'TS1'!$AT$108,'CF1'!S143*'TS1'!$AT$109)/10^6</f>
        <v>0</v>
      </c>
      <c r="T160" s="155">
        <f>-SUM(T129*'TS1'!$AS$103,'CF1'!T130*'TS1'!$AS$104,'CF1'!T131*'TS1'!$AS$105,'CF1'!T132*'TS1'!$AS$106,'CF1'!T133*'TS1'!$AS$107,'CF1'!T134*'TS1'!$AS$108,'CF1'!T135*'TS1'!$AS$109)/10^6-SUM(T137*'TS1'!$AT$103,'CF1'!T138*'TS1'!$AT$104,'CF1'!T139*'TS1'!$AT$105,'CF1'!T140*'TS1'!$AT$106,'CF1'!T141*'TS1'!$AT$107,'CF1'!T142*'TS1'!$AT$108,'CF1'!T143*'TS1'!$AT$109)/10^6</f>
        <v>0</v>
      </c>
      <c r="U160" s="155">
        <f>-SUM(U129*'TS1'!$AS$103,'CF1'!U130*'TS1'!$AS$104,'CF1'!U131*'TS1'!$AS$105,'CF1'!U132*'TS1'!$AS$106,'CF1'!U133*'TS1'!$AS$107,'CF1'!U134*'TS1'!$AS$108,'CF1'!U135*'TS1'!$AS$109)/10^6-SUM(U137*'TS1'!$AT$103,'CF1'!U138*'TS1'!$AT$104,'CF1'!U139*'TS1'!$AT$105,'CF1'!U140*'TS1'!$AT$106,'CF1'!U141*'TS1'!$AT$107,'CF1'!U142*'TS1'!$AT$108,'CF1'!U143*'TS1'!$AT$109)/10^6</f>
        <v>0</v>
      </c>
      <c r="V160" s="155">
        <f>-SUM(V129*'TS1'!$AS$103,'CF1'!V130*'TS1'!$AS$104,'CF1'!V131*'TS1'!$AS$105,'CF1'!V132*'TS1'!$AS$106,'CF1'!V133*'TS1'!$AS$107,'CF1'!V134*'TS1'!$AS$108,'CF1'!V135*'TS1'!$AS$109)/10^6-SUM(V137*'TS1'!$AT$103,'CF1'!V138*'TS1'!$AT$104,'CF1'!V139*'TS1'!$AT$105,'CF1'!V140*'TS1'!$AT$106,'CF1'!V141*'TS1'!$AT$107,'CF1'!V142*'TS1'!$AT$108,'CF1'!V143*'TS1'!$AT$109)/10^6</f>
        <v>0</v>
      </c>
      <c r="W160" s="155">
        <f>-SUM(W129*'TS1'!$AS$103,'CF1'!W130*'TS1'!$AS$104,'CF1'!W131*'TS1'!$AS$105,'CF1'!W132*'TS1'!$AS$106,'CF1'!W133*'TS1'!$AS$107,'CF1'!W134*'TS1'!$AS$108,'CF1'!W135*'TS1'!$AS$109)/10^6-SUM(W137*'TS1'!$AT$103,'CF1'!W138*'TS1'!$AT$104,'CF1'!W139*'TS1'!$AT$105,'CF1'!W140*'TS1'!$AT$106,'CF1'!W141*'TS1'!$AT$107,'CF1'!W142*'TS1'!$AT$108,'CF1'!W143*'TS1'!$AT$109)/10^6</f>
        <v>0</v>
      </c>
      <c r="X160" s="155">
        <f>-SUM(X129*'TS1'!$AS$103,'CF1'!X130*'TS1'!$AS$104,'CF1'!X131*'TS1'!$AS$105,'CF1'!X132*'TS1'!$AS$106,'CF1'!X133*'TS1'!$AS$107,'CF1'!X134*'TS1'!$AS$108,'CF1'!X135*'TS1'!$AS$109)/10^6-SUM(X137*'TS1'!$AT$103,'CF1'!X138*'TS1'!$AT$104,'CF1'!X139*'TS1'!$AT$105,'CF1'!X140*'TS1'!$AT$106,'CF1'!X141*'TS1'!$AT$107,'CF1'!X142*'TS1'!$AT$108,'CF1'!X143*'TS1'!$AT$109)/10^6</f>
        <v>0</v>
      </c>
      <c r="Y160" s="155">
        <f>-SUM(Y129*'TS1'!$AS$103,'CF1'!Y130*'TS1'!$AS$104,'CF1'!Y131*'TS1'!$AS$105,'CF1'!Y132*'TS1'!$AS$106,'CF1'!Y133*'TS1'!$AS$107,'CF1'!Y134*'TS1'!$AS$108,'CF1'!Y135*'TS1'!$AS$109)/10^6-SUM(Y137*'TS1'!$AT$103,'CF1'!Y138*'TS1'!$AT$104,'CF1'!Y139*'TS1'!$AT$105,'CF1'!Y140*'TS1'!$AT$106,'CF1'!Y141*'TS1'!$AT$107,'CF1'!Y142*'TS1'!$AT$108,'CF1'!Y143*'TS1'!$AT$109)/10^6</f>
        <v>0</v>
      </c>
      <c r="Z160" s="155">
        <f>-SUM(Z129*'TS1'!$AS$103,'CF1'!Z130*'TS1'!$AS$104,'CF1'!Z131*'TS1'!$AS$105,'CF1'!Z132*'TS1'!$AS$106,'CF1'!Z133*'TS1'!$AS$107,'CF1'!Z134*'TS1'!$AS$108,'CF1'!Z135*'TS1'!$AS$109)/10^6-SUM(Z137*'TS1'!$AT$103,'CF1'!Z138*'TS1'!$AT$104,'CF1'!Z139*'TS1'!$AT$105,'CF1'!Z140*'TS1'!$AT$106,'CF1'!Z141*'TS1'!$AT$107,'CF1'!Z142*'TS1'!$AT$108,'CF1'!Z143*'TS1'!$AT$109)/10^6</f>
        <v>0</v>
      </c>
      <c r="AA160" s="155">
        <f>-SUM(AA129*'TS1'!$AS$103,'CF1'!AA130*'TS1'!$AS$104,'CF1'!AA131*'TS1'!$AS$105,'CF1'!AA132*'TS1'!$AS$106,'CF1'!AA133*'TS1'!$AS$107,'CF1'!AA134*'TS1'!$AS$108,'CF1'!AA135*'TS1'!$AS$109)/10^6-SUM(AA137*'TS1'!$AT$103,'CF1'!AA138*'TS1'!$AT$104,'CF1'!AA139*'TS1'!$AT$105,'CF1'!AA140*'TS1'!$AT$106,'CF1'!AA141*'TS1'!$AT$107,'CF1'!AA142*'TS1'!$AT$108,'CF1'!AA143*'TS1'!$AT$109)/10^6</f>
        <v>0</v>
      </c>
      <c r="AB160" s="155">
        <f>-SUM(AB129*'TS1'!$AS$103,'CF1'!AB130*'TS1'!$AS$104,'CF1'!AB131*'TS1'!$AS$105,'CF1'!AB132*'TS1'!$AS$106,'CF1'!AB133*'TS1'!$AS$107,'CF1'!AB134*'TS1'!$AS$108,'CF1'!AB135*'TS1'!$AS$109)/10^6-SUM(AB137*'TS1'!$AT$103,'CF1'!AB138*'TS1'!$AT$104,'CF1'!AB139*'TS1'!$AT$105,'CF1'!AB140*'TS1'!$AT$106,'CF1'!AB141*'TS1'!$AT$107,'CF1'!AB142*'TS1'!$AT$108,'CF1'!AB143*'TS1'!$AT$109)/10^6</f>
        <v>0</v>
      </c>
      <c r="AC160" s="155">
        <f>-SUM(AC129*'TS1'!$AS$103,'CF1'!AC130*'TS1'!$AS$104,'CF1'!AC131*'TS1'!$AS$105,'CF1'!AC132*'TS1'!$AS$106,'CF1'!AC133*'TS1'!$AS$107,'CF1'!AC134*'TS1'!$AS$108,'CF1'!AC135*'TS1'!$AS$109)/10^6-SUM(AC137*'TS1'!$AT$103,'CF1'!AC138*'TS1'!$AT$104,'CF1'!AC139*'TS1'!$AT$105,'CF1'!AC140*'TS1'!$AT$106,'CF1'!AC141*'TS1'!$AT$107,'CF1'!AC142*'TS1'!$AT$108,'CF1'!AC143*'TS1'!$AT$109)/10^6</f>
        <v>0</v>
      </c>
      <c r="AD160" s="155">
        <f>-SUM(AD129*'TS1'!$AS$103,'CF1'!AD130*'TS1'!$AS$104,'CF1'!AD131*'TS1'!$AS$105,'CF1'!AD132*'TS1'!$AS$106,'CF1'!AD133*'TS1'!$AS$107,'CF1'!AD134*'TS1'!$AS$108,'CF1'!AD135*'TS1'!$AS$109)/10^6-SUM(AD137*'TS1'!$AT$103,'CF1'!AD138*'TS1'!$AT$104,'CF1'!AD139*'TS1'!$AT$105,'CF1'!AD140*'TS1'!$AT$106,'CF1'!AD141*'TS1'!$AT$107,'CF1'!AD142*'TS1'!$AT$108,'CF1'!AD143*'TS1'!$AT$109)/10^6</f>
        <v>0</v>
      </c>
      <c r="AE160" s="155">
        <f>-SUM(AE129*'TS1'!$AS$103,'CF1'!AE130*'TS1'!$AS$104,'CF1'!AE131*'TS1'!$AS$105,'CF1'!AE132*'TS1'!$AS$106,'CF1'!AE133*'TS1'!$AS$107,'CF1'!AE134*'TS1'!$AS$108,'CF1'!AE135*'TS1'!$AS$109)/10^6-SUM(AE137*'TS1'!$AT$103,'CF1'!AE138*'TS1'!$AT$104,'CF1'!AE139*'TS1'!$AT$105,'CF1'!AE140*'TS1'!$AT$106,'CF1'!AE141*'TS1'!$AT$107,'CF1'!AE142*'TS1'!$AT$108,'CF1'!AE143*'TS1'!$AT$109)/10^6</f>
        <v>0</v>
      </c>
      <c r="AF160" s="155">
        <f>-SUM(AF129*'TS1'!$AS$103,'CF1'!AF130*'TS1'!$AS$104,'CF1'!AF131*'TS1'!$AS$105,'CF1'!AF132*'TS1'!$AS$106,'CF1'!AF133*'TS1'!$AS$107,'CF1'!AF134*'TS1'!$AS$108,'CF1'!AF135*'TS1'!$AS$109)/10^6-SUM(AF137*'TS1'!$AT$103,'CF1'!AF138*'TS1'!$AT$104,'CF1'!AF139*'TS1'!$AT$105,'CF1'!AF140*'TS1'!$AT$106,'CF1'!AF141*'TS1'!$AT$107,'CF1'!AF142*'TS1'!$AT$108,'CF1'!AF143*'TS1'!$AT$109)/10^6</f>
        <v>-15099.150226405611</v>
      </c>
      <c r="AG160" s="155">
        <f>-SUM(AG129*'TS1'!$AS$103,'CF1'!AG130*'TS1'!$AS$104,'CF1'!AG131*'TS1'!$AS$105,'CF1'!AG132*'TS1'!$AS$106,'CF1'!AG133*'TS1'!$AS$107,'CF1'!AG134*'TS1'!$AS$108,'CF1'!AG135*'TS1'!$AS$109)/10^6-SUM(AG137*'TS1'!$AT$103,'CF1'!AG138*'TS1'!$AT$104,'CF1'!AG139*'TS1'!$AT$105,'CF1'!AG140*'TS1'!$AT$106,'CF1'!AG141*'TS1'!$AT$107,'CF1'!AG142*'TS1'!$AT$108,'CF1'!AG143*'TS1'!$AT$109)/10^6</f>
        <v>-1667.621732961514</v>
      </c>
      <c r="AH160" s="155">
        <f>-SUM(AH129*'TS1'!$AS$103,'CF1'!AH130*'TS1'!$AS$104,'CF1'!AH131*'TS1'!$AS$105,'CF1'!AH132*'TS1'!$AS$106,'CF1'!AH133*'TS1'!$AS$107,'CF1'!AH134*'TS1'!$AS$108,'CF1'!AH135*'TS1'!$AS$109)/10^6-SUM(AH137*'TS1'!$AT$103,'CF1'!AH138*'TS1'!$AT$104,'CF1'!AH139*'TS1'!$AT$105,'CF1'!AH140*'TS1'!$AT$106,'CF1'!AH141*'TS1'!$AT$107,'CF1'!AH142*'TS1'!$AT$108,'CF1'!AH143*'TS1'!$AT$109)/10^6</f>
        <v>-1667.621732961514</v>
      </c>
      <c r="AI160" s="155">
        <f>-SUM(AI129*'TS1'!$AS$103,'CF1'!AI130*'TS1'!$AS$104,'CF1'!AI131*'TS1'!$AS$105,'CF1'!AI132*'TS1'!$AS$106,'CF1'!AI133*'TS1'!$AS$107,'CF1'!AI134*'TS1'!$AS$108,'CF1'!AI135*'TS1'!$AS$109)/10^6-SUM(AI137*'TS1'!$AT$103,'CF1'!AI138*'TS1'!$AT$104,'CF1'!AI139*'TS1'!$AT$105,'CF1'!AI140*'TS1'!$AT$106,'CF1'!AI141*'TS1'!$AT$107,'CF1'!AI142*'TS1'!$AT$108,'CF1'!AI143*'TS1'!$AT$109)/10^6</f>
        <v>-1140.7038635696624</v>
      </c>
      <c r="AJ160" s="155">
        <f>-SUM(AJ129*'TS1'!$AS$103,'CF1'!AJ130*'TS1'!$AS$104,'CF1'!AJ131*'TS1'!$AS$105,'CF1'!AJ132*'TS1'!$AS$106,'CF1'!AJ133*'TS1'!$AS$107,'CF1'!AJ134*'TS1'!$AS$108,'CF1'!AJ135*'TS1'!$AS$109)/10^6-SUM(AJ137*'TS1'!$AT$103,'CF1'!AJ138*'TS1'!$AT$104,'CF1'!AJ139*'TS1'!$AT$105,'CF1'!AJ140*'TS1'!$AT$106,'CF1'!AJ141*'TS1'!$AT$107,'CF1'!AJ142*'TS1'!$AT$108,'CF1'!AJ143*'TS1'!$AT$109)/10^6</f>
        <v>-1140.7038635696624</v>
      </c>
      <c r="AK160" s="155">
        <f>-SUM(AK129*'TS1'!$AS$103,'CF1'!AK130*'TS1'!$AS$104,'CF1'!AK131*'TS1'!$AS$105,'CF1'!AK132*'TS1'!$AS$106,'CF1'!AK133*'TS1'!$AS$107,'CF1'!AK134*'TS1'!$AS$108,'CF1'!AK135*'TS1'!$AS$109)/10^6-SUM(AK137*'TS1'!$AT$103,'CF1'!AK138*'TS1'!$AT$104,'CF1'!AK139*'TS1'!$AT$105,'CF1'!AK140*'TS1'!$AT$106,'CF1'!AK141*'TS1'!$AT$107,'CF1'!AK142*'TS1'!$AT$108,'CF1'!AK143*'TS1'!$AT$109)/10^6</f>
        <v>-1140.7038635696624</v>
      </c>
      <c r="AL160" s="155">
        <f>-SUM(AL129*'TS1'!$AS$103,'CF1'!AL130*'TS1'!$AS$104,'CF1'!AL131*'TS1'!$AS$105,'CF1'!AL132*'TS1'!$AS$106,'CF1'!AL133*'TS1'!$AS$107,'CF1'!AL134*'TS1'!$AS$108,'CF1'!AL135*'TS1'!$AS$109)/10^6-SUM(AL137*'TS1'!$AT$103,'CF1'!AL138*'TS1'!$AT$104,'CF1'!AL139*'TS1'!$AT$105,'CF1'!AL140*'TS1'!$AT$106,'CF1'!AL141*'TS1'!$AT$107,'CF1'!AL142*'TS1'!$AT$108,'CF1'!AL143*'TS1'!$AT$109)/10^6</f>
        <v>-1140.7038635696624</v>
      </c>
      <c r="AM160" s="155">
        <f>-SUM(AM129*'TS1'!$AS$103,'CF1'!AM130*'TS1'!$AS$104,'CF1'!AM131*'TS1'!$AS$105,'CF1'!AM132*'TS1'!$AS$106,'CF1'!AM133*'TS1'!$AS$107,'CF1'!AM134*'TS1'!$AS$108,'CF1'!AM135*'TS1'!$AS$109)/10^6-SUM(AM137*'TS1'!$AT$103,'CF1'!AM138*'TS1'!$AT$104,'CF1'!AM139*'TS1'!$AT$105,'CF1'!AM140*'TS1'!$AT$106,'CF1'!AM141*'TS1'!$AT$107,'CF1'!AM142*'TS1'!$AT$108,'CF1'!AM143*'TS1'!$AT$109)/10^6</f>
        <v>-940.00593759988817</v>
      </c>
      <c r="AN160" s="155">
        <f>-SUM(AN129*'TS1'!$AS$103,'CF1'!AN130*'TS1'!$AS$104,'CF1'!AN131*'TS1'!$AS$105,'CF1'!AN132*'TS1'!$AS$106,'CF1'!AN133*'TS1'!$AS$107,'CF1'!AN134*'TS1'!$AS$108,'CF1'!AN135*'TS1'!$AS$109)/10^6-SUM(AN137*'TS1'!$AT$103,'CF1'!AN138*'TS1'!$AT$104,'CF1'!AN139*'TS1'!$AT$105,'CF1'!AN140*'TS1'!$AT$106,'CF1'!AN141*'TS1'!$AT$107,'CF1'!AN142*'TS1'!$AT$108,'CF1'!AN143*'TS1'!$AT$109)/10^6</f>
        <v>0</v>
      </c>
      <c r="AO160" s="155">
        <f>-SUM(AO129*'TS1'!$AS$103,'CF1'!AO130*'TS1'!$AS$104,'CF1'!AO131*'TS1'!$AS$105,'CF1'!AO132*'TS1'!$AS$106,'CF1'!AO133*'TS1'!$AS$107,'CF1'!AO134*'TS1'!$AS$108,'CF1'!AO135*'TS1'!$AS$109)/10^6-SUM(AO137*'TS1'!$AT$103,'CF1'!AO138*'TS1'!$AT$104,'CF1'!AO139*'TS1'!$AT$105,'CF1'!AO140*'TS1'!$AT$106,'CF1'!AO141*'TS1'!$AT$107,'CF1'!AO142*'TS1'!$AT$108,'CF1'!AO143*'TS1'!$AT$109)/10^6</f>
        <v>0</v>
      </c>
      <c r="AP160" s="155">
        <f>-SUM(AP129*'TS1'!$AS$103,'CF1'!AP130*'TS1'!$AS$104,'CF1'!AP131*'TS1'!$AS$105,'CF1'!AP132*'TS1'!$AS$106,'CF1'!AP133*'TS1'!$AS$107,'CF1'!AP134*'TS1'!$AS$108,'CF1'!AP135*'TS1'!$AS$109)/10^6-SUM(AP137*'TS1'!$AT$103,'CF1'!AP138*'TS1'!$AT$104,'CF1'!AP139*'TS1'!$AT$105,'CF1'!AP140*'TS1'!$AT$106,'CF1'!AP141*'TS1'!$AT$107,'CF1'!AP142*'TS1'!$AT$108,'CF1'!AP143*'TS1'!$AT$109)/10^6</f>
        <v>0</v>
      </c>
      <c r="AQ160" s="155">
        <f>-SUM(AQ129*'TS1'!$AS$103,'CF1'!AQ130*'TS1'!$AS$104,'CF1'!AQ131*'TS1'!$AS$105,'CF1'!AQ132*'TS1'!$AS$106,'CF1'!AQ133*'TS1'!$AS$107,'CF1'!AQ134*'TS1'!$AS$108,'CF1'!AQ135*'TS1'!$AS$109)/10^6-SUM(AQ137*'TS1'!$AT$103,'CF1'!AQ138*'TS1'!$AT$104,'CF1'!AQ139*'TS1'!$AT$105,'CF1'!AQ140*'TS1'!$AT$106,'CF1'!AQ141*'TS1'!$AT$107,'CF1'!AQ142*'TS1'!$AT$108,'CF1'!AQ143*'TS1'!$AT$109)/10^6</f>
        <v>0</v>
      </c>
      <c r="AR160" s="155">
        <f>-SUM(AR129*'TS1'!$AS$103,'CF1'!AR130*'TS1'!$AS$104,'CF1'!AR131*'TS1'!$AS$105,'CF1'!AR132*'TS1'!$AS$106,'CF1'!AR133*'TS1'!$AS$107,'CF1'!AR134*'TS1'!$AS$108,'CF1'!AR135*'TS1'!$AS$109)/10^6-SUM(AR137*'TS1'!$AT$103,'CF1'!AR138*'TS1'!$AT$104,'CF1'!AR139*'TS1'!$AT$105,'CF1'!AR140*'TS1'!$AT$106,'CF1'!AR141*'TS1'!$AT$107,'CF1'!AR142*'TS1'!$AT$108,'CF1'!AR143*'TS1'!$AT$109)/10^6</f>
        <v>0</v>
      </c>
      <c r="AS160" s="155">
        <f>-SUM(AS129*'TS1'!$AS$103,'CF1'!AS130*'TS1'!$AS$104,'CF1'!AS131*'TS1'!$AS$105,'CF1'!AS132*'TS1'!$AS$106,'CF1'!AS133*'TS1'!$AS$107,'CF1'!AS134*'TS1'!$AS$108,'CF1'!AS135*'TS1'!$AS$109)/10^6-SUM(AS137*'TS1'!$AT$103,'CF1'!AS138*'TS1'!$AT$104,'CF1'!AS139*'TS1'!$AT$105,'CF1'!AS140*'TS1'!$AT$106,'CF1'!AS141*'TS1'!$AT$107,'CF1'!AS142*'TS1'!$AT$108,'CF1'!AS143*'TS1'!$AT$109)/10^6</f>
        <v>0</v>
      </c>
      <c r="AT160" s="155">
        <f>-SUM(AT129*'TS1'!$AS$103,'CF1'!AT130*'TS1'!$AS$104,'CF1'!AT131*'TS1'!$AS$105,'CF1'!AT132*'TS1'!$AS$106,'CF1'!AT133*'TS1'!$AS$107,'CF1'!AT134*'TS1'!$AS$108,'CF1'!AT135*'TS1'!$AS$109)/10^6-SUM(AT137*'TS1'!$AT$103,'CF1'!AT138*'TS1'!$AT$104,'CF1'!AT139*'TS1'!$AT$105,'CF1'!AT140*'TS1'!$AT$106,'CF1'!AT141*'TS1'!$AT$107,'CF1'!AT142*'TS1'!$AT$108,'CF1'!AT143*'TS1'!$AT$109)/10^6</f>
        <v>0</v>
      </c>
      <c r="AU160" s="155">
        <f>-SUM(AU129*'TS1'!$AS$103,'CF1'!AU130*'TS1'!$AS$104,'CF1'!AU131*'TS1'!$AS$105,'CF1'!AU132*'TS1'!$AS$106,'CF1'!AU133*'TS1'!$AS$107,'CF1'!AU134*'TS1'!$AS$108,'CF1'!AU135*'TS1'!$AS$109)/10^6-SUM(AU137*'TS1'!$AT$103,'CF1'!AU138*'TS1'!$AT$104,'CF1'!AU139*'TS1'!$AT$105,'CF1'!AU140*'TS1'!$AT$106,'CF1'!AU141*'TS1'!$AT$107,'CF1'!AU142*'TS1'!$AT$108,'CF1'!AU143*'TS1'!$AT$109)/10^6</f>
        <v>0</v>
      </c>
      <c r="AV160" s="155">
        <f>-SUM(AV129*'TS1'!$AS$103,'CF1'!AV130*'TS1'!$AS$104,'CF1'!AV131*'TS1'!$AS$105,'CF1'!AV132*'TS1'!$AS$106,'CF1'!AV133*'TS1'!$AS$107,'CF1'!AV134*'TS1'!$AS$108,'CF1'!AV135*'TS1'!$AS$109)/10^6-SUM(AV137*'TS1'!$AT$103,'CF1'!AV138*'TS1'!$AT$104,'CF1'!AV139*'TS1'!$AT$105,'CF1'!AV140*'TS1'!$AT$106,'CF1'!AV141*'TS1'!$AT$107,'CF1'!AV142*'TS1'!$AT$108,'CF1'!AV143*'TS1'!$AT$109)/10^6</f>
        <v>0</v>
      </c>
      <c r="AW160" s="155">
        <f>-SUM(AW129*'TS1'!$AS$103,'CF1'!AW130*'TS1'!$AS$104,'CF1'!AW131*'TS1'!$AS$105,'CF1'!AW132*'TS1'!$AS$106,'CF1'!AW133*'TS1'!$AS$107,'CF1'!AW134*'TS1'!$AS$108,'CF1'!AW135*'TS1'!$AS$109)/10^6-SUM(AW137*'TS1'!$AT$103,'CF1'!AW138*'TS1'!$AT$104,'CF1'!AW139*'TS1'!$AT$105,'CF1'!AW140*'TS1'!$AT$106,'CF1'!AW141*'TS1'!$AT$107,'CF1'!AW142*'TS1'!$AT$108,'CF1'!AW143*'TS1'!$AT$109)/10^6</f>
        <v>0</v>
      </c>
      <c r="AX160" s="155">
        <f>-SUM(AX129*'TS1'!$AS$103,'CF1'!AX130*'TS1'!$AS$104,'CF1'!AX131*'TS1'!$AS$105,'CF1'!AX132*'TS1'!$AS$106,'CF1'!AX133*'TS1'!$AS$107,'CF1'!AX134*'TS1'!$AS$108,'CF1'!AX135*'TS1'!$AS$109)/10^6-SUM(AX137*'TS1'!$AT$103,'CF1'!AX138*'TS1'!$AT$104,'CF1'!AX139*'TS1'!$AT$105,'CF1'!AX140*'TS1'!$AT$106,'CF1'!AX141*'TS1'!$AT$107,'CF1'!AX142*'TS1'!$AT$108,'CF1'!AX143*'TS1'!$AT$109)/10^6</f>
        <v>0</v>
      </c>
      <c r="AY160" s="155">
        <f>-SUM(AY129*'TS1'!$AS$103,'CF1'!AY130*'TS1'!$AS$104,'CF1'!AY131*'TS1'!$AS$105,'CF1'!AY132*'TS1'!$AS$106,'CF1'!AY133*'TS1'!$AS$107,'CF1'!AY134*'TS1'!$AS$108,'CF1'!AY135*'TS1'!$AS$109)/10^6-SUM(AY137*'TS1'!$AT$103,'CF1'!AY138*'TS1'!$AT$104,'CF1'!AY139*'TS1'!$AT$105,'CF1'!AY140*'TS1'!$AT$106,'CF1'!AY141*'TS1'!$AT$107,'CF1'!AY142*'TS1'!$AT$108,'CF1'!AY143*'TS1'!$AT$109)/10^6</f>
        <v>0</v>
      </c>
      <c r="AZ160" s="155">
        <f>-SUM(AZ129*'TS1'!$AS$103,'CF1'!AZ130*'TS1'!$AS$104,'CF1'!AZ131*'TS1'!$AS$105,'CF1'!AZ132*'TS1'!$AS$106,'CF1'!AZ133*'TS1'!$AS$107,'CF1'!AZ134*'TS1'!$AS$108,'CF1'!AZ135*'TS1'!$AS$109)/10^6-SUM(AZ137*'TS1'!$AT$103,'CF1'!AZ138*'TS1'!$AT$104,'CF1'!AZ139*'TS1'!$AT$105,'CF1'!AZ140*'TS1'!$AT$106,'CF1'!AZ141*'TS1'!$AT$107,'CF1'!AZ142*'TS1'!$AT$108,'CF1'!AZ143*'TS1'!$AT$109)/10^6</f>
        <v>0</v>
      </c>
      <c r="BA160" s="155">
        <f>-SUM(BA129*'TS1'!$AS$103,'CF1'!BA130*'TS1'!$AS$104,'CF1'!BA131*'TS1'!$AS$105,'CF1'!BA132*'TS1'!$AS$106,'CF1'!BA133*'TS1'!$AS$107,'CF1'!BA134*'TS1'!$AS$108,'CF1'!BA135*'TS1'!$AS$109)/10^6-SUM(BA137*'TS1'!$AT$103,'CF1'!BA138*'TS1'!$AT$104,'CF1'!BA139*'TS1'!$AT$105,'CF1'!BA140*'TS1'!$AT$106,'CF1'!BA141*'TS1'!$AT$107,'CF1'!BA142*'TS1'!$AT$108,'CF1'!BA143*'TS1'!$AT$109)/10^6</f>
        <v>0</v>
      </c>
      <c r="BB160" s="155">
        <f>-SUM(BB129*'TS1'!$AS$103,'CF1'!BB130*'TS1'!$AS$104,'CF1'!BB131*'TS1'!$AS$105,'CF1'!BB132*'TS1'!$AS$106,'CF1'!BB133*'TS1'!$AS$107,'CF1'!BB134*'TS1'!$AS$108,'CF1'!BB135*'TS1'!$AS$109)/10^6-SUM(BB137*'TS1'!$AT$103,'CF1'!BB138*'TS1'!$AT$104,'CF1'!BB139*'TS1'!$AT$105,'CF1'!BB140*'TS1'!$AT$106,'CF1'!BB141*'TS1'!$AT$107,'CF1'!BB142*'TS1'!$AT$108,'CF1'!BB143*'TS1'!$AT$109)/10^6</f>
        <v>0</v>
      </c>
      <c r="BC160" s="155">
        <f>-SUM(BC129*'TS1'!$AS$103,'CF1'!BC130*'TS1'!$AS$104,'CF1'!BC131*'TS1'!$AS$105,'CF1'!BC132*'TS1'!$AS$106,'CF1'!BC133*'TS1'!$AS$107,'CF1'!BC134*'TS1'!$AS$108,'CF1'!BC135*'TS1'!$AS$109)/10^6-SUM(BC137*'TS1'!$AT$103,'CF1'!BC138*'TS1'!$AT$104,'CF1'!BC139*'TS1'!$AT$105,'CF1'!BC140*'TS1'!$AT$106,'CF1'!BC141*'TS1'!$AT$107,'CF1'!BC142*'TS1'!$AT$108,'CF1'!BC143*'TS1'!$AT$109)/10^6</f>
        <v>0</v>
      </c>
      <c r="BD160" s="155">
        <f>-SUM(BD129*'TS1'!$AS$103,'CF1'!BD130*'TS1'!$AS$104,'CF1'!BD131*'TS1'!$AS$105,'CF1'!BD132*'TS1'!$AS$106,'CF1'!BD133*'TS1'!$AS$107,'CF1'!BD134*'TS1'!$AS$108,'CF1'!BD135*'TS1'!$AS$109)/10^6-SUM(BD137*'TS1'!$AT$103,'CF1'!BD138*'TS1'!$AT$104,'CF1'!BD139*'TS1'!$AT$105,'CF1'!BD140*'TS1'!$AT$106,'CF1'!BD141*'TS1'!$AT$107,'CF1'!BD142*'TS1'!$AT$108,'CF1'!BD143*'TS1'!$AT$109)/10^6</f>
        <v>0</v>
      </c>
      <c r="BE160" s="155">
        <f>-SUM(BE129*'TS1'!$AS$103,'CF1'!BE130*'TS1'!$AS$104,'CF1'!BE131*'TS1'!$AS$105,'CF1'!BE132*'TS1'!$AS$106,'CF1'!BE133*'TS1'!$AS$107,'CF1'!BE134*'TS1'!$AS$108,'CF1'!BE135*'TS1'!$AS$109)/10^6-SUM(BE137*'TS1'!$AT$103,'CF1'!BE138*'TS1'!$AT$104,'CF1'!BE139*'TS1'!$AT$105,'CF1'!BE140*'TS1'!$AT$106,'CF1'!BE141*'TS1'!$AT$107,'CF1'!BE142*'TS1'!$AT$108,'CF1'!BE143*'TS1'!$AT$109)/10^6</f>
        <v>0</v>
      </c>
      <c r="BF160" s="155">
        <f>-SUM(BF129*'TS1'!$AS$103,'CF1'!BF130*'TS1'!$AS$104,'CF1'!BF131*'TS1'!$AS$105,'CF1'!BF132*'TS1'!$AS$106,'CF1'!BF133*'TS1'!$AS$107,'CF1'!BF134*'TS1'!$AS$108,'CF1'!BF135*'TS1'!$AS$109)/10^6-SUM(BF137*'TS1'!$AT$103,'CF1'!BF138*'TS1'!$AT$104,'CF1'!BF139*'TS1'!$AT$105,'CF1'!BF140*'TS1'!$AT$106,'CF1'!BF141*'TS1'!$AT$107,'CF1'!BF142*'TS1'!$AT$108,'CF1'!BF143*'TS1'!$AT$109)/10^6</f>
        <v>0</v>
      </c>
      <c r="BG160" s="155">
        <f>-SUM(BG129*'TS1'!$AS$103,'CF1'!BG130*'TS1'!$AS$104,'CF1'!BG131*'TS1'!$AS$105,'CF1'!BG132*'TS1'!$AS$106,'CF1'!BG133*'TS1'!$AS$107,'CF1'!BG134*'TS1'!$AS$108,'CF1'!BG135*'TS1'!$AS$109)/10^6-SUM(BG137*'TS1'!$AT$103,'CF1'!BG138*'TS1'!$AT$104,'CF1'!BG139*'TS1'!$AT$105,'CF1'!BG140*'TS1'!$AT$106,'CF1'!BG141*'TS1'!$AT$107,'CF1'!BG142*'TS1'!$AT$108,'CF1'!BG143*'TS1'!$AT$109)/10^6</f>
        <v>0</v>
      </c>
      <c r="BH160" s="155">
        <f>-SUM(BH129*'TS1'!$AS$103,'CF1'!BH130*'TS1'!$AS$104,'CF1'!BH131*'TS1'!$AS$105,'CF1'!BH132*'TS1'!$AS$106,'CF1'!BH133*'TS1'!$AS$107,'CF1'!BH134*'TS1'!$AS$108,'CF1'!BH135*'TS1'!$AS$109)/10^6-SUM(BH137*'TS1'!$AT$103,'CF1'!BH138*'TS1'!$AT$104,'CF1'!BH139*'TS1'!$AT$105,'CF1'!BH140*'TS1'!$AT$106,'CF1'!BH141*'TS1'!$AT$107,'CF1'!BH142*'TS1'!$AT$108,'CF1'!BH143*'TS1'!$AT$109)/10^6</f>
        <v>0</v>
      </c>
      <c r="BI160" s="155">
        <f>-SUM(BI129*'TS1'!$AS$103,'CF1'!BI130*'TS1'!$AS$104,'CF1'!BI131*'TS1'!$AS$105,'CF1'!BI132*'TS1'!$AS$106,'CF1'!BI133*'TS1'!$AS$107,'CF1'!BI134*'TS1'!$AS$108,'CF1'!BI135*'TS1'!$AS$109)/10^6-SUM(BI137*'TS1'!$AT$103,'CF1'!BI138*'TS1'!$AT$104,'CF1'!BI139*'TS1'!$AT$105,'CF1'!BI140*'TS1'!$AT$106,'CF1'!BI141*'TS1'!$AT$107,'CF1'!BI142*'TS1'!$AT$108,'CF1'!BI143*'TS1'!$AT$109)/10^6</f>
        <v>0</v>
      </c>
      <c r="BJ160" s="155">
        <f>-SUM(BJ129*'TS1'!$AS$103,'CF1'!BJ130*'TS1'!$AS$104,'CF1'!BJ131*'TS1'!$AS$105,'CF1'!BJ132*'TS1'!$AS$106,'CF1'!BJ133*'TS1'!$AS$107,'CF1'!BJ134*'TS1'!$AS$108,'CF1'!BJ135*'TS1'!$AS$109)/10^6-SUM(BJ137*'TS1'!$AT$103,'CF1'!BJ138*'TS1'!$AT$104,'CF1'!BJ139*'TS1'!$AT$105,'CF1'!BJ140*'TS1'!$AT$106,'CF1'!BJ141*'TS1'!$AT$107,'CF1'!BJ142*'TS1'!$AT$108,'CF1'!BJ143*'TS1'!$AT$109)/10^6</f>
        <v>0</v>
      </c>
      <c r="BK160" s="155">
        <f>-SUM(BK129*'TS1'!$AS$103,'CF1'!BK130*'TS1'!$AS$104,'CF1'!BK131*'TS1'!$AS$105,'CF1'!BK132*'TS1'!$AS$106,'CF1'!BK133*'TS1'!$AS$107,'CF1'!BK134*'TS1'!$AS$108,'CF1'!BK135*'TS1'!$AS$109)/10^6-SUM(BK137*'TS1'!$AT$103,'CF1'!BK138*'TS1'!$AT$104,'CF1'!BK139*'TS1'!$AT$105,'CF1'!BK140*'TS1'!$AT$106,'CF1'!BK141*'TS1'!$AT$107,'CF1'!BK142*'TS1'!$AT$108,'CF1'!BK143*'TS1'!$AT$109)/10^6</f>
        <v>0</v>
      </c>
      <c r="BL160" s="155">
        <f>-SUM(BL129*'TS1'!$AS$103,'CF1'!BL130*'TS1'!$AS$104,'CF1'!BL131*'TS1'!$AS$105,'CF1'!BL132*'TS1'!$AS$106,'CF1'!BL133*'TS1'!$AS$107,'CF1'!BL134*'TS1'!$AS$108,'CF1'!BL135*'TS1'!$AS$109)/10^6-SUM(BL137*'TS1'!$AT$103,'CF1'!BL138*'TS1'!$AT$104,'CF1'!BL139*'TS1'!$AT$105,'CF1'!BL140*'TS1'!$AT$106,'CF1'!BL141*'TS1'!$AT$107,'CF1'!BL142*'TS1'!$AT$108,'CF1'!BL143*'TS1'!$AT$109)/10^6</f>
        <v>0</v>
      </c>
      <c r="BM160" s="155">
        <f>-SUM(BM129*'TS1'!$AS$103,'CF1'!BM130*'TS1'!$AS$104,'CF1'!BM131*'TS1'!$AS$105,'CF1'!BM132*'TS1'!$AS$106,'CF1'!BM133*'TS1'!$AS$107,'CF1'!BM134*'TS1'!$AS$108,'CF1'!BM135*'TS1'!$AS$109)/10^6-SUM(BM137*'TS1'!$AT$103,'CF1'!BM138*'TS1'!$AT$104,'CF1'!BM139*'TS1'!$AT$105,'CF1'!BM140*'TS1'!$AT$106,'CF1'!BM141*'TS1'!$AT$107,'CF1'!BM142*'TS1'!$AT$108,'CF1'!BM143*'TS1'!$AT$109)/10^6</f>
        <v>0</v>
      </c>
    </row>
    <row r="161" spans="2:65" s="151" customFormat="1" hidden="1" outlineLevel="1">
      <c r="B161" s="152"/>
      <c r="C161" s="152" t="s">
        <v>30</v>
      </c>
      <c r="D161" s="153"/>
      <c r="E161" s="154">
        <f t="shared" si="62"/>
        <v>-3239.046059496452</v>
      </c>
      <c r="F161" s="155">
        <f t="shared" ref="F161:AK161" si="87">F50</f>
        <v>-0.18152285999999998</v>
      </c>
      <c r="G161" s="155">
        <f t="shared" si="87"/>
        <v>-0.55836329000000007</v>
      </c>
      <c r="H161" s="155">
        <f t="shared" si="87"/>
        <v>-0.28356999999999999</v>
      </c>
      <c r="I161" s="155">
        <f t="shared" si="87"/>
        <v>-0.29047000000000001</v>
      </c>
      <c r="J161" s="155">
        <f t="shared" si="87"/>
        <v>-0.33546999999999999</v>
      </c>
      <c r="K161" s="155">
        <f t="shared" si="87"/>
        <v>-0.3448</v>
      </c>
      <c r="L161" s="155">
        <f t="shared" si="87"/>
        <v>-0.63933561999999999</v>
      </c>
      <c r="M161" s="155">
        <f t="shared" si="87"/>
        <v>-0.68847999999999998</v>
      </c>
      <c r="N161" s="155">
        <f t="shared" si="87"/>
        <v>-2.5783841626923079</v>
      </c>
      <c r="O161" s="155">
        <f t="shared" si="87"/>
        <v>-8.0783841626923092</v>
      </c>
      <c r="P161" s="155">
        <f t="shared" si="87"/>
        <v>-7.0783841626923083</v>
      </c>
      <c r="Q161" s="155">
        <f t="shared" si="87"/>
        <v>-4.0783841626923074</v>
      </c>
      <c r="R161" s="155">
        <f t="shared" si="87"/>
        <v>-17.578384162692309</v>
      </c>
      <c r="S161" s="155">
        <f t="shared" si="87"/>
        <v>-11.828384162692307</v>
      </c>
      <c r="T161" s="155">
        <f t="shared" si="87"/>
        <v>-79.129936244239474</v>
      </c>
      <c r="U161" s="155">
        <f t="shared" si="87"/>
        <v>-115.97079988060312</v>
      </c>
      <c r="V161" s="155">
        <f t="shared" si="87"/>
        <v>-125.20146606726686</v>
      </c>
      <c r="W161" s="155">
        <f t="shared" si="87"/>
        <v>-128.37321784417011</v>
      </c>
      <c r="X161" s="155">
        <f t="shared" si="87"/>
        <v>-131.8625491088728</v>
      </c>
      <c r="Y161" s="155">
        <f t="shared" si="87"/>
        <v>-135.76019685788896</v>
      </c>
      <c r="Z161" s="155">
        <f t="shared" si="87"/>
        <v>-144.4639349118948</v>
      </c>
      <c r="AA161" s="155">
        <f t="shared" si="87"/>
        <v>-148.72571885107078</v>
      </c>
      <c r="AB161" s="155">
        <f t="shared" si="87"/>
        <v>-153.84496740730515</v>
      </c>
      <c r="AC161" s="155">
        <f t="shared" si="87"/>
        <v>-160.39332365863677</v>
      </c>
      <c r="AD161" s="155">
        <f t="shared" si="87"/>
        <v>-172.55770589214038</v>
      </c>
      <c r="AE161" s="155">
        <f t="shared" si="87"/>
        <v>-209.10626117501252</v>
      </c>
      <c r="AF161" s="155">
        <f t="shared" si="87"/>
        <v>-138.62215952413081</v>
      </c>
      <c r="AG161" s="155">
        <f t="shared" si="87"/>
        <v>-168.08076301690451</v>
      </c>
      <c r="AH161" s="155">
        <f t="shared" si="87"/>
        <v>-212.9773701340313</v>
      </c>
      <c r="AI161" s="155">
        <f t="shared" si="87"/>
        <v>-212.44976718403129</v>
      </c>
      <c r="AJ161" s="155">
        <f t="shared" si="87"/>
        <v>-160.74467808403128</v>
      </c>
      <c r="AK161" s="155">
        <f t="shared" si="87"/>
        <v>-160.74467808403128</v>
      </c>
      <c r="AL161" s="155">
        <f t="shared" ref="AL161:BM161" si="88">AL50</f>
        <v>-160.56467808403127</v>
      </c>
      <c r="AM161" s="155">
        <f t="shared" si="88"/>
        <v>-160.20941197082374</v>
      </c>
      <c r="AN161" s="155">
        <f t="shared" si="88"/>
        <v>-81.733937904007774</v>
      </c>
      <c r="AO161" s="155">
        <f t="shared" si="88"/>
        <v>-22.986220865173131</v>
      </c>
      <c r="AP161" s="155">
        <f t="shared" si="88"/>
        <v>0</v>
      </c>
      <c r="AQ161" s="155">
        <f t="shared" si="88"/>
        <v>0</v>
      </c>
      <c r="AR161" s="155">
        <f t="shared" si="88"/>
        <v>0</v>
      </c>
      <c r="AS161" s="155">
        <f t="shared" si="88"/>
        <v>0</v>
      </c>
      <c r="AT161" s="155">
        <f t="shared" si="88"/>
        <v>0</v>
      </c>
      <c r="AU161" s="155">
        <f t="shared" si="88"/>
        <v>0</v>
      </c>
      <c r="AV161" s="155">
        <f t="shared" si="88"/>
        <v>0</v>
      </c>
      <c r="AW161" s="155">
        <f t="shared" si="88"/>
        <v>0</v>
      </c>
      <c r="AX161" s="155">
        <f t="shared" si="88"/>
        <v>0</v>
      </c>
      <c r="AY161" s="155">
        <f t="shared" si="88"/>
        <v>0</v>
      </c>
      <c r="AZ161" s="155">
        <f t="shared" si="88"/>
        <v>0</v>
      </c>
      <c r="BA161" s="155">
        <f t="shared" si="88"/>
        <v>0</v>
      </c>
      <c r="BB161" s="155">
        <f t="shared" si="88"/>
        <v>0</v>
      </c>
      <c r="BC161" s="155">
        <f t="shared" si="88"/>
        <v>0</v>
      </c>
      <c r="BD161" s="155">
        <f t="shared" si="88"/>
        <v>0</v>
      </c>
      <c r="BE161" s="155">
        <f t="shared" si="88"/>
        <v>0</v>
      </c>
      <c r="BF161" s="155">
        <f t="shared" si="88"/>
        <v>0</v>
      </c>
      <c r="BG161" s="155">
        <f t="shared" si="88"/>
        <v>0</v>
      </c>
      <c r="BH161" s="155">
        <f t="shared" si="88"/>
        <v>0</v>
      </c>
      <c r="BI161" s="155">
        <f t="shared" si="88"/>
        <v>0</v>
      </c>
      <c r="BJ161" s="155">
        <f t="shared" si="88"/>
        <v>0</v>
      </c>
      <c r="BK161" s="155">
        <f t="shared" si="88"/>
        <v>0</v>
      </c>
      <c r="BL161" s="155">
        <f t="shared" si="88"/>
        <v>0</v>
      </c>
      <c r="BM161" s="155">
        <f t="shared" si="88"/>
        <v>0</v>
      </c>
    </row>
    <row r="162" spans="2:65" s="151" customFormat="1" hidden="1" outlineLevel="1">
      <c r="B162" s="152"/>
      <c r="C162" s="152" t="s">
        <v>84</v>
      </c>
      <c r="D162" s="153"/>
      <c r="E162" s="154">
        <f t="shared" si="62"/>
        <v>-6991.9295433416128</v>
      </c>
      <c r="F162" s="155"/>
      <c r="G162" s="155">
        <f t="shared" ref="G162:AL162" si="89">-F103-F100-F98-F92-F90-F84</f>
        <v>-1.0500000000000002E-2</v>
      </c>
      <c r="H162" s="155">
        <f t="shared" si="89"/>
        <v>-4.200000000000001E-2</v>
      </c>
      <c r="I162" s="155">
        <f t="shared" si="89"/>
        <v>-7.3499999999999996E-2</v>
      </c>
      <c r="J162" s="155">
        <f t="shared" si="89"/>
        <v>-8.925000000000001E-2</v>
      </c>
      <c r="K162" s="155">
        <f t="shared" si="89"/>
        <v>-8.925000000000001E-2</v>
      </c>
      <c r="L162" s="155">
        <f t="shared" si="89"/>
        <v>-0.13750000000000001</v>
      </c>
      <c r="M162" s="155">
        <f t="shared" si="89"/>
        <v>-0.17050000000000001</v>
      </c>
      <c r="N162" s="155">
        <f t="shared" si="89"/>
        <v>-0.22935</v>
      </c>
      <c r="O162" s="155">
        <f t="shared" si="89"/>
        <v>-4.4796735046236167</v>
      </c>
      <c r="P162" s="155">
        <f t="shared" si="89"/>
        <v>-11.046179943003283</v>
      </c>
      <c r="Q162" s="155">
        <f t="shared" si="89"/>
        <v>-400.4688227048585</v>
      </c>
      <c r="R162" s="155">
        <f t="shared" si="89"/>
        <v>-260.65512614278316</v>
      </c>
      <c r="S162" s="155">
        <f t="shared" si="89"/>
        <v>-294.1651633453082</v>
      </c>
      <c r="T162" s="155">
        <f t="shared" si="89"/>
        <v>-345.25128939618361</v>
      </c>
      <c r="U162" s="155">
        <f t="shared" si="89"/>
        <v>-379.190317550614</v>
      </c>
      <c r="V162" s="155">
        <f t="shared" si="89"/>
        <v>-408.2449232464084</v>
      </c>
      <c r="W162" s="155">
        <f t="shared" si="89"/>
        <v>-432.84317279115766</v>
      </c>
      <c r="X162" s="155">
        <f t="shared" si="89"/>
        <v>-448.24443717119624</v>
      </c>
      <c r="Y162" s="155">
        <f t="shared" si="89"/>
        <v>-447.0654400573722</v>
      </c>
      <c r="Z162" s="155">
        <f t="shared" si="89"/>
        <v>-455.05977955152417</v>
      </c>
      <c r="AA162" s="155">
        <f t="shared" si="89"/>
        <v>-463.33427571082603</v>
      </c>
      <c r="AB162" s="155">
        <f t="shared" si="89"/>
        <v>-466.69433822390187</v>
      </c>
      <c r="AC162" s="155">
        <f t="shared" si="89"/>
        <v>-467.7526923486281</v>
      </c>
      <c r="AD162" s="155">
        <f t="shared" si="89"/>
        <v>-466.98571074979372</v>
      </c>
      <c r="AE162" s="155">
        <f t="shared" si="89"/>
        <v>-458.01117814211904</v>
      </c>
      <c r="AF162" s="155">
        <f t="shared" si="89"/>
        <v>-468.87382140617342</v>
      </c>
      <c r="AG162" s="155">
        <f t="shared" si="89"/>
        <v>-152.53760608296139</v>
      </c>
      <c r="AH162" s="155">
        <f t="shared" si="89"/>
        <v>-84.901900775654951</v>
      </c>
      <c r="AI162" s="155">
        <f t="shared" si="89"/>
        <v>-42.775991396630751</v>
      </c>
      <c r="AJ162" s="155">
        <f t="shared" si="89"/>
        <v>-22.946100698392392</v>
      </c>
      <c r="AK162" s="155">
        <f t="shared" si="89"/>
        <v>-9.5597524014986295</v>
      </c>
      <c r="AL162" s="155">
        <f t="shared" si="89"/>
        <v>0</v>
      </c>
      <c r="AM162" s="155">
        <f t="shared" ref="AM162:BM162" si="90">-AL103-AL100-AL98-AL92-AL90-AL84</f>
        <v>0</v>
      </c>
      <c r="AN162" s="155">
        <f t="shared" si="90"/>
        <v>0</v>
      </c>
      <c r="AO162" s="155">
        <f t="shared" si="90"/>
        <v>0</v>
      </c>
      <c r="AP162" s="155">
        <f t="shared" si="90"/>
        <v>0</v>
      </c>
      <c r="AQ162" s="155">
        <f t="shared" si="90"/>
        <v>0</v>
      </c>
      <c r="AR162" s="155">
        <f t="shared" si="90"/>
        <v>0</v>
      </c>
      <c r="AS162" s="155">
        <f t="shared" si="90"/>
        <v>0</v>
      </c>
      <c r="AT162" s="155">
        <f t="shared" si="90"/>
        <v>0</v>
      </c>
      <c r="AU162" s="155">
        <f t="shared" si="90"/>
        <v>0</v>
      </c>
      <c r="AV162" s="155">
        <f t="shared" si="90"/>
        <v>0</v>
      </c>
      <c r="AW162" s="155">
        <f t="shared" si="90"/>
        <v>0</v>
      </c>
      <c r="AX162" s="155">
        <f t="shared" si="90"/>
        <v>0</v>
      </c>
      <c r="AY162" s="155">
        <f t="shared" si="90"/>
        <v>0</v>
      </c>
      <c r="AZ162" s="155">
        <f t="shared" si="90"/>
        <v>0</v>
      </c>
      <c r="BA162" s="155">
        <f t="shared" si="90"/>
        <v>0</v>
      </c>
      <c r="BB162" s="155">
        <f t="shared" si="90"/>
        <v>0</v>
      </c>
      <c r="BC162" s="155">
        <f t="shared" si="90"/>
        <v>0</v>
      </c>
      <c r="BD162" s="155">
        <f t="shared" si="90"/>
        <v>0</v>
      </c>
      <c r="BE162" s="155">
        <f t="shared" si="90"/>
        <v>0</v>
      </c>
      <c r="BF162" s="155">
        <f t="shared" si="90"/>
        <v>0</v>
      </c>
      <c r="BG162" s="155">
        <f t="shared" si="90"/>
        <v>0</v>
      </c>
      <c r="BH162" s="155">
        <f t="shared" si="90"/>
        <v>0</v>
      </c>
      <c r="BI162" s="155">
        <f t="shared" si="90"/>
        <v>0</v>
      </c>
      <c r="BJ162" s="155">
        <f t="shared" si="90"/>
        <v>0</v>
      </c>
      <c r="BK162" s="155">
        <f t="shared" si="90"/>
        <v>0</v>
      </c>
      <c r="BL162" s="155">
        <f t="shared" si="90"/>
        <v>0</v>
      </c>
      <c r="BM162" s="155">
        <f t="shared" si="90"/>
        <v>0</v>
      </c>
    </row>
    <row r="163" spans="2:65" s="151" customFormat="1" hidden="1" outlineLevel="1">
      <c r="B163" s="152"/>
      <c r="C163" s="152" t="s">
        <v>98</v>
      </c>
      <c r="D163" s="153"/>
      <c r="E163" s="154">
        <f t="shared" si="62"/>
        <v>7837.8273789547493</v>
      </c>
      <c r="F163" s="155">
        <f t="shared" ref="F163:AS163" si="91">SUM(F144:F162)</f>
        <v>-0.18152285999999998</v>
      </c>
      <c r="G163" s="155">
        <f t="shared" si="91"/>
        <v>-0.56886329000000002</v>
      </c>
      <c r="H163" s="155">
        <f t="shared" si="91"/>
        <v>-0.32557000000000003</v>
      </c>
      <c r="I163" s="155">
        <f t="shared" si="91"/>
        <v>-0.36397000000000002</v>
      </c>
      <c r="J163" s="155">
        <f t="shared" si="91"/>
        <v>-0.42471999999999999</v>
      </c>
      <c r="K163" s="155">
        <f t="shared" si="91"/>
        <v>-0.43404999999999999</v>
      </c>
      <c r="L163" s="155">
        <f t="shared" si="91"/>
        <v>-0.77683561999999995</v>
      </c>
      <c r="M163" s="155">
        <f t="shared" si="91"/>
        <v>-0.85897999999999997</v>
      </c>
      <c r="N163" s="155">
        <f t="shared" si="91"/>
        <v>-2.807734162692308</v>
      </c>
      <c r="O163" s="155">
        <f t="shared" si="91"/>
        <v>-12.558057667315925</v>
      </c>
      <c r="P163" s="155">
        <f t="shared" si="91"/>
        <v>-18.12456410569559</v>
      </c>
      <c r="Q163" s="155">
        <f t="shared" si="91"/>
        <v>-404.54720686755081</v>
      </c>
      <c r="R163" s="155">
        <f t="shared" si="91"/>
        <v>-278.23351030547548</v>
      </c>
      <c r="S163" s="155">
        <f t="shared" si="91"/>
        <v>-305.99354750800052</v>
      </c>
      <c r="T163" s="155">
        <f t="shared" si="91"/>
        <v>-424.38122564042305</v>
      </c>
      <c r="U163" s="155">
        <f t="shared" si="91"/>
        <v>-495.16111743121712</v>
      </c>
      <c r="V163" s="155">
        <f t="shared" si="91"/>
        <v>-533.44638931367524</v>
      </c>
      <c r="W163" s="155">
        <f t="shared" si="91"/>
        <v>-561.2163906353278</v>
      </c>
      <c r="X163" s="155">
        <f t="shared" si="91"/>
        <v>-580.10698628006901</v>
      </c>
      <c r="Y163" s="155">
        <f t="shared" si="91"/>
        <v>-582.82563691526116</v>
      </c>
      <c r="Z163" s="155">
        <f t="shared" si="91"/>
        <v>-599.52371446341897</v>
      </c>
      <c r="AA163" s="155">
        <f t="shared" si="91"/>
        <v>-612.05999456189681</v>
      </c>
      <c r="AB163" s="155">
        <f t="shared" si="91"/>
        <v>-620.53930563120707</v>
      </c>
      <c r="AC163" s="155">
        <f t="shared" si="91"/>
        <v>-628.14601600726485</v>
      </c>
      <c r="AD163" s="155">
        <f t="shared" si="91"/>
        <v>-639.54341664193407</v>
      </c>
      <c r="AE163" s="155">
        <f t="shared" si="91"/>
        <v>-667.11743931713158</v>
      </c>
      <c r="AF163" s="155">
        <f t="shared" si="91"/>
        <v>9199.3519597118266</v>
      </c>
      <c r="AG163" s="155">
        <f t="shared" si="91"/>
        <v>1245.2674238860452</v>
      </c>
      <c r="AH163" s="155">
        <f t="shared" si="91"/>
        <v>1268.0065220762249</v>
      </c>
      <c r="AI163" s="155">
        <f t="shared" si="91"/>
        <v>811.68327879710034</v>
      </c>
      <c r="AJ163" s="155">
        <f t="shared" si="91"/>
        <v>883.21825859533874</v>
      </c>
      <c r="AK163" s="155">
        <f t="shared" si="91"/>
        <v>896.60460689223248</v>
      </c>
      <c r="AL163" s="155">
        <f t="shared" si="91"/>
        <v>906.34435929373115</v>
      </c>
      <c r="AM163" s="155">
        <f t="shared" si="91"/>
        <v>702.33789369698752</v>
      </c>
      <c r="AN163" s="155">
        <f t="shared" si="91"/>
        <v>-81.733937904007774</v>
      </c>
      <c r="AO163" s="155">
        <f t="shared" si="91"/>
        <v>-22.986220865173131</v>
      </c>
      <c r="AP163" s="155">
        <f t="shared" si="91"/>
        <v>0</v>
      </c>
      <c r="AQ163" s="155">
        <f t="shared" si="91"/>
        <v>0</v>
      </c>
      <c r="AR163" s="155">
        <f t="shared" si="91"/>
        <v>0</v>
      </c>
      <c r="AS163" s="155">
        <f t="shared" si="91"/>
        <v>0</v>
      </c>
      <c r="AT163" s="155">
        <f t="shared" ref="AT163:BM163" si="92">SUM(AT144:AT162)</f>
        <v>0</v>
      </c>
      <c r="AU163" s="155">
        <f t="shared" si="92"/>
        <v>0</v>
      </c>
      <c r="AV163" s="155">
        <f t="shared" si="92"/>
        <v>0</v>
      </c>
      <c r="AW163" s="155">
        <f t="shared" si="92"/>
        <v>0</v>
      </c>
      <c r="AX163" s="155">
        <f t="shared" si="92"/>
        <v>0</v>
      </c>
      <c r="AY163" s="155">
        <f t="shared" si="92"/>
        <v>0</v>
      </c>
      <c r="AZ163" s="155">
        <f t="shared" si="92"/>
        <v>0</v>
      </c>
      <c r="BA163" s="155">
        <f t="shared" si="92"/>
        <v>0</v>
      </c>
      <c r="BB163" s="155">
        <f t="shared" si="92"/>
        <v>0</v>
      </c>
      <c r="BC163" s="155">
        <f t="shared" si="92"/>
        <v>0</v>
      </c>
      <c r="BD163" s="155">
        <f t="shared" si="92"/>
        <v>0</v>
      </c>
      <c r="BE163" s="155">
        <f t="shared" si="92"/>
        <v>0</v>
      </c>
      <c r="BF163" s="155">
        <f t="shared" si="92"/>
        <v>0</v>
      </c>
      <c r="BG163" s="155">
        <f t="shared" si="92"/>
        <v>0</v>
      </c>
      <c r="BH163" s="155">
        <f t="shared" si="92"/>
        <v>0</v>
      </c>
      <c r="BI163" s="155">
        <f t="shared" si="92"/>
        <v>0</v>
      </c>
      <c r="BJ163" s="155">
        <f t="shared" si="92"/>
        <v>0</v>
      </c>
      <c r="BK163" s="155">
        <f t="shared" si="92"/>
        <v>0</v>
      </c>
      <c r="BL163" s="155">
        <f t="shared" si="92"/>
        <v>0</v>
      </c>
      <c r="BM163" s="155">
        <f t="shared" si="92"/>
        <v>0</v>
      </c>
    </row>
    <row r="164" spans="2:65" s="151" customFormat="1" hidden="1" outlineLevel="1">
      <c r="B164" s="152"/>
      <c r="C164" s="152" t="s">
        <v>101</v>
      </c>
      <c r="D164" s="153"/>
      <c r="E164" s="154"/>
      <c r="F164" s="155">
        <f>F163</f>
        <v>-0.18152285999999998</v>
      </c>
      <c r="G164" s="155">
        <f>IF(G163&lt;0,F164+G163,IF(F164&lt;=0,IF(ABS(F164)&gt;G163,F164+G163/2,F164+ABS(F164))))</f>
        <v>-0.75038614999999997</v>
      </c>
      <c r="H164" s="155">
        <f t="shared" ref="H164:BM164" si="93">IF(H163&lt;0,G164+H163,IF(G164&lt;=0,IF(ABS(G164)&gt;H163,G164+H163/2,G164+ABS(G164))))</f>
        <v>-1.0759561500000001</v>
      </c>
      <c r="I164" s="155">
        <f t="shared" si="93"/>
        <v>-1.4399261500000002</v>
      </c>
      <c r="J164" s="155">
        <f t="shared" si="93"/>
        <v>-1.8646461500000002</v>
      </c>
      <c r="K164" s="155">
        <f t="shared" si="93"/>
        <v>-2.29869615</v>
      </c>
      <c r="L164" s="155">
        <f t="shared" si="93"/>
        <v>-3.07553177</v>
      </c>
      <c r="M164" s="155">
        <f t="shared" si="93"/>
        <v>-3.9345117699999999</v>
      </c>
      <c r="N164" s="155">
        <f t="shared" si="93"/>
        <v>-6.7422459326923079</v>
      </c>
      <c r="O164" s="155">
        <f t="shared" si="93"/>
        <v>-19.300303600008235</v>
      </c>
      <c r="P164" s="155">
        <f t="shared" si="93"/>
        <v>-37.424867705703825</v>
      </c>
      <c r="Q164" s="155">
        <f t="shared" si="93"/>
        <v>-441.97207457325464</v>
      </c>
      <c r="R164" s="155">
        <f t="shared" si="93"/>
        <v>-720.20558487873018</v>
      </c>
      <c r="S164" s="155">
        <f t="shared" si="93"/>
        <v>-1026.1991323867308</v>
      </c>
      <c r="T164" s="155">
        <f t="shared" si="93"/>
        <v>-1450.5803580271538</v>
      </c>
      <c r="U164" s="155">
        <f t="shared" si="93"/>
        <v>-1945.741475458371</v>
      </c>
      <c r="V164" s="155">
        <f t="shared" si="93"/>
        <v>-2479.1878647720464</v>
      </c>
      <c r="W164" s="155">
        <f t="shared" si="93"/>
        <v>-3040.404255407374</v>
      </c>
      <c r="X164" s="155">
        <f t="shared" si="93"/>
        <v>-3620.5112416874431</v>
      </c>
      <c r="Y164" s="155">
        <f t="shared" si="93"/>
        <v>-4203.336878602704</v>
      </c>
      <c r="Z164" s="155">
        <f t="shared" si="93"/>
        <v>-4802.8605930661233</v>
      </c>
      <c r="AA164" s="155">
        <f t="shared" si="93"/>
        <v>-5414.9205876280203</v>
      </c>
      <c r="AB164" s="155">
        <f t="shared" si="93"/>
        <v>-6035.4598932592271</v>
      </c>
      <c r="AC164" s="155">
        <f t="shared" si="93"/>
        <v>-6663.6059092664918</v>
      </c>
      <c r="AD164" s="155">
        <f t="shared" si="93"/>
        <v>-7303.1493259084255</v>
      </c>
      <c r="AE164" s="155">
        <f t="shared" si="93"/>
        <v>-7970.2667652255568</v>
      </c>
      <c r="AF164" s="155">
        <f t="shared" si="93"/>
        <v>0</v>
      </c>
      <c r="AG164" s="155">
        <f t="shared" si="93"/>
        <v>0</v>
      </c>
      <c r="AH164" s="155">
        <f t="shared" si="93"/>
        <v>0</v>
      </c>
      <c r="AI164" s="155">
        <f t="shared" si="93"/>
        <v>0</v>
      </c>
      <c r="AJ164" s="155">
        <f t="shared" si="93"/>
        <v>0</v>
      </c>
      <c r="AK164" s="155">
        <f t="shared" si="93"/>
        <v>0</v>
      </c>
      <c r="AL164" s="155">
        <f t="shared" si="93"/>
        <v>0</v>
      </c>
      <c r="AM164" s="155">
        <f t="shared" si="93"/>
        <v>0</v>
      </c>
      <c r="AN164" s="155">
        <f t="shared" si="93"/>
        <v>-81.733937904007774</v>
      </c>
      <c r="AO164" s="155">
        <f t="shared" si="93"/>
        <v>-104.7201587691809</v>
      </c>
      <c r="AP164" s="155">
        <f t="shared" si="93"/>
        <v>-104.7201587691809</v>
      </c>
      <c r="AQ164" s="155">
        <f t="shared" si="93"/>
        <v>-104.7201587691809</v>
      </c>
      <c r="AR164" s="155">
        <f t="shared" si="93"/>
        <v>-104.7201587691809</v>
      </c>
      <c r="AS164" s="155">
        <f t="shared" si="93"/>
        <v>-104.7201587691809</v>
      </c>
      <c r="AT164" s="155">
        <f t="shared" si="93"/>
        <v>-104.7201587691809</v>
      </c>
      <c r="AU164" s="155">
        <f t="shared" si="93"/>
        <v>-104.7201587691809</v>
      </c>
      <c r="AV164" s="155">
        <f t="shared" si="93"/>
        <v>-104.7201587691809</v>
      </c>
      <c r="AW164" s="155">
        <f t="shared" si="93"/>
        <v>-104.7201587691809</v>
      </c>
      <c r="AX164" s="155">
        <f t="shared" si="93"/>
        <v>-104.7201587691809</v>
      </c>
      <c r="AY164" s="155">
        <f t="shared" si="93"/>
        <v>-104.7201587691809</v>
      </c>
      <c r="AZ164" s="155">
        <f t="shared" si="93"/>
        <v>-104.7201587691809</v>
      </c>
      <c r="BA164" s="155">
        <f t="shared" si="93"/>
        <v>-104.7201587691809</v>
      </c>
      <c r="BB164" s="155">
        <f t="shared" si="93"/>
        <v>-104.7201587691809</v>
      </c>
      <c r="BC164" s="155">
        <f t="shared" si="93"/>
        <v>-104.7201587691809</v>
      </c>
      <c r="BD164" s="155">
        <f t="shared" si="93"/>
        <v>-104.7201587691809</v>
      </c>
      <c r="BE164" s="155">
        <f t="shared" si="93"/>
        <v>-104.7201587691809</v>
      </c>
      <c r="BF164" s="155">
        <f t="shared" si="93"/>
        <v>-104.7201587691809</v>
      </c>
      <c r="BG164" s="155">
        <f t="shared" si="93"/>
        <v>-104.7201587691809</v>
      </c>
      <c r="BH164" s="155">
        <f t="shared" si="93"/>
        <v>-104.7201587691809</v>
      </c>
      <c r="BI164" s="155">
        <f t="shared" si="93"/>
        <v>-104.7201587691809</v>
      </c>
      <c r="BJ164" s="155">
        <f t="shared" si="93"/>
        <v>-104.7201587691809</v>
      </c>
      <c r="BK164" s="155">
        <f t="shared" si="93"/>
        <v>-104.7201587691809</v>
      </c>
      <c r="BL164" s="155">
        <f t="shared" si="93"/>
        <v>-104.7201587691809</v>
      </c>
      <c r="BM164" s="155">
        <f t="shared" si="93"/>
        <v>-104.7201587691809</v>
      </c>
    </row>
    <row r="165" spans="2:65" s="151" customFormat="1" hidden="1" outlineLevel="1">
      <c r="B165" s="152"/>
      <c r="C165" s="152" t="s">
        <v>90</v>
      </c>
      <c r="D165" s="153"/>
      <c r="E165" s="154">
        <f>SUM(F165:AS165)</f>
        <v>7942.54753772393</v>
      </c>
      <c r="F165" s="155">
        <f>F163+(E164-F164)</f>
        <v>0</v>
      </c>
      <c r="G165" s="155">
        <f>G163+(F164-G164)</f>
        <v>0</v>
      </c>
      <c r="H165" s="155">
        <f t="shared" ref="H165:Q165" si="94">H163+(G164-H164)</f>
        <v>0</v>
      </c>
      <c r="I165" s="155">
        <f t="shared" si="94"/>
        <v>0</v>
      </c>
      <c r="J165" s="155">
        <f t="shared" si="94"/>
        <v>0</v>
      </c>
      <c r="K165" s="155">
        <f t="shared" si="94"/>
        <v>0</v>
      </c>
      <c r="L165" s="155">
        <f t="shared" si="94"/>
        <v>0</v>
      </c>
      <c r="M165" s="155">
        <f t="shared" si="94"/>
        <v>0</v>
      </c>
      <c r="N165" s="155">
        <f t="shared" si="94"/>
        <v>0</v>
      </c>
      <c r="O165" s="155">
        <f t="shared" si="94"/>
        <v>0</v>
      </c>
      <c r="P165" s="155">
        <f t="shared" si="94"/>
        <v>0</v>
      </c>
      <c r="Q165" s="155">
        <f t="shared" si="94"/>
        <v>0</v>
      </c>
      <c r="R165" s="155">
        <f t="shared" ref="R165:BM165" si="95">R163+(Q164-R164)</f>
        <v>0</v>
      </c>
      <c r="S165" s="155">
        <f t="shared" si="95"/>
        <v>0</v>
      </c>
      <c r="T165" s="155">
        <f t="shared" si="95"/>
        <v>0</v>
      </c>
      <c r="U165" s="155">
        <f t="shared" si="95"/>
        <v>0</v>
      </c>
      <c r="V165" s="155">
        <f t="shared" si="95"/>
        <v>0</v>
      </c>
      <c r="W165" s="155">
        <f t="shared" si="95"/>
        <v>0</v>
      </c>
      <c r="X165" s="155">
        <f t="shared" si="95"/>
        <v>0</v>
      </c>
      <c r="Y165" s="155">
        <f t="shared" si="95"/>
        <v>0</v>
      </c>
      <c r="Z165" s="155">
        <f t="shared" si="95"/>
        <v>0</v>
      </c>
      <c r="AA165" s="155">
        <f t="shared" si="95"/>
        <v>0</v>
      </c>
      <c r="AB165" s="155">
        <f t="shared" si="95"/>
        <v>0</v>
      </c>
      <c r="AC165" s="155">
        <f t="shared" si="95"/>
        <v>0</v>
      </c>
      <c r="AD165" s="155">
        <f t="shared" si="95"/>
        <v>0</v>
      </c>
      <c r="AE165" s="155">
        <f t="shared" si="95"/>
        <v>0</v>
      </c>
      <c r="AF165" s="155">
        <f t="shared" si="95"/>
        <v>1229.0851944862698</v>
      </c>
      <c r="AG165" s="155">
        <f t="shared" si="95"/>
        <v>1245.2674238860452</v>
      </c>
      <c r="AH165" s="155">
        <f t="shared" si="95"/>
        <v>1268.0065220762249</v>
      </c>
      <c r="AI165" s="155">
        <f t="shared" si="95"/>
        <v>811.68327879710034</v>
      </c>
      <c r="AJ165" s="155">
        <f t="shared" si="95"/>
        <v>883.21825859533874</v>
      </c>
      <c r="AK165" s="155">
        <f t="shared" si="95"/>
        <v>896.60460689223248</v>
      </c>
      <c r="AL165" s="155">
        <f t="shared" si="95"/>
        <v>906.34435929373115</v>
      </c>
      <c r="AM165" s="155">
        <f t="shared" si="95"/>
        <v>702.33789369698752</v>
      </c>
      <c r="AN165" s="155">
        <f t="shared" si="95"/>
        <v>0</v>
      </c>
      <c r="AO165" s="155">
        <f t="shared" si="95"/>
        <v>0</v>
      </c>
      <c r="AP165" s="155">
        <f t="shared" si="95"/>
        <v>0</v>
      </c>
      <c r="AQ165" s="155">
        <f t="shared" si="95"/>
        <v>0</v>
      </c>
      <c r="AR165" s="155">
        <f t="shared" si="95"/>
        <v>0</v>
      </c>
      <c r="AS165" s="155">
        <f t="shared" si="95"/>
        <v>0</v>
      </c>
      <c r="AT165" s="155">
        <f t="shared" si="95"/>
        <v>0</v>
      </c>
      <c r="AU165" s="155">
        <f t="shared" si="95"/>
        <v>0</v>
      </c>
      <c r="AV165" s="155">
        <f t="shared" si="95"/>
        <v>0</v>
      </c>
      <c r="AW165" s="155">
        <f t="shared" si="95"/>
        <v>0</v>
      </c>
      <c r="AX165" s="155">
        <f t="shared" si="95"/>
        <v>0</v>
      </c>
      <c r="AY165" s="155">
        <f t="shared" si="95"/>
        <v>0</v>
      </c>
      <c r="AZ165" s="155">
        <f t="shared" si="95"/>
        <v>0</v>
      </c>
      <c r="BA165" s="155">
        <f t="shared" si="95"/>
        <v>0</v>
      </c>
      <c r="BB165" s="155">
        <f t="shared" si="95"/>
        <v>0</v>
      </c>
      <c r="BC165" s="155">
        <f t="shared" si="95"/>
        <v>0</v>
      </c>
      <c r="BD165" s="155">
        <f t="shared" si="95"/>
        <v>0</v>
      </c>
      <c r="BE165" s="155">
        <f t="shared" si="95"/>
        <v>0</v>
      </c>
      <c r="BF165" s="155">
        <f t="shared" si="95"/>
        <v>0</v>
      </c>
      <c r="BG165" s="155">
        <f t="shared" si="95"/>
        <v>0</v>
      </c>
      <c r="BH165" s="155">
        <f t="shared" si="95"/>
        <v>0</v>
      </c>
      <c r="BI165" s="155">
        <f t="shared" si="95"/>
        <v>0</v>
      </c>
      <c r="BJ165" s="155">
        <f t="shared" si="95"/>
        <v>0</v>
      </c>
      <c r="BK165" s="155">
        <f t="shared" si="95"/>
        <v>0</v>
      </c>
      <c r="BL165" s="155">
        <f t="shared" si="95"/>
        <v>0</v>
      </c>
      <c r="BM165" s="155">
        <f t="shared" si="95"/>
        <v>0</v>
      </c>
    </row>
    <row r="166" spans="2:65" s="151" customFormat="1" collapsed="1">
      <c r="D166" s="162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  <c r="AS166" s="136"/>
      <c r="AT166" s="136"/>
      <c r="AU166" s="136"/>
      <c r="AV166" s="136"/>
      <c r="AW166" s="136"/>
      <c r="AX166" s="136"/>
      <c r="AY166" s="136"/>
      <c r="AZ166" s="136"/>
      <c r="BA166" s="136"/>
      <c r="BB166" s="136"/>
      <c r="BC166" s="136"/>
      <c r="BD166" s="136"/>
      <c r="BE166" s="136"/>
      <c r="BF166" s="136"/>
      <c r="BG166" s="136"/>
      <c r="BH166" s="136"/>
      <c r="BI166" s="136"/>
      <c r="BJ166" s="136"/>
      <c r="BK166" s="136"/>
      <c r="BL166" s="136"/>
      <c r="BM166" s="136"/>
    </row>
    <row r="167" spans="2:65">
      <c r="B167" s="181" t="s">
        <v>103</v>
      </c>
      <c r="C167" s="181"/>
      <c r="D167" s="175"/>
      <c r="E167" s="180">
        <f>SUM(F167:BM167)</f>
        <v>4968.0526465180055</v>
      </c>
      <c r="F167" s="180"/>
      <c r="G167" s="180">
        <f>IF(G5&gt;'DB1'!$U$27,SUM(F169+G76+G79+G111+IF(SUM(H76,H79)&lt;0,SUM(H76,H79),0),0),0)-SUM($F$167:F167)</f>
        <v>0</v>
      </c>
      <c r="H167" s="180">
        <f>IF(H5&gt;'DB1'!$U$27,SUM(G169+H76+H79+H111+IF(SUM(I76,I79)&lt;0,SUM(I76,I79),0),0),0)-SUM($F$167:G167)</f>
        <v>0</v>
      </c>
      <c r="I167" s="180">
        <f>IF(I5&gt;'DB1'!$U$27,SUM(H169+I76+I79+I111+IF(SUM(J76,J79)&lt;0,SUM(J76,J79),0),0),0)-SUM($F$167:H167)</f>
        <v>0</v>
      </c>
      <c r="J167" s="180">
        <f>IF(J5&gt;'DB1'!$U$27,SUM(I169+J76+J79+J111+IF(SUM(K76,K79)&lt;0,SUM(K76,K79),0),0),0)-SUM($F$167:I167)</f>
        <v>0</v>
      </c>
      <c r="K167" s="180">
        <f>IF(K5&gt;'DB1'!$U$27,SUM(J169+K76+K79+K111+IF(SUM(L76,L79)&lt;0,SUM(L76,L79),0),0),0)-SUM($F$167:J167)</f>
        <v>0</v>
      </c>
      <c r="L167" s="180">
        <f>IF(L5&gt;'DB1'!$U$27,SUM(K169+L76+L79+L111+IF(SUM(M76,M79)&lt;0,SUM(M76,M79),0),0),0)-SUM($F$167:K167)</f>
        <v>0</v>
      </c>
      <c r="M167" s="180">
        <f>IF(M5&gt;'DB1'!$U$27,SUM(L169+M76+M79+M111+IF(SUM(N76,N79)&lt;0,SUM(N76,N79),0),0),0)-SUM($F$167:L167)</f>
        <v>0</v>
      </c>
      <c r="N167" s="180">
        <f>IF(N5&gt;'DB1'!$U$27,SUM(M169+N76+N79+N111+IF(SUM(O76,O79)&lt;0,SUM(O76,O79),0),0),0)-SUM($F$167:M167)</f>
        <v>0</v>
      </c>
      <c r="O167" s="180">
        <f>IF(O5&gt;'DB1'!$U$27,SUM(N169+O76+O79+O111+IF(SUM(P76,P79)&lt;0,SUM(P76,P79),0),0),0)-SUM($F$167:N167)</f>
        <v>0</v>
      </c>
      <c r="P167" s="180">
        <f>IF(P5&gt;'DB1'!$U$27,SUM(O169+P76+P79+P111+IF(SUM(Q76,Q79)&lt;0,SUM(Q76,Q79),0),0),0)-SUM($F$167:O167)</f>
        <v>0</v>
      </c>
      <c r="Q167" s="180">
        <f>IF(Q5&gt;'DB1'!$U$27,SUM(P169+Q76+Q79+Q111+IF(SUM(R76,R79)&lt;0,SUM(R76,R79),0),0),0)-SUM($F$167:P167)</f>
        <v>0</v>
      </c>
      <c r="R167" s="180">
        <f>IF(R5&gt;'DB1'!$U$27,SUM(Q169+R76+R79+R111+IF(SUM(S76,S79)&lt;0,SUM(S76,S79),0),0),0)-SUM($F$167:Q167)</f>
        <v>0</v>
      </c>
      <c r="S167" s="180">
        <f>IF(S5&gt;'DB1'!$U$27,SUM(R169+S76+S79+S111+IF(SUM(T76,T79)&lt;0,SUM(T76,T79),0),0),0)-SUM($F$167:R167)</f>
        <v>0</v>
      </c>
      <c r="T167" s="180">
        <f>IF(T5&gt;'DB1'!$U$27,SUM(S169+T76+T79+T111+IF(SUM(U76,U79)&lt;0,SUM(U76,U79),0),0),0)-SUM($F$167:S167)</f>
        <v>0</v>
      </c>
      <c r="U167" s="180">
        <f>IF(U5&gt;'DB1'!$U$27,SUM(T169+U76+U79+U111+IF(SUM(V76,V79)&lt;0,SUM(V76,V79),0),0),0)-SUM($F$167:T167)</f>
        <v>0</v>
      </c>
      <c r="V167" s="180">
        <f>IF(V5&gt;'DB1'!$U$27,SUM(U169+V76+V79+V111+IF(SUM(W76,W79)&lt;0,SUM(W76,W79),0),0),0)-SUM($F$167:U167)</f>
        <v>0</v>
      </c>
      <c r="W167" s="180">
        <f>IF(W5&gt;'DB1'!$U$27,SUM(V169+W76+W79+W111+IF(SUM(X76,X79)&lt;0,SUM(X76,X79),0),0),0)-SUM($F$167:V167)</f>
        <v>0</v>
      </c>
      <c r="X167" s="180">
        <f>IF(X5&gt;'DB1'!$U$27,SUM(W169+X76+X79+X111+IF(SUM(Y76,Y79)&lt;0,SUM(Y76,Y79),0),0),0)-SUM($F$167:W167)</f>
        <v>0</v>
      </c>
      <c r="Y167" s="180">
        <f>IF(Y5&gt;'DB1'!$U$27,SUM(X169+Y76+Y79+Y111+IF(SUM(Z76,Z79)&lt;0,SUM(Z76,Z79),0),0),0)-SUM($F$167:X167)</f>
        <v>0</v>
      </c>
      <c r="Z167" s="180">
        <f>IF(Z5&gt;'DB1'!$U$27,SUM(Y169+Z76+Z79+Z111+IF(SUM(AA76,AA79)&lt;0,SUM(AA76,AA79),0),0),0)-SUM($F$167:Y167)</f>
        <v>0</v>
      </c>
      <c r="AA167" s="180">
        <f>IF(AA5&gt;'DB1'!$U$27,SUM(Z169+AA76+AA79+AA111+IF(SUM(AB76,AB79)&lt;0,SUM(AB76,AB79),0),0),0)-SUM($F$167:Z167)</f>
        <v>0</v>
      </c>
      <c r="AB167" s="180">
        <f>IF(AB5&gt;'DB1'!$U$27,SUM(AA169+AB76+AB79+AB111+IF(SUM(AC76,AC79)&lt;0,SUM(AC76,AC79),0),0),0)-SUM($F$167:AA167)</f>
        <v>0</v>
      </c>
      <c r="AC167" s="180">
        <f>IF(AC5&gt;'DB1'!$U$27,SUM(AB169+AC76+AC79+AC111+IF(SUM(AD76,AD79)&lt;0,SUM(AD76,AD79),0),0),0)-SUM($F$167:AB167)</f>
        <v>0</v>
      </c>
      <c r="AD167" s="180">
        <f>IF(AD5&gt;'DB1'!$U$27,SUM(AC169+AD76+AD79+AD111+IF(SUM(AE76,AE79)&lt;0,SUM(AE76,AE79),0),0),0)-SUM($F$167:AC167)</f>
        <v>0</v>
      </c>
      <c r="AE167" s="180">
        <f>IF(AE5&gt;'DB1'!$U$27,SUM(AD169+AE76+AE79+AE111+IF(SUM(AF76,AF79)&lt;0,SUM(AF76,AF79),0),0),0)-SUM($F$167:AD167)</f>
        <v>0</v>
      </c>
      <c r="AF167" s="180">
        <f>IF(AF5&gt;'DB1'!$U$27,SUM(AE169+AF76+AF79+AF111+IF(SUM(AG76,AG79)&lt;0,SUM(AG76,AG79),0),0),0)-SUM($F$167:AE167)</f>
        <v>-9.0949470177292824E-13</v>
      </c>
      <c r="AG167" s="180">
        <f>IF(AG5&gt;'DB1'!$U$27,SUM(AF169+AG76+AG79+AG111+IF(SUM(AH76,AH79)&lt;0,SUM(AH76,AH79),0),0),0)-SUM($F$167:AF167)</f>
        <v>9.6633812063373625E-13</v>
      </c>
      <c r="AH167" s="180">
        <f>IF(AH5&gt;'DB1'!$U$27,SUM(AG169+AH76+AH79+AH111+IF(SUM(AI76,AI79)&lt;0,SUM(AI76,AI79),0),0),0)-SUM($F$167:AG167)</f>
        <v>-1.7053025658242404E-13</v>
      </c>
      <c r="AI167" s="180">
        <f>IF(AI5&gt;'DB1'!$U$27,SUM(AH169+AI76+AI79+AI111+IF(SUM(AJ76,AJ79)&lt;0,SUM(AJ76,AJ79),0),0),0)-SUM($F$167:AH167)</f>
        <v>1.7053025658242404E-13</v>
      </c>
      <c r="AJ167" s="180">
        <f>IF(AJ5&gt;'DB1'!$U$27,SUM(AI169+AJ76+AJ79+AJ111+IF(SUM(AK76,AK79)&lt;0,SUM(AK76,AK79),0),0),0)-SUM($F$167:AI167)</f>
        <v>-5.6843418860808015E-14</v>
      </c>
      <c r="AK167" s="180">
        <f>IF(AK5&gt;'DB1'!$U$27,SUM(AJ169+AK76+AK79+AK111+IF(SUM(AL76,AL79)&lt;0,SUM(AL76,AL79),0),0),0)-SUM($F$167:AJ167)</f>
        <v>1072.2674440903697</v>
      </c>
      <c r="AL167" s="180">
        <f>IF(AL5&gt;'DB1'!$U$27,SUM(AK169+AL76+AL79+AL111+IF(SUM(AM76,AM79)&lt;0,SUM(AM76,AM79),0),0),0)-SUM($F$167:AK167)</f>
        <v>1842.9621330399605</v>
      </c>
      <c r="AM167" s="180">
        <f>IF(AM5&gt;'DB1'!$U$27,SUM(AL169+AM76+AM79+AM111+IF(SUM(AN76,AN79)&lt;0,SUM(AN76,AN79),0),0),0)-SUM($F$167:AL167)</f>
        <v>1610.2522551765419</v>
      </c>
      <c r="AN167" s="180">
        <f>IF(AN5&gt;'DB1'!$U$27,SUM(AM169+AN76+AN79+AN111+IF(SUM(AO76,AO79)&lt;0,SUM(AO76,AO79),0),0),0)-SUM($F$167:AM167)</f>
        <v>442.57081421113344</v>
      </c>
      <c r="AO167" s="180">
        <f>IF(AO5&gt;'DB1'!$U$27,SUM(AN169+AO76+AO79+AO111+IF(SUM(AP76,AP79)&lt;0,SUM(AP76,AP79),0),0),0)-SUM($F$167:AN167)</f>
        <v>0</v>
      </c>
      <c r="AP167" s="180">
        <f>IF(AP5&gt;'DB1'!$U$27,SUM(AO169+AP76+AP79+AP111+IF(SUM(AQ76,AQ79)&lt;0,SUM(AQ76,AQ79),0),0),0)-SUM($F$167:AO167)</f>
        <v>0</v>
      </c>
      <c r="AQ167" s="180">
        <f>IF(AQ5&gt;'DB1'!$U$27,SUM(AP169+AQ76+AQ79+AQ111+IF(SUM(AR76,AR79)&lt;0,SUM(AR76,AR79),0),0),0)-SUM($F$167:AP167)</f>
        <v>0</v>
      </c>
      <c r="AR167" s="180">
        <f>IF(AR5&gt;'DB1'!$U$27,SUM(AQ169+AR76+AR79+AR111+IF(SUM(AS76,AS79)&lt;0,SUM(AS76,AS79),0),0),0)-SUM($F$167:AQ167)</f>
        <v>0</v>
      </c>
      <c r="AS167" s="180">
        <f>IF(AS5&gt;'DB1'!$U$27,SUM(AR169+AS76+AS79+AS111+IF(SUM(AT76,AT79)&lt;0,SUM(AT76,AT79),0),0),0)-SUM($F$167:AR167)</f>
        <v>0</v>
      </c>
      <c r="AT167" s="180">
        <f>IF(AT5&gt;'DB1'!$U$27,SUM(AS169+AT76+AT79+AT111+IF(SUM(AU76,AU79)&lt;0,SUM(AU76,AU79),0),0),0)-SUM($F$167:AS167)</f>
        <v>0</v>
      </c>
      <c r="AU167" s="180">
        <f>IF(AU5&gt;'DB1'!$U$27,SUM(AT169+AU76+AU79+AU111+IF(SUM(AV76,AV79)&lt;0,SUM(AV76,AV79),0),0),0)-SUM($F$167:AT167)</f>
        <v>0</v>
      </c>
      <c r="AV167" s="180">
        <f>IF(AV5&gt;'DB1'!$U$27,SUM(AU169+AV76+AV79+AV111+IF(SUM(AW76,AW79)&lt;0,SUM(AW76,AW79),0),0),0)-SUM($F$167:AU167)</f>
        <v>0</v>
      </c>
      <c r="AW167" s="180">
        <f>IF(AW5&gt;'DB1'!$U$27,SUM(AV169+AW76+AW79+AW111+IF(SUM(AX76,AX79)&lt;0,SUM(AX76,AX79),0),0),0)-SUM($F$167:AV167)</f>
        <v>0</v>
      </c>
      <c r="AX167" s="180">
        <f>IF(AX5&gt;'DB1'!$U$27,SUM(AW169+AX76+AX79+AX111+IF(SUM(AY76,AY79)&lt;0,SUM(AY76,AY79),0),0),0)-SUM($F$167:AW167)</f>
        <v>0</v>
      </c>
      <c r="AY167" s="180">
        <f>IF(AY5&gt;'DB1'!$U$27,SUM(AX169+AY76+AY79+AY111+IF(SUM(AZ76,AZ79)&lt;0,SUM(AZ76,AZ79),0),0),0)-SUM($F$167:AX167)</f>
        <v>0</v>
      </c>
      <c r="AZ167" s="180">
        <f>IF(AZ5&gt;'DB1'!$U$27,SUM(AY169+AZ76+AZ79+AZ111+IF(SUM(BA76,BA79)&lt;0,SUM(BA76,BA79),0),0),0)-SUM($F$167:AY167)</f>
        <v>0</v>
      </c>
      <c r="BA167" s="180">
        <f>IF(BA5&gt;'DB1'!$U$27,SUM(AZ169+BA76+BA79+BA111+IF(SUM(BB76,BB79)&lt;0,SUM(BB76,BB79),0),0),0)-SUM($F$167:AZ167)</f>
        <v>0</v>
      </c>
      <c r="BB167" s="180">
        <f>IF(BB5&gt;'DB1'!$U$27,SUM(BA169+BB76+BB79+BB111+IF(SUM(BC76,BC79)&lt;0,SUM(BC76,BC79),0),0),0)-SUM($F$167:BA167)</f>
        <v>0</v>
      </c>
      <c r="BC167" s="180">
        <f>IF(BC5&gt;'DB1'!$U$27,SUM(BB169+BC76+BC79+BC111+IF(SUM(BD76,BD79)&lt;0,SUM(BD76,BD79),0),0),0)-SUM($F$167:BB167)</f>
        <v>0</v>
      </c>
      <c r="BD167" s="180">
        <f>IF(BD5&gt;'DB1'!$U$27,SUM(BC169+BD76+BD79+BD111+IF(SUM(BE76,BE79)&lt;0,SUM(BE76,BE79),0),0),0)-SUM($F$167:BC167)</f>
        <v>0</v>
      </c>
      <c r="BE167" s="180">
        <f>IF(BE5&gt;'DB1'!$U$27,SUM(BD169+BE76+BE79+BE111+IF(SUM(BF76,BF79)&lt;0,SUM(BF76,BF79),0),0),0)-SUM($F$167:BD167)</f>
        <v>0</v>
      </c>
      <c r="BF167" s="180">
        <f>IF(BF5&gt;'DB1'!$U$27,SUM(BE169+BF76+BF79+BF111+IF(SUM(BG76,BG79)&lt;0,SUM(BG76,BG79),0),0),0)-SUM($F$167:BE167)</f>
        <v>0</v>
      </c>
      <c r="BG167" s="180">
        <f>IF(BG5&gt;'DB1'!$U$27,SUM(BF169+BG76+BG79+BG111+IF(SUM(BH76,BH79)&lt;0,SUM(BH76,BH79),0),0),0)-SUM($F$167:BF167)</f>
        <v>0</v>
      </c>
      <c r="BH167" s="180">
        <f>IF(BH5&gt;'DB1'!$U$27,SUM(BG169+BH76+BH79+BH111+IF(SUM(BI76,BI79)&lt;0,SUM(BI76,BI79),0),0),0)-SUM($F$167:BG167)</f>
        <v>0</v>
      </c>
      <c r="BI167" s="180">
        <f>IF(BI5&gt;'DB1'!$U$27,SUM(BH169+BI76+BI79+BI111+IF(SUM(BJ76,BJ79)&lt;0,SUM(BJ76,BJ79),0),0),0)-SUM($F$167:BH167)</f>
        <v>0</v>
      </c>
      <c r="BJ167" s="180">
        <f>IF(BJ5&gt;'DB1'!$U$27,SUM(BI169+BJ76+BJ79+BJ111+IF(SUM(BK76,BK79)&lt;0,SUM(BK76,BK79),0),0),0)-SUM($F$167:BI167)</f>
        <v>0</v>
      </c>
      <c r="BK167" s="180">
        <f>IF(BK5&gt;'DB1'!$U$27,SUM(BJ169+BK76+BK79+BK111+IF(SUM(BL76,BL79)&lt;0,SUM(BL76,BL79),0),0),0)-SUM($F$167:BJ167)</f>
        <v>0</v>
      </c>
      <c r="BL167" s="180">
        <f>IF(BL5&gt;'DB1'!$U$27,SUM(BK169+BL76+BL79+BL111+IF(SUM(BM76,BM79)&lt;0,SUM(BM76,BM79),0),0),0)-SUM($F$167:BK167)</f>
        <v>0</v>
      </c>
      <c r="BM167" s="180">
        <f>IF(BM5&gt;'DB1'!$U$27,SUM(BL169+BM76+BM79+BM111+IF(SUM(BN76,BN79)&lt;0,SUM(BN76,BN79),0),0),0)-SUM($F$167:BL167)</f>
        <v>0</v>
      </c>
    </row>
    <row r="168" spans="2:65">
      <c r="E168" s="148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  <c r="AC168" s="149"/>
      <c r="AD168" s="149"/>
      <c r="AE168" s="149"/>
      <c r="AF168" s="149"/>
      <c r="AG168" s="149"/>
      <c r="AH168" s="149"/>
      <c r="AI168" s="149"/>
      <c r="AJ168" s="149"/>
      <c r="AK168" s="149"/>
      <c r="AL168" s="149"/>
      <c r="AM168" s="149"/>
      <c r="AN168" s="149"/>
      <c r="AO168" s="149"/>
      <c r="AP168" s="149"/>
      <c r="AQ168" s="149"/>
      <c r="AR168" s="149"/>
      <c r="AS168" s="149"/>
      <c r="AT168" s="149"/>
      <c r="AU168" s="149"/>
      <c r="AV168" s="149"/>
      <c r="AW168" s="149"/>
      <c r="AX168" s="149"/>
      <c r="AY168" s="149"/>
      <c r="AZ168" s="149"/>
      <c r="BA168" s="149"/>
      <c r="BB168" s="149"/>
      <c r="BC168" s="149"/>
      <c r="BD168" s="149"/>
      <c r="BE168" s="149"/>
      <c r="BF168" s="149"/>
      <c r="BG168" s="149"/>
      <c r="BH168" s="149"/>
      <c r="BI168" s="149"/>
      <c r="BJ168" s="149"/>
      <c r="BK168" s="149"/>
      <c r="BL168" s="149"/>
      <c r="BM168" s="149"/>
    </row>
    <row r="169" spans="2:65">
      <c r="B169" s="181" t="s">
        <v>68</v>
      </c>
      <c r="C169" s="181"/>
      <c r="D169" s="175"/>
      <c r="E169" s="180"/>
      <c r="F169" s="180">
        <f t="shared" ref="F169:AN169" si="96">E169+F76+F79+F111</f>
        <v>1.8477140000000031E-2</v>
      </c>
      <c r="G169" s="180">
        <f t="shared" si="96"/>
        <v>6.0113849999999913E-2</v>
      </c>
      <c r="H169" s="180">
        <f t="shared" si="96"/>
        <v>0.3765438499999999</v>
      </c>
      <c r="I169" s="180">
        <f t="shared" si="96"/>
        <v>0.38607384999999989</v>
      </c>
      <c r="J169" s="180">
        <f t="shared" si="96"/>
        <v>5.0603849999999895E-2</v>
      </c>
      <c r="K169" s="180">
        <f t="shared" si="96"/>
        <v>0.50580384999999994</v>
      </c>
      <c r="L169" s="180">
        <f t="shared" si="96"/>
        <v>0.46646822999999993</v>
      </c>
      <c r="M169" s="180">
        <f t="shared" si="96"/>
        <v>0.84798823000000001</v>
      </c>
      <c r="N169" s="180">
        <f t="shared" si="96"/>
        <v>0.85412646000000336</v>
      </c>
      <c r="O169" s="180">
        <f t="shared" si="96"/>
        <v>0</v>
      </c>
      <c r="P169" s="180">
        <f t="shared" si="96"/>
        <v>0</v>
      </c>
      <c r="Q169" s="180">
        <f t="shared" si="96"/>
        <v>0</v>
      </c>
      <c r="R169" s="180">
        <f t="shared" si="96"/>
        <v>0</v>
      </c>
      <c r="S169" s="180">
        <f t="shared" si="96"/>
        <v>0</v>
      </c>
      <c r="T169" s="180">
        <f t="shared" si="96"/>
        <v>4.5474735088646412E-13</v>
      </c>
      <c r="U169" s="180">
        <f t="shared" si="96"/>
        <v>0</v>
      </c>
      <c r="V169" s="180">
        <f t="shared" si="96"/>
        <v>0</v>
      </c>
      <c r="W169" s="180">
        <f t="shared" si="96"/>
        <v>0</v>
      </c>
      <c r="X169" s="180">
        <f t="shared" si="96"/>
        <v>0</v>
      </c>
      <c r="Y169" s="180">
        <f t="shared" si="96"/>
        <v>0</v>
      </c>
      <c r="Z169" s="180">
        <f t="shared" si="96"/>
        <v>0</v>
      </c>
      <c r="AA169" s="180">
        <f t="shared" si="96"/>
        <v>0</v>
      </c>
      <c r="AB169" s="180">
        <f t="shared" si="96"/>
        <v>0</v>
      </c>
      <c r="AC169" s="180">
        <f t="shared" si="96"/>
        <v>0</v>
      </c>
      <c r="AD169" s="180">
        <f t="shared" si="96"/>
        <v>0</v>
      </c>
      <c r="AE169" s="180">
        <f t="shared" si="96"/>
        <v>0</v>
      </c>
      <c r="AF169" s="180">
        <f t="shared" si="96"/>
        <v>-9.0949470177292824E-13</v>
      </c>
      <c r="AG169" s="180">
        <f t="shared" si="96"/>
        <v>0</v>
      </c>
      <c r="AH169" s="180">
        <f t="shared" si="96"/>
        <v>0</v>
      </c>
      <c r="AI169" s="180">
        <f t="shared" si="96"/>
        <v>0</v>
      </c>
      <c r="AJ169" s="180">
        <f t="shared" si="96"/>
        <v>0</v>
      </c>
      <c r="AK169" s="180">
        <f t="shared" si="96"/>
        <v>1072.2674440903697</v>
      </c>
      <c r="AL169" s="180">
        <f t="shared" si="96"/>
        <v>2915.2295771303302</v>
      </c>
      <c r="AM169" s="180">
        <f t="shared" si="96"/>
        <v>4525.4818323068721</v>
      </c>
      <c r="AN169" s="180">
        <f t="shared" si="96"/>
        <v>4991.0388673831785</v>
      </c>
      <c r="AO169" s="180">
        <f t="shared" ref="AO169:AR169" si="97">AN169+AO76+AO79+AO111</f>
        <v>4968.0526465180055</v>
      </c>
      <c r="AP169" s="180">
        <f t="shared" si="97"/>
        <v>4968.0526465180055</v>
      </c>
      <c r="AQ169" s="180">
        <f t="shared" si="97"/>
        <v>4968.0526465180055</v>
      </c>
      <c r="AR169" s="180">
        <f t="shared" si="97"/>
        <v>4968.0526465180055</v>
      </c>
      <c r="AS169" s="180">
        <f>AR169+AS76+AS79+AS111</f>
        <v>4968.0526465180055</v>
      </c>
      <c r="AT169" s="180">
        <f t="shared" ref="AT169:BM169" si="98">AS169+AT76+AT79+AT111</f>
        <v>4968.0526465180055</v>
      </c>
      <c r="AU169" s="180">
        <f t="shared" si="98"/>
        <v>4968.0526465180055</v>
      </c>
      <c r="AV169" s="180">
        <f t="shared" si="98"/>
        <v>4968.0526465180055</v>
      </c>
      <c r="AW169" s="180">
        <f t="shared" si="98"/>
        <v>4968.0526465180055</v>
      </c>
      <c r="AX169" s="180">
        <f t="shared" si="98"/>
        <v>4968.0526465180055</v>
      </c>
      <c r="AY169" s="180">
        <f t="shared" si="98"/>
        <v>4968.0526465180055</v>
      </c>
      <c r="AZ169" s="180">
        <f t="shared" si="98"/>
        <v>4968.0526465180055</v>
      </c>
      <c r="BA169" s="180">
        <f t="shared" si="98"/>
        <v>4968.0526465180055</v>
      </c>
      <c r="BB169" s="180">
        <f t="shared" si="98"/>
        <v>4968.0526465180055</v>
      </c>
      <c r="BC169" s="180">
        <f t="shared" si="98"/>
        <v>4968.0526465180055</v>
      </c>
      <c r="BD169" s="180">
        <f t="shared" si="98"/>
        <v>4968.0526465180055</v>
      </c>
      <c r="BE169" s="180">
        <f t="shared" si="98"/>
        <v>4968.0526465180055</v>
      </c>
      <c r="BF169" s="180">
        <f t="shared" si="98"/>
        <v>4968.0526465180055</v>
      </c>
      <c r="BG169" s="180">
        <f t="shared" si="98"/>
        <v>4968.0526465180055</v>
      </c>
      <c r="BH169" s="180">
        <f t="shared" si="98"/>
        <v>4968.0526465180055</v>
      </c>
      <c r="BI169" s="180">
        <f t="shared" si="98"/>
        <v>4968.0526465180055</v>
      </c>
      <c r="BJ169" s="180">
        <f t="shared" si="98"/>
        <v>4968.0526465180055</v>
      </c>
      <c r="BK169" s="180">
        <f t="shared" si="98"/>
        <v>4968.0526465180055</v>
      </c>
      <c r="BL169" s="180">
        <f t="shared" si="98"/>
        <v>4968.0526465180055</v>
      </c>
      <c r="BM169" s="180">
        <f t="shared" si="98"/>
        <v>4968.0526465180055</v>
      </c>
    </row>
    <row r="171" spans="2:65">
      <c r="B171" s="181" t="s">
        <v>104</v>
      </c>
      <c r="C171" s="181"/>
      <c r="D171" s="175"/>
      <c r="E171" s="180">
        <f>SUM(F171:BM171)</f>
        <v>5218.1562961822738</v>
      </c>
      <c r="F171" s="180">
        <f>-F81-F82-F85+F167</f>
        <v>-0.2</v>
      </c>
      <c r="G171" s="180">
        <f t="shared" ref="G171:BM171" si="99">-G81-G82-G85+G167</f>
        <v>-0.6</v>
      </c>
      <c r="H171" s="180">
        <f t="shared" si="99"/>
        <v>-0.6</v>
      </c>
      <c r="I171" s="180">
        <f t="shared" si="99"/>
        <v>-0.3</v>
      </c>
      <c r="J171" s="180">
        <f t="shared" si="99"/>
        <v>0</v>
      </c>
      <c r="K171" s="180">
        <f t="shared" si="99"/>
        <v>-0.8</v>
      </c>
      <c r="L171" s="180">
        <f t="shared" si="99"/>
        <v>-0.6</v>
      </c>
      <c r="M171" s="180">
        <f t="shared" si="99"/>
        <v>-1.07</v>
      </c>
      <c r="N171" s="180">
        <f t="shared" si="99"/>
        <v>-77.372950085032031</v>
      </c>
      <c r="O171" s="180">
        <f t="shared" si="99"/>
        <v>-131.44216539503199</v>
      </c>
      <c r="P171" s="180">
        <f t="shared" si="99"/>
        <v>-166.8548776598812</v>
      </c>
      <c r="Q171" s="180">
        <f t="shared" si="99"/>
        <v>0</v>
      </c>
      <c r="R171" s="180">
        <f t="shared" si="99"/>
        <v>0</v>
      </c>
      <c r="S171" s="180">
        <f t="shared" si="99"/>
        <v>0</v>
      </c>
      <c r="T171" s="180">
        <f t="shared" si="99"/>
        <v>0</v>
      </c>
      <c r="U171" s="180">
        <f t="shared" si="99"/>
        <v>0</v>
      </c>
      <c r="V171" s="180">
        <f t="shared" si="99"/>
        <v>0</v>
      </c>
      <c r="W171" s="180">
        <f t="shared" si="99"/>
        <v>0</v>
      </c>
      <c r="X171" s="180">
        <f t="shared" si="99"/>
        <v>0</v>
      </c>
      <c r="Y171" s="180">
        <f t="shared" si="99"/>
        <v>0</v>
      </c>
      <c r="Z171" s="180">
        <f t="shared" si="99"/>
        <v>0</v>
      </c>
      <c r="AA171" s="180">
        <f t="shared" si="99"/>
        <v>0</v>
      </c>
      <c r="AB171" s="180">
        <f t="shared" si="99"/>
        <v>0</v>
      </c>
      <c r="AC171" s="180">
        <f t="shared" si="99"/>
        <v>0</v>
      </c>
      <c r="AD171" s="180">
        <f t="shared" si="99"/>
        <v>0</v>
      </c>
      <c r="AE171" s="180">
        <f t="shared" si="99"/>
        <v>0</v>
      </c>
      <c r="AF171" s="180">
        <f t="shared" si="99"/>
        <v>-9.0949470177292824E-13</v>
      </c>
      <c r="AG171" s="180">
        <f t="shared" si="99"/>
        <v>9.6633812063373625E-13</v>
      </c>
      <c r="AH171" s="180">
        <f t="shared" si="99"/>
        <v>-1.7053025658242404E-13</v>
      </c>
      <c r="AI171" s="180">
        <f t="shared" si="99"/>
        <v>1.7053025658242404E-13</v>
      </c>
      <c r="AJ171" s="180">
        <f t="shared" si="99"/>
        <v>-5.6843418860808015E-14</v>
      </c>
      <c r="AK171" s="180">
        <f t="shared" si="99"/>
        <v>1702.2110868945833</v>
      </c>
      <c r="AL171" s="180">
        <f t="shared" si="99"/>
        <v>1842.9621330399605</v>
      </c>
      <c r="AM171" s="180">
        <f t="shared" si="99"/>
        <v>1610.2522551765419</v>
      </c>
      <c r="AN171" s="180">
        <f t="shared" si="99"/>
        <v>442.57081421113344</v>
      </c>
      <c r="AO171" s="180">
        <f t="shared" si="99"/>
        <v>0</v>
      </c>
      <c r="AP171" s="180">
        <f t="shared" si="99"/>
        <v>0</v>
      </c>
      <c r="AQ171" s="180">
        <f t="shared" si="99"/>
        <v>0</v>
      </c>
      <c r="AR171" s="180">
        <f t="shared" si="99"/>
        <v>0</v>
      </c>
      <c r="AS171" s="180">
        <f t="shared" si="99"/>
        <v>0</v>
      </c>
      <c r="AT171" s="180">
        <f t="shared" si="99"/>
        <v>0</v>
      </c>
      <c r="AU171" s="180">
        <f t="shared" si="99"/>
        <v>0</v>
      </c>
      <c r="AV171" s="180">
        <f t="shared" si="99"/>
        <v>0</v>
      </c>
      <c r="AW171" s="180">
        <f t="shared" si="99"/>
        <v>0</v>
      </c>
      <c r="AX171" s="180">
        <f t="shared" si="99"/>
        <v>0</v>
      </c>
      <c r="AY171" s="180">
        <f t="shared" si="99"/>
        <v>0</v>
      </c>
      <c r="AZ171" s="180">
        <f t="shared" si="99"/>
        <v>0</v>
      </c>
      <c r="BA171" s="180">
        <f t="shared" si="99"/>
        <v>0</v>
      </c>
      <c r="BB171" s="180">
        <f t="shared" si="99"/>
        <v>0</v>
      </c>
      <c r="BC171" s="180">
        <f t="shared" si="99"/>
        <v>0</v>
      </c>
      <c r="BD171" s="180">
        <f t="shared" si="99"/>
        <v>0</v>
      </c>
      <c r="BE171" s="180">
        <f t="shared" si="99"/>
        <v>0</v>
      </c>
      <c r="BF171" s="180">
        <f t="shared" si="99"/>
        <v>0</v>
      </c>
      <c r="BG171" s="180">
        <f t="shared" si="99"/>
        <v>0</v>
      </c>
      <c r="BH171" s="180">
        <f t="shared" si="99"/>
        <v>0</v>
      </c>
      <c r="BI171" s="180">
        <f t="shared" si="99"/>
        <v>0</v>
      </c>
      <c r="BJ171" s="180">
        <f t="shared" si="99"/>
        <v>0</v>
      </c>
      <c r="BK171" s="180">
        <f t="shared" si="99"/>
        <v>0</v>
      </c>
      <c r="BL171" s="180">
        <f t="shared" si="99"/>
        <v>0</v>
      </c>
      <c r="BM171" s="180">
        <f t="shared" si="99"/>
        <v>0</v>
      </c>
    </row>
    <row r="172" spans="2:65">
      <c r="F172" s="149"/>
    </row>
    <row r="173" spans="2:65" s="164" customFormat="1" hidden="1" outlineLevel="1">
      <c r="B173" s="163" t="s">
        <v>74</v>
      </c>
      <c r="D173" s="165"/>
      <c r="E173" s="163"/>
    </row>
    <row r="174" spans="2:65" s="164" customFormat="1" ht="12.75" hidden="1" customHeight="1" outlineLevel="1">
      <c r="B174" s="166" t="s">
        <v>71</v>
      </c>
      <c r="C174" s="167"/>
      <c r="D174" s="168"/>
      <c r="E174" s="24"/>
      <c r="F174" s="24">
        <f>IF(SUM(E$175:$F175)=0,1,0)</f>
        <v>1</v>
      </c>
      <c r="G174" s="24">
        <f>IF(SUM($F$175:F175)=0,1,0)</f>
        <v>1</v>
      </c>
      <c r="H174" s="24">
        <f>IF(SUM($F$175:G175)=0,1,0)</f>
        <v>1</v>
      </c>
      <c r="I174" s="24">
        <f>IF(SUM($F$175:H175)=0,1,0)</f>
        <v>1</v>
      </c>
      <c r="J174" s="24">
        <f>IF(SUM($F$175:I175)=0,1,0)</f>
        <v>1</v>
      </c>
      <c r="K174" s="24">
        <f>IF(SUM($F$175:J175)=0,1,0)</f>
        <v>1</v>
      </c>
      <c r="L174" s="24">
        <f>IF(SUM($F$175:K175)=0,1,0)</f>
        <v>1</v>
      </c>
      <c r="M174" s="24">
        <f>IF(SUM($F$175:L175)=0,1,0)</f>
        <v>1</v>
      </c>
      <c r="N174" s="24">
        <f>IF(SUM($F$175:M175)=0,1,0)</f>
        <v>1</v>
      </c>
      <c r="O174" s="24">
        <f>IF(SUM($F$175:N175)=0,1,0)</f>
        <v>1</v>
      </c>
      <c r="P174" s="24">
        <f>IF(SUM($F$175:O175)=0,1,0)</f>
        <v>1</v>
      </c>
      <c r="Q174" s="24">
        <f>IF(SUM($F$175:P175)=0,1,0)</f>
        <v>1</v>
      </c>
      <c r="R174" s="24">
        <f>IF(SUM($F$175:Q175)=0,1,0)</f>
        <v>1</v>
      </c>
      <c r="S174" s="24">
        <f>IF(SUM($F$175:R175)=0,1,0)</f>
        <v>1</v>
      </c>
      <c r="T174" s="24">
        <f>IF(SUM($F$175:S175)=0,1,0)</f>
        <v>1</v>
      </c>
      <c r="U174" s="24">
        <f>IF(SUM($F$175:T175)=0,1,0)</f>
        <v>1</v>
      </c>
      <c r="V174" s="24">
        <f>IF(SUM($F$175:U175)=0,1,0)</f>
        <v>1</v>
      </c>
      <c r="W174" s="24">
        <f>IF(SUM($F$175:V175)=0,1,0)</f>
        <v>1</v>
      </c>
      <c r="X174" s="24">
        <f>IF(SUM($F$175:W175)=0,1,0)</f>
        <v>1</v>
      </c>
      <c r="Y174" s="24">
        <f>IF(SUM($F$175:X175)=0,1,0)</f>
        <v>1</v>
      </c>
      <c r="Z174" s="24">
        <f>IF(SUM($F$175:Y175)=0,1,0)</f>
        <v>1</v>
      </c>
      <c r="AA174" s="24">
        <f>IF(SUM($F$175:Z175)=0,1,0)</f>
        <v>1</v>
      </c>
      <c r="AB174" s="24">
        <f>IF(SUM($F$175:AA175)=0,1,0)</f>
        <v>1</v>
      </c>
      <c r="AC174" s="24">
        <f>IF(SUM($F$175:AB175)=0,1,0)</f>
        <v>1</v>
      </c>
      <c r="AD174" s="24">
        <f>IF(SUM($F$175:AC175)=0,1,0)</f>
        <v>1</v>
      </c>
      <c r="AE174" s="24">
        <f>IF(SUM($F$175:AD175)=0,1,0)</f>
        <v>1</v>
      </c>
      <c r="AF174" s="24">
        <f>IF(SUM($F$175:AE175)=0,1,0)</f>
        <v>0</v>
      </c>
      <c r="AG174" s="24">
        <f>IF(SUM($F$175:AF175)=0,1,0)</f>
        <v>0</v>
      </c>
      <c r="AH174" s="24">
        <f>IF(SUM($F$175:AG175)=0,1,0)</f>
        <v>0</v>
      </c>
      <c r="AI174" s="24">
        <f>IF(SUM($F$175:AH175)=0,1,0)</f>
        <v>0</v>
      </c>
      <c r="AJ174" s="24">
        <f>IF(SUM($F$175:AI175)=0,1,0)</f>
        <v>0</v>
      </c>
      <c r="AK174" s="24">
        <f>IF(SUM($F$175:AJ175)=0,1,0)</f>
        <v>0</v>
      </c>
      <c r="AL174" s="24">
        <f>IF(SUM($F$175:AK175)=0,1,0)</f>
        <v>0</v>
      </c>
      <c r="AM174" s="24">
        <f>IF(SUM($F$175:AL175)=0,1,0)</f>
        <v>0</v>
      </c>
      <c r="AN174" s="24">
        <f>IF(SUM($F$175:AM175)=0,1,0)</f>
        <v>0</v>
      </c>
      <c r="AO174" s="24">
        <f>IF(SUM($F$175:AN175)=0,1,0)</f>
        <v>0</v>
      </c>
      <c r="AP174" s="24">
        <f>IF(SUM($F$175:AO175)=0,1,0)</f>
        <v>0</v>
      </c>
      <c r="AQ174" s="24">
        <f>IF(SUM($F$175:AP175)=0,1,0)</f>
        <v>0</v>
      </c>
      <c r="AR174" s="24">
        <f>IF(SUM($F$175:AQ175)=0,1,0)</f>
        <v>0</v>
      </c>
      <c r="AS174" s="24">
        <f>IF(SUM($F$175:AR175)=0,1,0)</f>
        <v>0</v>
      </c>
      <c r="AT174" s="24">
        <f>IF(SUM($F$175:AS175)=0,1,0)</f>
        <v>0</v>
      </c>
      <c r="AU174" s="24">
        <f>IF(SUM($F$175:AT175)=0,1,0)</f>
        <v>0</v>
      </c>
      <c r="AV174" s="24">
        <f>IF(SUM($F$175:AU175)=0,1,0)</f>
        <v>0</v>
      </c>
      <c r="AW174" s="24">
        <f>IF(SUM($F$175:AV175)=0,1,0)</f>
        <v>0</v>
      </c>
      <c r="AX174" s="24">
        <f>IF(SUM($F$175:AW175)=0,1,0)</f>
        <v>0</v>
      </c>
      <c r="AY174" s="24">
        <f>IF(SUM($F$175:AX175)=0,1,0)</f>
        <v>0</v>
      </c>
      <c r="AZ174" s="24">
        <f>IF(SUM($F$175:AY175)=0,1,0)</f>
        <v>0</v>
      </c>
      <c r="BA174" s="24">
        <f>IF(SUM($F$175:AZ175)=0,1,0)</f>
        <v>0</v>
      </c>
      <c r="BB174" s="24">
        <f>IF(SUM($F$175:BA175)=0,1,0)</f>
        <v>0</v>
      </c>
      <c r="BC174" s="24">
        <f>IF(SUM($F$175:BB175)=0,1,0)</f>
        <v>0</v>
      </c>
      <c r="BD174" s="24">
        <f>IF(SUM($F$175:BC175)=0,1,0)</f>
        <v>0</v>
      </c>
      <c r="BE174" s="24">
        <f>IF(SUM($F$175:BD175)=0,1,0)</f>
        <v>0</v>
      </c>
      <c r="BF174" s="24">
        <f>IF(SUM($F$175:BE175)=0,1,0)</f>
        <v>0</v>
      </c>
      <c r="BG174" s="24">
        <f>IF(SUM($F$175:BF175)=0,1,0)</f>
        <v>0</v>
      </c>
      <c r="BH174" s="24">
        <f>IF(SUM($F$175:BG175)=0,1,0)</f>
        <v>0</v>
      </c>
      <c r="BI174" s="24">
        <f>IF(SUM($F$175:BH175)=0,1,0)</f>
        <v>0</v>
      </c>
      <c r="BJ174" s="24">
        <f>IF(SUM($F$175:BI175)=0,1,0)</f>
        <v>0</v>
      </c>
      <c r="BK174" s="24">
        <f>IF(SUM($F$175:BJ175)=0,1,0)</f>
        <v>0</v>
      </c>
      <c r="BL174" s="24">
        <f>IF(SUM($F$175:BK175)=0,1,0)</f>
        <v>0</v>
      </c>
      <c r="BM174" s="24">
        <f>IF(SUM($F$175:BL175)=0,1,0)</f>
        <v>0</v>
      </c>
    </row>
    <row r="175" spans="2:65" s="164" customFormat="1" ht="12.75" hidden="1" customHeight="1" outlineLevel="1">
      <c r="B175" s="166" t="s">
        <v>70</v>
      </c>
      <c r="C175" s="167"/>
      <c r="D175" s="168"/>
      <c r="E175" s="24"/>
      <c r="F175" s="24">
        <f>IF(AND('DB1'!$U$27&gt;'CF1'!E6,'DB1'!$U$27&lt;='CF1'!F5),1,0)</f>
        <v>0</v>
      </c>
      <c r="G175" s="24">
        <f>IF(AND('DB1'!$U$27&gt;'CF1'!F5,'DB1'!$U$27&lt;='CF1'!G5),1,0)</f>
        <v>0</v>
      </c>
      <c r="H175" s="24">
        <f>IF(AND('DB1'!$U$27&gt;'CF1'!G5,'DB1'!$U$27&lt;='CF1'!H5),1,0)</f>
        <v>0</v>
      </c>
      <c r="I175" s="24">
        <f>IF(AND('DB1'!$U$27&gt;'CF1'!H5,'DB1'!$U$27&lt;='CF1'!I5),1,0)</f>
        <v>0</v>
      </c>
      <c r="J175" s="24">
        <f>IF(AND('DB1'!$U$27&gt;'CF1'!I5,'DB1'!$U$27&lt;='CF1'!J5),1,0)</f>
        <v>0</v>
      </c>
      <c r="K175" s="24">
        <f>IF(AND('DB1'!$U$27&gt;'CF1'!J5,'DB1'!$U$27&lt;='CF1'!K5),1,0)</f>
        <v>0</v>
      </c>
      <c r="L175" s="24">
        <f>IF(AND('DB1'!$U$27&gt;'CF1'!K5,'DB1'!$U$27&lt;='CF1'!L5),1,0)</f>
        <v>0</v>
      </c>
      <c r="M175" s="24">
        <f>IF(AND('DB1'!$U$27&gt;'CF1'!L5,'DB1'!$U$27&lt;='CF1'!M5),1,0)</f>
        <v>0</v>
      </c>
      <c r="N175" s="24">
        <f>IF(AND('DB1'!$U$27&gt;'CF1'!M5,'DB1'!$U$27&lt;='CF1'!N5),1,0)</f>
        <v>0</v>
      </c>
      <c r="O175" s="24">
        <f>IF(AND('DB1'!$U$27&gt;'CF1'!N5,'DB1'!$U$27&lt;='CF1'!O5),1,0)</f>
        <v>0</v>
      </c>
      <c r="P175" s="24">
        <f>IF(AND('DB1'!$U$27&gt;'CF1'!O5,'DB1'!$U$27&lt;='CF1'!P5),1,0)</f>
        <v>0</v>
      </c>
      <c r="Q175" s="24">
        <f>IF(AND('DB1'!$U$27&gt;'CF1'!P5,'DB1'!$U$27&lt;='CF1'!Q5),1,0)</f>
        <v>0</v>
      </c>
      <c r="R175" s="24">
        <f>IF(AND('DB1'!$U$27&gt;'CF1'!Q5,'DB1'!$U$27&lt;='CF1'!R5),1,0)</f>
        <v>0</v>
      </c>
      <c r="S175" s="24">
        <f>IF(AND('DB1'!$U$27&gt;'CF1'!R5,'DB1'!$U$27&lt;='CF1'!S5),1,0)</f>
        <v>0</v>
      </c>
      <c r="T175" s="24">
        <f>IF(AND('DB1'!$U$27&gt;'CF1'!S5,'DB1'!$U$27&lt;='CF1'!T5),1,0)</f>
        <v>0</v>
      </c>
      <c r="U175" s="24">
        <f>IF(AND('DB1'!$U$27&gt;'CF1'!T5,'DB1'!$U$27&lt;='CF1'!U5),1,0)</f>
        <v>0</v>
      </c>
      <c r="V175" s="24">
        <f>IF(AND('DB1'!$U$27&gt;'CF1'!U5,'DB1'!$U$27&lt;='CF1'!V5),1,0)</f>
        <v>0</v>
      </c>
      <c r="W175" s="24">
        <f>IF(AND('DB1'!$U$27&gt;'CF1'!V5,'DB1'!$U$27&lt;='CF1'!W5),1,0)</f>
        <v>0</v>
      </c>
      <c r="X175" s="24">
        <f>IF(AND('DB1'!$U$27&gt;'CF1'!W5,'DB1'!$U$27&lt;='CF1'!X5),1,0)</f>
        <v>0</v>
      </c>
      <c r="Y175" s="24">
        <f>IF(AND('DB1'!$U$27&gt;'CF1'!X5,'DB1'!$U$27&lt;='CF1'!Y5),1,0)</f>
        <v>0</v>
      </c>
      <c r="Z175" s="24">
        <f>IF(AND('DB1'!$U$27&gt;'CF1'!Y5,'DB1'!$U$27&lt;='CF1'!Z5),1,0)</f>
        <v>0</v>
      </c>
      <c r="AA175" s="24">
        <f>IF(AND('DB1'!$U$27&gt;'CF1'!Z5,'DB1'!$U$27&lt;='CF1'!AA5),1,0)</f>
        <v>0</v>
      </c>
      <c r="AB175" s="24">
        <f>IF(AND('DB1'!$U$27&gt;'CF1'!AA5,'DB1'!$U$27&lt;='CF1'!AB5),1,0)</f>
        <v>0</v>
      </c>
      <c r="AC175" s="24">
        <f>IF(AND('DB1'!$U$27&gt;'CF1'!AB5,'DB1'!$U$27&lt;='CF1'!AC5),1,0)</f>
        <v>0</v>
      </c>
      <c r="AD175" s="24">
        <f>IF(AND('DB1'!$U$27&gt;'CF1'!AC5,'DB1'!$U$27&lt;='CF1'!AD5),1,0)</f>
        <v>0</v>
      </c>
      <c r="AE175" s="24">
        <f>IF(AND('DB1'!$U$27&gt;'CF1'!AD5,'DB1'!$U$27&lt;='CF1'!AE5),1,0)</f>
        <v>1</v>
      </c>
      <c r="AF175" s="24">
        <f>IF(AND('DB1'!$U$27&gt;'CF1'!AE5,'DB1'!$U$27&lt;='CF1'!AF5),1,0)</f>
        <v>0</v>
      </c>
      <c r="AG175" s="24">
        <f>IF(AND('DB1'!$U$27&gt;'CF1'!AF5,'DB1'!$U$27&lt;='CF1'!AG5),1,0)</f>
        <v>0</v>
      </c>
      <c r="AH175" s="24">
        <f>IF(AND('DB1'!$U$27&gt;'CF1'!AG5,'DB1'!$U$27&lt;='CF1'!AH5),1,0)</f>
        <v>0</v>
      </c>
      <c r="AI175" s="24">
        <f>IF(AND('DB1'!$U$27&gt;'CF1'!AH5,'DB1'!$U$27&lt;='CF1'!AI5),1,0)</f>
        <v>0</v>
      </c>
      <c r="AJ175" s="24">
        <f>IF(AND('DB1'!$U$27&gt;'CF1'!AI5,'DB1'!$U$27&lt;='CF1'!AJ5),1,0)</f>
        <v>0</v>
      </c>
      <c r="AK175" s="24">
        <f>IF(AND('DB1'!$U$27&gt;'CF1'!AJ5,'DB1'!$U$27&lt;='CF1'!AK5),1,0)</f>
        <v>0</v>
      </c>
      <c r="AL175" s="24">
        <f>IF(AND('DB1'!$U$27&gt;'CF1'!AK5,'DB1'!$U$27&lt;='CF1'!AL5),1,0)</f>
        <v>0</v>
      </c>
      <c r="AM175" s="24">
        <f>IF(AND('DB1'!$U$27&gt;'CF1'!AL5,'DB1'!$U$27&lt;='CF1'!AM5),1,0)</f>
        <v>0</v>
      </c>
      <c r="AN175" s="24">
        <f>IF(AND('DB1'!$U$27&gt;'CF1'!AM5,'DB1'!$U$27&lt;='CF1'!AN5),1,0)</f>
        <v>0</v>
      </c>
      <c r="AO175" s="24">
        <f>IF(AND('DB1'!$U$27&gt;'CF1'!AN5,'DB1'!$U$27&lt;='CF1'!AO5),1,0)</f>
        <v>0</v>
      </c>
      <c r="AP175" s="24">
        <f>IF(AND('DB1'!$U$27&gt;'CF1'!AO5,'DB1'!$U$27&lt;='CF1'!AP5),1,0)</f>
        <v>0</v>
      </c>
      <c r="AQ175" s="24">
        <f>IF(AND('DB1'!$U$27&gt;'CF1'!AP5,'DB1'!$U$27&lt;='CF1'!AQ5),1,0)</f>
        <v>0</v>
      </c>
      <c r="AR175" s="24">
        <f>IF(AND('DB1'!$U$27&gt;'CF1'!AQ5,'DB1'!$U$27&lt;='CF1'!AR5),1,0)</f>
        <v>0</v>
      </c>
      <c r="AS175" s="24">
        <f>IF(AND('DB1'!$U$27&gt;'CF1'!AR5,'DB1'!$U$27&lt;='CF1'!AS5),1,0)</f>
        <v>0</v>
      </c>
      <c r="AT175" s="24">
        <f>IF(AND('DB1'!$U$27&gt;'CF1'!AS5,'DB1'!$U$27&lt;='CF1'!AT5),1,0)</f>
        <v>0</v>
      </c>
      <c r="AU175" s="24">
        <f>IF(AND('DB1'!$U$27&gt;'CF1'!AT5,'DB1'!$U$27&lt;='CF1'!AU5),1,0)</f>
        <v>0</v>
      </c>
      <c r="AV175" s="24">
        <f>IF(AND('DB1'!$U$27&gt;'CF1'!AU5,'DB1'!$U$27&lt;='CF1'!AV5),1,0)</f>
        <v>0</v>
      </c>
      <c r="AW175" s="24">
        <f>IF(AND('DB1'!$U$27&gt;'CF1'!AV5,'DB1'!$U$27&lt;='CF1'!AW5),1,0)</f>
        <v>0</v>
      </c>
      <c r="AX175" s="24">
        <f>IF(AND('DB1'!$U$27&gt;'CF1'!AW5,'DB1'!$U$27&lt;='CF1'!AX5),1,0)</f>
        <v>0</v>
      </c>
      <c r="AY175" s="24">
        <f>IF(AND('DB1'!$U$27&gt;'CF1'!AX5,'DB1'!$U$27&lt;='CF1'!AY5),1,0)</f>
        <v>0</v>
      </c>
      <c r="AZ175" s="24">
        <f>IF(AND('DB1'!$U$27&gt;'CF1'!AY5,'DB1'!$U$27&lt;='CF1'!AZ5),1,0)</f>
        <v>0</v>
      </c>
      <c r="BA175" s="24">
        <f>IF(AND('DB1'!$U$27&gt;'CF1'!AZ5,'DB1'!$U$27&lt;='CF1'!BA5),1,0)</f>
        <v>0</v>
      </c>
      <c r="BB175" s="24">
        <f>IF(AND('DB1'!$U$27&gt;'CF1'!BA5,'DB1'!$U$27&lt;='CF1'!BB5),1,0)</f>
        <v>0</v>
      </c>
      <c r="BC175" s="24">
        <f>IF(AND('DB1'!$U$27&gt;'CF1'!BB5,'DB1'!$U$27&lt;='CF1'!BC5),1,0)</f>
        <v>0</v>
      </c>
      <c r="BD175" s="24">
        <f>IF(AND('DB1'!$U$27&gt;'CF1'!BC5,'DB1'!$U$27&lt;='CF1'!BD5),1,0)</f>
        <v>0</v>
      </c>
      <c r="BE175" s="24">
        <f>IF(AND('DB1'!$U$27&gt;'CF1'!BD5,'DB1'!$U$27&lt;='CF1'!BE5),1,0)</f>
        <v>0</v>
      </c>
      <c r="BF175" s="24">
        <f>IF(AND('DB1'!$U$27&gt;'CF1'!BE5,'DB1'!$U$27&lt;='CF1'!BF5),1,0)</f>
        <v>0</v>
      </c>
      <c r="BG175" s="24">
        <f>IF(AND('DB1'!$U$27&gt;'CF1'!BF5,'DB1'!$U$27&lt;='CF1'!BG5),1,0)</f>
        <v>0</v>
      </c>
      <c r="BH175" s="24">
        <f>IF(AND('DB1'!$U$27&gt;'CF1'!BG5,'DB1'!$U$27&lt;='CF1'!BH5),1,0)</f>
        <v>0</v>
      </c>
      <c r="BI175" s="24">
        <f>IF(AND('DB1'!$U$27&gt;'CF1'!BH5,'DB1'!$U$27&lt;='CF1'!BI5),1,0)</f>
        <v>0</v>
      </c>
      <c r="BJ175" s="24">
        <f>IF(AND('DB1'!$U$27&gt;'CF1'!BI5,'DB1'!$U$27&lt;='CF1'!BJ5),1,0)</f>
        <v>0</v>
      </c>
      <c r="BK175" s="24">
        <f>IF(AND('DB1'!$U$27&gt;'CF1'!BJ5,'DB1'!$U$27&lt;='CF1'!BK5),1,0)</f>
        <v>0</v>
      </c>
      <c r="BL175" s="24">
        <f>IF(AND('DB1'!$U$27&gt;'CF1'!BK5,'DB1'!$U$27&lt;='CF1'!BL5),1,0)</f>
        <v>0</v>
      </c>
      <c r="BM175" s="24">
        <f>IF(AND('DB1'!$U$27&gt;'CF1'!BL5,'DB1'!$U$27&lt;='CF1'!BM5),1,0)</f>
        <v>0</v>
      </c>
    </row>
    <row r="176" spans="2:65" hidden="1" outlineLevel="1"/>
    <row r="177" spans="1:68" hidden="1" outlineLevel="1">
      <c r="B177" s="124" t="s">
        <v>78</v>
      </c>
    </row>
    <row r="178" spans="1:68" s="164" customFormat="1" ht="12.75" hidden="1" customHeight="1" outlineLevel="1">
      <c r="B178" s="166" t="s">
        <v>69</v>
      </c>
      <c r="C178" s="167"/>
      <c r="D178" s="168"/>
      <c r="E178" s="24"/>
      <c r="F178" s="24">
        <f t="shared" ref="F178:T178" si="100">E169+F76+F111+F104+F81+F106+F107</f>
        <v>1.8477140000000031E-2</v>
      </c>
      <c r="G178" s="24">
        <f t="shared" si="100"/>
        <v>6.0113849999999913E-2</v>
      </c>
      <c r="H178" s="24">
        <f t="shared" si="100"/>
        <v>0.3765438499999999</v>
      </c>
      <c r="I178" s="24">
        <f t="shared" si="100"/>
        <v>0.38607384999999989</v>
      </c>
      <c r="J178" s="24">
        <f t="shared" si="100"/>
        <v>5.0603849999999895E-2</v>
      </c>
      <c r="K178" s="24">
        <f t="shared" si="100"/>
        <v>0.50580384999999994</v>
      </c>
      <c r="L178" s="24">
        <f t="shared" si="100"/>
        <v>0.46646822999999993</v>
      </c>
      <c r="M178" s="24">
        <f t="shared" si="100"/>
        <v>0.84798823000000001</v>
      </c>
      <c r="N178" s="24">
        <f t="shared" si="100"/>
        <v>1.6959764599999971</v>
      </c>
      <c r="O178" s="24">
        <f t="shared" si="100"/>
        <v>1.7082529200000067</v>
      </c>
      <c r="P178" s="24">
        <f t="shared" si="100"/>
        <v>-3372.5540918550319</v>
      </c>
      <c r="Q178" s="24">
        <f t="shared" si="100"/>
        <v>-631.20537935503205</v>
      </c>
      <c r="R178" s="24">
        <f t="shared" si="100"/>
        <v>-905.60355129503216</v>
      </c>
      <c r="S178" s="24">
        <f t="shared" si="100"/>
        <v>-1508.6352442507916</v>
      </c>
      <c r="T178" s="24">
        <f t="shared" si="100"/>
        <v>-2283.2434930711083</v>
      </c>
      <c r="U178" s="24">
        <f t="shared" ref="U178:BM178" si="101">T169+U76+U111+U104+U81+U105</f>
        <v>-2028.2557730251017</v>
      </c>
      <c r="V178" s="24">
        <f t="shared" si="101"/>
        <v>-2037.4864392117659</v>
      </c>
      <c r="W178" s="24">
        <f t="shared" si="101"/>
        <v>-1466.3885097394329</v>
      </c>
      <c r="X178" s="24">
        <f t="shared" si="101"/>
        <v>-1476.2397564801356</v>
      </c>
      <c r="Y178" s="24">
        <f t="shared" si="101"/>
        <v>-1480.1374042291518</v>
      </c>
      <c r="Z178" s="24">
        <f t="shared" si="101"/>
        <v>-1488.8411422831575</v>
      </c>
      <c r="AA178" s="24">
        <f t="shared" si="101"/>
        <v>-1493.1029262223335</v>
      </c>
      <c r="AB178" s="24">
        <f t="shared" si="101"/>
        <v>-1506.9300902545681</v>
      </c>
      <c r="AC178" s="24">
        <f t="shared" si="101"/>
        <v>-1697.3612962458997</v>
      </c>
      <c r="AD178" s="24">
        <f t="shared" si="101"/>
        <v>-1588.8305527194032</v>
      </c>
      <c r="AE178" s="24">
        <f t="shared" si="101"/>
        <v>-1562.1913840222755</v>
      </c>
      <c r="AF178" s="24">
        <f t="shared" si="101"/>
        <v>23740.982996231018</v>
      </c>
      <c r="AG178" s="24">
        <f t="shared" si="101"/>
        <v>2913.7181598722068</v>
      </c>
      <c r="AH178" s="24">
        <f t="shared" si="101"/>
        <v>2770.3024083630812</v>
      </c>
      <c r="AI178" s="24">
        <f t="shared" si="101"/>
        <v>1685.4048433510732</v>
      </c>
      <c r="AJ178" s="24">
        <f t="shared" si="101"/>
        <v>1848.5636582145582</v>
      </c>
      <c r="AK178" s="24">
        <f t="shared" si="101"/>
        <v>1845.2170711403348</v>
      </c>
      <c r="AL178" s="24">
        <f t="shared" si="101"/>
        <v>2915.2295771303302</v>
      </c>
      <c r="AM178" s="24">
        <f t="shared" si="101"/>
        <v>4525.4818323068721</v>
      </c>
      <c r="AN178" s="24">
        <f t="shared" si="101"/>
        <v>4991.0388673831785</v>
      </c>
      <c r="AO178" s="24">
        <f t="shared" si="101"/>
        <v>4968.0526465180055</v>
      </c>
      <c r="AP178" s="24">
        <f t="shared" si="101"/>
        <v>4968.0526465180055</v>
      </c>
      <c r="AQ178" s="24">
        <f t="shared" si="101"/>
        <v>4968.0526465180055</v>
      </c>
      <c r="AR178" s="24">
        <f t="shared" si="101"/>
        <v>4968.0526465180055</v>
      </c>
      <c r="AS178" s="24">
        <f t="shared" si="101"/>
        <v>4968.0526465180055</v>
      </c>
      <c r="AT178" s="24">
        <f t="shared" si="101"/>
        <v>4968.0526465180055</v>
      </c>
      <c r="AU178" s="24">
        <f t="shared" si="101"/>
        <v>4968.0526465180055</v>
      </c>
      <c r="AV178" s="24">
        <f t="shared" si="101"/>
        <v>4968.0526465180055</v>
      </c>
      <c r="AW178" s="24">
        <f t="shared" si="101"/>
        <v>4968.0526465180055</v>
      </c>
      <c r="AX178" s="24">
        <f t="shared" si="101"/>
        <v>4968.0526465180055</v>
      </c>
      <c r="AY178" s="24">
        <f t="shared" si="101"/>
        <v>4968.0526465180055</v>
      </c>
      <c r="AZ178" s="24">
        <f t="shared" si="101"/>
        <v>4968.0526465180055</v>
      </c>
      <c r="BA178" s="24">
        <f t="shared" si="101"/>
        <v>4968.0526465180055</v>
      </c>
      <c r="BB178" s="24">
        <f t="shared" si="101"/>
        <v>4968.0526465180055</v>
      </c>
      <c r="BC178" s="24">
        <f t="shared" si="101"/>
        <v>4968.0526465180055</v>
      </c>
      <c r="BD178" s="24">
        <f t="shared" si="101"/>
        <v>4968.0526465180055</v>
      </c>
      <c r="BE178" s="24">
        <f t="shared" si="101"/>
        <v>4968.0526465180055</v>
      </c>
      <c r="BF178" s="24">
        <f t="shared" si="101"/>
        <v>4968.0526465180055</v>
      </c>
      <c r="BG178" s="24">
        <f t="shared" si="101"/>
        <v>4968.0526465180055</v>
      </c>
      <c r="BH178" s="24">
        <f t="shared" si="101"/>
        <v>4968.0526465180055</v>
      </c>
      <c r="BI178" s="24">
        <f t="shared" si="101"/>
        <v>4968.0526465180055</v>
      </c>
      <c r="BJ178" s="24">
        <f t="shared" si="101"/>
        <v>4968.0526465180055</v>
      </c>
      <c r="BK178" s="24">
        <f t="shared" si="101"/>
        <v>4968.0526465180055</v>
      </c>
      <c r="BL178" s="24">
        <f t="shared" si="101"/>
        <v>4968.0526465180055</v>
      </c>
      <c r="BM178" s="24">
        <f t="shared" si="101"/>
        <v>4968.0526465180055</v>
      </c>
    </row>
    <row r="179" spans="1:68" s="164" customFormat="1" ht="12.75" hidden="1" customHeight="1" outlineLevel="1">
      <c r="B179" s="166" t="s">
        <v>77</v>
      </c>
      <c r="C179" s="167"/>
      <c r="D179" s="168"/>
      <c r="E179" s="24"/>
      <c r="F179" s="24">
        <f t="shared" ref="F179:AK179" si="102">F178+F88</f>
        <v>1.8477140000000031E-2</v>
      </c>
      <c r="G179" s="24">
        <f t="shared" si="102"/>
        <v>6.0113849999999913E-2</v>
      </c>
      <c r="H179" s="24">
        <f t="shared" si="102"/>
        <v>0.3765438499999999</v>
      </c>
      <c r="I179" s="24">
        <f t="shared" si="102"/>
        <v>0.38607384999999989</v>
      </c>
      <c r="J179" s="24">
        <f t="shared" si="102"/>
        <v>5.0603849999999895E-2</v>
      </c>
      <c r="K179" s="24">
        <f t="shared" si="102"/>
        <v>0.50580384999999994</v>
      </c>
      <c r="L179" s="24">
        <f t="shared" si="102"/>
        <v>0.46646822999999993</v>
      </c>
      <c r="M179" s="24">
        <f t="shared" si="102"/>
        <v>0.84798823000000001</v>
      </c>
      <c r="N179" s="24">
        <f t="shared" si="102"/>
        <v>1.6959764599999971</v>
      </c>
      <c r="O179" s="24">
        <f t="shared" si="102"/>
        <v>1.7082529200000067</v>
      </c>
      <c r="P179" s="24">
        <f t="shared" si="102"/>
        <v>-3372.5540918550319</v>
      </c>
      <c r="Q179" s="24">
        <f t="shared" si="102"/>
        <v>-631.20537935503205</v>
      </c>
      <c r="R179" s="24">
        <f t="shared" si="102"/>
        <v>-905.60355129503216</v>
      </c>
      <c r="S179" s="24">
        <f t="shared" si="102"/>
        <v>-1508.6352442507916</v>
      </c>
      <c r="T179" s="24">
        <f t="shared" si="102"/>
        <v>-8701.2417598269967</v>
      </c>
      <c r="U179" s="24">
        <f t="shared" si="102"/>
        <v>-2028.2557730251017</v>
      </c>
      <c r="V179" s="24">
        <f t="shared" si="102"/>
        <v>-2037.4864392117659</v>
      </c>
      <c r="W179" s="24">
        <f t="shared" si="102"/>
        <v>-1466.3885097394329</v>
      </c>
      <c r="X179" s="24">
        <f t="shared" si="102"/>
        <v>-1476.2397564801356</v>
      </c>
      <c r="Y179" s="24">
        <f t="shared" si="102"/>
        <v>-1480.1374042291518</v>
      </c>
      <c r="Z179" s="24">
        <f t="shared" si="102"/>
        <v>-1488.8411422831575</v>
      </c>
      <c r="AA179" s="24">
        <f t="shared" si="102"/>
        <v>-1493.1029262223335</v>
      </c>
      <c r="AB179" s="24">
        <f t="shared" si="102"/>
        <v>-1506.9300902545681</v>
      </c>
      <c r="AC179" s="24">
        <f t="shared" si="102"/>
        <v>-1697.3612962458997</v>
      </c>
      <c r="AD179" s="24">
        <f t="shared" si="102"/>
        <v>-1588.8305527194032</v>
      </c>
      <c r="AE179" s="24">
        <f t="shared" si="102"/>
        <v>-1562.1913840222755</v>
      </c>
      <c r="AF179" s="24">
        <f t="shared" si="102"/>
        <v>23740.982996231018</v>
      </c>
      <c r="AG179" s="24">
        <f t="shared" si="102"/>
        <v>2913.7181598722068</v>
      </c>
      <c r="AH179" s="24">
        <f t="shared" si="102"/>
        <v>2770.3024083630812</v>
      </c>
      <c r="AI179" s="24">
        <f t="shared" si="102"/>
        <v>1685.4048433510732</v>
      </c>
      <c r="AJ179" s="24">
        <f t="shared" si="102"/>
        <v>1848.5636582145582</v>
      </c>
      <c r="AK179" s="24">
        <f t="shared" si="102"/>
        <v>1845.2170711403348</v>
      </c>
      <c r="AL179" s="24">
        <f t="shared" ref="AL179:BM179" si="103">AL178+AL88</f>
        <v>2915.2295771303302</v>
      </c>
      <c r="AM179" s="24">
        <f t="shared" si="103"/>
        <v>4525.4818323068721</v>
      </c>
      <c r="AN179" s="24">
        <f t="shared" si="103"/>
        <v>4991.0388673831785</v>
      </c>
      <c r="AO179" s="24">
        <f t="shared" si="103"/>
        <v>4968.0526465180055</v>
      </c>
      <c r="AP179" s="24">
        <f t="shared" si="103"/>
        <v>4968.0526465180055</v>
      </c>
      <c r="AQ179" s="24">
        <f t="shared" si="103"/>
        <v>4968.0526465180055</v>
      </c>
      <c r="AR179" s="24">
        <f t="shared" si="103"/>
        <v>4968.0526465180055</v>
      </c>
      <c r="AS179" s="24">
        <f t="shared" si="103"/>
        <v>4968.0526465180055</v>
      </c>
      <c r="AT179" s="24">
        <f t="shared" si="103"/>
        <v>4968.0526465180055</v>
      </c>
      <c r="AU179" s="24">
        <f t="shared" si="103"/>
        <v>4968.0526465180055</v>
      </c>
      <c r="AV179" s="24">
        <f t="shared" si="103"/>
        <v>4968.0526465180055</v>
      </c>
      <c r="AW179" s="24">
        <f t="shared" si="103"/>
        <v>4968.0526465180055</v>
      </c>
      <c r="AX179" s="24">
        <f t="shared" si="103"/>
        <v>4968.0526465180055</v>
      </c>
      <c r="AY179" s="24">
        <f t="shared" si="103"/>
        <v>4968.0526465180055</v>
      </c>
      <c r="AZ179" s="24">
        <f t="shared" si="103"/>
        <v>4968.0526465180055</v>
      </c>
      <c r="BA179" s="24">
        <f t="shared" si="103"/>
        <v>4968.0526465180055</v>
      </c>
      <c r="BB179" s="24">
        <f t="shared" si="103"/>
        <v>4968.0526465180055</v>
      </c>
      <c r="BC179" s="24">
        <f t="shared" si="103"/>
        <v>4968.0526465180055</v>
      </c>
      <c r="BD179" s="24">
        <f t="shared" si="103"/>
        <v>4968.0526465180055</v>
      </c>
      <c r="BE179" s="24">
        <f t="shared" si="103"/>
        <v>4968.0526465180055</v>
      </c>
      <c r="BF179" s="24">
        <f t="shared" si="103"/>
        <v>4968.0526465180055</v>
      </c>
      <c r="BG179" s="24">
        <f t="shared" si="103"/>
        <v>4968.0526465180055</v>
      </c>
      <c r="BH179" s="24">
        <f t="shared" si="103"/>
        <v>4968.0526465180055</v>
      </c>
      <c r="BI179" s="24">
        <f t="shared" si="103"/>
        <v>4968.0526465180055</v>
      </c>
      <c r="BJ179" s="24">
        <f t="shared" si="103"/>
        <v>4968.0526465180055</v>
      </c>
      <c r="BK179" s="24">
        <f t="shared" si="103"/>
        <v>4968.0526465180055</v>
      </c>
      <c r="BL179" s="24">
        <f t="shared" si="103"/>
        <v>4968.0526465180055</v>
      </c>
      <c r="BM179" s="24">
        <f t="shared" si="103"/>
        <v>4968.0526465180055</v>
      </c>
    </row>
    <row r="180" spans="1:68" s="164" customFormat="1" ht="12.75" hidden="1" customHeight="1" outlineLevel="1">
      <c r="B180" s="166" t="s">
        <v>76</v>
      </c>
      <c r="C180" s="167"/>
      <c r="D180" s="168"/>
      <c r="E180" s="24"/>
      <c r="F180" s="24">
        <f t="shared" ref="F180:AK180" si="104">F179+F91</f>
        <v>1.8477140000000031E-2</v>
      </c>
      <c r="G180" s="24">
        <f t="shared" si="104"/>
        <v>6.0113849999999913E-2</v>
      </c>
      <c r="H180" s="24">
        <f t="shared" si="104"/>
        <v>0.3765438499999999</v>
      </c>
      <c r="I180" s="24">
        <f t="shared" si="104"/>
        <v>0.38607384999999989</v>
      </c>
      <c r="J180" s="24">
        <f t="shared" si="104"/>
        <v>5.0603849999999895E-2</v>
      </c>
      <c r="K180" s="24">
        <f t="shared" si="104"/>
        <v>0.50580384999999994</v>
      </c>
      <c r="L180" s="24">
        <f t="shared" si="104"/>
        <v>0.46646822999999993</v>
      </c>
      <c r="M180" s="24">
        <f t="shared" si="104"/>
        <v>0.84798823000000001</v>
      </c>
      <c r="N180" s="24">
        <f t="shared" si="104"/>
        <v>1.6959764599999971</v>
      </c>
      <c r="O180" s="24">
        <f t="shared" si="104"/>
        <v>1.7082529200000067</v>
      </c>
      <c r="P180" s="24">
        <f t="shared" si="104"/>
        <v>-3372.5540918550319</v>
      </c>
      <c r="Q180" s="24">
        <f t="shared" si="104"/>
        <v>-631.20537935503205</v>
      </c>
      <c r="R180" s="24">
        <f t="shared" si="104"/>
        <v>-905.60355129503216</v>
      </c>
      <c r="S180" s="24">
        <f t="shared" si="104"/>
        <v>-1508.6352442507916</v>
      </c>
      <c r="T180" s="24">
        <f t="shared" si="104"/>
        <v>-9658.0798493841212</v>
      </c>
      <c r="U180" s="24">
        <f t="shared" si="104"/>
        <v>-2028.2557730251017</v>
      </c>
      <c r="V180" s="24">
        <f t="shared" si="104"/>
        <v>-2037.4864392117659</v>
      </c>
      <c r="W180" s="24">
        <f t="shared" si="104"/>
        <v>-1466.3885097394329</v>
      </c>
      <c r="X180" s="24">
        <f t="shared" si="104"/>
        <v>-1476.2397564801356</v>
      </c>
      <c r="Y180" s="24">
        <f t="shared" si="104"/>
        <v>-1480.1374042291518</v>
      </c>
      <c r="Z180" s="24">
        <f t="shared" si="104"/>
        <v>-1488.8411422831575</v>
      </c>
      <c r="AA180" s="24">
        <f t="shared" si="104"/>
        <v>-1493.1029262223335</v>
      </c>
      <c r="AB180" s="24">
        <f t="shared" si="104"/>
        <v>-1506.9300902545681</v>
      </c>
      <c r="AC180" s="24">
        <f t="shared" si="104"/>
        <v>-1697.3612962458997</v>
      </c>
      <c r="AD180" s="24">
        <f t="shared" si="104"/>
        <v>-1588.8305527194032</v>
      </c>
      <c r="AE180" s="24">
        <f t="shared" si="104"/>
        <v>-1562.1913840222755</v>
      </c>
      <c r="AF180" s="24">
        <f t="shared" si="104"/>
        <v>23740.982996231018</v>
      </c>
      <c r="AG180" s="24">
        <f t="shared" si="104"/>
        <v>2913.7181598722068</v>
      </c>
      <c r="AH180" s="24">
        <f t="shared" si="104"/>
        <v>2770.3024083630812</v>
      </c>
      <c r="AI180" s="24">
        <f t="shared" si="104"/>
        <v>1685.4048433510732</v>
      </c>
      <c r="AJ180" s="24">
        <f t="shared" si="104"/>
        <v>1848.5636582145582</v>
      </c>
      <c r="AK180" s="24">
        <f t="shared" si="104"/>
        <v>1845.2170711403348</v>
      </c>
      <c r="AL180" s="24">
        <f t="shared" ref="AL180:BM180" si="105">AL179+AL91</f>
        <v>2915.2295771303302</v>
      </c>
      <c r="AM180" s="24">
        <f t="shared" si="105"/>
        <v>4525.4818323068721</v>
      </c>
      <c r="AN180" s="24">
        <f t="shared" si="105"/>
        <v>4991.0388673831785</v>
      </c>
      <c r="AO180" s="24">
        <f t="shared" si="105"/>
        <v>4968.0526465180055</v>
      </c>
      <c r="AP180" s="24">
        <f t="shared" si="105"/>
        <v>4968.0526465180055</v>
      </c>
      <c r="AQ180" s="24">
        <f t="shared" si="105"/>
        <v>4968.0526465180055</v>
      </c>
      <c r="AR180" s="24">
        <f t="shared" si="105"/>
        <v>4968.0526465180055</v>
      </c>
      <c r="AS180" s="24">
        <f t="shared" si="105"/>
        <v>4968.0526465180055</v>
      </c>
      <c r="AT180" s="24">
        <f t="shared" si="105"/>
        <v>4968.0526465180055</v>
      </c>
      <c r="AU180" s="24">
        <f t="shared" si="105"/>
        <v>4968.0526465180055</v>
      </c>
      <c r="AV180" s="24">
        <f t="shared" si="105"/>
        <v>4968.0526465180055</v>
      </c>
      <c r="AW180" s="24">
        <f t="shared" si="105"/>
        <v>4968.0526465180055</v>
      </c>
      <c r="AX180" s="24">
        <f t="shared" si="105"/>
        <v>4968.0526465180055</v>
      </c>
      <c r="AY180" s="24">
        <f t="shared" si="105"/>
        <v>4968.0526465180055</v>
      </c>
      <c r="AZ180" s="24">
        <f t="shared" si="105"/>
        <v>4968.0526465180055</v>
      </c>
      <c r="BA180" s="24">
        <f t="shared" si="105"/>
        <v>4968.0526465180055</v>
      </c>
      <c r="BB180" s="24">
        <f t="shared" si="105"/>
        <v>4968.0526465180055</v>
      </c>
      <c r="BC180" s="24">
        <f t="shared" si="105"/>
        <v>4968.0526465180055</v>
      </c>
      <c r="BD180" s="24">
        <f t="shared" si="105"/>
        <v>4968.0526465180055</v>
      </c>
      <c r="BE180" s="24">
        <f t="shared" si="105"/>
        <v>4968.0526465180055</v>
      </c>
      <c r="BF180" s="24">
        <f t="shared" si="105"/>
        <v>4968.0526465180055</v>
      </c>
      <c r="BG180" s="24">
        <f t="shared" si="105"/>
        <v>4968.0526465180055</v>
      </c>
      <c r="BH180" s="24">
        <f t="shared" si="105"/>
        <v>4968.0526465180055</v>
      </c>
      <c r="BI180" s="24">
        <f t="shared" si="105"/>
        <v>4968.0526465180055</v>
      </c>
      <c r="BJ180" s="24">
        <f t="shared" si="105"/>
        <v>4968.0526465180055</v>
      </c>
      <c r="BK180" s="24">
        <f t="shared" si="105"/>
        <v>4968.0526465180055</v>
      </c>
      <c r="BL180" s="24">
        <f t="shared" si="105"/>
        <v>4968.0526465180055</v>
      </c>
      <c r="BM180" s="24">
        <f t="shared" si="105"/>
        <v>4968.0526465180055</v>
      </c>
    </row>
    <row r="181" spans="1:68" s="164" customFormat="1" ht="12.75" hidden="1" customHeight="1" outlineLevel="1">
      <c r="B181" s="166" t="s">
        <v>79</v>
      </c>
      <c r="C181" s="167"/>
      <c r="D181" s="168"/>
      <c r="E181" s="24"/>
      <c r="F181" s="24"/>
      <c r="G181" s="24">
        <f t="shared" ref="G181:AK181" si="106">F169+G76+G87+G104+G81+G106+G107</f>
        <v>6.0113849999999913E-2</v>
      </c>
      <c r="H181" s="24">
        <f t="shared" si="106"/>
        <v>0.3765438499999999</v>
      </c>
      <c r="I181" s="24">
        <f t="shared" si="106"/>
        <v>0.38607384999999989</v>
      </c>
      <c r="J181" s="24">
        <f t="shared" si="106"/>
        <v>5.0603849999999895E-2</v>
      </c>
      <c r="K181" s="24">
        <f t="shared" si="106"/>
        <v>0.50580384999999994</v>
      </c>
      <c r="L181" s="24">
        <f t="shared" si="106"/>
        <v>0.46646822999999993</v>
      </c>
      <c r="M181" s="24">
        <f t="shared" si="106"/>
        <v>0.84798823000000001</v>
      </c>
      <c r="N181" s="24">
        <f t="shared" si="106"/>
        <v>1.6959764599999971</v>
      </c>
      <c r="O181" s="24">
        <f t="shared" si="106"/>
        <v>1.7082529200000067</v>
      </c>
      <c r="P181" s="24">
        <f t="shared" si="106"/>
        <v>0</v>
      </c>
      <c r="Q181" s="24">
        <f t="shared" si="106"/>
        <v>0</v>
      </c>
      <c r="R181" s="24">
        <f t="shared" si="106"/>
        <v>0</v>
      </c>
      <c r="S181" s="24">
        <f t="shared" si="106"/>
        <v>0</v>
      </c>
      <c r="T181" s="24">
        <f t="shared" si="106"/>
        <v>-2283.2434930711083</v>
      </c>
      <c r="U181" s="24">
        <f t="shared" si="106"/>
        <v>-2028.2557730251017</v>
      </c>
      <c r="V181" s="24">
        <f t="shared" si="106"/>
        <v>-2037.4864392117659</v>
      </c>
      <c r="W181" s="24">
        <f t="shared" si="106"/>
        <v>-1466.3885097394329</v>
      </c>
      <c r="X181" s="24">
        <f t="shared" si="106"/>
        <v>-1476.2397564801356</v>
      </c>
      <c r="Y181" s="24">
        <f t="shared" si="106"/>
        <v>-1480.1374042291518</v>
      </c>
      <c r="Z181" s="24">
        <f t="shared" si="106"/>
        <v>-1488.8411422831575</v>
      </c>
      <c r="AA181" s="24">
        <f t="shared" si="106"/>
        <v>-1493.1029262223335</v>
      </c>
      <c r="AB181" s="24">
        <f t="shared" si="106"/>
        <v>-1506.9300902545681</v>
      </c>
      <c r="AC181" s="24">
        <f t="shared" si="106"/>
        <v>-1697.3612962458997</v>
      </c>
      <c r="AD181" s="24">
        <f t="shared" si="106"/>
        <v>-1588.8305527194032</v>
      </c>
      <c r="AE181" s="24">
        <f t="shared" si="106"/>
        <v>-1562.1913840222755</v>
      </c>
      <c r="AF181" s="24">
        <f t="shared" si="106"/>
        <v>24048.254294852584</v>
      </c>
      <c r="AG181" s="24">
        <f t="shared" si="106"/>
        <v>3225.0350158437182</v>
      </c>
      <c r="AH181" s="24">
        <f t="shared" si="106"/>
        <v>3216.6415092509319</v>
      </c>
      <c r="AI181" s="24">
        <f t="shared" si="106"/>
        <v>2017.6631334191429</v>
      </c>
      <c r="AJ181" s="24">
        <f t="shared" si="106"/>
        <v>2069.3682228633929</v>
      </c>
      <c r="AK181" s="24">
        <f t="shared" si="106"/>
        <v>2069.3682228633929</v>
      </c>
      <c r="AL181" s="24">
        <f t="shared" ref="AL181:BM181" si="107">AK169+AL76+AL87+AL104+AL81+AL106+AL107</f>
        <v>3141.815666953763</v>
      </c>
      <c r="AM181" s="24">
        <f t="shared" si="107"/>
        <v>4701.0663057311185</v>
      </c>
      <c r="AN181" s="24">
        <f t="shared" si="107"/>
        <v>4991.0388673831785</v>
      </c>
      <c r="AO181" s="24">
        <f t="shared" si="107"/>
        <v>4968.0526465180055</v>
      </c>
      <c r="AP181" s="24">
        <f t="shared" si="107"/>
        <v>4968.0526465180055</v>
      </c>
      <c r="AQ181" s="24">
        <f t="shared" si="107"/>
        <v>4968.0526465180055</v>
      </c>
      <c r="AR181" s="24">
        <f t="shared" si="107"/>
        <v>4968.0526465180055</v>
      </c>
      <c r="AS181" s="24">
        <f t="shared" si="107"/>
        <v>4968.0526465180055</v>
      </c>
      <c r="AT181" s="24">
        <f t="shared" si="107"/>
        <v>4968.0526465180055</v>
      </c>
      <c r="AU181" s="24">
        <f t="shared" si="107"/>
        <v>4968.0526465180055</v>
      </c>
      <c r="AV181" s="24">
        <f t="shared" si="107"/>
        <v>4968.0526465180055</v>
      </c>
      <c r="AW181" s="24">
        <f t="shared" si="107"/>
        <v>4968.0526465180055</v>
      </c>
      <c r="AX181" s="24">
        <f t="shared" si="107"/>
        <v>4968.0526465180055</v>
      </c>
      <c r="AY181" s="24">
        <f t="shared" si="107"/>
        <v>4968.0526465180055</v>
      </c>
      <c r="AZ181" s="24">
        <f t="shared" si="107"/>
        <v>4968.0526465180055</v>
      </c>
      <c r="BA181" s="24">
        <f t="shared" si="107"/>
        <v>4968.0526465180055</v>
      </c>
      <c r="BB181" s="24">
        <f t="shared" si="107"/>
        <v>4968.0526465180055</v>
      </c>
      <c r="BC181" s="24">
        <f t="shared" si="107"/>
        <v>4968.0526465180055</v>
      </c>
      <c r="BD181" s="24">
        <f t="shared" si="107"/>
        <v>4968.0526465180055</v>
      </c>
      <c r="BE181" s="24">
        <f t="shared" si="107"/>
        <v>4968.0526465180055</v>
      </c>
      <c r="BF181" s="24">
        <f t="shared" si="107"/>
        <v>4968.0526465180055</v>
      </c>
      <c r="BG181" s="24">
        <f t="shared" si="107"/>
        <v>4968.0526465180055</v>
      </c>
      <c r="BH181" s="24">
        <f t="shared" si="107"/>
        <v>4968.0526465180055</v>
      </c>
      <c r="BI181" s="24">
        <f t="shared" si="107"/>
        <v>4968.0526465180055</v>
      </c>
      <c r="BJ181" s="24">
        <f t="shared" si="107"/>
        <v>4968.0526465180055</v>
      </c>
      <c r="BK181" s="24">
        <f t="shared" si="107"/>
        <v>4968.0526465180055</v>
      </c>
      <c r="BL181" s="24">
        <f t="shared" si="107"/>
        <v>4968.0526465180055</v>
      </c>
      <c r="BM181" s="24">
        <f t="shared" si="107"/>
        <v>4968.0526465180055</v>
      </c>
    </row>
    <row r="182" spans="1:68" s="164" customFormat="1" ht="12.75" hidden="1" customHeight="1" outlineLevel="1">
      <c r="B182" s="166" t="s">
        <v>80</v>
      </c>
      <c r="C182" s="167"/>
      <c r="D182" s="168"/>
      <c r="E182" s="24"/>
      <c r="F182" s="24">
        <f t="shared" ref="F182:AK182" si="108">F180+F93</f>
        <v>1.8477140000000031E-2</v>
      </c>
      <c r="G182" s="24">
        <f t="shared" si="108"/>
        <v>6.0113849999999913E-2</v>
      </c>
      <c r="H182" s="24">
        <f t="shared" si="108"/>
        <v>0.3765438499999999</v>
      </c>
      <c r="I182" s="24">
        <f t="shared" si="108"/>
        <v>0.38607384999999989</v>
      </c>
      <c r="J182" s="24">
        <f t="shared" si="108"/>
        <v>5.0603849999999895E-2</v>
      </c>
      <c r="K182" s="24">
        <f t="shared" si="108"/>
        <v>0.50580384999999994</v>
      </c>
      <c r="L182" s="24">
        <f t="shared" si="108"/>
        <v>0.46646822999999993</v>
      </c>
      <c r="M182" s="24">
        <f t="shared" si="108"/>
        <v>0.84798823000000001</v>
      </c>
      <c r="N182" s="24">
        <f t="shared" si="108"/>
        <v>1.6959764599999971</v>
      </c>
      <c r="O182" s="24">
        <f t="shared" si="108"/>
        <v>1.7082529200000067</v>
      </c>
      <c r="P182" s="24">
        <f t="shared" si="108"/>
        <v>-3372.5540918550319</v>
      </c>
      <c r="Q182" s="24">
        <f t="shared" si="108"/>
        <v>-631.20537935503205</v>
      </c>
      <c r="R182" s="24">
        <f t="shared" si="108"/>
        <v>-905.60355129503216</v>
      </c>
      <c r="S182" s="24">
        <f t="shared" si="108"/>
        <v>-1508.6352442507916</v>
      </c>
      <c r="T182" s="24">
        <f t="shared" si="108"/>
        <v>-9769.9209674260583</v>
      </c>
      <c r="U182" s="24">
        <f t="shared" si="108"/>
        <v>-2028.2557730251017</v>
      </c>
      <c r="V182" s="24">
        <f t="shared" si="108"/>
        <v>-2037.4864392117659</v>
      </c>
      <c r="W182" s="24">
        <f t="shared" si="108"/>
        <v>-1466.3885097394329</v>
      </c>
      <c r="X182" s="24">
        <f t="shared" si="108"/>
        <v>-1476.2397564801356</v>
      </c>
      <c r="Y182" s="24">
        <f t="shared" si="108"/>
        <v>-1480.1374042291518</v>
      </c>
      <c r="Z182" s="24">
        <f t="shared" si="108"/>
        <v>-1488.8411422831575</v>
      </c>
      <c r="AA182" s="24">
        <f t="shared" si="108"/>
        <v>-1493.1029262223335</v>
      </c>
      <c r="AB182" s="24">
        <f t="shared" si="108"/>
        <v>-1506.9300902545681</v>
      </c>
      <c r="AC182" s="24">
        <f t="shared" si="108"/>
        <v>-1697.3612962458997</v>
      </c>
      <c r="AD182" s="24">
        <f t="shared" si="108"/>
        <v>-1588.8305527194032</v>
      </c>
      <c r="AE182" s="24">
        <f t="shared" si="108"/>
        <v>-1562.1913840222755</v>
      </c>
      <c r="AF182" s="24">
        <f t="shared" si="108"/>
        <v>23740.982996231018</v>
      </c>
      <c r="AG182" s="24">
        <f t="shared" si="108"/>
        <v>2913.7181598722068</v>
      </c>
      <c r="AH182" s="24">
        <f t="shared" si="108"/>
        <v>2770.3024083630812</v>
      </c>
      <c r="AI182" s="24">
        <f t="shared" si="108"/>
        <v>1685.4048433510732</v>
      </c>
      <c r="AJ182" s="24">
        <f t="shared" si="108"/>
        <v>1848.5636582145582</v>
      </c>
      <c r="AK182" s="24">
        <f t="shared" si="108"/>
        <v>1845.2170711403348</v>
      </c>
      <c r="AL182" s="24">
        <f t="shared" ref="AL182:BM182" si="109">AL180+AL93</f>
        <v>2915.2295771303302</v>
      </c>
      <c r="AM182" s="24">
        <f t="shared" si="109"/>
        <v>4525.4818323068721</v>
      </c>
      <c r="AN182" s="24">
        <f t="shared" si="109"/>
        <v>4991.0388673831785</v>
      </c>
      <c r="AO182" s="24">
        <f t="shared" si="109"/>
        <v>4968.0526465180055</v>
      </c>
      <c r="AP182" s="24">
        <f t="shared" si="109"/>
        <v>4968.0526465180055</v>
      </c>
      <c r="AQ182" s="24">
        <f t="shared" si="109"/>
        <v>4968.0526465180055</v>
      </c>
      <c r="AR182" s="24">
        <f t="shared" si="109"/>
        <v>4968.0526465180055</v>
      </c>
      <c r="AS182" s="24">
        <f t="shared" si="109"/>
        <v>4968.0526465180055</v>
      </c>
      <c r="AT182" s="24">
        <f t="shared" si="109"/>
        <v>4968.0526465180055</v>
      </c>
      <c r="AU182" s="24">
        <f t="shared" si="109"/>
        <v>4968.0526465180055</v>
      </c>
      <c r="AV182" s="24">
        <f t="shared" si="109"/>
        <v>4968.0526465180055</v>
      </c>
      <c r="AW182" s="24">
        <f t="shared" si="109"/>
        <v>4968.0526465180055</v>
      </c>
      <c r="AX182" s="24">
        <f t="shared" si="109"/>
        <v>4968.0526465180055</v>
      </c>
      <c r="AY182" s="24">
        <f t="shared" si="109"/>
        <v>4968.0526465180055</v>
      </c>
      <c r="AZ182" s="24">
        <f t="shared" si="109"/>
        <v>4968.0526465180055</v>
      </c>
      <c r="BA182" s="24">
        <f t="shared" si="109"/>
        <v>4968.0526465180055</v>
      </c>
      <c r="BB182" s="24">
        <f t="shared" si="109"/>
        <v>4968.0526465180055</v>
      </c>
      <c r="BC182" s="24">
        <f t="shared" si="109"/>
        <v>4968.0526465180055</v>
      </c>
      <c r="BD182" s="24">
        <f t="shared" si="109"/>
        <v>4968.0526465180055</v>
      </c>
      <c r="BE182" s="24">
        <f t="shared" si="109"/>
        <v>4968.0526465180055</v>
      </c>
      <c r="BF182" s="24">
        <f t="shared" si="109"/>
        <v>4968.0526465180055</v>
      </c>
      <c r="BG182" s="24">
        <f t="shared" si="109"/>
        <v>4968.0526465180055</v>
      </c>
      <c r="BH182" s="24">
        <f t="shared" si="109"/>
        <v>4968.0526465180055</v>
      </c>
      <c r="BI182" s="24">
        <f t="shared" si="109"/>
        <v>4968.0526465180055</v>
      </c>
      <c r="BJ182" s="24">
        <f t="shared" si="109"/>
        <v>4968.0526465180055</v>
      </c>
      <c r="BK182" s="24">
        <f t="shared" si="109"/>
        <v>4968.0526465180055</v>
      </c>
      <c r="BL182" s="24">
        <f t="shared" si="109"/>
        <v>4968.0526465180055</v>
      </c>
      <c r="BM182" s="24">
        <f t="shared" si="109"/>
        <v>4968.0526465180055</v>
      </c>
    </row>
    <row r="183" spans="1:68" s="164" customFormat="1" ht="12.75" hidden="1" customHeight="1" outlineLevel="1">
      <c r="B183" s="166" t="s">
        <v>81</v>
      </c>
      <c r="C183" s="167"/>
      <c r="D183" s="168"/>
      <c r="E183" s="24"/>
      <c r="F183" s="24">
        <f t="shared" ref="F183:AK183" si="110">F182+F96</f>
        <v>1.8477140000000031E-2</v>
      </c>
      <c r="G183" s="24">
        <f t="shared" si="110"/>
        <v>6.0113849999999913E-2</v>
      </c>
      <c r="H183" s="24">
        <f t="shared" si="110"/>
        <v>0.3765438499999999</v>
      </c>
      <c r="I183" s="24">
        <f t="shared" si="110"/>
        <v>0.38607384999999989</v>
      </c>
      <c r="J183" s="24">
        <f t="shared" si="110"/>
        <v>5.0603849999999895E-2</v>
      </c>
      <c r="K183" s="24">
        <f t="shared" si="110"/>
        <v>0.50580384999999994</v>
      </c>
      <c r="L183" s="24">
        <f t="shared" si="110"/>
        <v>0.46646822999999993</v>
      </c>
      <c r="M183" s="24">
        <f t="shared" si="110"/>
        <v>0.84798823000000001</v>
      </c>
      <c r="N183" s="24">
        <f t="shared" si="110"/>
        <v>1.6959764599999971</v>
      </c>
      <c r="O183" s="24">
        <f t="shared" si="110"/>
        <v>1.7082529200000067</v>
      </c>
      <c r="P183" s="24">
        <f t="shared" si="110"/>
        <v>-3372.5540918550319</v>
      </c>
      <c r="Q183" s="24">
        <f t="shared" si="110"/>
        <v>-631.20537935503205</v>
      </c>
      <c r="R183" s="24">
        <f t="shared" si="110"/>
        <v>-905.60355129503216</v>
      </c>
      <c r="S183" s="24">
        <f t="shared" si="110"/>
        <v>-1508.6352442507916</v>
      </c>
      <c r="T183" s="24">
        <f t="shared" si="110"/>
        <v>-9769.9209674260583</v>
      </c>
      <c r="U183" s="24">
        <f t="shared" si="110"/>
        <v>-2028.2557730251017</v>
      </c>
      <c r="V183" s="24">
        <f t="shared" si="110"/>
        <v>-2037.4864392117659</v>
      </c>
      <c r="W183" s="24">
        <f t="shared" si="110"/>
        <v>-1466.3885097394329</v>
      </c>
      <c r="X183" s="24">
        <f t="shared" si="110"/>
        <v>-1476.2397564801356</v>
      </c>
      <c r="Y183" s="24">
        <f t="shared" si="110"/>
        <v>-1480.1374042291518</v>
      </c>
      <c r="Z183" s="24">
        <f t="shared" si="110"/>
        <v>-1488.8411422831575</v>
      </c>
      <c r="AA183" s="24">
        <f t="shared" si="110"/>
        <v>-1493.1029262223335</v>
      </c>
      <c r="AB183" s="24">
        <f t="shared" si="110"/>
        <v>-1506.9300902545681</v>
      </c>
      <c r="AC183" s="24">
        <f t="shared" si="110"/>
        <v>-1697.3612962458997</v>
      </c>
      <c r="AD183" s="24">
        <f t="shared" si="110"/>
        <v>-1588.8305527194032</v>
      </c>
      <c r="AE183" s="24">
        <f t="shared" si="110"/>
        <v>-1562.1913840222755</v>
      </c>
      <c r="AF183" s="24">
        <f t="shared" si="110"/>
        <v>0</v>
      </c>
      <c r="AG183" s="24">
        <f t="shared" si="110"/>
        <v>0</v>
      </c>
      <c r="AH183" s="24">
        <f t="shared" si="110"/>
        <v>1829.3173226070194</v>
      </c>
      <c r="AI183" s="24">
        <f t="shared" si="110"/>
        <v>1685.4048433510732</v>
      </c>
      <c r="AJ183" s="24">
        <f t="shared" si="110"/>
        <v>1848.5636582145582</v>
      </c>
      <c r="AK183" s="24">
        <f t="shared" si="110"/>
        <v>1845.2170711403348</v>
      </c>
      <c r="AL183" s="24">
        <f t="shared" ref="AL183:BM183" si="111">AL182+AL96</f>
        <v>2915.2295771303302</v>
      </c>
      <c r="AM183" s="24">
        <f t="shared" si="111"/>
        <v>4525.4818323068721</v>
      </c>
      <c r="AN183" s="24">
        <f t="shared" si="111"/>
        <v>4991.0388673831785</v>
      </c>
      <c r="AO183" s="24">
        <f t="shared" si="111"/>
        <v>4968.0526465180055</v>
      </c>
      <c r="AP183" s="24">
        <f t="shared" si="111"/>
        <v>4968.0526465180055</v>
      </c>
      <c r="AQ183" s="24">
        <f t="shared" si="111"/>
        <v>4968.0526465180055</v>
      </c>
      <c r="AR183" s="24">
        <f t="shared" si="111"/>
        <v>4968.0526465180055</v>
      </c>
      <c r="AS183" s="24">
        <f t="shared" si="111"/>
        <v>4968.0526465180055</v>
      </c>
      <c r="AT183" s="24">
        <f t="shared" si="111"/>
        <v>4968.0526465180055</v>
      </c>
      <c r="AU183" s="24">
        <f t="shared" si="111"/>
        <v>4968.0526465180055</v>
      </c>
      <c r="AV183" s="24">
        <f t="shared" si="111"/>
        <v>4968.0526465180055</v>
      </c>
      <c r="AW183" s="24">
        <f t="shared" si="111"/>
        <v>4968.0526465180055</v>
      </c>
      <c r="AX183" s="24">
        <f t="shared" si="111"/>
        <v>4968.0526465180055</v>
      </c>
      <c r="AY183" s="24">
        <f t="shared" si="111"/>
        <v>4968.0526465180055</v>
      </c>
      <c r="AZ183" s="24">
        <f t="shared" si="111"/>
        <v>4968.0526465180055</v>
      </c>
      <c r="BA183" s="24">
        <f t="shared" si="111"/>
        <v>4968.0526465180055</v>
      </c>
      <c r="BB183" s="24">
        <f t="shared" si="111"/>
        <v>4968.0526465180055</v>
      </c>
      <c r="BC183" s="24">
        <f t="shared" si="111"/>
        <v>4968.0526465180055</v>
      </c>
      <c r="BD183" s="24">
        <f t="shared" si="111"/>
        <v>4968.0526465180055</v>
      </c>
      <c r="BE183" s="24">
        <f t="shared" si="111"/>
        <v>4968.0526465180055</v>
      </c>
      <c r="BF183" s="24">
        <f t="shared" si="111"/>
        <v>4968.0526465180055</v>
      </c>
      <c r="BG183" s="24">
        <f t="shared" si="111"/>
        <v>4968.0526465180055</v>
      </c>
      <c r="BH183" s="24">
        <f t="shared" si="111"/>
        <v>4968.0526465180055</v>
      </c>
      <c r="BI183" s="24">
        <f t="shared" si="111"/>
        <v>4968.0526465180055</v>
      </c>
      <c r="BJ183" s="24">
        <f t="shared" si="111"/>
        <v>4968.0526465180055</v>
      </c>
      <c r="BK183" s="24">
        <f t="shared" si="111"/>
        <v>4968.0526465180055</v>
      </c>
      <c r="BL183" s="24">
        <f t="shared" si="111"/>
        <v>4968.0526465180055</v>
      </c>
      <c r="BM183" s="24">
        <f t="shared" si="111"/>
        <v>4968.0526465180055</v>
      </c>
    </row>
    <row r="184" spans="1:68" s="164" customFormat="1" ht="12.75" hidden="1" customHeight="1" outlineLevel="1">
      <c r="B184" s="166" t="s">
        <v>82</v>
      </c>
      <c r="C184" s="167"/>
      <c r="D184" s="168"/>
      <c r="E184" s="24"/>
      <c r="F184" s="24">
        <f t="shared" ref="F184:AK184" si="112">F183+F99</f>
        <v>1.8477140000000031E-2</v>
      </c>
      <c r="G184" s="24">
        <f t="shared" si="112"/>
        <v>6.0113849999999913E-2</v>
      </c>
      <c r="H184" s="24">
        <f t="shared" si="112"/>
        <v>0.3765438499999999</v>
      </c>
      <c r="I184" s="24">
        <f t="shared" si="112"/>
        <v>0.38607384999999989</v>
      </c>
      <c r="J184" s="24">
        <f t="shared" si="112"/>
        <v>5.0603849999999895E-2</v>
      </c>
      <c r="K184" s="24">
        <f t="shared" si="112"/>
        <v>0.50580384999999994</v>
      </c>
      <c r="L184" s="24">
        <f t="shared" si="112"/>
        <v>0.46646822999999993</v>
      </c>
      <c r="M184" s="24">
        <f t="shared" si="112"/>
        <v>0.84798823000000001</v>
      </c>
      <c r="N184" s="24">
        <f t="shared" si="112"/>
        <v>1.6959764599999971</v>
      </c>
      <c r="O184" s="24">
        <f t="shared" si="112"/>
        <v>1.7082529200000067</v>
      </c>
      <c r="P184" s="24">
        <f t="shared" si="112"/>
        <v>-3372.5540918550319</v>
      </c>
      <c r="Q184" s="24">
        <f t="shared" si="112"/>
        <v>-631.20537935503205</v>
      </c>
      <c r="R184" s="24">
        <f t="shared" si="112"/>
        <v>-905.60355129503216</v>
      </c>
      <c r="S184" s="24">
        <f t="shared" si="112"/>
        <v>-1508.6352442507916</v>
      </c>
      <c r="T184" s="24">
        <f t="shared" si="112"/>
        <v>-9769.9209674260583</v>
      </c>
      <c r="U184" s="24">
        <f t="shared" si="112"/>
        <v>-2028.2557730251017</v>
      </c>
      <c r="V184" s="24">
        <f t="shared" si="112"/>
        <v>-2037.4864392117659</v>
      </c>
      <c r="W184" s="24">
        <f t="shared" si="112"/>
        <v>-1466.3885097394329</v>
      </c>
      <c r="X184" s="24">
        <f t="shared" si="112"/>
        <v>-1476.2397564801356</v>
      </c>
      <c r="Y184" s="24">
        <f t="shared" si="112"/>
        <v>-1480.1374042291518</v>
      </c>
      <c r="Z184" s="24">
        <f t="shared" si="112"/>
        <v>-1488.8411422831575</v>
      </c>
      <c r="AA184" s="24">
        <f t="shared" si="112"/>
        <v>-1493.1029262223335</v>
      </c>
      <c r="AB184" s="24">
        <f t="shared" si="112"/>
        <v>-1506.9300902545681</v>
      </c>
      <c r="AC184" s="24">
        <f t="shared" si="112"/>
        <v>-1697.3612962458997</v>
      </c>
      <c r="AD184" s="24">
        <f t="shared" si="112"/>
        <v>-1588.8305527194032</v>
      </c>
      <c r="AE184" s="24">
        <f t="shared" si="112"/>
        <v>-1562.1913840222755</v>
      </c>
      <c r="AF184" s="24">
        <f t="shared" si="112"/>
        <v>0</v>
      </c>
      <c r="AG184" s="24">
        <f t="shared" si="112"/>
        <v>0</v>
      </c>
      <c r="AH184" s="24">
        <f t="shared" si="112"/>
        <v>0</v>
      </c>
      <c r="AI184" s="24">
        <f t="shared" si="112"/>
        <v>0</v>
      </c>
      <c r="AJ184" s="24">
        <f t="shared" si="112"/>
        <v>613.70163532778224</v>
      </c>
      <c r="AK184" s="24">
        <f t="shared" si="112"/>
        <v>1845.2170711403348</v>
      </c>
      <c r="AL184" s="24">
        <f t="shared" ref="AL184:BM184" si="113">AL183+AL99</f>
        <v>2915.2295771303302</v>
      </c>
      <c r="AM184" s="24">
        <f t="shared" si="113"/>
        <v>4525.4818323068721</v>
      </c>
      <c r="AN184" s="24">
        <f t="shared" si="113"/>
        <v>4991.0388673831785</v>
      </c>
      <c r="AO184" s="24">
        <f t="shared" si="113"/>
        <v>4968.0526465180055</v>
      </c>
      <c r="AP184" s="24">
        <f t="shared" si="113"/>
        <v>4968.0526465180055</v>
      </c>
      <c r="AQ184" s="24">
        <f t="shared" si="113"/>
        <v>4968.0526465180055</v>
      </c>
      <c r="AR184" s="24">
        <f t="shared" si="113"/>
        <v>4968.0526465180055</v>
      </c>
      <c r="AS184" s="24">
        <f t="shared" si="113"/>
        <v>4968.0526465180055</v>
      </c>
      <c r="AT184" s="24">
        <f t="shared" si="113"/>
        <v>4968.0526465180055</v>
      </c>
      <c r="AU184" s="24">
        <f t="shared" si="113"/>
        <v>4968.0526465180055</v>
      </c>
      <c r="AV184" s="24">
        <f t="shared" si="113"/>
        <v>4968.0526465180055</v>
      </c>
      <c r="AW184" s="24">
        <f t="shared" si="113"/>
        <v>4968.0526465180055</v>
      </c>
      <c r="AX184" s="24">
        <f t="shared" si="113"/>
        <v>4968.0526465180055</v>
      </c>
      <c r="AY184" s="24">
        <f t="shared" si="113"/>
        <v>4968.0526465180055</v>
      </c>
      <c r="AZ184" s="24">
        <f t="shared" si="113"/>
        <v>4968.0526465180055</v>
      </c>
      <c r="BA184" s="24">
        <f t="shared" si="113"/>
        <v>4968.0526465180055</v>
      </c>
      <c r="BB184" s="24">
        <f t="shared" si="113"/>
        <v>4968.0526465180055</v>
      </c>
      <c r="BC184" s="24">
        <f t="shared" si="113"/>
        <v>4968.0526465180055</v>
      </c>
      <c r="BD184" s="24">
        <f t="shared" si="113"/>
        <v>4968.0526465180055</v>
      </c>
      <c r="BE184" s="24">
        <f t="shared" si="113"/>
        <v>4968.0526465180055</v>
      </c>
      <c r="BF184" s="24">
        <f t="shared" si="113"/>
        <v>4968.0526465180055</v>
      </c>
      <c r="BG184" s="24">
        <f t="shared" si="113"/>
        <v>4968.0526465180055</v>
      </c>
      <c r="BH184" s="24">
        <f t="shared" si="113"/>
        <v>4968.0526465180055</v>
      </c>
      <c r="BI184" s="24">
        <f t="shared" si="113"/>
        <v>4968.0526465180055</v>
      </c>
      <c r="BJ184" s="24">
        <f t="shared" si="113"/>
        <v>4968.0526465180055</v>
      </c>
      <c r="BK184" s="24">
        <f t="shared" si="113"/>
        <v>4968.0526465180055</v>
      </c>
      <c r="BL184" s="24">
        <f t="shared" si="113"/>
        <v>4968.0526465180055</v>
      </c>
      <c r="BM184" s="24">
        <f t="shared" si="113"/>
        <v>4968.0526465180055</v>
      </c>
    </row>
    <row r="185" spans="1:68" s="164" customFormat="1" ht="12.75" hidden="1" customHeight="1" outlineLevel="1">
      <c r="B185" s="166" t="s">
        <v>75</v>
      </c>
      <c r="C185" s="167"/>
      <c r="D185" s="168"/>
      <c r="E185" s="24"/>
      <c r="F185" s="24">
        <f t="shared" ref="F185:AK185" si="114">F184+F101</f>
        <v>1.8477140000000031E-2</v>
      </c>
      <c r="G185" s="24">
        <f t="shared" si="114"/>
        <v>6.0113849999999913E-2</v>
      </c>
      <c r="H185" s="24">
        <f t="shared" si="114"/>
        <v>0.3765438499999999</v>
      </c>
      <c r="I185" s="24">
        <f t="shared" si="114"/>
        <v>0.38607384999999989</v>
      </c>
      <c r="J185" s="24">
        <f t="shared" si="114"/>
        <v>5.0603849999999895E-2</v>
      </c>
      <c r="K185" s="24">
        <f t="shared" si="114"/>
        <v>0.50580384999999994</v>
      </c>
      <c r="L185" s="24">
        <f t="shared" si="114"/>
        <v>0.46646822999999993</v>
      </c>
      <c r="M185" s="24">
        <f t="shared" si="114"/>
        <v>0.84798823000000001</v>
      </c>
      <c r="N185" s="24">
        <f t="shared" si="114"/>
        <v>1.6959764599999971</v>
      </c>
      <c r="O185" s="24">
        <f t="shared" si="114"/>
        <v>1.7082529200000067</v>
      </c>
      <c r="P185" s="24">
        <f t="shared" si="114"/>
        <v>-3372.5540918550319</v>
      </c>
      <c r="Q185" s="24">
        <f t="shared" si="114"/>
        <v>-631.20537935503205</v>
      </c>
      <c r="R185" s="24">
        <f t="shared" si="114"/>
        <v>-905.60355129503216</v>
      </c>
      <c r="S185" s="24">
        <f t="shared" si="114"/>
        <v>-1508.6352442507916</v>
      </c>
      <c r="T185" s="24">
        <f t="shared" si="114"/>
        <v>-9769.9209674260583</v>
      </c>
      <c r="U185" s="24">
        <f t="shared" si="114"/>
        <v>-2028.2557730251017</v>
      </c>
      <c r="V185" s="24">
        <f t="shared" si="114"/>
        <v>-2037.4864392117659</v>
      </c>
      <c r="W185" s="24">
        <f t="shared" si="114"/>
        <v>-1466.3885097394329</v>
      </c>
      <c r="X185" s="24">
        <f t="shared" si="114"/>
        <v>-1476.2397564801356</v>
      </c>
      <c r="Y185" s="24">
        <f t="shared" si="114"/>
        <v>-1480.1374042291518</v>
      </c>
      <c r="Z185" s="24">
        <f t="shared" si="114"/>
        <v>-1488.8411422831575</v>
      </c>
      <c r="AA185" s="24">
        <f t="shared" si="114"/>
        <v>-1493.1029262223335</v>
      </c>
      <c r="AB185" s="24">
        <f t="shared" si="114"/>
        <v>-1506.9300902545681</v>
      </c>
      <c r="AC185" s="24">
        <f t="shared" si="114"/>
        <v>-1697.3612962458997</v>
      </c>
      <c r="AD185" s="24">
        <f t="shared" si="114"/>
        <v>-1588.8305527194032</v>
      </c>
      <c r="AE185" s="24">
        <f t="shared" si="114"/>
        <v>-1562.1913840222755</v>
      </c>
      <c r="AF185" s="24">
        <f t="shared" si="114"/>
        <v>0</v>
      </c>
      <c r="AG185" s="24">
        <f t="shared" si="114"/>
        <v>0</v>
      </c>
      <c r="AH185" s="24">
        <f t="shared" si="114"/>
        <v>0</v>
      </c>
      <c r="AI185" s="24">
        <f t="shared" si="114"/>
        <v>0</v>
      </c>
      <c r="AJ185" s="24">
        <f t="shared" si="114"/>
        <v>0</v>
      </c>
      <c r="AK185" s="24">
        <f t="shared" si="114"/>
        <v>1702.2110868945833</v>
      </c>
      <c r="AL185" s="24">
        <f t="shared" ref="AL185:BM185" si="115">AL184+AL101</f>
        <v>2915.2295771303302</v>
      </c>
      <c r="AM185" s="24">
        <f t="shared" si="115"/>
        <v>4525.4818323068721</v>
      </c>
      <c r="AN185" s="24">
        <f t="shared" si="115"/>
        <v>4991.0388673831785</v>
      </c>
      <c r="AO185" s="24">
        <f t="shared" si="115"/>
        <v>4968.0526465180055</v>
      </c>
      <c r="AP185" s="24">
        <f t="shared" si="115"/>
        <v>4968.0526465180055</v>
      </c>
      <c r="AQ185" s="24">
        <f t="shared" si="115"/>
        <v>4968.0526465180055</v>
      </c>
      <c r="AR185" s="24">
        <f t="shared" si="115"/>
        <v>4968.0526465180055</v>
      </c>
      <c r="AS185" s="24">
        <f t="shared" si="115"/>
        <v>4968.0526465180055</v>
      </c>
      <c r="AT185" s="24">
        <f t="shared" si="115"/>
        <v>4968.0526465180055</v>
      </c>
      <c r="AU185" s="24">
        <f t="shared" si="115"/>
        <v>4968.0526465180055</v>
      </c>
      <c r="AV185" s="24">
        <f t="shared" si="115"/>
        <v>4968.0526465180055</v>
      </c>
      <c r="AW185" s="24">
        <f t="shared" si="115"/>
        <v>4968.0526465180055</v>
      </c>
      <c r="AX185" s="24">
        <f t="shared" si="115"/>
        <v>4968.0526465180055</v>
      </c>
      <c r="AY185" s="24">
        <f t="shared" si="115"/>
        <v>4968.0526465180055</v>
      </c>
      <c r="AZ185" s="24">
        <f t="shared" si="115"/>
        <v>4968.0526465180055</v>
      </c>
      <c r="BA185" s="24">
        <f t="shared" si="115"/>
        <v>4968.0526465180055</v>
      </c>
      <c r="BB185" s="24">
        <f t="shared" si="115"/>
        <v>4968.0526465180055</v>
      </c>
      <c r="BC185" s="24">
        <f t="shared" si="115"/>
        <v>4968.0526465180055</v>
      </c>
      <c r="BD185" s="24">
        <f t="shared" si="115"/>
        <v>4968.0526465180055</v>
      </c>
      <c r="BE185" s="24">
        <f t="shared" si="115"/>
        <v>4968.0526465180055</v>
      </c>
      <c r="BF185" s="24">
        <f t="shared" si="115"/>
        <v>4968.0526465180055</v>
      </c>
      <c r="BG185" s="24">
        <f t="shared" si="115"/>
        <v>4968.0526465180055</v>
      </c>
      <c r="BH185" s="24">
        <f t="shared" si="115"/>
        <v>4968.0526465180055</v>
      </c>
      <c r="BI185" s="24">
        <f t="shared" si="115"/>
        <v>4968.0526465180055</v>
      </c>
      <c r="BJ185" s="24">
        <f t="shared" si="115"/>
        <v>4968.0526465180055</v>
      </c>
      <c r="BK185" s="24">
        <f t="shared" si="115"/>
        <v>4968.0526465180055</v>
      </c>
      <c r="BL185" s="24">
        <f t="shared" si="115"/>
        <v>4968.0526465180055</v>
      </c>
      <c r="BM185" s="24">
        <f t="shared" si="115"/>
        <v>4968.0526465180055</v>
      </c>
    </row>
    <row r="186" spans="1:68" s="164" customFormat="1" ht="12.75" hidden="1" customHeight="1" outlineLevel="1">
      <c r="B186" s="166" t="s">
        <v>83</v>
      </c>
      <c r="C186" s="167"/>
      <c r="D186" s="168"/>
      <c r="E186" s="24"/>
      <c r="F186" s="24">
        <f t="shared" ref="F186:AK186" si="116">F185+F82</f>
        <v>1.8477140000000031E-2</v>
      </c>
      <c r="G186" s="24">
        <f t="shared" si="116"/>
        <v>6.0113849999999913E-2</v>
      </c>
      <c r="H186" s="24">
        <f t="shared" si="116"/>
        <v>0.3765438499999999</v>
      </c>
      <c r="I186" s="24">
        <f t="shared" si="116"/>
        <v>0.38607384999999989</v>
      </c>
      <c r="J186" s="24">
        <f t="shared" si="116"/>
        <v>5.0603849999999895E-2</v>
      </c>
      <c r="K186" s="24">
        <f t="shared" si="116"/>
        <v>0.50580384999999994</v>
      </c>
      <c r="L186" s="24">
        <f t="shared" si="116"/>
        <v>0.46646822999999993</v>
      </c>
      <c r="M186" s="24">
        <f t="shared" si="116"/>
        <v>0.84798823000000001</v>
      </c>
      <c r="N186" s="24">
        <f t="shared" si="116"/>
        <v>1.6959764599999971</v>
      </c>
      <c r="O186" s="24">
        <f t="shared" si="116"/>
        <v>1.7082529200000067</v>
      </c>
      <c r="P186" s="24">
        <f t="shared" si="116"/>
        <v>-3372.5540918550319</v>
      </c>
      <c r="Q186" s="24">
        <f t="shared" si="116"/>
        <v>-631.20537935503205</v>
      </c>
      <c r="R186" s="24">
        <f t="shared" si="116"/>
        <v>-905.60355129503216</v>
      </c>
      <c r="S186" s="24">
        <f t="shared" si="116"/>
        <v>-1508.6352442507916</v>
      </c>
      <c r="T186" s="24">
        <f t="shared" si="116"/>
        <v>-9769.9209674260583</v>
      </c>
      <c r="U186" s="24">
        <f t="shared" si="116"/>
        <v>-2028.2557730251017</v>
      </c>
      <c r="V186" s="24">
        <f t="shared" si="116"/>
        <v>-2037.4864392117659</v>
      </c>
      <c r="W186" s="24">
        <f t="shared" si="116"/>
        <v>-1466.3885097394329</v>
      </c>
      <c r="X186" s="24">
        <f t="shared" si="116"/>
        <v>-1476.2397564801356</v>
      </c>
      <c r="Y186" s="24">
        <f t="shared" si="116"/>
        <v>-1480.1374042291518</v>
      </c>
      <c r="Z186" s="24">
        <f t="shared" si="116"/>
        <v>-1488.8411422831575</v>
      </c>
      <c r="AA186" s="24">
        <f t="shared" si="116"/>
        <v>-1493.1029262223335</v>
      </c>
      <c r="AB186" s="24">
        <f t="shared" si="116"/>
        <v>-1506.9300902545681</v>
      </c>
      <c r="AC186" s="24">
        <f t="shared" si="116"/>
        <v>-1697.3612962458997</v>
      </c>
      <c r="AD186" s="24">
        <f t="shared" si="116"/>
        <v>-1588.8305527194032</v>
      </c>
      <c r="AE186" s="24">
        <f t="shared" si="116"/>
        <v>-1562.1913840222755</v>
      </c>
      <c r="AF186" s="24">
        <f t="shared" si="116"/>
        <v>0</v>
      </c>
      <c r="AG186" s="24">
        <f t="shared" si="116"/>
        <v>0</v>
      </c>
      <c r="AH186" s="24">
        <f t="shared" si="116"/>
        <v>0</v>
      </c>
      <c r="AI186" s="24">
        <f t="shared" si="116"/>
        <v>0</v>
      </c>
      <c r="AJ186" s="24">
        <f t="shared" si="116"/>
        <v>0</v>
      </c>
      <c r="AK186" s="24">
        <f t="shared" si="116"/>
        <v>1319.820990834638</v>
      </c>
      <c r="AL186" s="24">
        <f t="shared" ref="AL186:BM186" si="117">AL185+AL82</f>
        <v>2915.2295771303302</v>
      </c>
      <c r="AM186" s="24">
        <f t="shared" si="117"/>
        <v>4525.4818323068721</v>
      </c>
      <c r="AN186" s="24">
        <f t="shared" si="117"/>
        <v>4991.0388673831785</v>
      </c>
      <c r="AO186" s="24">
        <f t="shared" si="117"/>
        <v>4968.0526465180055</v>
      </c>
      <c r="AP186" s="24">
        <f t="shared" si="117"/>
        <v>4968.0526465180055</v>
      </c>
      <c r="AQ186" s="24">
        <f t="shared" si="117"/>
        <v>4968.0526465180055</v>
      </c>
      <c r="AR186" s="24">
        <f t="shared" si="117"/>
        <v>4968.0526465180055</v>
      </c>
      <c r="AS186" s="24">
        <f t="shared" si="117"/>
        <v>4968.0526465180055</v>
      </c>
      <c r="AT186" s="24">
        <f t="shared" si="117"/>
        <v>4968.0526465180055</v>
      </c>
      <c r="AU186" s="24">
        <f t="shared" si="117"/>
        <v>4968.0526465180055</v>
      </c>
      <c r="AV186" s="24">
        <f t="shared" si="117"/>
        <v>4968.0526465180055</v>
      </c>
      <c r="AW186" s="24">
        <f t="shared" si="117"/>
        <v>4968.0526465180055</v>
      </c>
      <c r="AX186" s="24">
        <f t="shared" si="117"/>
        <v>4968.0526465180055</v>
      </c>
      <c r="AY186" s="24">
        <f t="shared" si="117"/>
        <v>4968.0526465180055</v>
      </c>
      <c r="AZ186" s="24">
        <f t="shared" si="117"/>
        <v>4968.0526465180055</v>
      </c>
      <c r="BA186" s="24">
        <f t="shared" si="117"/>
        <v>4968.0526465180055</v>
      </c>
      <c r="BB186" s="24">
        <f t="shared" si="117"/>
        <v>4968.0526465180055</v>
      </c>
      <c r="BC186" s="24">
        <f t="shared" si="117"/>
        <v>4968.0526465180055</v>
      </c>
      <c r="BD186" s="24">
        <f t="shared" si="117"/>
        <v>4968.0526465180055</v>
      </c>
      <c r="BE186" s="24">
        <f t="shared" si="117"/>
        <v>4968.0526465180055</v>
      </c>
      <c r="BF186" s="24">
        <f t="shared" si="117"/>
        <v>4968.0526465180055</v>
      </c>
      <c r="BG186" s="24">
        <f t="shared" si="117"/>
        <v>4968.0526465180055</v>
      </c>
      <c r="BH186" s="24">
        <f t="shared" si="117"/>
        <v>4968.0526465180055</v>
      </c>
      <c r="BI186" s="24">
        <f t="shared" si="117"/>
        <v>4968.0526465180055</v>
      </c>
      <c r="BJ186" s="24">
        <f t="shared" si="117"/>
        <v>4968.0526465180055</v>
      </c>
      <c r="BK186" s="24">
        <f t="shared" si="117"/>
        <v>4968.0526465180055</v>
      </c>
      <c r="BL186" s="24">
        <f t="shared" si="117"/>
        <v>4968.0526465180055</v>
      </c>
      <c r="BM186" s="24">
        <f t="shared" si="117"/>
        <v>4968.0526465180055</v>
      </c>
    </row>
    <row r="187" spans="1:68" s="164" customFormat="1" collapsed="1">
      <c r="D187" s="165"/>
      <c r="E187" s="163"/>
    </row>
    <row r="188" spans="1:68">
      <c r="A188" s="124"/>
      <c r="B188" s="181" t="s">
        <v>72</v>
      </c>
      <c r="C188" s="181"/>
      <c r="D188" s="175"/>
      <c r="E188" s="180"/>
      <c r="F188" s="180" t="str">
        <f t="shared" ref="F188:AK188" si="118">F6</f>
        <v>2Q2023</v>
      </c>
      <c r="G188" s="180" t="str">
        <f t="shared" si="118"/>
        <v>3Q2023</v>
      </c>
      <c r="H188" s="180" t="str">
        <f t="shared" si="118"/>
        <v>4Q2023</v>
      </c>
      <c r="I188" s="180" t="str">
        <f t="shared" si="118"/>
        <v>1Q2024</v>
      </c>
      <c r="J188" s="180" t="str">
        <f t="shared" si="118"/>
        <v>2Q2024</v>
      </c>
      <c r="K188" s="180" t="str">
        <f t="shared" si="118"/>
        <v>3Q2024</v>
      </c>
      <c r="L188" s="180" t="str">
        <f t="shared" si="118"/>
        <v>4Q2024</v>
      </c>
      <c r="M188" s="180" t="str">
        <f t="shared" si="118"/>
        <v>1Q2025</v>
      </c>
      <c r="N188" s="180" t="str">
        <f t="shared" si="118"/>
        <v>2Q2025</v>
      </c>
      <c r="O188" s="180" t="str">
        <f t="shared" si="118"/>
        <v>3Q2025</v>
      </c>
      <c r="P188" s="180" t="str">
        <f t="shared" si="118"/>
        <v>4Q2025</v>
      </c>
      <c r="Q188" s="180" t="str">
        <f t="shared" si="118"/>
        <v>1Q2026</v>
      </c>
      <c r="R188" s="180" t="str">
        <f t="shared" si="118"/>
        <v>2Q2026</v>
      </c>
      <c r="S188" s="180" t="str">
        <f t="shared" si="118"/>
        <v>3Q2026</v>
      </c>
      <c r="T188" s="180" t="str">
        <f t="shared" si="118"/>
        <v>4Q2026</v>
      </c>
      <c r="U188" s="180" t="str">
        <f t="shared" si="118"/>
        <v>1Q2027</v>
      </c>
      <c r="V188" s="180" t="str">
        <f t="shared" si="118"/>
        <v>2Q2027</v>
      </c>
      <c r="W188" s="180" t="str">
        <f t="shared" si="118"/>
        <v>3Q2027</v>
      </c>
      <c r="X188" s="180" t="str">
        <f t="shared" si="118"/>
        <v>4Q2027</v>
      </c>
      <c r="Y188" s="180" t="str">
        <f t="shared" si="118"/>
        <v>1Q2028</v>
      </c>
      <c r="Z188" s="180" t="str">
        <f t="shared" si="118"/>
        <v>2Q2028</v>
      </c>
      <c r="AA188" s="180" t="str">
        <f t="shared" si="118"/>
        <v>3Q2028</v>
      </c>
      <c r="AB188" s="180" t="str">
        <f t="shared" si="118"/>
        <v>4Q2028</v>
      </c>
      <c r="AC188" s="180" t="str">
        <f t="shared" si="118"/>
        <v>1Q2029</v>
      </c>
      <c r="AD188" s="180" t="str">
        <f t="shared" si="118"/>
        <v>2Q2029</v>
      </c>
      <c r="AE188" s="180" t="str">
        <f t="shared" si="118"/>
        <v>3Q2029</v>
      </c>
      <c r="AF188" s="180" t="str">
        <f t="shared" si="118"/>
        <v>4Q2029</v>
      </c>
      <c r="AG188" s="180" t="str">
        <f t="shared" si="118"/>
        <v>1Q2030</v>
      </c>
      <c r="AH188" s="180" t="str">
        <f t="shared" si="118"/>
        <v>2Q2030</v>
      </c>
      <c r="AI188" s="180" t="str">
        <f t="shared" si="118"/>
        <v>3Q2030</v>
      </c>
      <c r="AJ188" s="180" t="str">
        <f t="shared" si="118"/>
        <v>4Q2030</v>
      </c>
      <c r="AK188" s="180" t="str">
        <f t="shared" si="118"/>
        <v>1Q2031</v>
      </c>
      <c r="AL188" s="180" t="str">
        <f t="shared" ref="AL188:BM188" si="119">AL6</f>
        <v>2Q2031</v>
      </c>
      <c r="AM188" s="180" t="str">
        <f t="shared" si="119"/>
        <v>3Q2031</v>
      </c>
      <c r="AN188" s="180" t="str">
        <f t="shared" si="119"/>
        <v>4Q2031</v>
      </c>
      <c r="AO188" s="180" t="str">
        <f t="shared" si="119"/>
        <v>1Q2032</v>
      </c>
      <c r="AP188" s="180" t="str">
        <f t="shared" si="119"/>
        <v>2Q2032</v>
      </c>
      <c r="AQ188" s="180" t="str">
        <f t="shared" si="119"/>
        <v>3Q2032</v>
      </c>
      <c r="AR188" s="180" t="str">
        <f t="shared" si="119"/>
        <v>4Q2032</v>
      </c>
      <c r="AS188" s="180" t="str">
        <f t="shared" si="119"/>
        <v>1Q2033</v>
      </c>
      <c r="AT188" s="180" t="str">
        <f t="shared" si="119"/>
        <v>2Q2033</v>
      </c>
      <c r="AU188" s="180" t="str">
        <f t="shared" si="119"/>
        <v>3Q2033</v>
      </c>
      <c r="AV188" s="180" t="str">
        <f t="shared" si="119"/>
        <v>4Q2033</v>
      </c>
      <c r="AW188" s="180" t="str">
        <f t="shared" si="119"/>
        <v>1Q2034</v>
      </c>
      <c r="AX188" s="180" t="str">
        <f t="shared" si="119"/>
        <v>2Q2034</v>
      </c>
      <c r="AY188" s="180" t="str">
        <f t="shared" si="119"/>
        <v>3Q2034</v>
      </c>
      <c r="AZ188" s="180" t="str">
        <f t="shared" si="119"/>
        <v>4Q2034</v>
      </c>
      <c r="BA188" s="180" t="str">
        <f t="shared" si="119"/>
        <v>1Q2035</v>
      </c>
      <c r="BB188" s="180" t="str">
        <f t="shared" si="119"/>
        <v>2Q2035</v>
      </c>
      <c r="BC188" s="180" t="str">
        <f t="shared" si="119"/>
        <v>3Q2035</v>
      </c>
      <c r="BD188" s="180" t="str">
        <f t="shared" si="119"/>
        <v>4Q2035</v>
      </c>
      <c r="BE188" s="180" t="str">
        <f t="shared" si="119"/>
        <v>1Q2036</v>
      </c>
      <c r="BF188" s="180" t="str">
        <f t="shared" si="119"/>
        <v>2Q2036</v>
      </c>
      <c r="BG188" s="180" t="str">
        <f t="shared" si="119"/>
        <v>3Q2036</v>
      </c>
      <c r="BH188" s="180" t="str">
        <f t="shared" si="119"/>
        <v>4Q2036</v>
      </c>
      <c r="BI188" s="180" t="str">
        <f t="shared" si="119"/>
        <v>1Q2037</v>
      </c>
      <c r="BJ188" s="180" t="str">
        <f t="shared" si="119"/>
        <v>2Q2037</v>
      </c>
      <c r="BK188" s="180" t="str">
        <f t="shared" si="119"/>
        <v>3Q2037</v>
      </c>
      <c r="BL188" s="180" t="str">
        <f t="shared" si="119"/>
        <v>4Q2037</v>
      </c>
      <c r="BM188" s="180" t="str">
        <f t="shared" si="119"/>
        <v>1Q2038</v>
      </c>
    </row>
    <row r="189" spans="1:68" s="164" customFormat="1" ht="12.75" hidden="1" customHeight="1">
      <c r="B189" s="166" t="s">
        <v>62</v>
      </c>
      <c r="C189" s="167"/>
      <c r="D189" s="131" t="s">
        <v>19</v>
      </c>
      <c r="E189" s="168"/>
      <c r="F189" s="384">
        <f>SUM($F$35:F35,$F$44:F44,$F$46:F46)*(1-SUM(E$175:$F175))</f>
        <v>0</v>
      </c>
      <c r="G189" s="384">
        <f>SUM($F$35:G35,$F$44:G44,$F$46:G46)*(1-SUM($F$175:F175))</f>
        <v>0</v>
      </c>
      <c r="H189" s="384">
        <f>SUM($F$35:H35,$F$44:H44,$F$46:H46)*(1-SUM($F$175:G175))</f>
        <v>0</v>
      </c>
      <c r="I189" s="384">
        <f>SUM($F$35:I35,$F$44:I44,$F$46:I46)*(1-SUM($F$175:H175))</f>
        <v>0</v>
      </c>
      <c r="J189" s="384">
        <f>SUM($F$35:J35,$F$44:J44,$F$46:J46)*(1-SUM($F$175:I175))</f>
        <v>0</v>
      </c>
      <c r="K189" s="384">
        <f>SUM($F$35:K35,$F$44:K44,$F$46:K46)*(1-SUM($F$175:J175))</f>
        <v>0</v>
      </c>
      <c r="L189" s="384">
        <f>SUM($F$35:L35,$F$44:L44,$F$46:L46)*(1-SUM($F$175:K175))</f>
        <v>0</v>
      </c>
      <c r="M189" s="384">
        <f>SUM($F$35:M35,$F$44:M44,$F$46:M46)*(1-SUM($F$175:L175))</f>
        <v>0</v>
      </c>
      <c r="N189" s="558">
        <f>SUM($F$35:N35,$F$44:N44,$F$46:N46)*(1-SUM($F$175:M175))</f>
        <v>0</v>
      </c>
      <c r="O189" s="558">
        <f>SUM($F$35:O35,$F$44:O44,$F$46:O46)*(1-SUM($F$175:N175))</f>
        <v>0</v>
      </c>
      <c r="P189" s="558">
        <f>SUM($F$35:P35,$F$44:P44,$F$46:P46)*(1-SUM($F$175:O175))</f>
        <v>0</v>
      </c>
      <c r="Q189" s="24">
        <f>SUM($F$35:Q35,$F$44:Q44,$F$46:Q46)*(1-SUM($F$175:P175))</f>
        <v>0</v>
      </c>
      <c r="R189" s="24">
        <f>SUM($F$35:R35,$F$44:R44,$F$46:R46)*(1-SUM($F$175:Q175))</f>
        <v>0</v>
      </c>
      <c r="S189" s="24">
        <f>SUM($F$35:S35,$F$44:S44,$F$46:S46)*(1-SUM($F$175:R175))</f>
        <v>0</v>
      </c>
      <c r="T189" s="24">
        <f>SUM($F$35:T35,$F$44:T44,$F$46:T46)*(1-SUM($F$175:S175))</f>
        <v>1164.068181818182</v>
      </c>
      <c r="U189" s="24">
        <f>SUM($F$35:U35,$F$44:U44,$F$46:U46)*(1-SUM($F$175:T175))</f>
        <v>2547.9141299855009</v>
      </c>
      <c r="V189" s="24">
        <f>SUM($F$35:V35,$F$44:V44,$F$46:V46)*(1-SUM($F$175:U175))</f>
        <v>4007.2779776028974</v>
      </c>
      <c r="W189" s="24">
        <f>SUM($F$35:W35,$F$44:W44,$F$46:W46)*(1-SUM($F$175:V175))</f>
        <v>5549.7211410465479</v>
      </c>
      <c r="X189" s="24">
        <f>SUM($F$35:X35,$F$44:X44,$F$46:X46)*(1-SUM($F$175:W175))</f>
        <v>7184.9654413715361</v>
      </c>
      <c r="Y189" s="24">
        <f>SUM($F$35:Y35,$F$44:Y44,$F$46:Y46)*(1-SUM($F$175:X175))</f>
        <v>9027.4416001252357</v>
      </c>
      <c r="Z189" s="24">
        <f>SUM($F$35:Z35,$F$44:Z44,$F$46:Z46)*(1-SUM($F$175:Y175))</f>
        <v>10971.388805049792</v>
      </c>
      <c r="AA189" s="24">
        <f>SUM($F$35:AA35,$F$44:AA44,$F$46:AA46)*(1-SUM($F$175:Z175))</f>
        <v>13037.22288036088</v>
      </c>
      <c r="AB189" s="24">
        <f>SUM($F$35:AB35,$F$44:AB44,$F$46:AB46)*(1-SUM($F$175:AA175))</f>
        <v>15258.970199751293</v>
      </c>
      <c r="AC189" s="24">
        <f>SUM($F$35:AC35,$F$44:AC44,$F$46:AC46)*(1-SUM($F$175:AB175))</f>
        <v>17770.345667558457</v>
      </c>
      <c r="AD189" s="24">
        <f>SUM($F$35:AD35,$F$44:AD44,$F$46:AD46)*(1-SUM($F$175:AC175))</f>
        <v>20578.521055083602</v>
      </c>
      <c r="AE189" s="24">
        <f>SUM($F$35:AE35,$F$44:AE44,$F$46:AE46)*(1-SUM($F$175:AD175))</f>
        <v>22074.5760027953</v>
      </c>
      <c r="AF189" s="24">
        <f>SUM($F$35:AF35,$F$44:AF44,$F$46:AF46)*(1-SUM($F$175:AE175))</f>
        <v>0</v>
      </c>
      <c r="AG189" s="24">
        <f>SUM($F$35:AG35,$F$44:AG44,$F$46:AG46)*(1-SUM($F$175:AF175))</f>
        <v>0</v>
      </c>
      <c r="AH189" s="24">
        <f>SUM($F$35:AH35,$F$44:AH44,$F$46:AH46)*(1-SUM($F$175:AG175))</f>
        <v>0</v>
      </c>
      <c r="AI189" s="24">
        <f>SUM($F$35:AI35,$F$44:AI44,$F$46:AI46)*(1-SUM($F$175:AH175))</f>
        <v>0</v>
      </c>
      <c r="AJ189" s="24">
        <f>SUM($F$35:AJ35,$F$44:AJ44,$F$46:AJ46)*(1-SUM($F$175:AI175))</f>
        <v>0</v>
      </c>
      <c r="AK189" s="24">
        <f>SUM($F$35:AK35,$F$44:AK44,$F$46:AK46)*(1-SUM($F$175:AJ175))</f>
        <v>0</v>
      </c>
      <c r="AL189" s="24">
        <f>SUM($F$35:AL35,$F$44:AL44,$F$46:AL46)*(1-SUM($F$175:AK175))</f>
        <v>0</v>
      </c>
      <c r="AM189" s="24">
        <f>SUM($F$35:AM35,$F$44:AM44,$F$46:AM46)*(1-SUM($F$175:AL175))</f>
        <v>0</v>
      </c>
      <c r="AN189" s="24">
        <f>SUM($F$35:AN35,$F$44:AN44,$F$46:AN46)*(1-SUM($F$175:AM175))</f>
        <v>0</v>
      </c>
      <c r="AO189" s="24">
        <f>SUM($F$35:AO35,$F$44:AO44,$F$46:AO46)*(1-SUM($F$175:AN175))</f>
        <v>0</v>
      </c>
      <c r="AP189" s="24">
        <f>SUM($F$35:AP35,$F$44:AP44,$F$46:AP46)*(1-SUM($F$175:AO175))</f>
        <v>0</v>
      </c>
      <c r="AQ189" s="24">
        <f>SUM($F$35:AQ35,$F$44:AQ44,$F$46:AQ46)*(1-SUM($F$175:AP175))</f>
        <v>0</v>
      </c>
      <c r="AR189" s="24">
        <f>SUM($F$35:AR35,$F$44:AR44,$F$46:AR46)*(1-SUM($F$175:AQ175))</f>
        <v>0</v>
      </c>
      <c r="AS189" s="24">
        <f>SUM($F$35:AS35,$F$44:AS44,$F$46:AS46)*(1-SUM($F$175:AR175))</f>
        <v>0</v>
      </c>
      <c r="AT189" s="24">
        <f>SUM($F$35:AT35,$F$44:AT44,$F$46:AT46)*(1-SUM($F$175:AS175))</f>
        <v>0</v>
      </c>
      <c r="AU189" s="24">
        <f>SUM($F$35:AU35,$F$44:AU44,$F$46:AU46)*(1-SUM($F$175:AT175))</f>
        <v>0</v>
      </c>
      <c r="AV189" s="24">
        <f>SUM($F$35:AV35,$F$44:AV44,$F$46:AV46)*(1-SUM($F$175:AU175))</f>
        <v>0</v>
      </c>
      <c r="AW189" s="24">
        <f>SUM($F$35:AW35,$F$44:AW44,$F$46:AW46)*(1-SUM($F$175:AV175))</f>
        <v>0</v>
      </c>
      <c r="AX189" s="24">
        <f>SUM($F$35:AX35,$F$44:AX44,$F$46:AX46)*(1-SUM($F$175:AW175))</f>
        <v>0</v>
      </c>
      <c r="AY189" s="24">
        <f>SUM($F$35:AY35,$F$44:AY44,$F$46:AY46)*(1-SUM($F$175:AX175))</f>
        <v>0</v>
      </c>
      <c r="AZ189" s="24">
        <f>SUM($F$35:AZ35,$F$44:AZ44,$F$46:AZ46)*(1-SUM($F$175:AY175))</f>
        <v>0</v>
      </c>
      <c r="BA189" s="24">
        <f>SUM($F$35:BA35,$F$44:BA44,$F$46:BA46)*(1-SUM($F$175:AZ175))</f>
        <v>0</v>
      </c>
      <c r="BB189" s="24">
        <f>SUM($F$35:BB35,$F$44:BB44,$F$46:BB46)*(1-SUM($F$175:BA175))</f>
        <v>0</v>
      </c>
      <c r="BC189" s="24">
        <f>SUM($F$35:BC35,$F$44:BC44,$F$46:BC46)*(1-SUM($F$175:BB175))</f>
        <v>0</v>
      </c>
      <c r="BD189" s="24">
        <f>SUM($F$35:BD35,$F$44:BD44,$F$46:BD46)*(1-SUM($F$175:BC175))</f>
        <v>0</v>
      </c>
      <c r="BE189" s="24">
        <f>SUM($F$35:BE35,$F$44:BE44,$F$46:BE46)*(1-SUM($F$175:BD175))</f>
        <v>0</v>
      </c>
      <c r="BF189" s="24">
        <f>SUM($F$35:BF35,$F$44:BF44,$F$46:BF46)*(1-SUM($F$175:BE175))</f>
        <v>0</v>
      </c>
      <c r="BG189" s="24">
        <f>SUM($F$35:BG35,$F$44:BG44,$F$46:BG46)*(1-SUM($F$175:BF175))</f>
        <v>0</v>
      </c>
      <c r="BH189" s="24">
        <f>SUM($F$35:BH35,$F$44:BH44,$F$46:BH46)*(1-SUM($F$175:BG175))</f>
        <v>0</v>
      </c>
      <c r="BI189" s="24">
        <f>SUM($F$35:BI35,$F$44:BI44,$F$46:BI46)*(1-SUM($F$175:BH175))</f>
        <v>0</v>
      </c>
      <c r="BJ189" s="24">
        <f>SUM($F$35:BJ35,$F$44:BJ44,$F$46:BJ46)*(1-SUM($F$175:BI175))</f>
        <v>0</v>
      </c>
      <c r="BK189" s="24">
        <f>SUM($F$35:BK35,$F$44:BK44,$F$46:BK46)*(1-SUM($F$175:BJ175))</f>
        <v>0</v>
      </c>
      <c r="BL189" s="24">
        <f>SUM($F$35:BL35,$F$44:BL44,$F$46:BL46)*(1-SUM($F$175:BK175))</f>
        <v>0</v>
      </c>
      <c r="BM189" s="24">
        <f>SUM($F$35:BM35,$F$44:BM44,$F$46:BM46)*(1-SUM($F$175:BL175))</f>
        <v>0</v>
      </c>
    </row>
    <row r="190" spans="1:68" s="164" customFormat="1" ht="12.75" hidden="1" customHeight="1">
      <c r="B190" s="166" t="s">
        <v>63</v>
      </c>
      <c r="C190" s="167"/>
      <c r="D190" s="131" t="s">
        <v>19</v>
      </c>
      <c r="E190" s="168"/>
      <c r="F190" s="384"/>
      <c r="G190" s="384">
        <f>SUM($F$95:G96)</f>
        <v>0</v>
      </c>
      <c r="H190" s="384">
        <f>SUM($F$95:H96)</f>
        <v>0</v>
      </c>
      <c r="I190" s="384">
        <f>SUM($F$95:I96)</f>
        <v>0</v>
      </c>
      <c r="J190" s="384">
        <f>SUM($F$95:J96)</f>
        <v>0</v>
      </c>
      <c r="K190" s="384">
        <f>SUM($F$95:K96)</f>
        <v>0</v>
      </c>
      <c r="L190" s="384">
        <f>SUM($F$95:L96)</f>
        <v>0</v>
      </c>
      <c r="M190" s="384">
        <f>SUM($F$95:M96)</f>
        <v>0</v>
      </c>
      <c r="N190" s="558">
        <f>SUM($F$95:N96)</f>
        <v>0</v>
      </c>
      <c r="O190" s="558">
        <f>SUM($F$95:O96)</f>
        <v>0</v>
      </c>
      <c r="P190" s="558">
        <f>SUM($F$95:P96)</f>
        <v>0</v>
      </c>
      <c r="Q190" s="24">
        <f>SUM($F$95:Q96)</f>
        <v>0</v>
      </c>
      <c r="R190" s="24">
        <f>SUM($F$95:R96)</f>
        <v>0</v>
      </c>
      <c r="S190" s="24">
        <f>SUM($F$95:S96)</f>
        <v>0</v>
      </c>
      <c r="T190" s="24">
        <f>SUM($F$95:T96)</f>
        <v>9769.9209674260583</v>
      </c>
      <c r="U190" s="24">
        <f>SUM($F$95:U96)</f>
        <v>11798.176740451159</v>
      </c>
      <c r="V190" s="24">
        <f>SUM($F$95:V96)</f>
        <v>13835.663179662924</v>
      </c>
      <c r="W190" s="24">
        <f>SUM($F$95:W96)</f>
        <v>15302.051689402357</v>
      </c>
      <c r="X190" s="24">
        <f>SUM($F$95:X96)</f>
        <v>16778.291445882493</v>
      </c>
      <c r="Y190" s="24">
        <f>SUM($F$95:Y96)</f>
        <v>18258.428850111646</v>
      </c>
      <c r="Z190" s="24">
        <f>SUM($F$95:Z96)</f>
        <v>19747.269992394802</v>
      </c>
      <c r="AA190" s="24">
        <f>SUM($F$95:AA96)</f>
        <v>21240.372918617137</v>
      </c>
      <c r="AB190" s="24">
        <f>SUM($F$95:AB96)</f>
        <v>22747.303008871706</v>
      </c>
      <c r="AC190" s="24">
        <f>SUM($F$95:AC96)</f>
        <v>24444.664305117607</v>
      </c>
      <c r="AD190" s="24">
        <f>SUM($F$95:AD96)</f>
        <v>26033.494857837009</v>
      </c>
      <c r="AE190" s="24">
        <f>SUM($F$95:AE96)</f>
        <v>27595.686241859286</v>
      </c>
      <c r="AF190" s="24">
        <f>SUM($F$95:AF96)</f>
        <v>3854.7032456282686</v>
      </c>
      <c r="AG190" s="24">
        <f>SUM($F$95:AG96)</f>
        <v>940.98508575606184</v>
      </c>
      <c r="AH190" s="24">
        <f>SUM($F$95:AH96)</f>
        <v>0</v>
      </c>
      <c r="AI190" s="24">
        <f>SUM($F$95:AI96)</f>
        <v>0</v>
      </c>
      <c r="AJ190" s="24">
        <f>SUM($F$95:AJ96)</f>
        <v>0</v>
      </c>
      <c r="AK190" s="24">
        <f>SUM($F$95:AK96)</f>
        <v>0</v>
      </c>
      <c r="AL190" s="24">
        <f>SUM($F$95:AL96)</f>
        <v>0</v>
      </c>
      <c r="AM190" s="24">
        <f>SUM($F$95:AM96)</f>
        <v>0</v>
      </c>
      <c r="AN190" s="24">
        <f>SUM($F$95:AN96)</f>
        <v>0</v>
      </c>
      <c r="AO190" s="24">
        <f>SUM($F$95:AO96)</f>
        <v>0</v>
      </c>
      <c r="AP190" s="24">
        <f>SUM($F$95:AP96)</f>
        <v>0</v>
      </c>
      <c r="AQ190" s="24">
        <f>SUM($F$95:AQ96)</f>
        <v>0</v>
      </c>
      <c r="AR190" s="24">
        <f>SUM($F$95:AR96)</f>
        <v>0</v>
      </c>
      <c r="AS190" s="24">
        <f>SUM($F$95:AS96)</f>
        <v>0</v>
      </c>
      <c r="AT190" s="24">
        <f>SUM($F$95:AT96)</f>
        <v>0</v>
      </c>
      <c r="AU190" s="24">
        <f>SUM($F$95:AU96)</f>
        <v>0</v>
      </c>
      <c r="AV190" s="24">
        <f>SUM($F$95:AV96)</f>
        <v>0</v>
      </c>
      <c r="AW190" s="24">
        <f>SUM($F$95:AW96)</f>
        <v>0</v>
      </c>
      <c r="AX190" s="24">
        <f>SUM($F$95:AX96)</f>
        <v>0</v>
      </c>
      <c r="AY190" s="24">
        <f>SUM($F$95:AY96)</f>
        <v>0</v>
      </c>
      <c r="AZ190" s="24">
        <f>SUM($F$95:AZ96)</f>
        <v>0</v>
      </c>
      <c r="BA190" s="24">
        <f>SUM($F$95:BA96)</f>
        <v>0</v>
      </c>
      <c r="BB190" s="24">
        <f>SUM($F$95:BB96)</f>
        <v>0</v>
      </c>
      <c r="BC190" s="24">
        <f>SUM($F$95:BC96)</f>
        <v>0</v>
      </c>
      <c r="BD190" s="24">
        <f>SUM($F$95:BD96)</f>
        <v>0</v>
      </c>
      <c r="BE190" s="24">
        <f>SUM($F$95:BE96)</f>
        <v>0</v>
      </c>
      <c r="BF190" s="24">
        <f>SUM($F$95:BF96)</f>
        <v>0</v>
      </c>
      <c r="BG190" s="24">
        <f>SUM($F$95:BG96)</f>
        <v>0</v>
      </c>
      <c r="BH190" s="24">
        <f>SUM($F$95:BH96)</f>
        <v>0</v>
      </c>
      <c r="BI190" s="24">
        <f>SUM($F$95:BI96)</f>
        <v>0</v>
      </c>
      <c r="BJ190" s="24">
        <f>SUM($F$95:BJ96)</f>
        <v>0</v>
      </c>
      <c r="BK190" s="24">
        <f>SUM($F$95:BK96)</f>
        <v>0</v>
      </c>
      <c r="BL190" s="24">
        <f>SUM($F$95:BL96)</f>
        <v>0</v>
      </c>
      <c r="BM190" s="24">
        <f>SUM($F$95:BM96)</f>
        <v>0</v>
      </c>
    </row>
    <row r="191" spans="1:68" s="163" customFormat="1" ht="12.75" hidden="1" customHeight="1">
      <c r="B191" s="169" t="s">
        <v>64</v>
      </c>
      <c r="C191" s="170"/>
      <c r="D191" s="171"/>
      <c r="E191" s="26"/>
      <c r="F191" s="385"/>
      <c r="G191" s="386">
        <f t="shared" ref="G191:AS191" si="120">IFERROR(G189/G190,0)</f>
        <v>0</v>
      </c>
      <c r="H191" s="386">
        <f t="shared" si="120"/>
        <v>0</v>
      </c>
      <c r="I191" s="386">
        <f t="shared" si="120"/>
        <v>0</v>
      </c>
      <c r="J191" s="386">
        <f t="shared" si="120"/>
        <v>0</v>
      </c>
      <c r="K191" s="386">
        <f t="shared" si="120"/>
        <v>0</v>
      </c>
      <c r="L191" s="386">
        <f t="shared" si="120"/>
        <v>0</v>
      </c>
      <c r="M191" s="386">
        <f t="shared" si="120"/>
        <v>0</v>
      </c>
      <c r="N191" s="559">
        <f t="shared" si="120"/>
        <v>0</v>
      </c>
      <c r="O191" s="559">
        <f t="shared" si="120"/>
        <v>0</v>
      </c>
      <c r="P191" s="559">
        <f t="shared" si="120"/>
        <v>0</v>
      </c>
      <c r="Q191" s="312">
        <f t="shared" si="120"/>
        <v>0</v>
      </c>
      <c r="R191" s="312">
        <f t="shared" si="120"/>
        <v>0</v>
      </c>
      <c r="S191" s="312">
        <f t="shared" si="120"/>
        <v>0</v>
      </c>
      <c r="T191" s="312">
        <f t="shared" si="120"/>
        <v>0.11914816769749802</v>
      </c>
      <c r="U191" s="312">
        <f t="shared" si="120"/>
        <v>0.2159582947464872</v>
      </c>
      <c r="V191" s="312">
        <f t="shared" si="120"/>
        <v>0.28963396445594347</v>
      </c>
      <c r="W191" s="312">
        <f t="shared" si="120"/>
        <v>0.36267823777448632</v>
      </c>
      <c r="X191" s="312">
        <f t="shared" si="120"/>
        <v>0.42822986264997653</v>
      </c>
      <c r="Y191" s="312">
        <f t="shared" si="120"/>
        <v>0.49442598124044146</v>
      </c>
      <c r="Z191" s="312">
        <f t="shared" si="120"/>
        <v>0.55559015546326984</v>
      </c>
      <c r="AA191" s="312">
        <f t="shared" si="120"/>
        <v>0.6137944437375572</v>
      </c>
      <c r="AB191" s="312">
        <f t="shared" si="120"/>
        <v>0.6708034879475655</v>
      </c>
      <c r="AC191" s="312">
        <f t="shared" si="120"/>
        <v>0.72696214788427882</v>
      </c>
      <c r="AD191" s="312">
        <f t="shared" si="120"/>
        <v>0.79046325387575589</v>
      </c>
      <c r="AE191" s="312">
        <f t="shared" si="120"/>
        <v>0.79992850365543233</v>
      </c>
      <c r="AF191" s="312">
        <f t="shared" si="120"/>
        <v>0</v>
      </c>
      <c r="AG191" s="312">
        <f t="shared" si="120"/>
        <v>0</v>
      </c>
      <c r="AH191" s="312">
        <f t="shared" si="120"/>
        <v>0</v>
      </c>
      <c r="AI191" s="312">
        <f t="shared" si="120"/>
        <v>0</v>
      </c>
      <c r="AJ191" s="312">
        <f t="shared" si="120"/>
        <v>0</v>
      </c>
      <c r="AK191" s="312">
        <f t="shared" si="120"/>
        <v>0</v>
      </c>
      <c r="AL191" s="312">
        <f t="shared" si="120"/>
        <v>0</v>
      </c>
      <c r="AM191" s="312">
        <f t="shared" si="120"/>
        <v>0</v>
      </c>
      <c r="AN191" s="312">
        <f t="shared" si="120"/>
        <v>0</v>
      </c>
      <c r="AO191" s="312">
        <f t="shared" si="120"/>
        <v>0</v>
      </c>
      <c r="AP191" s="312">
        <f t="shared" si="120"/>
        <v>0</v>
      </c>
      <c r="AQ191" s="312">
        <f t="shared" si="120"/>
        <v>0</v>
      </c>
      <c r="AR191" s="312">
        <f t="shared" si="120"/>
        <v>0</v>
      </c>
      <c r="AS191" s="312">
        <f t="shared" si="120"/>
        <v>0</v>
      </c>
      <c r="AT191" s="312">
        <f t="shared" ref="AT191:BM191" si="121">IFERROR(AT189/AT190,0)</f>
        <v>0</v>
      </c>
      <c r="AU191" s="312">
        <f t="shared" si="121"/>
        <v>0</v>
      </c>
      <c r="AV191" s="312">
        <f t="shared" si="121"/>
        <v>0</v>
      </c>
      <c r="AW191" s="312">
        <f t="shared" si="121"/>
        <v>0</v>
      </c>
      <c r="AX191" s="312">
        <f t="shared" si="121"/>
        <v>0</v>
      </c>
      <c r="AY191" s="312">
        <f t="shared" si="121"/>
        <v>0</v>
      </c>
      <c r="AZ191" s="312">
        <f t="shared" si="121"/>
        <v>0</v>
      </c>
      <c r="BA191" s="312">
        <f t="shared" si="121"/>
        <v>0</v>
      </c>
      <c r="BB191" s="312">
        <f t="shared" si="121"/>
        <v>0</v>
      </c>
      <c r="BC191" s="312">
        <f t="shared" si="121"/>
        <v>0</v>
      </c>
      <c r="BD191" s="312">
        <f t="shared" si="121"/>
        <v>0</v>
      </c>
      <c r="BE191" s="312">
        <f t="shared" si="121"/>
        <v>0</v>
      </c>
      <c r="BF191" s="312">
        <f t="shared" si="121"/>
        <v>0</v>
      </c>
      <c r="BG191" s="312">
        <f t="shared" si="121"/>
        <v>0</v>
      </c>
      <c r="BH191" s="312">
        <f t="shared" si="121"/>
        <v>0</v>
      </c>
      <c r="BI191" s="312">
        <f t="shared" si="121"/>
        <v>0</v>
      </c>
      <c r="BJ191" s="312">
        <f t="shared" si="121"/>
        <v>0</v>
      </c>
      <c r="BK191" s="312">
        <f t="shared" si="121"/>
        <v>0</v>
      </c>
      <c r="BL191" s="312">
        <f t="shared" si="121"/>
        <v>0</v>
      </c>
      <c r="BM191" s="312">
        <f t="shared" si="121"/>
        <v>0</v>
      </c>
    </row>
    <row r="192" spans="1:68" s="164" customFormat="1" ht="12.75" hidden="1" customHeight="1">
      <c r="B192" s="166" t="s">
        <v>65</v>
      </c>
      <c r="C192" s="167"/>
      <c r="D192" s="131" t="s">
        <v>19</v>
      </c>
      <c r="E192" s="168"/>
      <c r="F192" s="384"/>
      <c r="G192" s="384">
        <f t="shared" ref="G192:AS192" si="122">IF((G190-G193)&gt;0,(G190-G193),0)</f>
        <v>0</v>
      </c>
      <c r="H192" s="384">
        <f t="shared" si="122"/>
        <v>0</v>
      </c>
      <c r="I192" s="384">
        <f t="shared" si="122"/>
        <v>0</v>
      </c>
      <c r="J192" s="384">
        <f t="shared" si="122"/>
        <v>0</v>
      </c>
      <c r="K192" s="384">
        <f t="shared" si="122"/>
        <v>0</v>
      </c>
      <c r="L192" s="384">
        <f t="shared" si="122"/>
        <v>0</v>
      </c>
      <c r="M192" s="384">
        <f t="shared" si="122"/>
        <v>0</v>
      </c>
      <c r="N192" s="558">
        <f t="shared" si="122"/>
        <v>0</v>
      </c>
      <c r="O192" s="558">
        <f t="shared" si="122"/>
        <v>0</v>
      </c>
      <c r="P192" s="558">
        <f t="shared" si="122"/>
        <v>0</v>
      </c>
      <c r="Q192" s="24">
        <f t="shared" si="122"/>
        <v>0</v>
      </c>
      <c r="R192" s="24">
        <f t="shared" si="122"/>
        <v>0</v>
      </c>
      <c r="S192" s="24">
        <f t="shared" si="122"/>
        <v>0</v>
      </c>
      <c r="T192" s="24">
        <f t="shared" si="122"/>
        <v>1164.068181818182</v>
      </c>
      <c r="U192" s="24">
        <f t="shared" si="122"/>
        <v>2547.9141299855</v>
      </c>
      <c r="V192" s="24">
        <f t="shared" si="122"/>
        <v>4007.2779776028965</v>
      </c>
      <c r="W192" s="24">
        <f t="shared" si="122"/>
        <v>5549.7211410465479</v>
      </c>
      <c r="X192" s="24">
        <f t="shared" si="122"/>
        <v>7184.9654413715361</v>
      </c>
      <c r="Y192" s="24">
        <f t="shared" si="122"/>
        <v>9027.4416001252357</v>
      </c>
      <c r="Z192" s="24">
        <f t="shared" si="122"/>
        <v>10971.388805049792</v>
      </c>
      <c r="AA192" s="24">
        <f t="shared" si="122"/>
        <v>13037.22288036088</v>
      </c>
      <c r="AB192" s="24">
        <f t="shared" si="122"/>
        <v>15258.970199751293</v>
      </c>
      <c r="AC192" s="24">
        <f t="shared" si="122"/>
        <v>17770.345667558457</v>
      </c>
      <c r="AD192" s="24">
        <f t="shared" si="122"/>
        <v>20578.521055083602</v>
      </c>
      <c r="AE192" s="24">
        <f t="shared" si="122"/>
        <v>22074.5760027953</v>
      </c>
      <c r="AF192" s="24">
        <f t="shared" si="122"/>
        <v>0</v>
      </c>
      <c r="AG192" s="24">
        <f t="shared" si="122"/>
        <v>0</v>
      </c>
      <c r="AH192" s="24">
        <f t="shared" si="122"/>
        <v>0</v>
      </c>
      <c r="AI192" s="24">
        <f t="shared" si="122"/>
        <v>0</v>
      </c>
      <c r="AJ192" s="24">
        <f t="shared" si="122"/>
        <v>0</v>
      </c>
      <c r="AK192" s="24">
        <f t="shared" si="122"/>
        <v>0</v>
      </c>
      <c r="AL192" s="24">
        <f t="shared" si="122"/>
        <v>0</v>
      </c>
      <c r="AM192" s="24">
        <f t="shared" si="122"/>
        <v>0</v>
      </c>
      <c r="AN192" s="24">
        <f t="shared" si="122"/>
        <v>0</v>
      </c>
      <c r="AO192" s="24">
        <f t="shared" si="122"/>
        <v>0</v>
      </c>
      <c r="AP192" s="24">
        <f t="shared" si="122"/>
        <v>0</v>
      </c>
      <c r="AQ192" s="24">
        <f t="shared" si="122"/>
        <v>0</v>
      </c>
      <c r="AR192" s="24">
        <f t="shared" si="122"/>
        <v>0</v>
      </c>
      <c r="AS192" s="24">
        <f t="shared" si="122"/>
        <v>0</v>
      </c>
      <c r="AT192" s="24">
        <f t="shared" ref="AT192:BM192" si="123">IF((AT190-AT193)&gt;0,(AT190-AT193),0)</f>
        <v>0</v>
      </c>
      <c r="AU192" s="24">
        <f t="shared" si="123"/>
        <v>0</v>
      </c>
      <c r="AV192" s="24">
        <f t="shared" si="123"/>
        <v>0</v>
      </c>
      <c r="AW192" s="24">
        <f t="shared" si="123"/>
        <v>0</v>
      </c>
      <c r="AX192" s="24">
        <f t="shared" si="123"/>
        <v>0</v>
      </c>
      <c r="AY192" s="24">
        <f t="shared" si="123"/>
        <v>0</v>
      </c>
      <c r="AZ192" s="24">
        <f t="shared" si="123"/>
        <v>0</v>
      </c>
      <c r="BA192" s="24">
        <f t="shared" si="123"/>
        <v>0</v>
      </c>
      <c r="BB192" s="24">
        <f t="shared" si="123"/>
        <v>0</v>
      </c>
      <c r="BC192" s="24">
        <f t="shared" si="123"/>
        <v>0</v>
      </c>
      <c r="BD192" s="24">
        <f t="shared" si="123"/>
        <v>0</v>
      </c>
      <c r="BE192" s="24">
        <f t="shared" si="123"/>
        <v>0</v>
      </c>
      <c r="BF192" s="24">
        <f t="shared" si="123"/>
        <v>0</v>
      </c>
      <c r="BG192" s="24">
        <f t="shared" si="123"/>
        <v>0</v>
      </c>
      <c r="BH192" s="24">
        <f t="shared" si="123"/>
        <v>0</v>
      </c>
      <c r="BI192" s="24">
        <f t="shared" si="123"/>
        <v>0</v>
      </c>
      <c r="BJ192" s="24">
        <f t="shared" si="123"/>
        <v>0</v>
      </c>
      <c r="BK192" s="24">
        <f t="shared" si="123"/>
        <v>0</v>
      </c>
      <c r="BL192" s="24">
        <f t="shared" si="123"/>
        <v>0</v>
      </c>
      <c r="BM192" s="24">
        <f t="shared" si="123"/>
        <v>0</v>
      </c>
      <c r="BN192" s="163"/>
      <c r="BO192" s="163"/>
      <c r="BP192" s="163"/>
    </row>
    <row r="193" spans="2:68" s="164" customFormat="1" ht="12.75" hidden="1" customHeight="1">
      <c r="B193" s="166" t="s">
        <v>66</v>
      </c>
      <c r="C193" s="167"/>
      <c r="D193" s="131" t="s">
        <v>19</v>
      </c>
      <c r="E193" s="168"/>
      <c r="F193" s="384"/>
      <c r="G193" s="384">
        <f t="shared" ref="G193:AS193" si="124">IF(G190&gt;=G189,G190-G189,0)</f>
        <v>0</v>
      </c>
      <c r="H193" s="384">
        <f t="shared" si="124"/>
        <v>0</v>
      </c>
      <c r="I193" s="384">
        <f t="shared" si="124"/>
        <v>0</v>
      </c>
      <c r="J193" s="384">
        <f t="shared" si="124"/>
        <v>0</v>
      </c>
      <c r="K193" s="384">
        <f t="shared" si="124"/>
        <v>0</v>
      </c>
      <c r="L193" s="384">
        <f t="shared" si="124"/>
        <v>0</v>
      </c>
      <c r="M193" s="384">
        <f t="shared" si="124"/>
        <v>0</v>
      </c>
      <c r="N193" s="558">
        <f t="shared" si="124"/>
        <v>0</v>
      </c>
      <c r="O193" s="558">
        <f t="shared" si="124"/>
        <v>0</v>
      </c>
      <c r="P193" s="558">
        <f t="shared" si="124"/>
        <v>0</v>
      </c>
      <c r="Q193" s="24">
        <f t="shared" si="124"/>
        <v>0</v>
      </c>
      <c r="R193" s="24">
        <f t="shared" si="124"/>
        <v>0</v>
      </c>
      <c r="S193" s="24">
        <f t="shared" si="124"/>
        <v>0</v>
      </c>
      <c r="T193" s="24">
        <f t="shared" si="124"/>
        <v>8605.8527856078763</v>
      </c>
      <c r="U193" s="24">
        <f t="shared" si="124"/>
        <v>9250.2626104656592</v>
      </c>
      <c r="V193" s="24">
        <f t="shared" si="124"/>
        <v>9828.385202060028</v>
      </c>
      <c r="W193" s="24">
        <f t="shared" si="124"/>
        <v>9752.3305483558088</v>
      </c>
      <c r="X193" s="24">
        <f t="shared" si="124"/>
        <v>9593.3260045109564</v>
      </c>
      <c r="Y193" s="24">
        <f t="shared" si="124"/>
        <v>9230.9872499864105</v>
      </c>
      <c r="Z193" s="24">
        <f t="shared" si="124"/>
        <v>8775.8811873450104</v>
      </c>
      <c r="AA193" s="24">
        <f t="shared" si="124"/>
        <v>8203.1500382562572</v>
      </c>
      <c r="AB193" s="24">
        <f t="shared" si="124"/>
        <v>7488.332809120413</v>
      </c>
      <c r="AC193" s="24">
        <f t="shared" si="124"/>
        <v>6674.3186375591504</v>
      </c>
      <c r="AD193" s="24">
        <f t="shared" si="124"/>
        <v>5454.9738027534077</v>
      </c>
      <c r="AE193" s="24">
        <f t="shared" si="124"/>
        <v>5521.1102390639862</v>
      </c>
      <c r="AF193" s="24">
        <f t="shared" si="124"/>
        <v>3854.7032456282686</v>
      </c>
      <c r="AG193" s="24">
        <f t="shared" si="124"/>
        <v>940.98508575606184</v>
      </c>
      <c r="AH193" s="24">
        <f t="shared" si="124"/>
        <v>0</v>
      </c>
      <c r="AI193" s="24">
        <f t="shared" si="124"/>
        <v>0</v>
      </c>
      <c r="AJ193" s="24">
        <f t="shared" si="124"/>
        <v>0</v>
      </c>
      <c r="AK193" s="24">
        <f t="shared" si="124"/>
        <v>0</v>
      </c>
      <c r="AL193" s="24">
        <f t="shared" si="124"/>
        <v>0</v>
      </c>
      <c r="AM193" s="24">
        <f t="shared" si="124"/>
        <v>0</v>
      </c>
      <c r="AN193" s="24">
        <f t="shared" si="124"/>
        <v>0</v>
      </c>
      <c r="AO193" s="24">
        <f t="shared" si="124"/>
        <v>0</v>
      </c>
      <c r="AP193" s="24">
        <f t="shared" si="124"/>
        <v>0</v>
      </c>
      <c r="AQ193" s="24">
        <f t="shared" si="124"/>
        <v>0</v>
      </c>
      <c r="AR193" s="24">
        <f t="shared" si="124"/>
        <v>0</v>
      </c>
      <c r="AS193" s="24">
        <f t="shared" si="124"/>
        <v>0</v>
      </c>
      <c r="AT193" s="24">
        <f t="shared" ref="AT193:BM193" si="125">IF(AT190&gt;=AT189,AT190-AT189,0)</f>
        <v>0</v>
      </c>
      <c r="AU193" s="24">
        <f t="shared" si="125"/>
        <v>0</v>
      </c>
      <c r="AV193" s="24">
        <f t="shared" si="125"/>
        <v>0</v>
      </c>
      <c r="AW193" s="24">
        <f t="shared" si="125"/>
        <v>0</v>
      </c>
      <c r="AX193" s="24">
        <f t="shared" si="125"/>
        <v>0</v>
      </c>
      <c r="AY193" s="24">
        <f t="shared" si="125"/>
        <v>0</v>
      </c>
      <c r="AZ193" s="24">
        <f t="shared" si="125"/>
        <v>0</v>
      </c>
      <c r="BA193" s="24">
        <f t="shared" si="125"/>
        <v>0</v>
      </c>
      <c r="BB193" s="24">
        <f t="shared" si="125"/>
        <v>0</v>
      </c>
      <c r="BC193" s="24">
        <f t="shared" si="125"/>
        <v>0</v>
      </c>
      <c r="BD193" s="24">
        <f t="shared" si="125"/>
        <v>0</v>
      </c>
      <c r="BE193" s="24">
        <f t="shared" si="125"/>
        <v>0</v>
      </c>
      <c r="BF193" s="24">
        <f t="shared" si="125"/>
        <v>0</v>
      </c>
      <c r="BG193" s="24">
        <f t="shared" si="125"/>
        <v>0</v>
      </c>
      <c r="BH193" s="24">
        <f t="shared" si="125"/>
        <v>0</v>
      </c>
      <c r="BI193" s="24">
        <f t="shared" si="125"/>
        <v>0</v>
      </c>
      <c r="BJ193" s="24">
        <f t="shared" si="125"/>
        <v>0</v>
      </c>
      <c r="BK193" s="24">
        <f t="shared" si="125"/>
        <v>0</v>
      </c>
      <c r="BL193" s="24">
        <f t="shared" si="125"/>
        <v>0</v>
      </c>
      <c r="BM193" s="24">
        <f t="shared" si="125"/>
        <v>0</v>
      </c>
      <c r="BN193" s="163"/>
      <c r="BO193" s="163"/>
      <c r="BP193" s="163"/>
    </row>
    <row r="194" spans="2:68" s="198" customFormat="1" ht="12.75" customHeight="1">
      <c r="B194" s="329" t="s">
        <v>318</v>
      </c>
      <c r="C194" s="330"/>
      <c r="D194" s="331"/>
      <c r="E194" s="332"/>
      <c r="F194" s="387">
        <f>CF!F213</f>
        <v>0.2</v>
      </c>
      <c r="G194" s="387">
        <f>CF!G213</f>
        <v>0.2</v>
      </c>
      <c r="H194" s="387">
        <f>CF!H213</f>
        <v>0.2</v>
      </c>
      <c r="I194" s="387">
        <f>CF!I213</f>
        <v>0.2</v>
      </c>
      <c r="J194" s="387">
        <f>CF!J213</f>
        <v>0.2</v>
      </c>
      <c r="K194" s="387">
        <f>CF!K213</f>
        <v>0.21</v>
      </c>
      <c r="L194" s="387">
        <f>CF!L213</f>
        <v>0.21</v>
      </c>
      <c r="M194" s="387">
        <f>CF!M213</f>
        <v>0.21</v>
      </c>
      <c r="N194" s="560">
        <f>CF!N213</f>
        <v>0.20749999999999999</v>
      </c>
      <c r="O194" s="560">
        <f>CF!O213</f>
        <v>0.19500000000000001</v>
      </c>
      <c r="P194" s="560">
        <f>CF!P213</f>
        <v>0.19</v>
      </c>
      <c r="Q194" s="334">
        <f>CF!Q213</f>
        <v>0.17</v>
      </c>
      <c r="R194" s="334">
        <f>CF!R213</f>
        <v>0.15</v>
      </c>
      <c r="S194" s="334">
        <f>CF!S213</f>
        <v>0.13</v>
      </c>
      <c r="T194" s="334">
        <f>CF!T213</f>
        <v>0.12</v>
      </c>
      <c r="U194" s="334">
        <f>CF!U213</f>
        <v>0.11</v>
      </c>
      <c r="V194" s="334">
        <f>CF!V213</f>
        <v>0.1</v>
      </c>
      <c r="W194" s="334">
        <f>CF!W213</f>
        <v>9.5000000000000001E-2</v>
      </c>
      <c r="X194" s="334">
        <f>CF!X213</f>
        <v>0.09</v>
      </c>
      <c r="Y194" s="334">
        <f>CF!Y213</f>
        <v>0.09</v>
      </c>
      <c r="Z194" s="334">
        <f>CF!Z213</f>
        <v>0.09</v>
      </c>
      <c r="AA194" s="334">
        <f>CF!AA213</f>
        <v>0.09</v>
      </c>
      <c r="AB194" s="334">
        <f>CF!AB213</f>
        <v>0.09</v>
      </c>
      <c r="AC194" s="334">
        <f>CF!AC213</f>
        <v>0.09</v>
      </c>
      <c r="AD194" s="334">
        <f>CF!AD213</f>
        <v>0.09</v>
      </c>
      <c r="AE194" s="334">
        <f>CF!AE213</f>
        <v>0.09</v>
      </c>
      <c r="AF194" s="334">
        <f>CF!AF213</f>
        <v>0.09</v>
      </c>
      <c r="AG194" s="334">
        <f>CF!AG213</f>
        <v>0.09</v>
      </c>
      <c r="AH194" s="334">
        <f>CF!AH213</f>
        <v>0.09</v>
      </c>
      <c r="AI194" s="334">
        <f>CF!AI213</f>
        <v>0.09</v>
      </c>
      <c r="AJ194" s="334">
        <f>CF!AJ213</f>
        <v>0.09</v>
      </c>
      <c r="AK194" s="334">
        <f>CF!AK213</f>
        <v>0.09</v>
      </c>
      <c r="AL194" s="334">
        <f>CF!AL213</f>
        <v>0.09</v>
      </c>
      <c r="AM194" s="334">
        <f>CF!AM213</f>
        <v>0.09</v>
      </c>
      <c r="AN194" s="334">
        <f>CF!AN213</f>
        <v>0.09</v>
      </c>
      <c r="AO194" s="334">
        <f>CF!AO213</f>
        <v>0.09</v>
      </c>
      <c r="AP194" s="334">
        <f>CF!AP213</f>
        <v>0.09</v>
      </c>
      <c r="AQ194" s="334">
        <f>CF!AQ213</f>
        <v>0.09</v>
      </c>
      <c r="AR194" s="334">
        <f>CF!AR213</f>
        <v>0.09</v>
      </c>
      <c r="AS194" s="334">
        <f>CF!AS213</f>
        <v>0.09</v>
      </c>
      <c r="AT194" s="334">
        <f>CF!AT213</f>
        <v>0.09</v>
      </c>
      <c r="AU194" s="334">
        <f>CF!AU213</f>
        <v>0.09</v>
      </c>
      <c r="AV194" s="334">
        <f>CF!AV213</f>
        <v>0.09</v>
      </c>
      <c r="AW194" s="334">
        <f>CF!AW213</f>
        <v>0.09</v>
      </c>
      <c r="AX194" s="334">
        <f>CF!AX213</f>
        <v>0.09</v>
      </c>
      <c r="AY194" s="334">
        <f>CF!AY213</f>
        <v>0.09</v>
      </c>
      <c r="AZ194" s="334">
        <f>CF!AZ213</f>
        <v>0.09</v>
      </c>
      <c r="BA194" s="334">
        <f>CF!BA213</f>
        <v>0.09</v>
      </c>
      <c r="BB194" s="334">
        <f>CF!BB213</f>
        <v>0.09</v>
      </c>
      <c r="BC194" s="334">
        <f>CF!BC213</f>
        <v>0.09</v>
      </c>
      <c r="BD194" s="334">
        <f>CF!BD213</f>
        <v>0.09</v>
      </c>
      <c r="BE194" s="334">
        <f>CF!BE213</f>
        <v>0.09</v>
      </c>
      <c r="BF194" s="334">
        <f>CF!BF213</f>
        <v>0.09</v>
      </c>
      <c r="BG194" s="334">
        <f>CF!BG213</f>
        <v>0.09</v>
      </c>
      <c r="BH194" s="334">
        <f>CF!BH213</f>
        <v>0.09</v>
      </c>
      <c r="BI194" s="334">
        <f>CF!BI213</f>
        <v>0.09</v>
      </c>
      <c r="BJ194" s="334">
        <f>CF!BJ213</f>
        <v>0.09</v>
      </c>
      <c r="BK194" s="334">
        <f>CF!BK213</f>
        <v>0.09</v>
      </c>
      <c r="BL194" s="334">
        <f>CF!BL213</f>
        <v>0.09</v>
      </c>
      <c r="BM194" s="334">
        <f>CF!BM213</f>
        <v>0.09</v>
      </c>
    </row>
    <row r="195" spans="2:68" s="307" customFormat="1" ht="12.75" customHeight="1">
      <c r="B195" s="28" t="s">
        <v>319</v>
      </c>
      <c r="C195" s="308"/>
      <c r="D195" s="310"/>
      <c r="E195" s="309"/>
      <c r="F195" s="388">
        <f>F194+'DB1'!$N$23</f>
        <v>0.25</v>
      </c>
      <c r="G195" s="388">
        <f>G194+'DB1'!$N$23</f>
        <v>0.25</v>
      </c>
      <c r="H195" s="388">
        <f>H194+'DB1'!$N$23</f>
        <v>0.25</v>
      </c>
      <c r="I195" s="388">
        <f>I194+'DB1'!$N$23</f>
        <v>0.25</v>
      </c>
      <c r="J195" s="388">
        <f>J194+'DB1'!$N$23</f>
        <v>0.25</v>
      </c>
      <c r="K195" s="388">
        <f>K194+'DB1'!$N$23</f>
        <v>0.26</v>
      </c>
      <c r="L195" s="388">
        <f>L194+'DB1'!$N$23</f>
        <v>0.26</v>
      </c>
      <c r="M195" s="388">
        <f>M194+'DB1'!$N$23</f>
        <v>0.26</v>
      </c>
      <c r="N195" s="561">
        <f>N194+'DB1'!$N$23</f>
        <v>0.25750000000000001</v>
      </c>
      <c r="O195" s="561">
        <f>O194+'DB1'!$N$23</f>
        <v>0.245</v>
      </c>
      <c r="P195" s="561">
        <f>P194+'DB1'!$N$23</f>
        <v>0.24</v>
      </c>
      <c r="Q195" s="311">
        <f>Q194+'DB1'!$N$23</f>
        <v>0.22000000000000003</v>
      </c>
      <c r="R195" s="311">
        <f>R194+'DB1'!$N$23</f>
        <v>0.2</v>
      </c>
      <c r="S195" s="311">
        <f>S194+'DB1'!$N$23</f>
        <v>0.18</v>
      </c>
      <c r="T195" s="311">
        <f>T194+'DB1'!$N$23</f>
        <v>0.16999999999999998</v>
      </c>
      <c r="U195" s="311">
        <f>U194+'DB1'!$N$23</f>
        <v>0.16</v>
      </c>
      <c r="V195" s="311">
        <f>V194+'DB1'!$N$23</f>
        <v>0.15000000000000002</v>
      </c>
      <c r="W195" s="311">
        <f>W194+'DB1'!$N$23</f>
        <v>0.14500000000000002</v>
      </c>
      <c r="X195" s="311">
        <f>X194+'DB1'!$N$23</f>
        <v>0.14000000000000001</v>
      </c>
      <c r="Y195" s="311">
        <f>Y194+'DB1'!$N$23</f>
        <v>0.14000000000000001</v>
      </c>
      <c r="Z195" s="311">
        <f>Z194+'DB1'!$N$23</f>
        <v>0.14000000000000001</v>
      </c>
      <c r="AA195" s="311">
        <f>AA194+'DB1'!$N$23</f>
        <v>0.14000000000000001</v>
      </c>
      <c r="AB195" s="311">
        <f>AB194+'DB1'!$N$23</f>
        <v>0.14000000000000001</v>
      </c>
      <c r="AC195" s="311">
        <f>AC194+'DB1'!$N$23</f>
        <v>0.14000000000000001</v>
      </c>
      <c r="AD195" s="311">
        <f>AD194+'DB1'!$N$23</f>
        <v>0.14000000000000001</v>
      </c>
      <c r="AE195" s="311">
        <f>AE194+'DB1'!$N$23</f>
        <v>0.14000000000000001</v>
      </c>
      <c r="AF195" s="311">
        <f>AF194+'DB1'!$N$23</f>
        <v>0.14000000000000001</v>
      </c>
      <c r="AG195" s="311">
        <f>AG194+'DB1'!$N$23</f>
        <v>0.14000000000000001</v>
      </c>
      <c r="AH195" s="311">
        <f>AH194+'DB1'!$N$23</f>
        <v>0.14000000000000001</v>
      </c>
      <c r="AI195" s="311">
        <f>AI194+'DB1'!$N$23</f>
        <v>0.14000000000000001</v>
      </c>
      <c r="AJ195" s="311">
        <f>AJ194+'DB1'!$N$23</f>
        <v>0.14000000000000001</v>
      </c>
      <c r="AK195" s="311">
        <f>AK194+'DB1'!$N$23</f>
        <v>0.14000000000000001</v>
      </c>
      <c r="AL195" s="311">
        <f>AL194+'DB1'!$N$23</f>
        <v>0.14000000000000001</v>
      </c>
      <c r="AM195" s="311">
        <f>AM194+'DB1'!$N$23</f>
        <v>0.14000000000000001</v>
      </c>
      <c r="AN195" s="311">
        <f>AN194+'DB1'!$N$23</f>
        <v>0.14000000000000001</v>
      </c>
      <c r="AO195" s="311">
        <f>AO194+'DB1'!$N$23</f>
        <v>0.14000000000000001</v>
      </c>
      <c r="AP195" s="311">
        <f>AP194+'DB1'!$N$23</f>
        <v>0.14000000000000001</v>
      </c>
      <c r="AQ195" s="311">
        <f>AQ194+'DB1'!$N$23</f>
        <v>0.14000000000000001</v>
      </c>
      <c r="AR195" s="311">
        <f>AR194+'DB1'!$N$23</f>
        <v>0.14000000000000001</v>
      </c>
      <c r="AS195" s="311">
        <f>AS194+'DB1'!$N$23</f>
        <v>0.14000000000000001</v>
      </c>
      <c r="AT195" s="311">
        <f>AT194+'DB1'!$N$23</f>
        <v>0.14000000000000001</v>
      </c>
      <c r="AU195" s="311">
        <f>AU194+'DB1'!$N$23</f>
        <v>0.14000000000000001</v>
      </c>
      <c r="AV195" s="311">
        <f>AV194+'DB1'!$N$23</f>
        <v>0.14000000000000001</v>
      </c>
      <c r="AW195" s="311">
        <f>AW194+'DB1'!$N$23</f>
        <v>0.14000000000000001</v>
      </c>
      <c r="AX195" s="311">
        <f>AX194+'DB1'!$N$23</f>
        <v>0.14000000000000001</v>
      </c>
      <c r="AY195" s="311">
        <f>AY194+'DB1'!$N$23</f>
        <v>0.14000000000000001</v>
      </c>
      <c r="AZ195" s="311">
        <f>AZ194+'DB1'!$N$23</f>
        <v>0.14000000000000001</v>
      </c>
      <c r="BA195" s="311">
        <f>BA194+'DB1'!$N$23</f>
        <v>0.14000000000000001</v>
      </c>
      <c r="BB195" s="311">
        <f>BB194+'DB1'!$N$23</f>
        <v>0.14000000000000001</v>
      </c>
      <c r="BC195" s="311">
        <f>BC194+'DB1'!$N$23</f>
        <v>0.14000000000000001</v>
      </c>
      <c r="BD195" s="311">
        <f>BD194+'DB1'!$N$23</f>
        <v>0.14000000000000001</v>
      </c>
      <c r="BE195" s="311">
        <f>BE194+'DB1'!$N$23</f>
        <v>0.14000000000000001</v>
      </c>
      <c r="BF195" s="311">
        <f>BF194+'DB1'!$N$23</f>
        <v>0.14000000000000001</v>
      </c>
      <c r="BG195" s="311">
        <f>BG194+'DB1'!$N$23</f>
        <v>0.14000000000000001</v>
      </c>
      <c r="BH195" s="311">
        <f>BH194+'DB1'!$N$23</f>
        <v>0.14000000000000001</v>
      </c>
      <c r="BI195" s="311">
        <f>BI194+'DB1'!$N$23</f>
        <v>0.14000000000000001</v>
      </c>
      <c r="BJ195" s="311">
        <f>BJ194+'DB1'!$N$23</f>
        <v>0.14000000000000001</v>
      </c>
      <c r="BK195" s="311">
        <f>BK194+'DB1'!$N$23</f>
        <v>0.14000000000000001</v>
      </c>
      <c r="BL195" s="311">
        <f>BL194+'DB1'!$N$23</f>
        <v>0.14000000000000001</v>
      </c>
      <c r="BM195" s="311">
        <f>BM194+'DB1'!$N$23</f>
        <v>0.14000000000000001</v>
      </c>
      <c r="BN195" s="163"/>
      <c r="BO195" s="163"/>
      <c r="BP195" s="163"/>
    </row>
    <row r="196" spans="2:68" s="307" customFormat="1" ht="12.75" hidden="1" customHeight="1" outlineLevel="1">
      <c r="B196" s="28" t="s">
        <v>320</v>
      </c>
      <c r="C196" s="308"/>
      <c r="D196" s="310"/>
      <c r="E196" s="309"/>
      <c r="F196" s="388">
        <f>F194+'DB1'!$N$24</f>
        <v>0.23800000000000002</v>
      </c>
      <c r="G196" s="388">
        <f>G194+'DB1'!$N$24</f>
        <v>0.23800000000000002</v>
      </c>
      <c r="H196" s="388">
        <f>H194+'DB1'!$N$24</f>
        <v>0.23800000000000002</v>
      </c>
      <c r="I196" s="388">
        <f>I194+'DB1'!$N$24</f>
        <v>0.23800000000000002</v>
      </c>
      <c r="J196" s="388">
        <f>J194+'DB1'!$N$24</f>
        <v>0.23800000000000002</v>
      </c>
      <c r="K196" s="388">
        <f>K194+'DB1'!$N$24</f>
        <v>0.248</v>
      </c>
      <c r="L196" s="388">
        <f>L194+'DB1'!$N$24</f>
        <v>0.248</v>
      </c>
      <c r="M196" s="388">
        <f>M194+'DB1'!$N$24</f>
        <v>0.248</v>
      </c>
      <c r="N196" s="561">
        <f>N194+'DB1'!$N$24</f>
        <v>0.2455</v>
      </c>
      <c r="O196" s="561">
        <f>O194+'DB1'!$N$24</f>
        <v>0.23300000000000001</v>
      </c>
      <c r="P196" s="561">
        <f>P194+'DB1'!$N$24</f>
        <v>0.22800000000000001</v>
      </c>
      <c r="Q196" s="311">
        <f>Q194+'DB1'!$N$24</f>
        <v>0.20800000000000002</v>
      </c>
      <c r="R196" s="311">
        <f>R194+'DB1'!$N$24</f>
        <v>0.188</v>
      </c>
      <c r="S196" s="311">
        <f>S194+'DB1'!$N$24</f>
        <v>0.16800000000000001</v>
      </c>
      <c r="T196" s="311">
        <f>T194+'DB1'!$N$24</f>
        <v>0.158</v>
      </c>
      <c r="U196" s="311">
        <f>U194+'DB1'!$N$24</f>
        <v>0.14799999999999999</v>
      </c>
      <c r="V196" s="311">
        <f>V194+'DB1'!$N$24</f>
        <v>0.13800000000000001</v>
      </c>
      <c r="W196" s="311">
        <f>W194+'DB1'!$N$24</f>
        <v>0.13300000000000001</v>
      </c>
      <c r="X196" s="311">
        <f>X194+'DB1'!$N$24</f>
        <v>0.128</v>
      </c>
      <c r="Y196" s="311">
        <f>Y194+'DB1'!$N$24</f>
        <v>0.128</v>
      </c>
      <c r="Z196" s="311">
        <f>Z194+'DB1'!$N$24</f>
        <v>0.128</v>
      </c>
      <c r="AA196" s="311">
        <f>AA194+'DB1'!$N$24</f>
        <v>0.128</v>
      </c>
      <c r="AB196" s="311">
        <f>AB194+'DB1'!$N$24</f>
        <v>0.128</v>
      </c>
      <c r="AC196" s="311">
        <f>AC194+'DB1'!$N$24</f>
        <v>0.128</v>
      </c>
      <c r="AD196" s="311">
        <f>AD194+'DB1'!$N$24</f>
        <v>0.128</v>
      </c>
      <c r="AE196" s="311">
        <f>AE194+'DB1'!$N$24</f>
        <v>0.128</v>
      </c>
      <c r="AF196" s="311">
        <f>AF194+'DB1'!$N$24</f>
        <v>0.128</v>
      </c>
      <c r="AG196" s="311">
        <f>AG194+'DB1'!$N$24</f>
        <v>0.128</v>
      </c>
      <c r="AH196" s="311">
        <f>AH194+'DB1'!$N$24</f>
        <v>0.128</v>
      </c>
      <c r="AI196" s="311">
        <f>AI194+'DB1'!$N$24</f>
        <v>0.128</v>
      </c>
      <c r="AJ196" s="311">
        <f>AJ194+'DB1'!$N$24</f>
        <v>0.128</v>
      </c>
      <c r="AK196" s="311">
        <f>AK194+'DB1'!$N$24</f>
        <v>0.128</v>
      </c>
      <c r="AL196" s="311">
        <f>AL194+'DB1'!$N$24</f>
        <v>0.128</v>
      </c>
      <c r="AM196" s="311">
        <f>AM194+'DB1'!$N$24</f>
        <v>0.128</v>
      </c>
      <c r="AN196" s="311">
        <f>AN194+'DB1'!$N$24</f>
        <v>0.128</v>
      </c>
      <c r="AO196" s="311">
        <f>AO194+'DB1'!$N$24</f>
        <v>0.128</v>
      </c>
      <c r="AP196" s="311">
        <f>AP194+'DB1'!$N$24</f>
        <v>0.128</v>
      </c>
      <c r="AQ196" s="311">
        <f>AQ194+'DB1'!$N$24</f>
        <v>0.128</v>
      </c>
      <c r="AR196" s="311">
        <f>AR194+'DB1'!$N$24</f>
        <v>0.128</v>
      </c>
      <c r="AS196" s="311">
        <f>AS194+'DB1'!$N$24</f>
        <v>0.128</v>
      </c>
      <c r="AT196" s="311">
        <f>AT194+'DB1'!$N$24</f>
        <v>0.128</v>
      </c>
      <c r="AU196" s="311">
        <f>AU194+'DB1'!$N$24</f>
        <v>0.128</v>
      </c>
      <c r="AV196" s="311">
        <f>AV194+'DB1'!$N$24</f>
        <v>0.128</v>
      </c>
      <c r="AW196" s="311">
        <f>AW194+'DB1'!$N$24</f>
        <v>0.128</v>
      </c>
      <c r="AX196" s="311">
        <f>AX194+'DB1'!$N$24</f>
        <v>0.128</v>
      </c>
      <c r="AY196" s="311">
        <f>AY194+'DB1'!$N$24</f>
        <v>0.128</v>
      </c>
      <c r="AZ196" s="311">
        <f>AZ194+'DB1'!$N$24</f>
        <v>0.128</v>
      </c>
      <c r="BA196" s="311">
        <f>BA194+'DB1'!$N$24</f>
        <v>0.128</v>
      </c>
      <c r="BB196" s="311">
        <f>BB194+'DB1'!$N$24</f>
        <v>0.128</v>
      </c>
      <c r="BC196" s="311">
        <f>BC194+'DB1'!$N$24</f>
        <v>0.128</v>
      </c>
      <c r="BD196" s="311">
        <f>BD194+'DB1'!$N$24</f>
        <v>0.128</v>
      </c>
      <c r="BE196" s="311">
        <f>BE194+'DB1'!$N$24</f>
        <v>0.128</v>
      </c>
      <c r="BF196" s="311">
        <f>BF194+'DB1'!$N$24</f>
        <v>0.128</v>
      </c>
      <c r="BG196" s="311">
        <f>BG194+'DB1'!$N$24</f>
        <v>0.128</v>
      </c>
      <c r="BH196" s="311">
        <f>BH194+'DB1'!$N$24</f>
        <v>0.128</v>
      </c>
      <c r="BI196" s="311">
        <f>BI194+'DB1'!$N$24</f>
        <v>0.128</v>
      </c>
      <c r="BJ196" s="311">
        <f>BJ194+'DB1'!$N$24</f>
        <v>0.128</v>
      </c>
      <c r="BK196" s="311">
        <f>BK194+'DB1'!$N$24</f>
        <v>0.128</v>
      </c>
      <c r="BL196" s="311">
        <f>BL194+'DB1'!$N$24</f>
        <v>0.128</v>
      </c>
      <c r="BM196" s="311">
        <f>BM194+'DB1'!$N$24</f>
        <v>0.128</v>
      </c>
      <c r="BN196" s="163"/>
      <c r="BO196" s="163"/>
      <c r="BP196" s="163"/>
    </row>
    <row r="197" spans="2:68" s="307" customFormat="1" ht="12.75" hidden="1" customHeight="1" outlineLevel="1">
      <c r="B197" s="28" t="s">
        <v>322</v>
      </c>
      <c r="C197" s="308"/>
      <c r="D197" s="310"/>
      <c r="E197" s="309"/>
      <c r="F197" s="388">
        <f>F194+'DB1'!$N$39</f>
        <v>0.21000000000000002</v>
      </c>
      <c r="G197" s="388">
        <f>G194+'DB1'!$N$39</f>
        <v>0.21000000000000002</v>
      </c>
      <c r="H197" s="388">
        <f>H194+'DB1'!$N$39</f>
        <v>0.21000000000000002</v>
      </c>
      <c r="I197" s="388">
        <f>I194+'DB1'!$N$39</f>
        <v>0.21000000000000002</v>
      </c>
      <c r="J197" s="388">
        <f>J194+'DB1'!$N$39</f>
        <v>0.21000000000000002</v>
      </c>
      <c r="K197" s="388">
        <f>K194+'DB1'!$N$39</f>
        <v>0.22</v>
      </c>
      <c r="L197" s="388">
        <f>L194+'DB1'!$N$39</f>
        <v>0.22</v>
      </c>
      <c r="M197" s="388">
        <f>M194+'DB1'!$N$39</f>
        <v>0.22</v>
      </c>
      <c r="N197" s="561">
        <f>N194+'DB1'!$N$39</f>
        <v>0.2175</v>
      </c>
      <c r="O197" s="561">
        <f>O194+'DB1'!$N$39</f>
        <v>0.20500000000000002</v>
      </c>
      <c r="P197" s="561">
        <f>P194+'DB1'!$N$39</f>
        <v>0.2</v>
      </c>
      <c r="Q197" s="311">
        <f>Q194+'DB1'!$N$39</f>
        <v>0.18000000000000002</v>
      </c>
      <c r="R197" s="311">
        <f>R194+'DB1'!$N$39</f>
        <v>0.16</v>
      </c>
      <c r="S197" s="311">
        <f>S194+'DB1'!$N$39</f>
        <v>0.14000000000000001</v>
      </c>
      <c r="T197" s="311">
        <f>T194+'DB1'!$N$39</f>
        <v>0.13</v>
      </c>
      <c r="U197" s="311">
        <f>U194+'DB1'!$N$39</f>
        <v>0.12</v>
      </c>
      <c r="V197" s="311">
        <f>V194+'DB1'!$N$39</f>
        <v>0.11</v>
      </c>
      <c r="W197" s="311">
        <f>W194+'DB1'!$N$39</f>
        <v>0.105</v>
      </c>
      <c r="X197" s="311">
        <f>X194+'DB1'!$N$39</f>
        <v>9.9999999999999992E-2</v>
      </c>
      <c r="Y197" s="311">
        <f>Y194+'DB1'!$N$39</f>
        <v>9.9999999999999992E-2</v>
      </c>
      <c r="Z197" s="311">
        <f>Z194+'DB1'!$N$39</f>
        <v>9.9999999999999992E-2</v>
      </c>
      <c r="AA197" s="311">
        <f>AA194+'DB1'!$N$39</f>
        <v>9.9999999999999992E-2</v>
      </c>
      <c r="AB197" s="311">
        <f>AB194+'DB1'!$N$39</f>
        <v>9.9999999999999992E-2</v>
      </c>
      <c r="AC197" s="311">
        <f>AC194+'DB1'!$N$39</f>
        <v>9.9999999999999992E-2</v>
      </c>
      <c r="AD197" s="311">
        <f>AD194+'DB1'!$N$39</f>
        <v>9.9999999999999992E-2</v>
      </c>
      <c r="AE197" s="311">
        <f>AE194+'DB1'!$N$39</f>
        <v>9.9999999999999992E-2</v>
      </c>
      <c r="AF197" s="311">
        <f>AF194+'DB1'!$N$39</f>
        <v>9.9999999999999992E-2</v>
      </c>
      <c r="AG197" s="311">
        <f>AG194+'DB1'!$N$39</f>
        <v>9.9999999999999992E-2</v>
      </c>
      <c r="AH197" s="311">
        <f>AH194+'DB1'!$N$39</f>
        <v>9.9999999999999992E-2</v>
      </c>
      <c r="AI197" s="311">
        <f>AI194+'DB1'!$N$39</f>
        <v>9.9999999999999992E-2</v>
      </c>
      <c r="AJ197" s="311">
        <f>AJ194+'DB1'!$N$39</f>
        <v>9.9999999999999992E-2</v>
      </c>
      <c r="AK197" s="311">
        <f>AK194+'DB1'!$N$39</f>
        <v>9.9999999999999992E-2</v>
      </c>
      <c r="AL197" s="311">
        <f>AL194+'DB1'!$N$39</f>
        <v>9.9999999999999992E-2</v>
      </c>
      <c r="AM197" s="311">
        <f>AM194+'DB1'!$N$39</f>
        <v>9.9999999999999992E-2</v>
      </c>
      <c r="AN197" s="311">
        <f>AN194+'DB1'!$N$39</f>
        <v>9.9999999999999992E-2</v>
      </c>
      <c r="AO197" s="311">
        <f>AO194+'DB1'!$N$39</f>
        <v>9.9999999999999992E-2</v>
      </c>
      <c r="AP197" s="311">
        <f>AP194+'DB1'!$N$39</f>
        <v>9.9999999999999992E-2</v>
      </c>
      <c r="AQ197" s="311">
        <f>AQ194+'DB1'!$N$39</f>
        <v>9.9999999999999992E-2</v>
      </c>
      <c r="AR197" s="311">
        <f>AR194+'DB1'!$N$39</f>
        <v>9.9999999999999992E-2</v>
      </c>
      <c r="AS197" s="311">
        <f>AS194+'DB1'!$N$39</f>
        <v>9.9999999999999992E-2</v>
      </c>
      <c r="AT197" s="311">
        <f>AT194+'DB1'!$N$39</f>
        <v>9.9999999999999992E-2</v>
      </c>
      <c r="AU197" s="311">
        <f>AU194+'DB1'!$N$39</f>
        <v>9.9999999999999992E-2</v>
      </c>
      <c r="AV197" s="311">
        <f>AV194+'DB1'!$N$39</f>
        <v>9.9999999999999992E-2</v>
      </c>
      <c r="AW197" s="311">
        <f>AW194+'DB1'!$N$39</f>
        <v>9.9999999999999992E-2</v>
      </c>
      <c r="AX197" s="311">
        <f>AX194+'DB1'!$N$39</f>
        <v>9.9999999999999992E-2</v>
      </c>
      <c r="AY197" s="311">
        <f>AY194+'DB1'!$N$39</f>
        <v>9.9999999999999992E-2</v>
      </c>
      <c r="AZ197" s="311">
        <f>AZ194+'DB1'!$N$39</f>
        <v>9.9999999999999992E-2</v>
      </c>
      <c r="BA197" s="311">
        <f>BA194+'DB1'!$N$39</f>
        <v>9.9999999999999992E-2</v>
      </c>
      <c r="BB197" s="311">
        <f>BB194+'DB1'!$N$39</f>
        <v>9.9999999999999992E-2</v>
      </c>
      <c r="BC197" s="311">
        <f>BC194+'DB1'!$N$39</f>
        <v>9.9999999999999992E-2</v>
      </c>
      <c r="BD197" s="311">
        <f>BD194+'DB1'!$N$39</f>
        <v>9.9999999999999992E-2</v>
      </c>
      <c r="BE197" s="311">
        <f>BE194+'DB1'!$N$39</f>
        <v>9.9999999999999992E-2</v>
      </c>
      <c r="BF197" s="311">
        <f>BF194+'DB1'!$N$39</f>
        <v>9.9999999999999992E-2</v>
      </c>
      <c r="BG197" s="311">
        <f>BG194+'DB1'!$N$39</f>
        <v>9.9999999999999992E-2</v>
      </c>
      <c r="BH197" s="311">
        <f>BH194+'DB1'!$N$39</f>
        <v>9.9999999999999992E-2</v>
      </c>
      <c r="BI197" s="311">
        <f>BI194+'DB1'!$N$39</f>
        <v>9.9999999999999992E-2</v>
      </c>
      <c r="BJ197" s="311">
        <f>BJ194+'DB1'!$N$39</f>
        <v>9.9999999999999992E-2</v>
      </c>
      <c r="BK197" s="311">
        <f>BK194+'DB1'!$N$39</f>
        <v>9.9999999999999992E-2</v>
      </c>
      <c r="BL197" s="311">
        <f>BL194+'DB1'!$N$39</f>
        <v>9.9999999999999992E-2</v>
      </c>
      <c r="BM197" s="311">
        <f>BM194+'DB1'!$N$39</f>
        <v>9.9999999999999992E-2</v>
      </c>
      <c r="BN197" s="163"/>
      <c r="BO197" s="163"/>
      <c r="BP197" s="163"/>
    </row>
    <row r="198" spans="2:68" s="163" customFormat="1" ht="12.75" customHeight="1" collapsed="1">
      <c r="B198" s="169" t="s">
        <v>67</v>
      </c>
      <c r="C198" s="170"/>
      <c r="D198" s="171"/>
      <c r="E198" s="26"/>
      <c r="F198" s="389">
        <f>IFERROR((F189*'DB1'!$P$25+(F190-F189)*'CF1'!F$196)/F190,0)</f>
        <v>0</v>
      </c>
      <c r="G198" s="389">
        <f>IFERROR((G189*'DB1'!$P$25+(G190-G189)*'CF1'!G$196)/G190,0)</f>
        <v>0</v>
      </c>
      <c r="H198" s="389">
        <f>IFERROR((H189*'DB1'!$P$25+(H190-H189)*'CF1'!H$196)/H190,0)</f>
        <v>0</v>
      </c>
      <c r="I198" s="389">
        <f>IFERROR((I189*'DB1'!$P$25+(I190-I189)*'CF1'!I$196)/I190,0)</f>
        <v>0</v>
      </c>
      <c r="J198" s="389">
        <f>IFERROR((J189*'DB1'!$P$25+(J190-J189)*'CF1'!J$196)/J190,0)</f>
        <v>0</v>
      </c>
      <c r="K198" s="389">
        <f>IFERROR((K189*'DB1'!$P$25+(K190-K189)*'CF1'!K$196)/K190,0)</f>
        <v>0</v>
      </c>
      <c r="L198" s="389">
        <f>IFERROR((L189*'DB1'!$P$25+(L190-L189)*'CF1'!L$196)/L190,0)</f>
        <v>0</v>
      </c>
      <c r="M198" s="389">
        <f>IFERROR((M189*'DB1'!$P$25+(M190-M189)*'CF1'!M$196)/M190,0)</f>
        <v>0</v>
      </c>
      <c r="N198" s="562">
        <f>CF!N217</f>
        <v>0</v>
      </c>
      <c r="O198" s="562">
        <f>CF!O217</f>
        <v>0</v>
      </c>
      <c r="P198" s="562">
        <f>CF!P217</f>
        <v>0.22800000000000001</v>
      </c>
      <c r="Q198" s="562">
        <f>CF!Q217</f>
        <v>0.20800000000000002</v>
      </c>
      <c r="R198" s="562">
        <f>CF!R217</f>
        <v>0.188</v>
      </c>
      <c r="S198" s="562">
        <f>CF!S217</f>
        <v>0.16800000000000001</v>
      </c>
      <c r="T198" s="562">
        <f>CF!T217</f>
        <v>0.14491018059038688</v>
      </c>
      <c r="U198" s="562">
        <f>CF!U217</f>
        <v>0.12670550019614066</v>
      </c>
      <c r="V198" s="562">
        <f>CF!V217</f>
        <v>0.11296656514843154</v>
      </c>
      <c r="W198" s="562">
        <f>CF!W217</f>
        <v>0.10421621006847931</v>
      </c>
      <c r="X198" s="562">
        <f>CF!X217</f>
        <v>9.3643338621553746E-2</v>
      </c>
      <c r="Y198" s="562">
        <f>CF!Y217</f>
        <v>8.6656874020136429E-2</v>
      </c>
      <c r="Z198" s="562">
        <f>CF!Z217</f>
        <v>8.0844150601325729E-2</v>
      </c>
      <c r="AA198" s="562">
        <f>CF!AA217</f>
        <v>7.5113170048955957E-2</v>
      </c>
      <c r="AB198" s="562">
        <f>CF!AB217</f>
        <v>6.9825741906412414E-2</v>
      </c>
      <c r="AC198" s="562">
        <f>CF!AC217</f>
        <v>6.4563244954904953E-2</v>
      </c>
      <c r="AD198" s="562">
        <f>CF!AD217</f>
        <v>5.9174801007161132E-2</v>
      </c>
      <c r="AE198" s="562">
        <f>CF!AE217</f>
        <v>5.6936233954767192E-2</v>
      </c>
      <c r="AF198" s="562">
        <f>CF!AF217</f>
        <v>6.6564571721741447E-2</v>
      </c>
      <c r="AG198" s="562">
        <f>CF!AG217</f>
        <v>5.2959304940147618E-2</v>
      </c>
      <c r="AH198" s="562">
        <f>CF!AH217</f>
        <v>4.5497539117613964E-2</v>
      </c>
      <c r="AI198" s="562">
        <f>CF!AI217</f>
        <v>4.3361438116300867E-2</v>
      </c>
      <c r="AJ198" s="562">
        <f>CF!AJ217</f>
        <v>0.128</v>
      </c>
      <c r="AK198" s="562">
        <f>CF!AK217</f>
        <v>0.128</v>
      </c>
      <c r="AL198" s="562">
        <f>CF!AL217</f>
        <v>0.128</v>
      </c>
      <c r="AM198" s="562">
        <f>CF!AM217</f>
        <v>0.128</v>
      </c>
      <c r="AN198" s="562">
        <f>CF!AN217</f>
        <v>0.128</v>
      </c>
      <c r="AO198" s="562">
        <f>CF!AO217</f>
        <v>0.128</v>
      </c>
      <c r="AP198" s="562">
        <f>CF!AP217</f>
        <v>0.128</v>
      </c>
      <c r="AQ198" s="562">
        <f>CF!AQ217</f>
        <v>0.128</v>
      </c>
      <c r="AR198" s="562">
        <f>CF!AR217</f>
        <v>0.128</v>
      </c>
      <c r="AS198" s="562">
        <f>CF!AS217</f>
        <v>0.128</v>
      </c>
      <c r="AT198" s="562">
        <f>CF!AT217</f>
        <v>0.128</v>
      </c>
      <c r="AU198" s="562">
        <f>CF!AU217</f>
        <v>0.128</v>
      </c>
      <c r="AV198" s="562">
        <f>CF!AV217</f>
        <v>0.128</v>
      </c>
      <c r="AW198" s="562">
        <f>CF!AW217</f>
        <v>0.128</v>
      </c>
      <c r="AX198" s="562">
        <f>CF!AX217</f>
        <v>0.128</v>
      </c>
      <c r="AY198" s="562">
        <f>CF!AY217</f>
        <v>0.128</v>
      </c>
      <c r="AZ198" s="562">
        <f>CF!AZ217</f>
        <v>0.128</v>
      </c>
      <c r="BA198" s="562">
        <f>CF!BA217</f>
        <v>0.128</v>
      </c>
      <c r="BB198" s="562">
        <f>CF!BB217</f>
        <v>0.128</v>
      </c>
      <c r="BC198" s="562">
        <f>CF!BC217</f>
        <v>0.128</v>
      </c>
      <c r="BD198" s="562">
        <f>CF!BD217</f>
        <v>0.128</v>
      </c>
      <c r="BE198" s="562">
        <f>CF!BE217</f>
        <v>0.128</v>
      </c>
      <c r="BF198" s="562">
        <f>CF!BF217</f>
        <v>0.128</v>
      </c>
      <c r="BG198" s="562">
        <f>CF!BG217</f>
        <v>0.128</v>
      </c>
      <c r="BH198" s="562">
        <f>CF!BH217</f>
        <v>0.128</v>
      </c>
      <c r="BI198" s="562">
        <f>CF!BI217</f>
        <v>0.128</v>
      </c>
      <c r="BJ198" s="562">
        <f>CF!BJ217</f>
        <v>0.128</v>
      </c>
      <c r="BK198" s="562">
        <f>CF!BK217</f>
        <v>0.128</v>
      </c>
      <c r="BL198" s="562">
        <f>CF!BL217</f>
        <v>0.128</v>
      </c>
      <c r="BM198" s="562">
        <f>CF!BM217</f>
        <v>0.128</v>
      </c>
    </row>
    <row r="199" spans="2:68">
      <c r="AT199" s="173"/>
      <c r="AU199" s="173"/>
      <c r="AV199" s="173"/>
      <c r="AW199" s="173"/>
      <c r="AX199" s="173"/>
      <c r="AY199" s="173"/>
      <c r="AZ199" s="173"/>
      <c r="BA199" s="173"/>
      <c r="BB199" s="173"/>
      <c r="BC199" s="173"/>
      <c r="BD199" s="173"/>
      <c r="BE199" s="173"/>
      <c r="BF199" s="173"/>
      <c r="BG199" s="173"/>
      <c r="BH199" s="173"/>
      <c r="BI199" s="173"/>
      <c r="BJ199" s="173"/>
      <c r="BK199" s="173"/>
      <c r="BL199" s="173"/>
      <c r="BM199" s="173"/>
    </row>
    <row r="200" spans="2:68">
      <c r="AT200" s="173"/>
      <c r="AU200" s="173"/>
      <c r="AV200" s="173"/>
      <c r="AW200" s="173"/>
      <c r="AX200" s="173"/>
      <c r="AY200" s="173"/>
      <c r="AZ200" s="173"/>
      <c r="BA200" s="173"/>
      <c r="BB200" s="173"/>
      <c r="BC200" s="173"/>
      <c r="BD200" s="173"/>
      <c r="BE200" s="173"/>
      <c r="BF200" s="173"/>
      <c r="BG200" s="173"/>
      <c r="BH200" s="173"/>
      <c r="BI200" s="173"/>
      <c r="BJ200" s="173"/>
      <c r="BK200" s="173"/>
      <c r="BL200" s="173"/>
      <c r="BM200" s="173"/>
    </row>
    <row r="201" spans="2:68">
      <c r="AT201" s="173"/>
      <c r="AU201" s="173"/>
      <c r="AV201" s="173"/>
      <c r="AW201" s="173"/>
      <c r="AX201" s="173"/>
      <c r="AY201" s="173"/>
      <c r="AZ201" s="173"/>
      <c r="BA201" s="173"/>
      <c r="BB201" s="173"/>
      <c r="BC201" s="173"/>
      <c r="BD201" s="173"/>
      <c r="BE201" s="173"/>
      <c r="BF201" s="173"/>
      <c r="BG201" s="173"/>
      <c r="BH201" s="173"/>
      <c r="BI201" s="173"/>
      <c r="BJ201" s="173"/>
      <c r="BK201" s="173"/>
      <c r="BL201" s="173"/>
      <c r="BM201" s="173"/>
    </row>
    <row r="202" spans="2:68">
      <c r="AT202" s="173"/>
      <c r="AU202" s="173"/>
      <c r="AV202" s="173"/>
      <c r="AW202" s="173"/>
      <c r="AX202" s="173"/>
      <c r="AY202" s="173"/>
      <c r="AZ202" s="173"/>
      <c r="BA202" s="173"/>
      <c r="BB202" s="173"/>
      <c r="BC202" s="173"/>
      <c r="BD202" s="173"/>
      <c r="BE202" s="173"/>
      <c r="BF202" s="173"/>
      <c r="BG202" s="173"/>
      <c r="BH202" s="173"/>
      <c r="BI202" s="173"/>
      <c r="BJ202" s="173"/>
      <c r="BK202" s="173"/>
      <c r="BL202" s="173"/>
      <c r="BM202" s="173"/>
    </row>
    <row r="203" spans="2:68">
      <c r="K203" s="203"/>
      <c r="M203" s="204"/>
    </row>
    <row r="204" spans="2:68">
      <c r="K204" s="203"/>
    </row>
  </sheetData>
  <phoneticPr fontId="9" type="noConversion"/>
  <pageMargins left="0.25" right="0.25" top="0.75" bottom="0.75" header="0.3" footer="0.3"/>
  <pageSetup paperSize="9" scale="55" orientation="landscape" r:id="rId1"/>
  <colBreaks count="1" manualBreakCount="1">
    <brk id="2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407E-670E-497B-B7F3-D1D950F9711F}">
  <sheetPr>
    <tabColor rgb="FF8158EF"/>
    <pageSetUpPr autoPageBreaks="0" fitToPage="1"/>
  </sheetPr>
  <dimension ref="A2:BP204"/>
  <sheetViews>
    <sheetView showGridLines="0" showZeros="0" zoomScale="90" zoomScaleNormal="90" workbookViewId="0">
      <pane xSplit="5" ySplit="6" topLeftCell="F7" activePane="bottomRight" state="frozen"/>
      <selection activeCell="AF28" sqref="AF28"/>
      <selection pane="topRight" activeCell="AF28" sqref="AF28"/>
      <selection pane="bottomLeft" activeCell="AF28" sqref="AF28"/>
      <selection pane="bottomRight" activeCell="AF28" sqref="AF28"/>
    </sheetView>
  </sheetViews>
  <sheetFormatPr baseColWidth="10" defaultColWidth="9.1640625" defaultRowHeight="14" outlineLevelRow="1"/>
  <cols>
    <col min="1" max="1" width="6.6640625" style="23" customWidth="1"/>
    <col min="2" max="2" width="13.6640625" style="23" customWidth="1"/>
    <col min="3" max="3" width="16.33203125" style="23" customWidth="1"/>
    <col min="4" max="4" width="8.6640625" style="128" customWidth="1"/>
    <col min="5" max="5" width="8.6640625" style="124" customWidth="1"/>
    <col min="6" max="65" width="9.6640625" style="23" customWidth="1"/>
    <col min="66" max="16384" width="9.1640625" style="23"/>
  </cols>
  <sheetData>
    <row r="2" spans="2:65" s="124" customFormat="1" ht="16">
      <c r="B2" s="201" t="s">
        <v>8</v>
      </c>
      <c r="C2" s="422" t="s">
        <v>144</v>
      </c>
      <c r="D2" s="554">
        <v>2</v>
      </c>
      <c r="F2" s="127"/>
    </row>
    <row r="3" spans="2:65">
      <c r="F3" s="129" t="str">
        <f>IF((EOMONTH(F5,-3)+1)='DB2'!$U$25,"РнС",IF('CF2'!F5='DB2'!$U$27,"РнВ",""))</f>
        <v/>
      </c>
      <c r="G3" s="129" t="str">
        <f>IF((EOMONTH(G5,-3)+1)='DB2'!$U$25,"РнС",IF('CF2'!G5='DB2'!$U$27,"РнВ",""))</f>
        <v/>
      </c>
      <c r="H3" s="129" t="str">
        <f>IF((EOMONTH(H5,-3)+1)='DB2'!$U$25,"РнС",IF('CF2'!H5='DB2'!$U$27,"РнВ",""))</f>
        <v/>
      </c>
      <c r="I3" s="129" t="str">
        <f>IF((EOMONTH(I5,-3)+1)='DB2'!$U$25,"РнС",IF('CF2'!I5='DB2'!$U$27,"РнВ",""))</f>
        <v/>
      </c>
      <c r="J3" s="129" t="str">
        <f>IF((EOMONTH(J5,-3)+1)='DB2'!$U$25,"РнС",IF('CF2'!J5='DB2'!$U$27,"РнВ",""))</f>
        <v/>
      </c>
      <c r="K3" s="129" t="str">
        <f>IF((EOMONTH(K5,-3)+1)='DB2'!$U$25,"РнС",IF('CF2'!K5='DB2'!$U$27,"РнВ",""))</f>
        <v/>
      </c>
      <c r="L3" s="129" t="str">
        <f>IF((EOMONTH(L5,-3)+1)='DB2'!$U$25,"РнС",IF('CF2'!L5='DB2'!$U$27,"РнВ",""))</f>
        <v/>
      </c>
      <c r="M3" s="129" t="str">
        <f>IF((EOMONTH(M5,-3)+1)='DB2'!$U$25,"РнС",IF('CF2'!M5='DB2'!$U$27,"РнВ",""))</f>
        <v/>
      </c>
      <c r="N3" s="129" t="str">
        <f>IF((EOMONTH(N5,-3)+1)='DB2'!$U$25,"РнС",IF('CF2'!N5='DB2'!$U$27,"РнВ",""))</f>
        <v/>
      </c>
      <c r="O3" s="129" t="str">
        <f>IF((EOMONTH(O5,-3)+1)='DB2'!$U$25,"РнС",IF('CF2'!O5='DB2'!$U$27,"РнВ",""))</f>
        <v/>
      </c>
      <c r="P3" s="129" t="str">
        <f>IF((EOMONTH(P5,-3)+1)='DB2'!$U$25,"РнС",IF('CF2'!P5='DB2'!$U$27,"РнВ",""))</f>
        <v/>
      </c>
      <c r="Q3" s="129" t="str">
        <f>IF((EOMONTH(Q5,-3)+1)='DB2'!$U$25,"РнС",IF('CF2'!Q5='DB2'!$U$27,"РнВ",""))</f>
        <v/>
      </c>
      <c r="R3" s="129" t="str">
        <f>IF((EOMONTH(R5,-3)+1)='DB2'!$U$25,"РнС",IF('CF2'!R5='DB2'!$U$27,"РнВ",""))</f>
        <v/>
      </c>
      <c r="S3" s="129" t="str">
        <f>IF((EOMONTH(S5,-3)+1)='DB2'!$U$25,"РнС",IF('CF2'!S5='DB2'!$U$27,"РнВ",""))</f>
        <v/>
      </c>
      <c r="T3" s="129" t="str">
        <f>IF((EOMONTH(T5,-3)+1)='DB2'!$U$25,"РнС",IF('CF2'!T5='DB2'!$U$27,"РнВ",""))</f>
        <v/>
      </c>
      <c r="U3" s="129" t="str">
        <f>IF((EOMONTH(U5,-3)+1)='DB2'!$U$25,"РнС",IF('CF2'!U5='DB2'!$U$27,"РнВ",""))</f>
        <v/>
      </c>
      <c r="V3" s="129" t="str">
        <f>IF((EOMONTH(V5,-3)+1)='DB2'!$U$25,"РнС",IF('CF2'!V5='DB2'!$U$27,"РнВ",""))</f>
        <v/>
      </c>
      <c r="W3" s="129" t="str">
        <f>IF((EOMONTH(W5,-3)+1)='DB2'!$U$25,"РнС",IF('CF2'!W5='DB2'!$U$27,"РнВ",""))</f>
        <v/>
      </c>
      <c r="X3" s="129" t="str">
        <f>IF((EOMONTH(X5,-3)+1)='DB2'!$U$25,"РнС",IF('CF2'!X5='DB2'!$U$27,"РнВ",""))</f>
        <v>РнС</v>
      </c>
      <c r="Y3" s="129" t="str">
        <f>IF((EOMONTH(Y5,-3)+1)='DB2'!$U$25,"РнС",IF('CF2'!Y5='DB2'!$U$27,"РнВ",""))</f>
        <v/>
      </c>
      <c r="Z3" s="129" t="str">
        <f>IF((EOMONTH(Z5,-3)+1)='DB2'!$U$25,"РнС",IF('CF2'!Z5='DB2'!$U$27,"РнВ",""))</f>
        <v/>
      </c>
      <c r="AA3" s="129" t="str">
        <f>IF((EOMONTH(AA5,-3)+1)='DB2'!$U$25,"РнС",IF('CF2'!AA5='DB2'!$U$27,"РнВ",""))</f>
        <v/>
      </c>
      <c r="AB3" s="129" t="str">
        <f>IF((EOMONTH(AB5,-3)+1)='DB2'!$U$25,"РнС",IF('CF2'!AB5='DB2'!$U$27,"РнВ",""))</f>
        <v/>
      </c>
      <c r="AC3" s="129" t="str">
        <f>IF((EOMONTH(AC5,-3)+1)='DB2'!$U$25,"РнС",IF('CF2'!AC5='DB2'!$U$27,"РнВ",""))</f>
        <v/>
      </c>
      <c r="AD3" s="129" t="str">
        <f>IF((EOMONTH(AD5,-3)+1)='DB2'!$U$25,"РнС",IF('CF2'!AD5='DB2'!$U$27,"РнВ",""))</f>
        <v/>
      </c>
      <c r="AE3" s="129" t="str">
        <f>IF((EOMONTH(AE5,-3)+1)='DB2'!$U$25,"РнС",IF('CF2'!AE5='DB2'!$U$27,"РнВ",""))</f>
        <v/>
      </c>
      <c r="AF3" s="129" t="str">
        <f>IF((EOMONTH(AF5,-3)+1)='DB2'!$U$25,"РнС",IF('CF2'!AF5='DB2'!$U$27,"РнВ",""))</f>
        <v/>
      </c>
      <c r="AG3" s="129" t="str">
        <f>IF((EOMONTH(AG5,-3)+1)='DB2'!$U$25,"РнС",IF('CF2'!AG5='DB2'!$U$27,"РнВ",""))</f>
        <v/>
      </c>
      <c r="AH3" s="129" t="str">
        <f>IF((EOMONTH(AH5,-3)+1)='DB2'!$U$25,"РнС",IF('CF2'!AH5='DB2'!$U$27,"РнВ",""))</f>
        <v/>
      </c>
      <c r="AI3" s="129" t="str">
        <f>IF((EOMONTH(AI5,-3)+1)='DB2'!$U$25,"РнС",IF('CF2'!AI5='DB2'!$U$27,"РнВ",""))</f>
        <v>РнВ</v>
      </c>
      <c r="AJ3" s="129" t="str">
        <f>IF((EOMONTH(AJ5,-3)+1)='DB2'!$U$25,"РнС",IF('CF2'!AJ5='DB2'!$U$27,"РнВ",""))</f>
        <v/>
      </c>
      <c r="AK3" s="129" t="str">
        <f>IF((EOMONTH(AK5,-3)+1)='DB2'!$U$25,"РнС",IF('CF2'!AK5='DB2'!$U$27,"РнВ",""))</f>
        <v/>
      </c>
      <c r="AL3" s="129" t="str">
        <f>IF((EOMONTH(AL5,-3)+1)='DB2'!$U$25,"РнС",IF('CF2'!AL5='DB2'!$U$27,"РнВ",""))</f>
        <v/>
      </c>
      <c r="AM3" s="129" t="str">
        <f>IF((EOMONTH(AM5,-3)+1)='DB2'!$U$25,"РнС",IF('CF2'!AM5='DB2'!$U$27,"РнВ",""))</f>
        <v/>
      </c>
      <c r="AN3" s="129" t="str">
        <f>IF((EOMONTH(AN5,-3)+1)='DB2'!$U$25,"РнС",IF('CF2'!AN5='DB2'!$U$27,"РнВ",""))</f>
        <v/>
      </c>
      <c r="AO3" s="129" t="str">
        <f>IF((EOMONTH(AO5,-3)+1)='DB2'!$U$25,"РнС",IF('CF2'!AO5='DB2'!$U$27,"РнВ",""))</f>
        <v/>
      </c>
      <c r="AP3" s="129" t="str">
        <f>IF((EOMONTH(AP5,-3)+1)='DB2'!$U$25,"РнС",IF('CF2'!AP5='DB2'!$U$27,"РнВ",""))</f>
        <v/>
      </c>
      <c r="AQ3" s="129" t="str">
        <f>IF((EOMONTH(AQ5,-3)+1)='DB2'!$U$25,"РнС",IF('CF2'!AQ5='DB2'!$U$27,"РнВ",""))</f>
        <v/>
      </c>
      <c r="AR3" s="129" t="str">
        <f>IF((EOMONTH(AR5,-3)+1)='DB2'!$U$25,"РнС",IF('CF2'!AR5='DB2'!$U$27,"РнВ",""))</f>
        <v/>
      </c>
      <c r="AS3" s="129" t="str">
        <f>IF((EOMONTH(AS5,-3)+1)='DB2'!$U$25,"РнС",IF('CF2'!AS5='DB2'!$U$27,"РнВ",""))</f>
        <v/>
      </c>
      <c r="AT3" s="129" t="str">
        <f>IF((EOMONTH(AT5,-3)+1)='DB2'!$U$25,"РнС",IF('CF2'!AT5='DB2'!$U$27,"РнВ",""))</f>
        <v/>
      </c>
      <c r="AU3" s="129" t="str">
        <f>IF((EOMONTH(AU5,-3)+1)='DB2'!$U$25,"РнС",IF('CF2'!AU5='DB2'!$U$27,"РнВ",""))</f>
        <v/>
      </c>
      <c r="AV3" s="129" t="str">
        <f>IF((EOMONTH(AV5,-3)+1)='DB2'!$U$25,"РнС",IF('CF2'!AV5='DB2'!$U$27,"РнВ",""))</f>
        <v/>
      </c>
      <c r="AW3" s="129" t="str">
        <f>IF((EOMONTH(AW5,-3)+1)='DB2'!$U$25,"РнС",IF('CF2'!AW5='DB2'!$U$27,"РнВ",""))</f>
        <v/>
      </c>
      <c r="AX3" s="129" t="str">
        <f>IF((EOMONTH(AX5,-3)+1)='DB2'!$U$25,"РнС",IF('CF2'!AX5='DB2'!$U$27,"РнВ",""))</f>
        <v/>
      </c>
      <c r="AY3" s="129" t="str">
        <f>IF((EOMONTH(AY5,-3)+1)='DB2'!$U$25,"РнС",IF('CF2'!AY5='DB2'!$U$27,"РнВ",""))</f>
        <v/>
      </c>
      <c r="AZ3" s="129" t="str">
        <f>IF((EOMONTH(AZ5,-3)+1)='DB2'!$U$25,"РнС",IF('CF2'!AZ5='DB2'!$U$27,"РнВ",""))</f>
        <v/>
      </c>
      <c r="BA3" s="129" t="str">
        <f>IF((EOMONTH(BA5,-3)+1)='DB2'!$U$25,"РнС",IF('CF2'!BA5='DB2'!$U$27,"РнВ",""))</f>
        <v/>
      </c>
      <c r="BB3" s="129" t="str">
        <f>IF((EOMONTH(BB5,-3)+1)='DB2'!$U$25,"РнС",IF('CF2'!BB5='DB2'!$U$27,"РнВ",""))</f>
        <v/>
      </c>
      <c r="BC3" s="129" t="str">
        <f>IF((EOMONTH(BC5,-3)+1)='DB2'!$U$25,"РнС",IF('CF2'!BC5='DB2'!$U$27,"РнВ",""))</f>
        <v/>
      </c>
      <c r="BD3" s="129" t="str">
        <f>IF((EOMONTH(BD5,-3)+1)='DB2'!$U$25,"РнС",IF('CF2'!BD5='DB2'!$U$27,"РнВ",""))</f>
        <v/>
      </c>
      <c r="BE3" s="129" t="str">
        <f>IF((EOMONTH(BE5,-3)+1)='DB2'!$U$25,"РнС",IF('CF2'!BE5='DB2'!$U$27,"РнВ",""))</f>
        <v/>
      </c>
      <c r="BF3" s="129" t="str">
        <f>IF((EOMONTH(BF5,-3)+1)='DB2'!$U$25,"РнС",IF('CF2'!BF5='DB2'!$U$27,"РнВ",""))</f>
        <v/>
      </c>
      <c r="BG3" s="129" t="str">
        <f>IF((EOMONTH(BG5,-3)+1)='DB2'!$U$25,"РнС",IF('CF2'!BG5='DB2'!$U$27,"РнВ",""))</f>
        <v/>
      </c>
      <c r="BH3" s="129" t="str">
        <f>IF((EOMONTH(BH5,-3)+1)='DB2'!$U$25,"РнС",IF('CF2'!BH5='DB2'!$U$27,"РнВ",""))</f>
        <v/>
      </c>
      <c r="BI3" s="129" t="str">
        <f>IF((EOMONTH(BI5,-3)+1)='DB2'!$U$25,"РнС",IF('CF2'!BI5='DB2'!$U$27,"РнВ",""))</f>
        <v/>
      </c>
      <c r="BJ3" s="129" t="str">
        <f>IF((EOMONTH(BJ5,-3)+1)='DB2'!$U$25,"РнС",IF('CF2'!BJ5='DB2'!$U$27,"РнВ",""))</f>
        <v/>
      </c>
      <c r="BK3" s="129" t="str">
        <f>IF((EOMONTH(BK5,-3)+1)='DB2'!$U$25,"РнС",IF('CF2'!BK5='DB2'!$U$27,"РнВ",""))</f>
        <v/>
      </c>
      <c r="BL3" s="129" t="str">
        <f>IF((EOMONTH(BL5,-3)+1)='DB2'!$U$25,"РнС",IF('CF2'!BL5='DB2'!$U$27,"РнВ",""))</f>
        <v/>
      </c>
      <c r="BM3" s="129" t="str">
        <f>IF((EOMONTH(BM5,-3)+1)='DB2'!$U$25,"РнС",IF('CF2'!BM5='DB2'!$U$27,"РнВ",""))</f>
        <v/>
      </c>
    </row>
    <row r="4" spans="2:65">
      <c r="F4" s="695" t="str">
        <f>DETAILS!K3</f>
        <v>ФАКТ</v>
      </c>
      <c r="G4" s="695" t="str">
        <f>DETAILS!L3</f>
        <v>ФАКТ</v>
      </c>
      <c r="H4" s="695" t="str">
        <f>DETAILS!M3</f>
        <v>ФАКТ</v>
      </c>
      <c r="I4" s="695" t="str">
        <f>DETAILS!N3</f>
        <v>ФАКТ</v>
      </c>
      <c r="J4" s="695" t="str">
        <f>DETAILS!O3</f>
        <v>ФАКТ</v>
      </c>
      <c r="K4" s="695" t="str">
        <f>DETAILS!P3</f>
        <v>ФАКТ</v>
      </c>
      <c r="L4" s="695" t="str">
        <f>DETAILS!Q3</f>
        <v>ФАКТ</v>
      </c>
      <c r="M4" s="695" t="str">
        <f>DETAILS!R3</f>
        <v>ФАКТ</v>
      </c>
    </row>
    <row r="5" spans="2:65">
      <c r="B5" s="174" t="s">
        <v>111</v>
      </c>
      <c r="C5" s="175"/>
      <c r="D5" s="175"/>
      <c r="E5" s="175" t="s">
        <v>1</v>
      </c>
      <c r="F5" s="176">
        <f>EOMONTH('DB2'!$U$22,2)</f>
        <v>45107</v>
      </c>
      <c r="G5" s="176">
        <f t="shared" ref="G5:BM5" si="0">EOMONTH(F5,3)</f>
        <v>45199</v>
      </c>
      <c r="H5" s="176">
        <f t="shared" si="0"/>
        <v>45291</v>
      </c>
      <c r="I5" s="176">
        <f t="shared" si="0"/>
        <v>45382</v>
      </c>
      <c r="J5" s="176">
        <f t="shared" si="0"/>
        <v>45473</v>
      </c>
      <c r="K5" s="176">
        <f t="shared" si="0"/>
        <v>45565</v>
      </c>
      <c r="L5" s="176">
        <f t="shared" si="0"/>
        <v>45657</v>
      </c>
      <c r="M5" s="176">
        <f t="shared" si="0"/>
        <v>45747</v>
      </c>
      <c r="N5" s="176">
        <f t="shared" si="0"/>
        <v>45838</v>
      </c>
      <c r="O5" s="176">
        <f t="shared" si="0"/>
        <v>45930</v>
      </c>
      <c r="P5" s="176">
        <f t="shared" si="0"/>
        <v>46022</v>
      </c>
      <c r="Q5" s="176">
        <f t="shared" si="0"/>
        <v>46112</v>
      </c>
      <c r="R5" s="176">
        <f t="shared" si="0"/>
        <v>46203</v>
      </c>
      <c r="S5" s="176">
        <f t="shared" si="0"/>
        <v>46295</v>
      </c>
      <c r="T5" s="176">
        <f t="shared" si="0"/>
        <v>46387</v>
      </c>
      <c r="U5" s="176">
        <f t="shared" si="0"/>
        <v>46477</v>
      </c>
      <c r="V5" s="176">
        <f t="shared" si="0"/>
        <v>46568</v>
      </c>
      <c r="W5" s="176">
        <f t="shared" si="0"/>
        <v>46660</v>
      </c>
      <c r="X5" s="176">
        <f t="shared" si="0"/>
        <v>46752</v>
      </c>
      <c r="Y5" s="176">
        <f t="shared" si="0"/>
        <v>46843</v>
      </c>
      <c r="Z5" s="176">
        <f t="shared" si="0"/>
        <v>46934</v>
      </c>
      <c r="AA5" s="176">
        <f t="shared" si="0"/>
        <v>47026</v>
      </c>
      <c r="AB5" s="176">
        <f t="shared" si="0"/>
        <v>47118</v>
      </c>
      <c r="AC5" s="176">
        <f t="shared" si="0"/>
        <v>47208</v>
      </c>
      <c r="AD5" s="176">
        <f t="shared" si="0"/>
        <v>47299</v>
      </c>
      <c r="AE5" s="176">
        <f t="shared" si="0"/>
        <v>47391</v>
      </c>
      <c r="AF5" s="176">
        <f t="shared" si="0"/>
        <v>47483</v>
      </c>
      <c r="AG5" s="176">
        <f t="shared" si="0"/>
        <v>47573</v>
      </c>
      <c r="AH5" s="176">
        <f t="shared" si="0"/>
        <v>47664</v>
      </c>
      <c r="AI5" s="176">
        <f t="shared" si="0"/>
        <v>47756</v>
      </c>
      <c r="AJ5" s="176">
        <f t="shared" si="0"/>
        <v>47848</v>
      </c>
      <c r="AK5" s="176">
        <f t="shared" si="0"/>
        <v>47938</v>
      </c>
      <c r="AL5" s="176">
        <f t="shared" si="0"/>
        <v>48029</v>
      </c>
      <c r="AM5" s="176">
        <f t="shared" si="0"/>
        <v>48121</v>
      </c>
      <c r="AN5" s="176">
        <f t="shared" si="0"/>
        <v>48213</v>
      </c>
      <c r="AO5" s="176">
        <f t="shared" si="0"/>
        <v>48304</v>
      </c>
      <c r="AP5" s="176">
        <f t="shared" si="0"/>
        <v>48395</v>
      </c>
      <c r="AQ5" s="176">
        <f t="shared" si="0"/>
        <v>48487</v>
      </c>
      <c r="AR5" s="176">
        <f t="shared" si="0"/>
        <v>48579</v>
      </c>
      <c r="AS5" s="176">
        <f t="shared" si="0"/>
        <v>48669</v>
      </c>
      <c r="AT5" s="176">
        <f t="shared" si="0"/>
        <v>48760</v>
      </c>
      <c r="AU5" s="176">
        <f t="shared" si="0"/>
        <v>48852</v>
      </c>
      <c r="AV5" s="176">
        <f t="shared" si="0"/>
        <v>48944</v>
      </c>
      <c r="AW5" s="176">
        <f t="shared" si="0"/>
        <v>49034</v>
      </c>
      <c r="AX5" s="176">
        <f t="shared" si="0"/>
        <v>49125</v>
      </c>
      <c r="AY5" s="176">
        <f t="shared" si="0"/>
        <v>49217</v>
      </c>
      <c r="AZ5" s="176">
        <f t="shared" si="0"/>
        <v>49309</v>
      </c>
      <c r="BA5" s="176">
        <f t="shared" si="0"/>
        <v>49399</v>
      </c>
      <c r="BB5" s="176">
        <f t="shared" si="0"/>
        <v>49490</v>
      </c>
      <c r="BC5" s="176">
        <f t="shared" si="0"/>
        <v>49582</v>
      </c>
      <c r="BD5" s="176">
        <f t="shared" si="0"/>
        <v>49674</v>
      </c>
      <c r="BE5" s="176">
        <f t="shared" si="0"/>
        <v>49765</v>
      </c>
      <c r="BF5" s="176">
        <f t="shared" si="0"/>
        <v>49856</v>
      </c>
      <c r="BG5" s="176">
        <f t="shared" si="0"/>
        <v>49948</v>
      </c>
      <c r="BH5" s="176">
        <f t="shared" si="0"/>
        <v>50040</v>
      </c>
      <c r="BI5" s="176">
        <f t="shared" si="0"/>
        <v>50130</v>
      </c>
      <c r="BJ5" s="176">
        <f t="shared" si="0"/>
        <v>50221</v>
      </c>
      <c r="BK5" s="176">
        <f t="shared" si="0"/>
        <v>50313</v>
      </c>
      <c r="BL5" s="176">
        <f t="shared" si="0"/>
        <v>50405</v>
      </c>
      <c r="BM5" s="176">
        <f t="shared" si="0"/>
        <v>50495</v>
      </c>
    </row>
    <row r="6" spans="2:65">
      <c r="B6" s="174"/>
      <c r="C6" s="175"/>
      <c r="D6" s="175"/>
      <c r="E6" s="175"/>
      <c r="F6" s="176" t="str">
        <f t="shared" ref="F6:BM6" si="1">CONCATENATE(IF(MONTH(F5)&lt;=3,"1",IF(MONTH(F5)&lt;=6,"2",IF(MONTH(F5)&lt;=9,"3","4"))),"Q",YEAR(F5))</f>
        <v>2Q2023</v>
      </c>
      <c r="G6" s="176" t="str">
        <f t="shared" si="1"/>
        <v>3Q2023</v>
      </c>
      <c r="H6" s="176" t="str">
        <f t="shared" si="1"/>
        <v>4Q2023</v>
      </c>
      <c r="I6" s="176" t="str">
        <f t="shared" si="1"/>
        <v>1Q2024</v>
      </c>
      <c r="J6" s="176" t="str">
        <f t="shared" si="1"/>
        <v>2Q2024</v>
      </c>
      <c r="K6" s="176" t="str">
        <f t="shared" si="1"/>
        <v>3Q2024</v>
      </c>
      <c r="L6" s="176" t="str">
        <f t="shared" si="1"/>
        <v>4Q2024</v>
      </c>
      <c r="M6" s="176" t="str">
        <f t="shared" si="1"/>
        <v>1Q2025</v>
      </c>
      <c r="N6" s="176" t="str">
        <f t="shared" si="1"/>
        <v>2Q2025</v>
      </c>
      <c r="O6" s="176" t="str">
        <f t="shared" si="1"/>
        <v>3Q2025</v>
      </c>
      <c r="P6" s="176" t="str">
        <f t="shared" si="1"/>
        <v>4Q2025</v>
      </c>
      <c r="Q6" s="176" t="str">
        <f t="shared" si="1"/>
        <v>1Q2026</v>
      </c>
      <c r="R6" s="176" t="str">
        <f t="shared" si="1"/>
        <v>2Q2026</v>
      </c>
      <c r="S6" s="176" t="str">
        <f t="shared" si="1"/>
        <v>3Q2026</v>
      </c>
      <c r="T6" s="176" t="str">
        <f t="shared" si="1"/>
        <v>4Q2026</v>
      </c>
      <c r="U6" s="176" t="str">
        <f t="shared" si="1"/>
        <v>1Q2027</v>
      </c>
      <c r="V6" s="176" t="str">
        <f t="shared" si="1"/>
        <v>2Q2027</v>
      </c>
      <c r="W6" s="176" t="str">
        <f t="shared" si="1"/>
        <v>3Q2027</v>
      </c>
      <c r="X6" s="176" t="str">
        <f t="shared" si="1"/>
        <v>4Q2027</v>
      </c>
      <c r="Y6" s="176" t="str">
        <f t="shared" si="1"/>
        <v>1Q2028</v>
      </c>
      <c r="Z6" s="176" t="str">
        <f t="shared" si="1"/>
        <v>2Q2028</v>
      </c>
      <c r="AA6" s="176" t="str">
        <f t="shared" si="1"/>
        <v>3Q2028</v>
      </c>
      <c r="AB6" s="176" t="str">
        <f t="shared" si="1"/>
        <v>4Q2028</v>
      </c>
      <c r="AC6" s="176" t="str">
        <f t="shared" si="1"/>
        <v>1Q2029</v>
      </c>
      <c r="AD6" s="176" t="str">
        <f t="shared" si="1"/>
        <v>2Q2029</v>
      </c>
      <c r="AE6" s="176" t="str">
        <f t="shared" si="1"/>
        <v>3Q2029</v>
      </c>
      <c r="AF6" s="176" t="str">
        <f t="shared" si="1"/>
        <v>4Q2029</v>
      </c>
      <c r="AG6" s="176" t="str">
        <f t="shared" si="1"/>
        <v>1Q2030</v>
      </c>
      <c r="AH6" s="176" t="str">
        <f t="shared" si="1"/>
        <v>2Q2030</v>
      </c>
      <c r="AI6" s="176" t="str">
        <f t="shared" si="1"/>
        <v>3Q2030</v>
      </c>
      <c r="AJ6" s="176" t="str">
        <f t="shared" si="1"/>
        <v>4Q2030</v>
      </c>
      <c r="AK6" s="176" t="str">
        <f t="shared" si="1"/>
        <v>1Q2031</v>
      </c>
      <c r="AL6" s="176" t="str">
        <f t="shared" si="1"/>
        <v>2Q2031</v>
      </c>
      <c r="AM6" s="176" t="str">
        <f t="shared" si="1"/>
        <v>3Q2031</v>
      </c>
      <c r="AN6" s="176" t="str">
        <f t="shared" si="1"/>
        <v>4Q2031</v>
      </c>
      <c r="AO6" s="176" t="str">
        <f t="shared" si="1"/>
        <v>1Q2032</v>
      </c>
      <c r="AP6" s="176" t="str">
        <f t="shared" si="1"/>
        <v>2Q2032</v>
      </c>
      <c r="AQ6" s="176" t="str">
        <f t="shared" si="1"/>
        <v>3Q2032</v>
      </c>
      <c r="AR6" s="176" t="str">
        <f t="shared" si="1"/>
        <v>4Q2032</v>
      </c>
      <c r="AS6" s="176" t="str">
        <f t="shared" si="1"/>
        <v>1Q2033</v>
      </c>
      <c r="AT6" s="176" t="str">
        <f t="shared" si="1"/>
        <v>2Q2033</v>
      </c>
      <c r="AU6" s="176" t="str">
        <f t="shared" si="1"/>
        <v>3Q2033</v>
      </c>
      <c r="AV6" s="176" t="str">
        <f t="shared" si="1"/>
        <v>4Q2033</v>
      </c>
      <c r="AW6" s="176" t="str">
        <f t="shared" si="1"/>
        <v>1Q2034</v>
      </c>
      <c r="AX6" s="176" t="str">
        <f t="shared" si="1"/>
        <v>2Q2034</v>
      </c>
      <c r="AY6" s="176" t="str">
        <f t="shared" si="1"/>
        <v>3Q2034</v>
      </c>
      <c r="AZ6" s="176" t="str">
        <f t="shared" si="1"/>
        <v>4Q2034</v>
      </c>
      <c r="BA6" s="176" t="str">
        <f t="shared" si="1"/>
        <v>1Q2035</v>
      </c>
      <c r="BB6" s="176" t="str">
        <f t="shared" si="1"/>
        <v>2Q2035</v>
      </c>
      <c r="BC6" s="176" t="str">
        <f t="shared" si="1"/>
        <v>3Q2035</v>
      </c>
      <c r="BD6" s="176" t="str">
        <f t="shared" si="1"/>
        <v>4Q2035</v>
      </c>
      <c r="BE6" s="176" t="str">
        <f t="shared" si="1"/>
        <v>1Q2036</v>
      </c>
      <c r="BF6" s="176" t="str">
        <f t="shared" si="1"/>
        <v>2Q2036</v>
      </c>
      <c r="BG6" s="176" t="str">
        <f t="shared" si="1"/>
        <v>3Q2036</v>
      </c>
      <c r="BH6" s="176" t="str">
        <f t="shared" si="1"/>
        <v>4Q2036</v>
      </c>
      <c r="BI6" s="176" t="str">
        <f t="shared" si="1"/>
        <v>1Q2037</v>
      </c>
      <c r="BJ6" s="176" t="str">
        <f t="shared" si="1"/>
        <v>2Q2037</v>
      </c>
      <c r="BK6" s="176" t="str">
        <f t="shared" si="1"/>
        <v>3Q2037</v>
      </c>
      <c r="BL6" s="176" t="str">
        <f t="shared" si="1"/>
        <v>4Q2037</v>
      </c>
      <c r="BM6" s="176" t="str">
        <f t="shared" si="1"/>
        <v>1Q2038</v>
      </c>
    </row>
    <row r="7" spans="2:65" s="163" customFormat="1" outlineLevel="1">
      <c r="B7" s="293" t="s">
        <v>27</v>
      </c>
      <c r="C7" s="293"/>
      <c r="D7" s="294" t="s">
        <v>22</v>
      </c>
      <c r="E7" s="295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6"/>
      <c r="AX7" s="296"/>
      <c r="AY7" s="296"/>
      <c r="AZ7" s="296"/>
      <c r="BA7" s="296"/>
      <c r="BB7" s="296"/>
      <c r="BC7" s="296"/>
      <c r="BD7" s="296"/>
      <c r="BE7" s="296"/>
      <c r="BF7" s="296"/>
      <c r="BG7" s="296"/>
      <c r="BH7" s="296"/>
      <c r="BI7" s="296"/>
      <c r="BJ7" s="296"/>
      <c r="BK7" s="296"/>
      <c r="BL7" s="296"/>
      <c r="BM7" s="296"/>
    </row>
    <row r="8" spans="2:65" outlineLevel="1">
      <c r="B8" s="130" t="str">
        <f>'DB2'!B8</f>
        <v>КВАРТИРЫ</v>
      </c>
      <c r="C8" s="28"/>
      <c r="D8" s="131" t="s">
        <v>22</v>
      </c>
      <c r="E8" s="132">
        <f t="shared" ref="E8:E14" si="2">SUM(F8:BM8)</f>
        <v>50877.342600000004</v>
      </c>
      <c r="F8" s="551">
        <f>'TS2'!F40</f>
        <v>0</v>
      </c>
      <c r="G8" s="551">
        <f>'TS2'!G40</f>
        <v>0</v>
      </c>
      <c r="H8" s="551">
        <f>'TS2'!H40</f>
        <v>0</v>
      </c>
      <c r="I8" s="551">
        <f>'TS2'!I40</f>
        <v>0</v>
      </c>
      <c r="J8" s="551">
        <f>'TS2'!J40</f>
        <v>0</v>
      </c>
      <c r="K8" s="551">
        <f>'TS2'!K40</f>
        <v>0</v>
      </c>
      <c r="L8" s="551">
        <f>'TS2'!L40</f>
        <v>0</v>
      </c>
      <c r="M8" s="551">
        <f>'TS2'!M40</f>
        <v>0</v>
      </c>
      <c r="N8" s="133">
        <f>'TS2'!N40</f>
        <v>0</v>
      </c>
      <c r="O8" s="133">
        <f>'TS2'!O40</f>
        <v>0</v>
      </c>
      <c r="P8" s="133">
        <f>'TS2'!P40</f>
        <v>0</v>
      </c>
      <c r="Q8" s="133">
        <f>'TS2'!Q40</f>
        <v>0</v>
      </c>
      <c r="R8" s="133">
        <f>'TS2'!R40</f>
        <v>0</v>
      </c>
      <c r="S8" s="133">
        <f>'TS2'!S40</f>
        <v>0</v>
      </c>
      <c r="T8" s="133">
        <f>'TS2'!T40</f>
        <v>0</v>
      </c>
      <c r="U8" s="133">
        <f>'TS2'!U40</f>
        <v>0</v>
      </c>
      <c r="V8" s="133">
        <f>'TS2'!V40</f>
        <v>0</v>
      </c>
      <c r="W8" s="133">
        <f>'TS2'!W40</f>
        <v>0</v>
      </c>
      <c r="X8" s="566">
        <f>'TS2'!X40</f>
        <v>3000</v>
      </c>
      <c r="Y8" s="566">
        <f>'TS2'!Y40</f>
        <v>3000</v>
      </c>
      <c r="Z8" s="566">
        <f>'TS2'!Z40</f>
        <v>3000</v>
      </c>
      <c r="AA8" s="566">
        <f>'TS2'!AA40</f>
        <v>3000</v>
      </c>
      <c r="AB8" s="566">
        <f>'TS2'!AB40</f>
        <v>3000</v>
      </c>
      <c r="AC8" s="566">
        <f>'TS2'!AC40</f>
        <v>3000</v>
      </c>
      <c r="AD8" s="566">
        <f>'TS2'!AD40</f>
        <v>3000</v>
      </c>
      <c r="AE8" s="566">
        <f>'TS2'!AE40</f>
        <v>3000</v>
      </c>
      <c r="AF8" s="566">
        <f>'TS2'!AF40</f>
        <v>3000</v>
      </c>
      <c r="AG8" s="566">
        <f>'TS2'!AG40</f>
        <v>3000</v>
      </c>
      <c r="AH8" s="566">
        <f>'TS2'!AH40</f>
        <v>3000</v>
      </c>
      <c r="AI8" s="566">
        <f>'TS2'!AI40</f>
        <v>3000</v>
      </c>
      <c r="AJ8" s="566">
        <f>'TS2'!AJ40</f>
        <v>3000</v>
      </c>
      <c r="AK8" s="566">
        <f>'TS2'!AK40</f>
        <v>3000</v>
      </c>
      <c r="AL8" s="566">
        <f>'TS2'!AL40</f>
        <v>3000</v>
      </c>
      <c r="AM8" s="566">
        <f>'TS2'!AM40</f>
        <v>3000</v>
      </c>
      <c r="AN8" s="566">
        <f>'TS2'!AN40</f>
        <v>2877.3426000000036</v>
      </c>
      <c r="AO8" s="566">
        <f>'TS2'!AO40</f>
        <v>0</v>
      </c>
      <c r="AP8" s="133">
        <f>'TS2'!AP40</f>
        <v>0</v>
      </c>
      <c r="AQ8" s="133">
        <f>'TS2'!AQ40</f>
        <v>0</v>
      </c>
      <c r="AR8" s="133">
        <f>'TS2'!AR40</f>
        <v>0</v>
      </c>
      <c r="AS8" s="133">
        <f>'TS2'!AS40</f>
        <v>0</v>
      </c>
      <c r="AT8" s="133">
        <f>'TS2'!AT40</f>
        <v>0</v>
      </c>
      <c r="AU8" s="133">
        <f>'TS2'!AU40</f>
        <v>0</v>
      </c>
      <c r="AV8" s="133">
        <f>'TS2'!AV40</f>
        <v>0</v>
      </c>
      <c r="AW8" s="133">
        <f>'TS2'!AW40</f>
        <v>0</v>
      </c>
      <c r="AX8" s="133">
        <f>'TS2'!AX40</f>
        <v>0</v>
      </c>
      <c r="AY8" s="133">
        <f>'TS2'!AY40</f>
        <v>0</v>
      </c>
      <c r="AZ8" s="133">
        <f>'TS2'!AZ40</f>
        <v>0</v>
      </c>
      <c r="BA8" s="133">
        <f>'TS2'!BA40</f>
        <v>0</v>
      </c>
      <c r="BB8" s="133">
        <f>'TS2'!BB40</f>
        <v>0</v>
      </c>
      <c r="BC8" s="133">
        <f>'TS2'!BC40</f>
        <v>0</v>
      </c>
      <c r="BD8" s="133">
        <f>'TS2'!BD40</f>
        <v>0</v>
      </c>
      <c r="BE8" s="133">
        <f>'TS2'!BE40</f>
        <v>0</v>
      </c>
      <c r="BF8" s="133">
        <f>'TS2'!BF40</f>
        <v>0</v>
      </c>
      <c r="BG8" s="133">
        <f>'TS2'!BG40</f>
        <v>0</v>
      </c>
      <c r="BH8" s="133">
        <f>'TS2'!BH40</f>
        <v>0</v>
      </c>
      <c r="BI8" s="133">
        <f>'TS2'!BI40</f>
        <v>0</v>
      </c>
      <c r="BJ8" s="133">
        <f>'TS2'!BJ40</f>
        <v>0</v>
      </c>
      <c r="BK8" s="133">
        <f>'TS2'!BK40</f>
        <v>0</v>
      </c>
      <c r="BL8" s="133">
        <f>'TS2'!BL40</f>
        <v>0</v>
      </c>
      <c r="BM8" s="133">
        <f>'TS2'!BM40</f>
        <v>0</v>
      </c>
    </row>
    <row r="9" spans="2:65" hidden="1" outlineLevel="1">
      <c r="B9" s="130" t="str">
        <f>'DB2'!B9</f>
        <v>АПАРТАМЕНТЫ</v>
      </c>
      <c r="C9" s="28"/>
      <c r="D9" s="131" t="s">
        <v>22</v>
      </c>
      <c r="E9" s="132">
        <f t="shared" si="2"/>
        <v>0</v>
      </c>
      <c r="F9" s="551">
        <f>'TS2'!F44</f>
        <v>0</v>
      </c>
      <c r="G9" s="551">
        <f>'TS2'!G44</f>
        <v>0</v>
      </c>
      <c r="H9" s="551">
        <f>'TS2'!H44</f>
        <v>0</v>
      </c>
      <c r="I9" s="551">
        <f>'TS2'!I44</f>
        <v>0</v>
      </c>
      <c r="J9" s="551">
        <f>'TS2'!J44</f>
        <v>0</v>
      </c>
      <c r="K9" s="551">
        <f>'TS2'!K44</f>
        <v>0</v>
      </c>
      <c r="L9" s="551">
        <f>'TS2'!L44</f>
        <v>0</v>
      </c>
      <c r="M9" s="551">
        <f>'TS2'!M44</f>
        <v>0</v>
      </c>
      <c r="N9" s="133">
        <f>'TS2'!N44</f>
        <v>0</v>
      </c>
      <c r="O9" s="133">
        <f>'TS2'!O44</f>
        <v>0</v>
      </c>
      <c r="P9" s="133">
        <f>'TS2'!P44</f>
        <v>0</v>
      </c>
      <c r="Q9" s="133">
        <f>'TS2'!Q44</f>
        <v>0</v>
      </c>
      <c r="R9" s="133">
        <f>'TS2'!R44</f>
        <v>0</v>
      </c>
      <c r="S9" s="133">
        <f>'TS2'!S44</f>
        <v>0</v>
      </c>
      <c r="T9" s="133">
        <f>'TS2'!T44</f>
        <v>0</v>
      </c>
      <c r="U9" s="133">
        <f>'TS2'!U44</f>
        <v>0</v>
      </c>
      <c r="V9" s="133">
        <f>'TS2'!V44</f>
        <v>0</v>
      </c>
      <c r="W9" s="133">
        <f>'TS2'!W44</f>
        <v>0</v>
      </c>
      <c r="X9" s="133">
        <f>'TS2'!X44</f>
        <v>0</v>
      </c>
      <c r="Y9" s="133">
        <f>'TS2'!Y44</f>
        <v>0</v>
      </c>
      <c r="Z9" s="133">
        <f>'TS2'!Z44</f>
        <v>0</v>
      </c>
      <c r="AA9" s="133">
        <f>'TS2'!AA44</f>
        <v>0</v>
      </c>
      <c r="AB9" s="133">
        <f>'TS2'!AB44</f>
        <v>0</v>
      </c>
      <c r="AC9" s="133">
        <f>'TS2'!AC44</f>
        <v>0</v>
      </c>
      <c r="AD9" s="133">
        <f>'TS2'!AD44</f>
        <v>0</v>
      </c>
      <c r="AE9" s="133">
        <f>'TS2'!AE44</f>
        <v>0</v>
      </c>
      <c r="AF9" s="133">
        <f>'TS2'!AF44</f>
        <v>0</v>
      </c>
      <c r="AG9" s="133">
        <f>'TS2'!AG44</f>
        <v>0</v>
      </c>
      <c r="AH9" s="133">
        <f>'TS2'!AH44</f>
        <v>0</v>
      </c>
      <c r="AI9" s="133">
        <f>'TS2'!AI44</f>
        <v>0</v>
      </c>
      <c r="AJ9" s="133">
        <f>'TS2'!AJ44</f>
        <v>0</v>
      </c>
      <c r="AK9" s="133">
        <f>'TS2'!AK44</f>
        <v>0</v>
      </c>
      <c r="AL9" s="133">
        <f>'TS2'!AL44</f>
        <v>0</v>
      </c>
      <c r="AM9" s="133">
        <f>'TS2'!AM44</f>
        <v>0</v>
      </c>
      <c r="AN9" s="133">
        <f>'TS2'!AN44</f>
        <v>0</v>
      </c>
      <c r="AO9" s="133">
        <f>'TS2'!AO44</f>
        <v>0</v>
      </c>
      <c r="AP9" s="133">
        <f>'TS2'!AP44</f>
        <v>0</v>
      </c>
      <c r="AQ9" s="133">
        <f>'TS2'!AQ44</f>
        <v>0</v>
      </c>
      <c r="AR9" s="133">
        <f>'TS2'!AR44</f>
        <v>0</v>
      </c>
      <c r="AS9" s="133">
        <f>'TS2'!AS44</f>
        <v>0</v>
      </c>
      <c r="AT9" s="133">
        <f>'TS2'!AT44</f>
        <v>0</v>
      </c>
      <c r="AU9" s="133">
        <f>'TS2'!AU44</f>
        <v>0</v>
      </c>
      <c r="AV9" s="133">
        <f>'TS2'!AV44</f>
        <v>0</v>
      </c>
      <c r="AW9" s="133">
        <f>'TS2'!AW44</f>
        <v>0</v>
      </c>
      <c r="AX9" s="133">
        <f>'TS2'!AX44</f>
        <v>0</v>
      </c>
      <c r="AY9" s="133">
        <f>'TS2'!AY44</f>
        <v>0</v>
      </c>
      <c r="AZ9" s="133">
        <f>'TS2'!AZ44</f>
        <v>0</v>
      </c>
      <c r="BA9" s="133">
        <f>'TS2'!BA44</f>
        <v>0</v>
      </c>
      <c r="BB9" s="133">
        <f>'TS2'!BB44</f>
        <v>0</v>
      </c>
      <c r="BC9" s="133">
        <f>'TS2'!BC44</f>
        <v>0</v>
      </c>
      <c r="BD9" s="133">
        <f>'TS2'!BD44</f>
        <v>0</v>
      </c>
      <c r="BE9" s="133">
        <f>'TS2'!BE44</f>
        <v>0</v>
      </c>
      <c r="BF9" s="133">
        <f>'TS2'!BF44</f>
        <v>0</v>
      </c>
      <c r="BG9" s="133">
        <f>'TS2'!BG44</f>
        <v>0</v>
      </c>
      <c r="BH9" s="133">
        <f>'TS2'!BH44</f>
        <v>0</v>
      </c>
      <c r="BI9" s="133">
        <f>'TS2'!BI44</f>
        <v>0</v>
      </c>
      <c r="BJ9" s="133">
        <f>'TS2'!BJ44</f>
        <v>0</v>
      </c>
      <c r="BK9" s="133">
        <f>'TS2'!BK44</f>
        <v>0</v>
      </c>
      <c r="BL9" s="133">
        <f>'TS2'!BL44</f>
        <v>0</v>
      </c>
      <c r="BM9" s="133">
        <f>'TS2'!BM44</f>
        <v>0</v>
      </c>
    </row>
    <row r="10" spans="2:65" hidden="1" outlineLevel="1">
      <c r="B10" s="130" t="str">
        <f>'DB2'!B10</f>
        <v>ОФИСЫ</v>
      </c>
      <c r="C10" s="28"/>
      <c r="D10" s="131" t="s">
        <v>22</v>
      </c>
      <c r="E10" s="132">
        <f t="shared" si="2"/>
        <v>0</v>
      </c>
      <c r="F10" s="551">
        <f>'TS2'!F46</f>
        <v>0</v>
      </c>
      <c r="G10" s="551">
        <f>'TS2'!G46</f>
        <v>0</v>
      </c>
      <c r="H10" s="551">
        <f>'TS2'!H46</f>
        <v>0</v>
      </c>
      <c r="I10" s="551">
        <f>'TS2'!I46</f>
        <v>0</v>
      </c>
      <c r="J10" s="551">
        <f>'TS2'!J46</f>
        <v>0</v>
      </c>
      <c r="K10" s="551">
        <f>'TS2'!K46</f>
        <v>0</v>
      </c>
      <c r="L10" s="551">
        <f>'TS2'!L46</f>
        <v>0</v>
      </c>
      <c r="M10" s="551">
        <f>'TS2'!M46</f>
        <v>0</v>
      </c>
      <c r="N10" s="133">
        <f>'TS2'!N46</f>
        <v>0</v>
      </c>
      <c r="O10" s="133">
        <f>'TS2'!O46</f>
        <v>0</v>
      </c>
      <c r="P10" s="133">
        <f>'TS2'!P46</f>
        <v>0</v>
      </c>
      <c r="Q10" s="133">
        <f>'TS2'!Q46</f>
        <v>0</v>
      </c>
      <c r="R10" s="133">
        <f>'TS2'!R46</f>
        <v>0</v>
      </c>
      <c r="S10" s="133">
        <f>'TS2'!S46</f>
        <v>0</v>
      </c>
      <c r="T10" s="133">
        <f>'TS2'!T46</f>
        <v>0</v>
      </c>
      <c r="U10" s="133">
        <f>'TS2'!U46</f>
        <v>0</v>
      </c>
      <c r="V10" s="133">
        <f>'TS2'!V46</f>
        <v>0</v>
      </c>
      <c r="W10" s="133">
        <f>'TS2'!W46</f>
        <v>0</v>
      </c>
      <c r="X10" s="133">
        <f>'TS2'!X46</f>
        <v>0</v>
      </c>
      <c r="Y10" s="133">
        <f>'TS2'!Y46</f>
        <v>0</v>
      </c>
      <c r="Z10" s="133">
        <f>'TS2'!Z46</f>
        <v>0</v>
      </c>
      <c r="AA10" s="133">
        <f>'TS2'!AA46</f>
        <v>0</v>
      </c>
      <c r="AB10" s="133">
        <f>'TS2'!AB46</f>
        <v>0</v>
      </c>
      <c r="AC10" s="133">
        <f>'TS2'!AC46</f>
        <v>0</v>
      </c>
      <c r="AD10" s="133">
        <f>'TS2'!AD46</f>
        <v>0</v>
      </c>
      <c r="AE10" s="133">
        <f>'TS2'!AE46</f>
        <v>0</v>
      </c>
      <c r="AF10" s="133">
        <f>'TS2'!AF46</f>
        <v>0</v>
      </c>
      <c r="AG10" s="133">
        <f>'TS2'!AG46</f>
        <v>0</v>
      </c>
      <c r="AH10" s="133">
        <f>'TS2'!AH46</f>
        <v>0</v>
      </c>
      <c r="AI10" s="133">
        <f>'TS2'!AI46</f>
        <v>0</v>
      </c>
      <c r="AJ10" s="133">
        <f>'TS2'!AJ46</f>
        <v>0</v>
      </c>
      <c r="AK10" s="133">
        <f>'TS2'!AK46</f>
        <v>0</v>
      </c>
      <c r="AL10" s="133">
        <f>'TS2'!AL46</f>
        <v>0</v>
      </c>
      <c r="AM10" s="133">
        <f>'TS2'!AM46</f>
        <v>0</v>
      </c>
      <c r="AN10" s="133">
        <f>'TS2'!AN46</f>
        <v>0</v>
      </c>
      <c r="AO10" s="133">
        <f>'TS2'!AO46</f>
        <v>0</v>
      </c>
      <c r="AP10" s="133">
        <f>'TS2'!AP46</f>
        <v>0</v>
      </c>
      <c r="AQ10" s="133">
        <f>'TS2'!AQ46</f>
        <v>0</v>
      </c>
      <c r="AR10" s="133">
        <f>'TS2'!AR46</f>
        <v>0</v>
      </c>
      <c r="AS10" s="133">
        <f>'TS2'!AS46</f>
        <v>0</v>
      </c>
      <c r="AT10" s="133">
        <f>'TS2'!AT46</f>
        <v>0</v>
      </c>
      <c r="AU10" s="133">
        <f>'TS2'!AU46</f>
        <v>0</v>
      </c>
      <c r="AV10" s="133">
        <f>'TS2'!AV46</f>
        <v>0</v>
      </c>
      <c r="AW10" s="133">
        <f>'TS2'!AW46</f>
        <v>0</v>
      </c>
      <c r="AX10" s="133">
        <f>'TS2'!AX46</f>
        <v>0</v>
      </c>
      <c r="AY10" s="133">
        <f>'TS2'!AY46</f>
        <v>0</v>
      </c>
      <c r="AZ10" s="133">
        <f>'TS2'!AZ46</f>
        <v>0</v>
      </c>
      <c r="BA10" s="133">
        <f>'TS2'!BA46</f>
        <v>0</v>
      </c>
      <c r="BB10" s="133">
        <f>'TS2'!BB46</f>
        <v>0</v>
      </c>
      <c r="BC10" s="133">
        <f>'TS2'!BC46</f>
        <v>0</v>
      </c>
      <c r="BD10" s="133">
        <f>'TS2'!BD46</f>
        <v>0</v>
      </c>
      <c r="BE10" s="133">
        <f>'TS2'!BE46</f>
        <v>0</v>
      </c>
      <c r="BF10" s="133">
        <f>'TS2'!BF46</f>
        <v>0</v>
      </c>
      <c r="BG10" s="133">
        <f>'TS2'!BG46</f>
        <v>0</v>
      </c>
      <c r="BH10" s="133">
        <f>'TS2'!BH46</f>
        <v>0</v>
      </c>
      <c r="BI10" s="133">
        <f>'TS2'!BI46</f>
        <v>0</v>
      </c>
      <c r="BJ10" s="133">
        <f>'TS2'!BJ46</f>
        <v>0</v>
      </c>
      <c r="BK10" s="133">
        <f>'TS2'!BK46</f>
        <v>0</v>
      </c>
      <c r="BL10" s="133">
        <f>'TS2'!BL46</f>
        <v>0</v>
      </c>
      <c r="BM10" s="133">
        <f>'TS2'!BM46</f>
        <v>0</v>
      </c>
    </row>
    <row r="11" spans="2:65" outlineLevel="1">
      <c r="B11" s="130" t="str">
        <f>'DB2'!B11</f>
        <v>РИТЕЙЛ</v>
      </c>
      <c r="C11" s="28"/>
      <c r="D11" s="131" t="s">
        <v>22</v>
      </c>
      <c r="E11" s="132">
        <f t="shared" si="2"/>
        <v>2556.0584999999996</v>
      </c>
      <c r="F11" s="551">
        <f>'TS2'!F48</f>
        <v>0</v>
      </c>
      <c r="G11" s="551">
        <f>'TS2'!G48</f>
        <v>0</v>
      </c>
      <c r="H11" s="551">
        <f>'TS2'!H48</f>
        <v>0</v>
      </c>
      <c r="I11" s="551">
        <f>'TS2'!I48</f>
        <v>0</v>
      </c>
      <c r="J11" s="551">
        <f>'TS2'!J48</f>
        <v>0</v>
      </c>
      <c r="K11" s="551">
        <f>'TS2'!K48</f>
        <v>0</v>
      </c>
      <c r="L11" s="551">
        <f>'TS2'!L48</f>
        <v>0</v>
      </c>
      <c r="M11" s="551">
        <f>'TS2'!M48</f>
        <v>0</v>
      </c>
      <c r="N11" s="133">
        <f>'TS2'!N48</f>
        <v>0</v>
      </c>
      <c r="O11" s="133">
        <f>'TS2'!O48</f>
        <v>0</v>
      </c>
      <c r="P11" s="133">
        <f>'TS2'!P48</f>
        <v>0</v>
      </c>
      <c r="Q11" s="133">
        <f>'TS2'!Q48</f>
        <v>0</v>
      </c>
      <c r="R11" s="133">
        <f>'TS2'!R48</f>
        <v>0</v>
      </c>
      <c r="S11" s="133">
        <f>'TS2'!S48</f>
        <v>0</v>
      </c>
      <c r="T11" s="133">
        <f>'TS2'!T48</f>
        <v>0</v>
      </c>
      <c r="U11" s="133">
        <f>'TS2'!U48</f>
        <v>0</v>
      </c>
      <c r="V11" s="133">
        <f>'TS2'!V48</f>
        <v>0</v>
      </c>
      <c r="W11" s="133">
        <f>'TS2'!W48</f>
        <v>0</v>
      </c>
      <c r="X11" s="133">
        <f>'TS2'!X48</f>
        <v>0</v>
      </c>
      <c r="Y11" s="133">
        <f>'TS2'!Y48</f>
        <v>0</v>
      </c>
      <c r="Z11" s="133">
        <f>'TS2'!Z48</f>
        <v>0</v>
      </c>
      <c r="AA11" s="133">
        <f>'TS2'!AA48</f>
        <v>0</v>
      </c>
      <c r="AB11" s="133">
        <f>'TS2'!AB48</f>
        <v>0</v>
      </c>
      <c r="AC11" s="133">
        <f>'TS2'!AC48</f>
        <v>0</v>
      </c>
      <c r="AD11" s="133">
        <f>'TS2'!AD48</f>
        <v>0</v>
      </c>
      <c r="AE11" s="133">
        <f>'TS2'!AE48</f>
        <v>0</v>
      </c>
      <c r="AF11" s="133">
        <f>'TS2'!AF48</f>
        <v>0</v>
      </c>
      <c r="AG11" s="133">
        <f>'TS2'!AG48</f>
        <v>0</v>
      </c>
      <c r="AH11" s="133">
        <f>'TS2'!AH48</f>
        <v>0</v>
      </c>
      <c r="AI11" s="133">
        <f>'TS2'!AI48</f>
        <v>0</v>
      </c>
      <c r="AJ11" s="133">
        <f>'TS2'!AJ48</f>
        <v>0</v>
      </c>
      <c r="AK11" s="133">
        <f>'TS2'!AK48</f>
        <v>1278.0292499999998</v>
      </c>
      <c r="AL11" s="133">
        <f>'TS2'!AL48</f>
        <v>1278.0292499999998</v>
      </c>
      <c r="AM11" s="133">
        <f>'TS2'!AM48</f>
        <v>0</v>
      </c>
      <c r="AN11" s="133">
        <f>'TS2'!AN48</f>
        <v>0</v>
      </c>
      <c r="AO11" s="133">
        <f>'TS2'!AO48</f>
        <v>0</v>
      </c>
      <c r="AP11" s="133">
        <f>'TS2'!AP48</f>
        <v>0</v>
      </c>
      <c r="AQ11" s="133">
        <f>'TS2'!AQ48</f>
        <v>0</v>
      </c>
      <c r="AR11" s="133">
        <f>'TS2'!AR48</f>
        <v>0</v>
      </c>
      <c r="AS11" s="133">
        <f>'TS2'!AS48</f>
        <v>0</v>
      </c>
      <c r="AT11" s="133">
        <f>'TS2'!AT48</f>
        <v>0</v>
      </c>
      <c r="AU11" s="133">
        <f>'TS2'!AU48</f>
        <v>0</v>
      </c>
      <c r="AV11" s="133">
        <f>'TS2'!AV48</f>
        <v>0</v>
      </c>
      <c r="AW11" s="133">
        <f>'TS2'!AW48</f>
        <v>0</v>
      </c>
      <c r="AX11" s="133">
        <f>'TS2'!AX48</f>
        <v>0</v>
      </c>
      <c r="AY11" s="133">
        <f>'TS2'!AY48</f>
        <v>0</v>
      </c>
      <c r="AZ11" s="133">
        <f>'TS2'!AZ48</f>
        <v>0</v>
      </c>
      <c r="BA11" s="133">
        <f>'TS2'!BA48</f>
        <v>0</v>
      </c>
      <c r="BB11" s="133">
        <f>'TS2'!BB48</f>
        <v>0</v>
      </c>
      <c r="BC11" s="133">
        <f>'TS2'!BC48</f>
        <v>0</v>
      </c>
      <c r="BD11" s="133">
        <f>'TS2'!BD48</f>
        <v>0</v>
      </c>
      <c r="BE11" s="133">
        <f>'TS2'!BE48</f>
        <v>0</v>
      </c>
      <c r="BF11" s="133">
        <f>'TS2'!BF48</f>
        <v>0</v>
      </c>
      <c r="BG11" s="133">
        <f>'TS2'!BG48</f>
        <v>0</v>
      </c>
      <c r="BH11" s="133">
        <f>'TS2'!BH48</f>
        <v>0</v>
      </c>
      <c r="BI11" s="133">
        <f>'TS2'!BI48</f>
        <v>0</v>
      </c>
      <c r="BJ11" s="133">
        <f>'TS2'!BJ48</f>
        <v>0</v>
      </c>
      <c r="BK11" s="133">
        <f>'TS2'!BK48</f>
        <v>0</v>
      </c>
      <c r="BL11" s="133">
        <f>'TS2'!BL48</f>
        <v>0</v>
      </c>
      <c r="BM11" s="133">
        <f>'TS2'!BM48</f>
        <v>0</v>
      </c>
    </row>
    <row r="12" spans="2:65" hidden="1" outlineLevel="1">
      <c r="B12" s="130" t="str">
        <f>'DB2'!B12</f>
        <v>ТЦ</v>
      </c>
      <c r="C12" s="28"/>
      <c r="D12" s="131" t="s">
        <v>22</v>
      </c>
      <c r="E12" s="132">
        <f t="shared" si="2"/>
        <v>0</v>
      </c>
      <c r="F12" s="551">
        <f>'TS2'!F50</f>
        <v>0</v>
      </c>
      <c r="G12" s="551">
        <f>'TS2'!G50</f>
        <v>0</v>
      </c>
      <c r="H12" s="551">
        <f>'TS2'!H50</f>
        <v>0</v>
      </c>
      <c r="I12" s="551">
        <f>'TS2'!I50</f>
        <v>0</v>
      </c>
      <c r="J12" s="551">
        <f>'TS2'!J50</f>
        <v>0</v>
      </c>
      <c r="K12" s="551">
        <f>'TS2'!K50</f>
        <v>0</v>
      </c>
      <c r="L12" s="551">
        <f>'TS2'!L50</f>
        <v>0</v>
      </c>
      <c r="M12" s="551">
        <f>'TS2'!M50</f>
        <v>0</v>
      </c>
      <c r="N12" s="133">
        <f>'TS2'!N50</f>
        <v>0</v>
      </c>
      <c r="O12" s="133">
        <f>'TS2'!O50</f>
        <v>0</v>
      </c>
      <c r="P12" s="133">
        <f>'TS2'!P50</f>
        <v>0</v>
      </c>
      <c r="Q12" s="133">
        <f>'TS2'!Q50</f>
        <v>0</v>
      </c>
      <c r="R12" s="133">
        <f>'TS2'!R50</f>
        <v>0</v>
      </c>
      <c r="S12" s="133">
        <f>'TS2'!S50</f>
        <v>0</v>
      </c>
      <c r="T12" s="133">
        <f>'TS2'!T50</f>
        <v>0</v>
      </c>
      <c r="U12" s="133">
        <f>'TS2'!U50</f>
        <v>0</v>
      </c>
      <c r="V12" s="133">
        <f>'TS2'!V50</f>
        <v>0</v>
      </c>
      <c r="W12" s="133">
        <f>'TS2'!W50</f>
        <v>0</v>
      </c>
      <c r="X12" s="133">
        <f>'TS2'!X50</f>
        <v>0</v>
      </c>
      <c r="Y12" s="133">
        <f>'TS2'!Y50</f>
        <v>0</v>
      </c>
      <c r="Z12" s="133">
        <f>'TS2'!Z50</f>
        <v>0</v>
      </c>
      <c r="AA12" s="133">
        <f>'TS2'!AA50</f>
        <v>0</v>
      </c>
      <c r="AB12" s="133">
        <f>'TS2'!AB50</f>
        <v>0</v>
      </c>
      <c r="AC12" s="133">
        <f>'TS2'!AC50</f>
        <v>0</v>
      </c>
      <c r="AD12" s="133">
        <f>'TS2'!AD50</f>
        <v>0</v>
      </c>
      <c r="AE12" s="133">
        <f>'TS2'!AE50</f>
        <v>0</v>
      </c>
      <c r="AF12" s="133">
        <f>'TS2'!AF50</f>
        <v>0</v>
      </c>
      <c r="AG12" s="133">
        <f>'TS2'!AG50</f>
        <v>0</v>
      </c>
      <c r="AH12" s="133">
        <f>'TS2'!AH50</f>
        <v>0</v>
      </c>
      <c r="AI12" s="133">
        <f>'TS2'!AI50</f>
        <v>0</v>
      </c>
      <c r="AJ12" s="133">
        <f>'TS2'!AJ50</f>
        <v>0</v>
      </c>
      <c r="AK12" s="133">
        <f>'TS2'!AK50</f>
        <v>0</v>
      </c>
      <c r="AL12" s="133">
        <f>'TS2'!AL50</f>
        <v>0</v>
      </c>
      <c r="AM12" s="133">
        <f>'TS2'!AM50</f>
        <v>0</v>
      </c>
      <c r="AN12" s="133">
        <f>'TS2'!AN50</f>
        <v>0</v>
      </c>
      <c r="AO12" s="133">
        <f>'TS2'!AO50</f>
        <v>0</v>
      </c>
      <c r="AP12" s="133">
        <f>'TS2'!AP50</f>
        <v>0</v>
      </c>
      <c r="AQ12" s="133">
        <f>'TS2'!AQ50</f>
        <v>0</v>
      </c>
      <c r="AR12" s="133">
        <f>'TS2'!AR50</f>
        <v>0</v>
      </c>
      <c r="AS12" s="133">
        <f>'TS2'!AS50</f>
        <v>0</v>
      </c>
      <c r="AT12" s="133">
        <f>'TS2'!AT50</f>
        <v>0</v>
      </c>
      <c r="AU12" s="133">
        <f>'TS2'!AU50</f>
        <v>0</v>
      </c>
      <c r="AV12" s="133">
        <f>'TS2'!AV50</f>
        <v>0</v>
      </c>
      <c r="AW12" s="133">
        <f>'TS2'!AW50</f>
        <v>0</v>
      </c>
      <c r="AX12" s="133">
        <f>'TS2'!AX50</f>
        <v>0</v>
      </c>
      <c r="AY12" s="133">
        <f>'TS2'!AY50</f>
        <v>0</v>
      </c>
      <c r="AZ12" s="133">
        <f>'TS2'!AZ50</f>
        <v>0</v>
      </c>
      <c r="BA12" s="133">
        <f>'TS2'!BA50</f>
        <v>0</v>
      </c>
      <c r="BB12" s="133">
        <f>'TS2'!BB50</f>
        <v>0</v>
      </c>
      <c r="BC12" s="133">
        <f>'TS2'!BC50</f>
        <v>0</v>
      </c>
      <c r="BD12" s="133">
        <f>'TS2'!BD50</f>
        <v>0</v>
      </c>
      <c r="BE12" s="133">
        <f>'TS2'!BE50</f>
        <v>0</v>
      </c>
      <c r="BF12" s="133">
        <f>'TS2'!BF50</f>
        <v>0</v>
      </c>
      <c r="BG12" s="133">
        <f>'TS2'!BG50</f>
        <v>0</v>
      </c>
      <c r="BH12" s="133">
        <f>'TS2'!BH50</f>
        <v>0</v>
      </c>
      <c r="BI12" s="133">
        <f>'TS2'!BI50</f>
        <v>0</v>
      </c>
      <c r="BJ12" s="133">
        <f>'TS2'!BJ50</f>
        <v>0</v>
      </c>
      <c r="BK12" s="133">
        <f>'TS2'!BK50</f>
        <v>0</v>
      </c>
      <c r="BL12" s="133">
        <f>'TS2'!BL50</f>
        <v>0</v>
      </c>
      <c r="BM12" s="133">
        <f>'TS2'!BM50</f>
        <v>0</v>
      </c>
    </row>
    <row r="13" spans="2:65" outlineLevel="1">
      <c r="B13" s="130" t="str">
        <f>'DB2'!B16</f>
        <v>ПАРКИНГ ЖИЛЬЕ</v>
      </c>
      <c r="C13" s="28"/>
      <c r="D13" s="131" t="s">
        <v>23</v>
      </c>
      <c r="E13" s="132">
        <f t="shared" si="2"/>
        <v>513</v>
      </c>
      <c r="F13" s="551">
        <f>'TS2'!F52</f>
        <v>0</v>
      </c>
      <c r="G13" s="551">
        <f>'TS2'!G52</f>
        <v>0</v>
      </c>
      <c r="H13" s="551">
        <f>'TS2'!H52</f>
        <v>0</v>
      </c>
      <c r="I13" s="551">
        <f>'TS2'!I52</f>
        <v>0</v>
      </c>
      <c r="J13" s="551">
        <f>'TS2'!J52</f>
        <v>0</v>
      </c>
      <c r="K13" s="551">
        <f>'TS2'!K52</f>
        <v>0</v>
      </c>
      <c r="L13" s="551">
        <f>'TS2'!L52</f>
        <v>0</v>
      </c>
      <c r="M13" s="551">
        <f>'TS2'!M52</f>
        <v>0</v>
      </c>
      <c r="N13" s="133">
        <f>'TS2'!N52</f>
        <v>0</v>
      </c>
      <c r="O13" s="133">
        <f>'TS2'!O52</f>
        <v>0</v>
      </c>
      <c r="P13" s="133">
        <f>'TS2'!P52</f>
        <v>0</v>
      </c>
      <c r="Q13" s="133">
        <f>'TS2'!Q52</f>
        <v>0</v>
      </c>
      <c r="R13" s="133">
        <f>'TS2'!R52</f>
        <v>0</v>
      </c>
      <c r="S13" s="133">
        <f>'TS2'!S52</f>
        <v>0</v>
      </c>
      <c r="T13" s="133">
        <f>'TS2'!T52</f>
        <v>0</v>
      </c>
      <c r="U13" s="133">
        <f>'TS2'!U52</f>
        <v>0</v>
      </c>
      <c r="V13" s="133">
        <f>'TS2'!V52</f>
        <v>0</v>
      </c>
      <c r="W13" s="133">
        <f>'TS2'!W52</f>
        <v>0</v>
      </c>
      <c r="X13" s="133">
        <f>'TS2'!X52</f>
        <v>30</v>
      </c>
      <c r="Y13" s="133">
        <f>'TS2'!Y52</f>
        <v>30</v>
      </c>
      <c r="Z13" s="133">
        <f>'TS2'!Z52</f>
        <v>30</v>
      </c>
      <c r="AA13" s="133">
        <f>'TS2'!AA52</f>
        <v>30</v>
      </c>
      <c r="AB13" s="133">
        <f>'TS2'!AB52</f>
        <v>30</v>
      </c>
      <c r="AC13" s="133">
        <f>'TS2'!AC52</f>
        <v>30</v>
      </c>
      <c r="AD13" s="133">
        <f>'TS2'!AD52</f>
        <v>30</v>
      </c>
      <c r="AE13" s="133">
        <f>'TS2'!AE52</f>
        <v>30</v>
      </c>
      <c r="AF13" s="133">
        <f>'TS2'!AF52</f>
        <v>30</v>
      </c>
      <c r="AG13" s="133">
        <f>'TS2'!AG52</f>
        <v>30</v>
      </c>
      <c r="AH13" s="133">
        <f>'TS2'!AH52</f>
        <v>30</v>
      </c>
      <c r="AI13" s="133">
        <f>'TS2'!AI52</f>
        <v>30</v>
      </c>
      <c r="AJ13" s="133">
        <f>'TS2'!AJ52</f>
        <v>30</v>
      </c>
      <c r="AK13" s="133">
        <f>'TS2'!AK52</f>
        <v>30</v>
      </c>
      <c r="AL13" s="133">
        <f>'TS2'!AL52</f>
        <v>30</v>
      </c>
      <c r="AM13" s="133">
        <f>'TS2'!AM52</f>
        <v>30</v>
      </c>
      <c r="AN13" s="133">
        <f>'TS2'!AN52</f>
        <v>33</v>
      </c>
      <c r="AO13" s="133">
        <f>'TS2'!AO52</f>
        <v>0</v>
      </c>
      <c r="AP13" s="133">
        <f>'TS2'!AP52</f>
        <v>0</v>
      </c>
      <c r="AQ13" s="133">
        <f>'TS2'!AQ52</f>
        <v>0</v>
      </c>
      <c r="AR13" s="133">
        <f>'TS2'!AR52</f>
        <v>0</v>
      </c>
      <c r="AS13" s="133">
        <f>'TS2'!AS52</f>
        <v>0</v>
      </c>
      <c r="AT13" s="133">
        <f>'TS2'!AT52</f>
        <v>0</v>
      </c>
      <c r="AU13" s="133">
        <f>'TS2'!AU52</f>
        <v>0</v>
      </c>
      <c r="AV13" s="133">
        <f>'TS2'!AV52</f>
        <v>0</v>
      </c>
      <c r="AW13" s="133">
        <f>'TS2'!AW52</f>
        <v>0</v>
      </c>
      <c r="AX13" s="133">
        <f>'TS2'!AX52</f>
        <v>0</v>
      </c>
      <c r="AY13" s="133">
        <f>'TS2'!AY52</f>
        <v>0</v>
      </c>
      <c r="AZ13" s="133">
        <f>'TS2'!AZ52</f>
        <v>0</v>
      </c>
      <c r="BA13" s="133">
        <f>'TS2'!BA52</f>
        <v>0</v>
      </c>
      <c r="BB13" s="133">
        <f>'TS2'!BB52</f>
        <v>0</v>
      </c>
      <c r="BC13" s="133">
        <f>'TS2'!BC52</f>
        <v>0</v>
      </c>
      <c r="BD13" s="133">
        <f>'TS2'!BD52</f>
        <v>0</v>
      </c>
      <c r="BE13" s="133">
        <f>'TS2'!BE52</f>
        <v>0</v>
      </c>
      <c r="BF13" s="133">
        <f>'TS2'!BF52</f>
        <v>0</v>
      </c>
      <c r="BG13" s="133">
        <f>'TS2'!BG52</f>
        <v>0</v>
      </c>
      <c r="BH13" s="133">
        <f>'TS2'!BH52</f>
        <v>0</v>
      </c>
      <c r="BI13" s="133">
        <f>'TS2'!BI52</f>
        <v>0</v>
      </c>
      <c r="BJ13" s="133">
        <f>'TS2'!BJ52</f>
        <v>0</v>
      </c>
      <c r="BK13" s="133">
        <f>'TS2'!BK52</f>
        <v>0</v>
      </c>
      <c r="BL13" s="133">
        <f>'TS2'!BL52</f>
        <v>0</v>
      </c>
      <c r="BM13" s="133">
        <f>'TS2'!BM52</f>
        <v>0</v>
      </c>
    </row>
    <row r="14" spans="2:65" hidden="1" outlineLevel="1">
      <c r="B14" s="130" t="str">
        <f>'DB2'!B17</f>
        <v>ПАРКИНГ ОФИС</v>
      </c>
      <c r="C14" s="28"/>
      <c r="D14" s="131" t="s">
        <v>23</v>
      </c>
      <c r="E14" s="132">
        <f t="shared" si="2"/>
        <v>0</v>
      </c>
      <c r="F14" s="551">
        <f>'TS2'!F54</f>
        <v>0</v>
      </c>
      <c r="G14" s="551">
        <f>'TS2'!G54</f>
        <v>0</v>
      </c>
      <c r="H14" s="551">
        <f>'TS2'!H54</f>
        <v>0</v>
      </c>
      <c r="I14" s="551">
        <f>'TS2'!I54</f>
        <v>0</v>
      </c>
      <c r="J14" s="551">
        <f>'TS2'!J54</f>
        <v>0</v>
      </c>
      <c r="K14" s="551">
        <f>'TS2'!K54</f>
        <v>0</v>
      </c>
      <c r="L14" s="551">
        <f>'TS2'!L54</f>
        <v>0</v>
      </c>
      <c r="M14" s="551">
        <f>'TS2'!M54</f>
        <v>0</v>
      </c>
      <c r="N14" s="133">
        <f>'TS2'!N54</f>
        <v>0</v>
      </c>
      <c r="O14" s="133">
        <f>'TS2'!O54</f>
        <v>0</v>
      </c>
      <c r="P14" s="133">
        <f>'TS2'!P54</f>
        <v>0</v>
      </c>
      <c r="Q14" s="133">
        <f>'TS2'!Q54</f>
        <v>0</v>
      </c>
      <c r="R14" s="133">
        <f>'TS2'!R54</f>
        <v>0</v>
      </c>
      <c r="S14" s="133">
        <f>'TS2'!S54</f>
        <v>0</v>
      </c>
      <c r="T14" s="133">
        <f>'TS2'!T54</f>
        <v>0</v>
      </c>
      <c r="U14" s="133">
        <f>'TS2'!U54</f>
        <v>0</v>
      </c>
      <c r="V14" s="133">
        <f>'TS2'!V54</f>
        <v>0</v>
      </c>
      <c r="W14" s="133">
        <f>'TS2'!W54</f>
        <v>0</v>
      </c>
      <c r="X14" s="133">
        <f>'TS2'!X54</f>
        <v>0</v>
      </c>
      <c r="Y14" s="133">
        <f>'TS2'!Y54</f>
        <v>0</v>
      </c>
      <c r="Z14" s="133">
        <f>'TS2'!Z54</f>
        <v>0</v>
      </c>
      <c r="AA14" s="133">
        <f>'TS2'!AA54</f>
        <v>0</v>
      </c>
      <c r="AB14" s="133">
        <f>'TS2'!AB54</f>
        <v>0</v>
      </c>
      <c r="AC14" s="133">
        <f>'TS2'!AC54</f>
        <v>0</v>
      </c>
      <c r="AD14" s="133">
        <f>'TS2'!AD54</f>
        <v>0</v>
      </c>
      <c r="AE14" s="133">
        <f>'TS2'!AE54</f>
        <v>0</v>
      </c>
      <c r="AF14" s="133">
        <f>'TS2'!AF54</f>
        <v>0</v>
      </c>
      <c r="AG14" s="133">
        <f>'TS2'!AG54</f>
        <v>0</v>
      </c>
      <c r="AH14" s="133">
        <f>'TS2'!AH54</f>
        <v>0</v>
      </c>
      <c r="AI14" s="133">
        <f>'TS2'!AI54</f>
        <v>0</v>
      </c>
      <c r="AJ14" s="133">
        <f>'TS2'!AJ54</f>
        <v>0</v>
      </c>
      <c r="AK14" s="133">
        <f>'TS2'!AK54</f>
        <v>0</v>
      </c>
      <c r="AL14" s="133">
        <f>'TS2'!AL54</f>
        <v>0</v>
      </c>
      <c r="AM14" s="133">
        <f>'TS2'!AM54</f>
        <v>0</v>
      </c>
      <c r="AN14" s="133">
        <f>'TS2'!AN54</f>
        <v>0</v>
      </c>
      <c r="AO14" s="133">
        <f>'TS2'!AO54</f>
        <v>0</v>
      </c>
      <c r="AP14" s="133">
        <f>'TS2'!AP54</f>
        <v>0</v>
      </c>
      <c r="AQ14" s="133">
        <f>'TS2'!AQ54</f>
        <v>0</v>
      </c>
      <c r="AR14" s="133">
        <f>'TS2'!AR54</f>
        <v>0</v>
      </c>
      <c r="AS14" s="133">
        <f>'TS2'!AS54</f>
        <v>0</v>
      </c>
      <c r="AT14" s="133">
        <f>'TS2'!AT54</f>
        <v>0</v>
      </c>
      <c r="AU14" s="133">
        <f>'TS2'!AU54</f>
        <v>0</v>
      </c>
      <c r="AV14" s="133">
        <f>'TS2'!AV54</f>
        <v>0</v>
      </c>
      <c r="AW14" s="133">
        <f>'TS2'!AW54</f>
        <v>0</v>
      </c>
      <c r="AX14" s="133">
        <f>'TS2'!AX54</f>
        <v>0</v>
      </c>
      <c r="AY14" s="133">
        <f>'TS2'!AY54</f>
        <v>0</v>
      </c>
      <c r="AZ14" s="133">
        <f>'TS2'!AZ54</f>
        <v>0</v>
      </c>
      <c r="BA14" s="133">
        <f>'TS2'!BA54</f>
        <v>0</v>
      </c>
      <c r="BB14" s="133">
        <f>'TS2'!BB54</f>
        <v>0</v>
      </c>
      <c r="BC14" s="133">
        <f>'TS2'!BC54</f>
        <v>0</v>
      </c>
      <c r="BD14" s="133">
        <f>'TS2'!BD54</f>
        <v>0</v>
      </c>
      <c r="BE14" s="133">
        <f>'TS2'!BE54</f>
        <v>0</v>
      </c>
      <c r="BF14" s="133">
        <f>'TS2'!BF54</f>
        <v>0</v>
      </c>
      <c r="BG14" s="133">
        <f>'TS2'!BG54</f>
        <v>0</v>
      </c>
      <c r="BH14" s="133">
        <f>'TS2'!BH54</f>
        <v>0</v>
      </c>
      <c r="BI14" s="133">
        <f>'TS2'!BI54</f>
        <v>0</v>
      </c>
      <c r="BJ14" s="133">
        <f>'TS2'!BJ54</f>
        <v>0</v>
      </c>
      <c r="BK14" s="133">
        <f>'TS2'!BK54</f>
        <v>0</v>
      </c>
      <c r="BL14" s="133">
        <f>'TS2'!BL54</f>
        <v>0</v>
      </c>
      <c r="BM14" s="133">
        <f>'TS2'!BM54</f>
        <v>0</v>
      </c>
    </row>
    <row r="15" spans="2:65" outlineLevel="1">
      <c r="B15" s="134"/>
      <c r="C15" s="134"/>
      <c r="D15" s="135"/>
      <c r="E15" s="136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</row>
    <row r="16" spans="2:65" s="163" customFormat="1" outlineLevel="1">
      <c r="B16" s="293" t="s">
        <v>28</v>
      </c>
      <c r="C16" s="293"/>
      <c r="D16" s="294" t="s">
        <v>481</v>
      </c>
      <c r="E16" s="295"/>
      <c r="F16" s="296"/>
      <c r="G16" s="296"/>
      <c r="H16" s="296"/>
      <c r="I16" s="296"/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6"/>
      <c r="AH16" s="296"/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/>
      <c r="AW16" s="296"/>
      <c r="AX16" s="296"/>
      <c r="AY16" s="296"/>
      <c r="AZ16" s="296"/>
      <c r="BA16" s="296"/>
      <c r="BB16" s="296"/>
      <c r="BC16" s="296"/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</row>
    <row r="17" spans="2:65" outlineLevel="1">
      <c r="B17" s="130" t="str">
        <f t="shared" ref="B17:B23" si="3">B8</f>
        <v>КВАРТИРЫ</v>
      </c>
      <c r="C17" s="28"/>
      <c r="D17" s="131" t="s">
        <v>481</v>
      </c>
      <c r="E17" s="132">
        <f>IFERROR(E26/E8*1000,0)</f>
        <v>630.00000000000034</v>
      </c>
      <c r="F17" s="551">
        <f>IF(F8=0,,IF(F8&gt;0,IF(E17=0,'DB2'!$R$8*(1+'DB2'!$O$8),E17+'DB2'!$R$8*(100%-(1+'DB2'!$O$8))/SUMPRODUCT('TS2'!$F$43:$BM$43,'TS2'!$F$56:$BM$56)),))</f>
        <v>0</v>
      </c>
      <c r="G17" s="551">
        <f>IF(G8=0,,IF(G8&gt;0,IF(F17=0,'DB2'!$R$8*(1+'DB2'!$O$8),F17+'DB2'!$R$8*(100%-(1+'DB2'!$O$8))/SUMPRODUCT('TS2'!$F$43:$BM$43,'TS2'!$F$56:$BM$56)),))</f>
        <v>0</v>
      </c>
      <c r="H17" s="551">
        <f>IF(H8=0,,IF(H8&gt;0,IF(G17=0,'DB2'!$R$8*(1+'DB2'!$O$8),G17+'DB2'!$R$8*(100%-(1+'DB2'!$O$8))/SUMPRODUCT('TS2'!$F$43:$BM$43,'TS2'!$F$56:$BM$56)),))</f>
        <v>0</v>
      </c>
      <c r="I17" s="551">
        <f>IF(I8=0,,IF(I8&gt;0,IF(H17=0,'DB2'!$R$8*(1+'DB2'!$O$8),H17+'DB2'!$R$8*(100%-(1+'DB2'!$O$8))/SUMPRODUCT('TS2'!$F$43:$BM$43,'TS2'!$F$56:$BM$56)),))</f>
        <v>0</v>
      </c>
      <c r="J17" s="551">
        <f>IF(J8=0,,IF(J8&gt;0,IF(I17=0,'DB2'!$R$8*(1+'DB2'!$O$8),I17+'DB2'!$R$8*(100%-(1+'DB2'!$O$8))/SUMPRODUCT('TS2'!$F$43:$BM$43,'TS2'!$F$56:$BM$56)),))</f>
        <v>0</v>
      </c>
      <c r="K17" s="551">
        <f>IF(K8=0,,IF(K8&gt;0,IF(J17=0,'DB2'!$R$8*(1+'DB2'!$O$8),J17+'DB2'!$R$8*(100%-(1+'DB2'!$O$8))/SUMPRODUCT('TS2'!$F$43:$BM$43,'TS2'!$F$56:$BM$56)),))</f>
        <v>0</v>
      </c>
      <c r="L17" s="551">
        <f>IF(L8=0,,IF(L8&gt;0,IF(K17=0,'DB2'!$R$8*(1+'DB2'!$O$8),K17+'DB2'!$R$8*(100%-(1+'DB2'!$O$8))/SUMPRODUCT('TS2'!$F$43:$BM$43,'TS2'!$F$56:$BM$56)),))</f>
        <v>0</v>
      </c>
      <c r="M17" s="551">
        <f>IF(M8=0,,IF(M8&gt;0,IF(L17=0,'DB2'!$R$8*(1+'DB2'!$O$8),L17+'DB2'!$R$8*(100%-(1+'DB2'!$O$8))/SUMPRODUCT('TS2'!$F$43:$BM$43,'TS2'!$F$56:$BM$56)),))</f>
        <v>0</v>
      </c>
      <c r="N17" s="133">
        <f>IF(N8&gt;0,'TS2'!N42,0)</f>
        <v>0</v>
      </c>
      <c r="O17" s="133">
        <f>IF(O8&gt;0,'TS2'!O42,0)</f>
        <v>0</v>
      </c>
      <c r="P17" s="133">
        <f>IF(P8&gt;0,'TS2'!P42,0)</f>
        <v>0</v>
      </c>
      <c r="Q17" s="133">
        <f>IF(Q8&gt;0,'TS2'!Q42,0)</f>
        <v>0</v>
      </c>
      <c r="R17" s="133">
        <f>IF(R8&gt;0,'TS2'!R42,0)</f>
        <v>0</v>
      </c>
      <c r="S17" s="133">
        <f>IF(S8&gt;0,'TS2'!S42,0)</f>
        <v>0</v>
      </c>
      <c r="T17" s="133">
        <f>IF(T8&gt;0,'TS2'!T42,0)</f>
        <v>0</v>
      </c>
      <c r="U17" s="133">
        <f>IF(U8&gt;0,'TS2'!U42,0)</f>
        <v>0</v>
      </c>
      <c r="V17" s="133">
        <f>IF(V8&gt;0,'TS2'!V42,0)</f>
        <v>0</v>
      </c>
      <c r="W17" s="133">
        <f>IF(W8&gt;0,'TS2'!W42,0)</f>
        <v>0</v>
      </c>
      <c r="X17" s="566">
        <f>IF(X8&gt;0,'TS2'!X42,0)</f>
        <v>522.9</v>
      </c>
      <c r="Y17" s="566">
        <f>IF(Y8&gt;0,'TS2'!Y42,0)</f>
        <v>536.31985318938598</v>
      </c>
      <c r="Z17" s="566">
        <f>IF(Z8&gt;0,'TS2'!Z42,0)</f>
        <v>549.73970637877198</v>
      </c>
      <c r="AA17" s="566">
        <f>IF(AA8&gt;0,'TS2'!AA42,0)</f>
        <v>563.15955956815799</v>
      </c>
      <c r="AB17" s="566">
        <f>IF(AB8&gt;0,'TS2'!AB42,0)</f>
        <v>576.57941275754399</v>
      </c>
      <c r="AC17" s="566">
        <f>IF(AC8&gt;0,'TS2'!AC42,0)</f>
        <v>589.99926594693</v>
      </c>
      <c r="AD17" s="566">
        <f>IF(AD8&gt;0,'TS2'!AD42,0)</f>
        <v>603.419119136316</v>
      </c>
      <c r="AE17" s="566">
        <f>IF(AE8&gt;0,'TS2'!AE42,0)</f>
        <v>616.838972325702</v>
      </c>
      <c r="AF17" s="566">
        <f>IF(AF8&gt;0,'TS2'!AF42,0)</f>
        <v>630.25882551508801</v>
      </c>
      <c r="AG17" s="566">
        <f>IF(AG8&gt;0,'TS2'!AG42,0)</f>
        <v>643.67867870447401</v>
      </c>
      <c r="AH17" s="566">
        <f>IF(AH8&gt;0,'TS2'!AH42,0)</f>
        <v>657.09853189386001</v>
      </c>
      <c r="AI17" s="566">
        <f>IF(AI8&gt;0,'TS2'!AI42,0)</f>
        <v>670.51838508324602</v>
      </c>
      <c r="AJ17" s="566">
        <f>IF(AJ8&gt;0,'TS2'!AJ42,0)</f>
        <v>710.5566626194111</v>
      </c>
      <c r="AK17" s="566">
        <f>IF(AK8&gt;0,'TS2'!AK42,0)</f>
        <v>710.5566626194111</v>
      </c>
      <c r="AL17" s="566">
        <f>IF(AL8&gt;0,'TS2'!AL42,0)</f>
        <v>710.5566626194111</v>
      </c>
      <c r="AM17" s="566">
        <f>IF(AM8&gt;0,'TS2'!AM42,0)</f>
        <v>710.5566626194111</v>
      </c>
      <c r="AN17" s="566">
        <f>IF(AN8&gt;0,'TS2'!AN42,0)</f>
        <v>710.5566626194111</v>
      </c>
      <c r="AO17" s="566">
        <f>IF(AO8&gt;0,'TS2'!AO42,0)</f>
        <v>0</v>
      </c>
      <c r="AP17" s="133">
        <f>IF(AP8&gt;0,'TS2'!AP42,0)</f>
        <v>0</v>
      </c>
      <c r="AQ17" s="133">
        <f>IF(AQ8&gt;0,'TS2'!AQ42,0)</f>
        <v>0</v>
      </c>
      <c r="AR17" s="133">
        <f>IF(AR8&gt;0,'TS2'!AR42,0)</f>
        <v>0</v>
      </c>
      <c r="AS17" s="133">
        <f>IF(AS8&gt;0,'TS2'!AS42,0)</f>
        <v>0</v>
      </c>
      <c r="AT17" s="133">
        <f>IF(AT8&gt;0,'TS2'!AT42,0)</f>
        <v>0</v>
      </c>
      <c r="AU17" s="133">
        <f>IF(AU8&gt;0,'TS2'!AU42,0)</f>
        <v>0</v>
      </c>
      <c r="AV17" s="133">
        <f>IF(AV8&gt;0,'TS2'!AV42,0)</f>
        <v>0</v>
      </c>
      <c r="AW17" s="133">
        <f>IF(AW8&gt;0,'TS2'!AW42,0)</f>
        <v>0</v>
      </c>
      <c r="AX17" s="133">
        <f>IF(AX8&gt;0,'TS2'!AX42,0)</f>
        <v>0</v>
      </c>
      <c r="AY17" s="133">
        <f>IF(AY8&gt;0,'TS2'!AY42,0)</f>
        <v>0</v>
      </c>
      <c r="AZ17" s="133">
        <f>IF(AZ8&gt;0,'TS2'!AZ42,0)</f>
        <v>0</v>
      </c>
      <c r="BA17" s="133">
        <f>IF(BA8&gt;0,'TS2'!BA42,0)</f>
        <v>0</v>
      </c>
      <c r="BB17" s="133">
        <f>IF(BB8&gt;0,'TS2'!BB42,0)</f>
        <v>0</v>
      </c>
      <c r="BC17" s="133">
        <f>IF(BC8&gt;0,'TS2'!BC42,0)</f>
        <v>0</v>
      </c>
      <c r="BD17" s="133">
        <f>IF(BD8&gt;0,'TS2'!BD42,0)</f>
        <v>0</v>
      </c>
      <c r="BE17" s="133">
        <f>IF(BE8&gt;0,'TS2'!BE42,0)</f>
        <v>0</v>
      </c>
      <c r="BF17" s="133">
        <f>IF(BF8&gt;0,'TS2'!BF42,0)</f>
        <v>0</v>
      </c>
      <c r="BG17" s="133">
        <f>IF(BG8&gt;0,'TS2'!BG42,0)</f>
        <v>0</v>
      </c>
      <c r="BH17" s="133">
        <f>IF(BH8&gt;0,'TS2'!BH42,0)</f>
        <v>0</v>
      </c>
      <c r="BI17" s="133">
        <f>IF(BI8&gt;0,'TS2'!BI42,0)</f>
        <v>0</v>
      </c>
      <c r="BJ17" s="133">
        <f>IF(BJ8&gt;0,'TS2'!BJ42,0)</f>
        <v>0</v>
      </c>
      <c r="BK17" s="133">
        <f>IF(BK8&gt;0,'TS2'!BK42,0)</f>
        <v>0</v>
      </c>
      <c r="BL17" s="133">
        <f>IF(BL8&gt;0,'TS2'!BL42,0)</f>
        <v>0</v>
      </c>
      <c r="BM17" s="133">
        <f>IF(BM8&gt;0,'TS2'!BM42,0)</f>
        <v>0</v>
      </c>
    </row>
    <row r="18" spans="2:65" hidden="1" outlineLevel="1">
      <c r="B18" s="130" t="str">
        <f t="shared" si="3"/>
        <v>АПАРТАМЕНТЫ</v>
      </c>
      <c r="C18" s="28"/>
      <c r="D18" s="131" t="s">
        <v>481</v>
      </c>
      <c r="E18" s="132">
        <f t="shared" ref="E18:E23" si="4">IFERROR(E27/E9*1000,0)</f>
        <v>0</v>
      </c>
      <c r="F18" s="551">
        <f>IF(F9=0,,IF(F9&gt;0,IF(E18=0,'DB2'!$R$9*(1+'DB2'!$O$9),E18+'DB2'!$R$9*(100%-(1+'DB2'!$O$9))/SUMPRODUCT('TS2'!$F$45:$BM$45,'TS2'!$F$57:$BM$57)),))</f>
        <v>0</v>
      </c>
      <c r="G18" s="551">
        <f>IF(G9=0,,IF(G9&gt;0,IF(F18=0,'DB2'!$R$9*(1+'DB2'!$O$9),F18+'DB2'!$R$9*(100%-(1+'DB2'!$O$9))/SUMPRODUCT('TS2'!$F$45:$BM$45,'TS2'!$F$57:$BM$57)),))</f>
        <v>0</v>
      </c>
      <c r="H18" s="551">
        <f>IF(H9=0,,IF(H9&gt;0,IF(G18=0,'DB2'!$R$9*(1+'DB2'!$O$9),G18+'DB2'!$R$9*(100%-(1+'DB2'!$O$9))/SUMPRODUCT('TS2'!$F$45:$BM$45,'TS2'!$F$57:$BM$57)),))</f>
        <v>0</v>
      </c>
      <c r="I18" s="551">
        <f>IF(I9=0,,IF(I9&gt;0,IF(H18=0,'DB2'!$R$9*(1+'DB2'!$O$9),H18+'DB2'!$R$9*(100%-(1+'DB2'!$O$9))/SUMPRODUCT('TS2'!$F$45:$BM$45,'TS2'!$F$57:$BM$57)),))</f>
        <v>0</v>
      </c>
      <c r="J18" s="551">
        <f>IF(J9=0,,IF(J9&gt;0,IF(I18=0,'DB2'!$R$9*(1+'DB2'!$O$9),I18+'DB2'!$R$9*(100%-(1+'DB2'!$O$9))/SUMPRODUCT('TS2'!$F$45:$BM$45,'TS2'!$F$57:$BM$57)),))</f>
        <v>0</v>
      </c>
      <c r="K18" s="551">
        <f>IF(K9=0,,IF(K9&gt;0,IF(J18=0,'DB2'!$R$9*(1+'DB2'!$O$9),J18+'DB2'!$R$9*(100%-(1+'DB2'!$O$9))/SUMPRODUCT('TS2'!$F$45:$BM$45,'TS2'!$F$57:$BM$57)),))</f>
        <v>0</v>
      </c>
      <c r="L18" s="551">
        <f>IF(L9=0,,IF(L9&gt;0,IF(K18=0,'DB2'!$R$9*(1+'DB2'!$O$9),K18+'DB2'!$R$9*(100%-(1+'DB2'!$O$9))/SUMPRODUCT('TS2'!$F$45:$BM$45,'TS2'!$F$57:$BM$57)),))</f>
        <v>0</v>
      </c>
      <c r="M18" s="551">
        <f>IF(M9=0,,IF(M9&gt;0,IF(L18=0,'DB2'!$R$9*(1+'DB2'!$O$9),L18+'DB2'!$R$9*(100%-(1+'DB2'!$O$9))/SUMPRODUCT('TS2'!$F$45:$BM$45,'TS2'!$F$57:$BM$57)),))</f>
        <v>0</v>
      </c>
      <c r="N18" s="133">
        <f>IF(N9=0,,IF(N9&gt;0,IF(M18=0,'DB2'!$R$9*(1+'DB2'!$O$9),M18+'DB2'!$R$9*(100%-(1+'DB2'!$O$9))/SUMPRODUCT('TS2'!$F$45:$BM$45,'TS2'!$F$57:$BM$57)),))</f>
        <v>0</v>
      </c>
      <c r="O18" s="133">
        <f>IF(O9=0,,IF(O9&gt;0,IF(N18=0,'DB2'!$R$9*(1+'DB2'!$O$9),N18+'DB2'!$R$9*(100%-(1+'DB2'!$O$9))/SUMPRODUCT('TS2'!$F$45:$BM$45,'TS2'!$F$57:$BM$57)),))</f>
        <v>0</v>
      </c>
      <c r="P18" s="133">
        <f>IF(P9=0,,IF(P9&gt;0,IF(O18=0,'DB2'!$R$9*(1+'DB2'!$O$9),O18+'DB2'!$R$9*(100%-(1+'DB2'!$O$9))/SUMPRODUCT('TS2'!$F$45:$BM$45,'TS2'!$F$57:$BM$57)),))</f>
        <v>0</v>
      </c>
      <c r="Q18" s="133">
        <f>IF(Q9=0,,IF(Q9&gt;0,IF(P18=0,'DB2'!$R$9*(1+'DB2'!$O$9),P18+'DB2'!$R$9*(100%-(1+'DB2'!$O$9))/SUMPRODUCT('TS2'!$F$45:$BM$45,'TS2'!$F$57:$BM$57)),))</f>
        <v>0</v>
      </c>
      <c r="R18" s="133">
        <f>IF(R9=0,,IF(R9&gt;0,IF(Q18=0,'DB2'!$R$9*(1+'DB2'!$O$9),Q18+'DB2'!$R$9*(100%-(1+'DB2'!$O$9))/SUMPRODUCT('TS2'!$F$45:$BM$45,'TS2'!$F$57:$BM$57)),))</f>
        <v>0</v>
      </c>
      <c r="S18" s="133">
        <f>IF(S9=0,,IF(S9&gt;0,IF(R18=0,'DB2'!$R$9*(1+'DB2'!$O$9),R18+'DB2'!$R$9*(100%-(1+'DB2'!$O$9))/SUMPRODUCT('TS2'!$F$45:$BM$45,'TS2'!$F$57:$BM$57)),))</f>
        <v>0</v>
      </c>
      <c r="T18" s="133">
        <f>IF(T9=0,,IF(T9&gt;0,IF(S18=0,'DB2'!$R$9*(1+'DB2'!$O$9),S18+'DB2'!$R$9*(100%-(1+'DB2'!$O$9))/SUMPRODUCT('TS2'!$F$45:$BM$45,'TS2'!$F$57:$BM$57)),))</f>
        <v>0</v>
      </c>
      <c r="U18" s="133">
        <f>IF(U9=0,,IF(U9&gt;0,IF(T18=0,'DB2'!$R$9*(1+'DB2'!$O$9),T18+'DB2'!$R$9*(100%-(1+'DB2'!$O$9))/SUMPRODUCT('TS2'!$F$45:$BM$45,'TS2'!$F$57:$BM$57)),))</f>
        <v>0</v>
      </c>
      <c r="V18" s="133">
        <f>IF(V9=0,,IF(V9&gt;0,IF(U18=0,'DB2'!$R$9*(1+'DB2'!$O$9),U18+'DB2'!$R$9*(100%-(1+'DB2'!$O$9))/SUMPRODUCT('TS2'!$F$45:$BM$45,'TS2'!$F$57:$BM$57)),))</f>
        <v>0</v>
      </c>
      <c r="W18" s="133">
        <f>IF(W9=0,,IF(W9&gt;0,IF(V18=0,'DB2'!$R$9*(1+'DB2'!$O$9),V18+'DB2'!$R$9*(100%-(1+'DB2'!$O$9))/SUMPRODUCT('TS2'!$F$45:$BM$45,'TS2'!$F$57:$BM$57)),))</f>
        <v>0</v>
      </c>
      <c r="X18" s="133">
        <f>IF(X9=0,,IF(X9&gt;0,IF(W18=0,'DB2'!$R$9*(1+'DB2'!$O$9),W18+'DB2'!$R$9*(100%-(1+'DB2'!$O$9))/SUMPRODUCT('TS2'!$F$45:$BM$45,'TS2'!$F$57:$BM$57)),))</f>
        <v>0</v>
      </c>
      <c r="Y18" s="133">
        <f>IF(Y9=0,,IF(Y9&gt;0,IF(X18=0,'DB2'!$R$9*(1+'DB2'!$O$9),X18+'DB2'!$R$9*(100%-(1+'DB2'!$O$9))/SUMPRODUCT('TS2'!$F$45:$BM$45,'TS2'!$F$57:$BM$57)),))</f>
        <v>0</v>
      </c>
      <c r="Z18" s="133">
        <f>IF(Z9=0,,IF(Z9&gt;0,IF(Y18=0,'DB2'!$R$9*(1+'DB2'!$O$9),Y18+'DB2'!$R$9*(100%-(1+'DB2'!$O$9))/SUMPRODUCT('TS2'!$F$45:$BM$45,'TS2'!$F$57:$BM$57)),))</f>
        <v>0</v>
      </c>
      <c r="AA18" s="133">
        <f>IF(AA9=0,,IF(AA9&gt;0,IF(Z18=0,'DB2'!$R$9*(1+'DB2'!$O$9),Z18+'DB2'!$R$9*(100%-(1+'DB2'!$O$9))/SUMPRODUCT('TS2'!$F$45:$BM$45,'TS2'!$F$57:$BM$57)),))</f>
        <v>0</v>
      </c>
      <c r="AB18" s="133">
        <f>IF(AB9=0,,IF(AB9&gt;0,IF(AA18=0,'DB2'!$R$9*(1+'DB2'!$O$9),AA18+'DB2'!$R$9*(100%-(1+'DB2'!$O$9))/SUMPRODUCT('TS2'!$F$45:$BM$45,'TS2'!$F$57:$BM$57)),))</f>
        <v>0</v>
      </c>
      <c r="AC18" s="133">
        <f>IF(AC9=0,,IF(AC9&gt;0,IF(AB18=0,'DB2'!$R$9*(1+'DB2'!$O$9),AB18+'DB2'!$R$9*(100%-(1+'DB2'!$O$9))/SUMPRODUCT('TS2'!$F$45:$BM$45,'TS2'!$F$57:$BM$57)),))</f>
        <v>0</v>
      </c>
      <c r="AD18" s="133">
        <f>IF(AD9=0,,IF(AD9&gt;0,IF(AC18=0,'DB2'!$R$9*(1+'DB2'!$O$9),AC18+'DB2'!$R$9*(100%-(1+'DB2'!$O$9))/SUMPRODUCT('TS2'!$F$45:$BM$45,'TS2'!$F$57:$BM$57)),))</f>
        <v>0</v>
      </c>
      <c r="AE18" s="133">
        <f>IF(AE9=0,,IF(AE9&gt;0,IF(AD18=0,'DB2'!$R$9*(1+'DB2'!$O$9),AD18+'DB2'!$R$9*(100%-(1+'DB2'!$O$9))/SUMPRODUCT('TS2'!$F$45:$BM$45,'TS2'!$F$57:$BM$57)),))</f>
        <v>0</v>
      </c>
      <c r="AF18" s="133">
        <f>IF(AF9=0,,IF(AF9&gt;0,IF(AE18=0,'DB2'!$R$9*(1+'DB2'!$O$9),AE18+'DB2'!$R$9*(100%-(1+'DB2'!$O$9))/SUMPRODUCT('TS2'!$F$45:$BM$45,'TS2'!$F$57:$BM$57)),))</f>
        <v>0</v>
      </c>
      <c r="AG18" s="133">
        <f>IF(AG9=0,,IF(AG9&gt;0,IF(AF18=0,'DB2'!$R$9*(1+'DB2'!$O$9),AF18+'DB2'!$R$9*(100%-(1+'DB2'!$O$9))/SUMPRODUCT('TS2'!$F$45:$BM$45,'TS2'!$F$57:$BM$57)),))</f>
        <v>0</v>
      </c>
      <c r="AH18" s="133">
        <f>IF(AH9=0,,IF(AH9&gt;0,IF(AG18=0,'DB2'!$R$9*(1+'DB2'!$O$9),AG18+'DB2'!$R$9*(100%-(1+'DB2'!$O$9))/SUMPRODUCT('TS2'!$F$45:$BM$45,'TS2'!$F$57:$BM$57)),))</f>
        <v>0</v>
      </c>
      <c r="AI18" s="133">
        <f>IF(AI9=0,,IF(AI9&gt;0,IF(AH18=0,'DB2'!$R$9*(1+'DB2'!$O$9),AH18+'DB2'!$R$9*(100%-(1+'DB2'!$O$9))/SUMPRODUCT('TS2'!$F$45:$BM$45,'TS2'!$F$57:$BM$57)),))</f>
        <v>0</v>
      </c>
      <c r="AJ18" s="133">
        <f>IF(AJ9=0,,IF(AJ9&gt;0,IF(AI18=0,'DB2'!$R$9*(1+'DB2'!$O$9),AI18+'DB2'!$R$9*(100%-(1+'DB2'!$O$9))/SUMPRODUCT('TS2'!$F$45:$BM$45,'TS2'!$F$57:$BM$57)),))</f>
        <v>0</v>
      </c>
      <c r="AK18" s="133">
        <f>IF(AK9=0,,IF(AK9&gt;0,IF(AJ18=0,'DB2'!$R$9*(1+'DB2'!$O$9),AJ18+'DB2'!$R$9*(100%-(1+'DB2'!$O$9))/SUMPRODUCT('TS2'!$F$45:$BM$45,'TS2'!$F$57:$BM$57)),))</f>
        <v>0</v>
      </c>
      <c r="AL18" s="133">
        <f>IF(AL9=0,,IF(AL9&gt;0,IF(AK18=0,'DB2'!$R$9*(1+'DB2'!$O$9),AK18+'DB2'!$R$9*(100%-(1+'DB2'!$O$9))/SUMPRODUCT('TS2'!$F$45:$BM$45,'TS2'!$F$57:$BM$57)),))</f>
        <v>0</v>
      </c>
      <c r="AM18" s="133">
        <f>IF(AM9=0,,IF(AM9&gt;0,IF(AL18=0,'DB2'!$R$9*(1+'DB2'!$O$9),AL18+'DB2'!$R$9*(100%-(1+'DB2'!$O$9))/SUMPRODUCT('TS2'!$F$45:$BM$45,'TS2'!$F$57:$BM$57)),))</f>
        <v>0</v>
      </c>
      <c r="AN18" s="133">
        <f>IF(AN9=0,,IF(AN9&gt;0,IF(AM18=0,'DB2'!$R$9*(1+'DB2'!$O$9),AM18+'DB2'!$R$9*(100%-(1+'DB2'!$O$9))/SUMPRODUCT('TS2'!$F$45:$BM$45,'TS2'!$F$57:$BM$57)),))</f>
        <v>0</v>
      </c>
      <c r="AO18" s="133">
        <f>IF(AO9=0,,IF(AO9&gt;0,IF(AN18=0,'DB2'!$R$9*(1+'DB2'!$O$9),AN18+'DB2'!$R$9*(100%-(1+'DB2'!$O$9))/SUMPRODUCT('TS2'!$F$45:$BM$45,'TS2'!$F$57:$BM$57)),))</f>
        <v>0</v>
      </c>
      <c r="AP18" s="133">
        <f>IF(AP9=0,,IF(AP9&gt;0,IF(AO18=0,'DB2'!$R$9*(1+'DB2'!$O$9),AO18+'DB2'!$R$9*(100%-(1+'DB2'!$O$9))/SUMPRODUCT('TS2'!$F$45:$BM$45,'TS2'!$F$57:$BM$57)),))</f>
        <v>0</v>
      </c>
      <c r="AQ18" s="133">
        <f>IF(AQ9=0,,IF(AQ9&gt;0,IF(AP18=0,'DB2'!$R$9*(1+'DB2'!$O$9),AP18+'DB2'!$R$9*(100%-(1+'DB2'!$O$9))/SUMPRODUCT('TS2'!$F$45:$BM$45,'TS2'!$F$57:$BM$57)),))</f>
        <v>0</v>
      </c>
      <c r="AR18" s="133">
        <f>IF(AR9=0,,IF(AR9&gt;0,IF(AQ18=0,'DB2'!$R$9*(1+'DB2'!$O$9),AQ18+'DB2'!$R$9*(100%-(1+'DB2'!$O$9))/SUMPRODUCT('TS2'!$F$45:$BM$45,'TS2'!$F$57:$BM$57)),))</f>
        <v>0</v>
      </c>
      <c r="AS18" s="133">
        <f>IF(AS9=0,,IF(AS9&gt;0,IF(AR18=0,'DB2'!$R$9*(1+'DB2'!$O$9),AR18+'DB2'!$R$9*(100%-(1+'DB2'!$O$9))/SUMPRODUCT('TS2'!$F$45:$BM$45,'TS2'!$F$57:$BM$57)),))</f>
        <v>0</v>
      </c>
      <c r="AT18" s="133">
        <f>IF(AT9=0,,IF(AT9&gt;0,IF(AS18=0,'DB2'!$R$9*(1+'DB2'!$O$9),AS18+'DB2'!$R$9*(100%-(1+'DB2'!$O$9))/SUMPRODUCT('TS2'!$F$45:$BM$45,'TS2'!$F$57:$BM$57)),))</f>
        <v>0</v>
      </c>
      <c r="AU18" s="133">
        <f>IF(AU9=0,,IF(AU9&gt;0,IF(AT18=0,'DB2'!$R$9*(1+'DB2'!$O$9),AT18+'DB2'!$R$9*(100%-(1+'DB2'!$O$9))/SUMPRODUCT('TS2'!$F$45:$BM$45,'TS2'!$F$57:$BM$57)),))</f>
        <v>0</v>
      </c>
      <c r="AV18" s="133">
        <f>IF(AV9=0,,IF(AV9&gt;0,IF(AU18=0,'DB2'!$R$9*(1+'DB2'!$O$9),AU18+'DB2'!$R$9*(100%-(1+'DB2'!$O$9))/SUMPRODUCT('TS2'!$F$45:$BM$45,'TS2'!$F$57:$BM$57)),))</f>
        <v>0</v>
      </c>
      <c r="AW18" s="133">
        <f>IF(AW9=0,,IF(AW9&gt;0,IF(AV18=0,'DB2'!$R$9*(1+'DB2'!$O$9),AV18+'DB2'!$R$9*(100%-(1+'DB2'!$O$9))/SUMPRODUCT('TS2'!$F$45:$BM$45,'TS2'!$F$57:$BM$57)),))</f>
        <v>0</v>
      </c>
      <c r="AX18" s="133">
        <f>IF(AX9=0,,IF(AX9&gt;0,IF(AW18=0,'DB2'!$R$9*(1+'DB2'!$O$9),AW18+'DB2'!$R$9*(100%-(1+'DB2'!$O$9))/SUMPRODUCT('TS2'!$F$45:$BM$45,'TS2'!$F$57:$BM$57)),))</f>
        <v>0</v>
      </c>
      <c r="AY18" s="133">
        <f>IF(AY9=0,,IF(AY9&gt;0,IF(AX18=0,'DB2'!$R$9*(1+'DB2'!$O$9),AX18+'DB2'!$R$9*(100%-(1+'DB2'!$O$9))/SUMPRODUCT('TS2'!$F$45:$BM$45,'TS2'!$F$57:$BM$57)),))</f>
        <v>0</v>
      </c>
      <c r="AZ18" s="133">
        <f>IF(AZ9=0,,IF(AZ9&gt;0,IF(AY18=0,'DB2'!$R$9*(1+'DB2'!$O$9),AY18+'DB2'!$R$9*(100%-(1+'DB2'!$O$9))/SUMPRODUCT('TS2'!$F$45:$BM$45,'TS2'!$F$57:$BM$57)),))</f>
        <v>0</v>
      </c>
      <c r="BA18" s="133">
        <f>IF(BA9=0,,IF(BA9&gt;0,IF(AZ18=0,'DB2'!$R$9*(1+'DB2'!$O$9),AZ18+'DB2'!$R$9*(100%-(1+'DB2'!$O$9))/SUMPRODUCT('TS2'!$F$45:$BM$45,'TS2'!$F$57:$BM$57)),))</f>
        <v>0</v>
      </c>
      <c r="BB18" s="133">
        <f>IF(BB9=0,,IF(BB9&gt;0,IF(BA18=0,'DB2'!$R$9*(1+'DB2'!$O$9),BA18+'DB2'!$R$9*(100%-(1+'DB2'!$O$9))/SUMPRODUCT('TS2'!$F$45:$BM$45,'TS2'!$F$57:$BM$57)),))</f>
        <v>0</v>
      </c>
      <c r="BC18" s="133">
        <f>IF(BC9=0,,IF(BC9&gt;0,IF(BB18=0,'DB2'!$R$9*(1+'DB2'!$O$9),BB18+'DB2'!$R$9*(100%-(1+'DB2'!$O$9))/SUMPRODUCT('TS2'!$F$45:$BM$45,'TS2'!$F$57:$BM$57)),))</f>
        <v>0</v>
      </c>
      <c r="BD18" s="133">
        <f>IF(BD9=0,,IF(BD9&gt;0,IF(BC18=0,'DB2'!$R$9*(1+'DB2'!$O$9),BC18+'DB2'!$R$9*(100%-(1+'DB2'!$O$9))/SUMPRODUCT('TS2'!$F$45:$BM$45,'TS2'!$F$57:$BM$57)),))</f>
        <v>0</v>
      </c>
      <c r="BE18" s="133">
        <f>IF(BE9=0,,IF(BE9&gt;0,IF(BD18=0,'DB2'!$R$9*(1+'DB2'!$O$9),BD18+'DB2'!$R$9*(100%-(1+'DB2'!$O$9))/SUMPRODUCT('TS2'!$F$45:$BM$45,'TS2'!$F$57:$BM$57)),))</f>
        <v>0</v>
      </c>
      <c r="BF18" s="133">
        <f>IF(BF9=0,,IF(BF9&gt;0,IF(BE18=0,'DB2'!$R$9*(1+'DB2'!$O$9),BE18+'DB2'!$R$9*(100%-(1+'DB2'!$O$9))/SUMPRODUCT('TS2'!$F$45:$BM$45,'TS2'!$F$57:$BM$57)),))</f>
        <v>0</v>
      </c>
      <c r="BG18" s="133">
        <f>IF(BG9=0,,IF(BG9&gt;0,IF(BF18=0,'DB2'!$R$9*(1+'DB2'!$O$9),BF18+'DB2'!$R$9*(100%-(1+'DB2'!$O$9))/SUMPRODUCT('TS2'!$F$45:$BM$45,'TS2'!$F$57:$BM$57)),))</f>
        <v>0</v>
      </c>
      <c r="BH18" s="133">
        <f>IF(BH9=0,,IF(BH9&gt;0,IF(BG18=0,'DB2'!$R$9*(1+'DB2'!$O$9),BG18+'DB2'!$R$9*(100%-(1+'DB2'!$O$9))/SUMPRODUCT('TS2'!$F$45:$BM$45,'TS2'!$F$57:$BM$57)),))</f>
        <v>0</v>
      </c>
      <c r="BI18" s="133">
        <f>IF(BI9=0,,IF(BI9&gt;0,IF(BH18=0,'DB2'!$R$9*(1+'DB2'!$O$9),BH18+'DB2'!$R$9*(100%-(1+'DB2'!$O$9))/SUMPRODUCT('TS2'!$F$45:$BM$45,'TS2'!$F$57:$BM$57)),))</f>
        <v>0</v>
      </c>
      <c r="BJ18" s="133">
        <f>IF(BJ9=0,,IF(BJ9&gt;0,IF(BI18=0,'DB2'!$R$9*(1+'DB2'!$O$9),BI18+'DB2'!$R$9*(100%-(1+'DB2'!$O$9))/SUMPRODUCT('TS2'!$F$45:$BM$45,'TS2'!$F$57:$BM$57)),))</f>
        <v>0</v>
      </c>
      <c r="BK18" s="133">
        <f>IF(BK9=0,,IF(BK9&gt;0,IF(BJ18=0,'DB2'!$R$9*(1+'DB2'!$O$9),BJ18+'DB2'!$R$9*(100%-(1+'DB2'!$O$9))/SUMPRODUCT('TS2'!$F$45:$BM$45,'TS2'!$F$57:$BM$57)),))</f>
        <v>0</v>
      </c>
      <c r="BL18" s="133">
        <f>IF(BL9=0,,IF(BL9&gt;0,IF(BK18=0,'DB2'!$R$9*(1+'DB2'!$O$9),BK18+'DB2'!$R$9*(100%-(1+'DB2'!$O$9))/SUMPRODUCT('TS2'!$F$45:$BM$45,'TS2'!$F$57:$BM$57)),))</f>
        <v>0</v>
      </c>
      <c r="BM18" s="133">
        <f>IF(BM9=0,,IF(BM9&gt;0,IF(BL18=0,'DB2'!$R$9*(1+'DB2'!$O$9),BL18+'DB2'!$R$9*(100%-(1+'DB2'!$O$9))/SUMPRODUCT('TS2'!$F$45:$BM$45,'TS2'!$F$57:$BM$57)),))</f>
        <v>0</v>
      </c>
    </row>
    <row r="19" spans="2:65" hidden="1" outlineLevel="1">
      <c r="B19" s="130" t="str">
        <f t="shared" si="3"/>
        <v>ОФИСЫ</v>
      </c>
      <c r="C19" s="28"/>
      <c r="D19" s="131" t="s">
        <v>481</v>
      </c>
      <c r="E19" s="132">
        <f t="shared" si="4"/>
        <v>0</v>
      </c>
      <c r="F19" s="551">
        <f>IF(F10=0,,IF(F10&gt;0,IF(E19=0,'DB2'!$R$10*(1+'DB2'!$O$10),E19+'DB2'!$R$10*(100%-(1+'DB2'!$O$10))/SUMPRODUCT('TS2'!$F$47:$BM$47,'TS2'!$F$58:$BM$58)),))</f>
        <v>0</v>
      </c>
      <c r="G19" s="551">
        <f>IF(G10=0,,IF(G10&gt;0,IF(F19=0,'DB2'!$R$10*(1+'DB2'!$O$10),F19+'DB2'!$R$10*(100%-(1+'DB2'!$O$10))/SUMPRODUCT('TS2'!$F$47:$BM$47,'TS2'!$F$58:$BM$58)),))</f>
        <v>0</v>
      </c>
      <c r="H19" s="551">
        <f>IF(H10=0,,IF(H10&gt;0,IF(G19=0,'DB2'!$R$10*(1+'DB2'!$O$10),G19+'DB2'!$R$10*(100%-(1+'DB2'!$O$10))/SUMPRODUCT('TS2'!$F$47:$BM$47,'TS2'!$F$58:$BM$58)),))</f>
        <v>0</v>
      </c>
      <c r="I19" s="551">
        <f>IF(I10=0,,IF(I10&gt;0,IF(H19=0,'DB2'!$R$10*(1+'DB2'!$O$10),H19+'DB2'!$R$10*(100%-(1+'DB2'!$O$10))/SUMPRODUCT('TS2'!$F$47:$BM$47,'TS2'!$F$58:$BM$58)),))</f>
        <v>0</v>
      </c>
      <c r="J19" s="551">
        <f>IF(J10=0,,IF(J10&gt;0,IF(I19=0,'DB2'!$R$10*(1+'DB2'!$O$10),I19+'DB2'!$R$10*(100%-(1+'DB2'!$O$10))/SUMPRODUCT('TS2'!$F$47:$BM$47,'TS2'!$F$58:$BM$58)),))</f>
        <v>0</v>
      </c>
      <c r="K19" s="551">
        <f>IF(K10=0,,IF(K10&gt;0,IF(J19=0,'DB2'!$R$10*(1+'DB2'!$O$10),J19+'DB2'!$R$10*(100%-(1+'DB2'!$O$10))/SUMPRODUCT('TS2'!$F$47:$BM$47,'TS2'!$F$58:$BM$58)),))</f>
        <v>0</v>
      </c>
      <c r="L19" s="551">
        <f>IF(L10=0,,IF(L10&gt;0,IF(K19=0,'DB2'!$R$10*(1+'DB2'!$O$10),K19+'DB2'!$R$10*(100%-(1+'DB2'!$O$10))/SUMPRODUCT('TS2'!$F$47:$BM$47,'TS2'!$F$58:$BM$58)),))</f>
        <v>0</v>
      </c>
      <c r="M19" s="551">
        <f>IF(M10=0,,IF(M10&gt;0,IF(L19=0,'DB2'!$R$10*(1+'DB2'!$O$10),L19+'DB2'!$R$10*(100%-(1+'DB2'!$O$10))/SUMPRODUCT('TS2'!$F$47:$BM$47,'TS2'!$F$58:$BM$58)),))</f>
        <v>0</v>
      </c>
      <c r="N19" s="133">
        <f>IF(N10=0,,IF(N10&gt;0,IF(M19=0,'DB2'!$R$10*(1+'DB2'!$O$10),M19+'DB2'!$R$10*(100%-(1+'DB2'!$O$10))/SUMPRODUCT('TS2'!$F$47:$BM$47,'TS2'!$F$58:$BM$58)),))</f>
        <v>0</v>
      </c>
      <c r="O19" s="133">
        <f>IF(O10=0,,IF(O10&gt;0,IF(N19=0,'DB2'!$R$10*(1+'DB2'!$O$10),N19+'DB2'!$R$10*(100%-(1+'DB2'!$O$10))/SUMPRODUCT('TS2'!$F$47:$BM$47,'TS2'!$F$58:$BM$58)),))</f>
        <v>0</v>
      </c>
      <c r="P19" s="133">
        <f>IF(P10=0,,IF(P10&gt;0,IF(O19=0,'DB2'!$R$10*(1+'DB2'!$O$10),O19+'DB2'!$R$10*(100%-(1+'DB2'!$O$10))/SUMPRODUCT('TS2'!$F$47:$BM$47,'TS2'!$F$58:$BM$58)),))</f>
        <v>0</v>
      </c>
      <c r="Q19" s="133">
        <f>IF(Q10=0,,IF(Q10&gt;0,IF(P19=0,'DB2'!$R$10*(1+'DB2'!$O$10),P19+'DB2'!$R$10*(100%-(1+'DB2'!$O$10))/SUMPRODUCT('TS2'!$F$47:$BM$47,'TS2'!$F$58:$BM$58)),))</f>
        <v>0</v>
      </c>
      <c r="R19" s="133">
        <f>IF(R10=0,,IF(R10&gt;0,IF(Q19=0,'DB2'!$R$10*(1+'DB2'!$O$10),Q19+'DB2'!$R$10*(100%-(1+'DB2'!$O$10))/SUMPRODUCT('TS2'!$F$47:$BM$47,'TS2'!$F$58:$BM$58)),))</f>
        <v>0</v>
      </c>
      <c r="S19" s="133">
        <f>IF(S10=0,,IF(S10&gt;0,IF(R19=0,'DB2'!$R$10*(1+'DB2'!$O$10),R19+'DB2'!$R$10*(100%-(1+'DB2'!$O$10))/SUMPRODUCT('TS2'!$F$47:$BM$47,'TS2'!$F$58:$BM$58)),))</f>
        <v>0</v>
      </c>
      <c r="T19" s="133">
        <f>IF(T10=0,,IF(T10&gt;0,IF(S19=0,'DB2'!$R$10*(1+'DB2'!$O$10),S19+'DB2'!$R$10*(100%-(1+'DB2'!$O$10))/SUMPRODUCT('TS2'!$F$47:$BM$47,'TS2'!$F$58:$BM$58)),))</f>
        <v>0</v>
      </c>
      <c r="U19" s="133">
        <f>IF(U10=0,,IF(U10&gt;0,IF(T19=0,'DB2'!$R$10*(1+'DB2'!$O$10),T19+'DB2'!$R$10*(100%-(1+'DB2'!$O$10))/SUMPRODUCT('TS2'!$F$47:$BM$47,'TS2'!$F$58:$BM$58)),))</f>
        <v>0</v>
      </c>
      <c r="V19" s="133">
        <f>IF(V10=0,,IF(V10&gt;0,IF(U19=0,'DB2'!$R$10*(1+'DB2'!$O$10),U19+'DB2'!$R$10*(100%-(1+'DB2'!$O$10))/SUMPRODUCT('TS2'!$F$47:$BM$47,'TS2'!$F$58:$BM$58)),))</f>
        <v>0</v>
      </c>
      <c r="W19" s="133">
        <f>IF(W10=0,,IF(W10&gt;0,IF(V19=0,'DB2'!$R$10*(1+'DB2'!$O$10),V19+'DB2'!$R$10*(100%-(1+'DB2'!$O$10))/SUMPRODUCT('TS2'!$F$47:$BM$47,'TS2'!$F$58:$BM$58)),))</f>
        <v>0</v>
      </c>
      <c r="X19" s="133">
        <f>IF(X10=0,,IF(X10&gt;0,IF(W19=0,'DB2'!$R$10*(1+'DB2'!$O$10),W19+'DB2'!$R$10*(100%-(1+'DB2'!$O$10))/SUMPRODUCT('TS2'!$F$47:$BM$47,'TS2'!$F$58:$BM$58)),))</f>
        <v>0</v>
      </c>
      <c r="Y19" s="133">
        <f>IF(Y10=0,,IF(Y10&gt;0,IF(X19=0,'DB2'!$R$10*(1+'DB2'!$O$10),X19+'DB2'!$R$10*(100%-(1+'DB2'!$O$10))/SUMPRODUCT('TS2'!$F$47:$BM$47,'TS2'!$F$58:$BM$58)),))</f>
        <v>0</v>
      </c>
      <c r="Z19" s="133">
        <f>IF(Z10=0,,IF(Z10&gt;0,IF(Y19=0,'DB2'!$R$10*(1+'DB2'!$O$10),Y19+'DB2'!$R$10*(100%-(1+'DB2'!$O$10))/SUMPRODUCT('TS2'!$F$47:$BM$47,'TS2'!$F$58:$BM$58)),))</f>
        <v>0</v>
      </c>
      <c r="AA19" s="133">
        <f>IF(AA10=0,,IF(AA10&gt;0,IF(Z19=0,'DB2'!$R$10*(1+'DB2'!$O$10),Z19+'DB2'!$R$10*(100%-(1+'DB2'!$O$10))/SUMPRODUCT('TS2'!$F$47:$BM$47,'TS2'!$F$58:$BM$58)),))</f>
        <v>0</v>
      </c>
      <c r="AB19" s="133">
        <f>IF(AB10=0,,IF(AB10&gt;0,IF(AA19=0,'DB2'!$R$10*(1+'DB2'!$O$10),AA19+'DB2'!$R$10*(100%-(1+'DB2'!$O$10))/SUMPRODUCT('TS2'!$F$47:$BM$47,'TS2'!$F$58:$BM$58)),))</f>
        <v>0</v>
      </c>
      <c r="AC19" s="133">
        <f>IF(AC10=0,,IF(AC10&gt;0,IF(AB19=0,'DB2'!$R$10*(1+'DB2'!$O$10),AB19+'DB2'!$R$10*(100%-(1+'DB2'!$O$10))/SUMPRODUCT('TS2'!$F$47:$BM$47,'TS2'!$F$58:$BM$58)),))</f>
        <v>0</v>
      </c>
      <c r="AD19" s="133">
        <f>IF(AD10=0,,IF(AD10&gt;0,IF(AC19=0,'DB2'!$R$10*(1+'DB2'!$O$10),AC19+'DB2'!$R$10*(100%-(1+'DB2'!$O$10))/SUMPRODUCT('TS2'!$F$47:$BM$47,'TS2'!$F$58:$BM$58)),))</f>
        <v>0</v>
      </c>
      <c r="AE19" s="133">
        <f>IF(AE10=0,,IF(AE10&gt;0,IF(AD19=0,'DB2'!$R$10*(1+'DB2'!$O$10),AD19+'DB2'!$R$10*(100%-(1+'DB2'!$O$10))/SUMPRODUCT('TS2'!$F$47:$BM$47,'TS2'!$F$58:$BM$58)),))</f>
        <v>0</v>
      </c>
      <c r="AF19" s="133">
        <f>IF(AF10=0,,IF(AF10&gt;0,IF(AE19=0,'DB2'!$R$10*(1+'DB2'!$O$10),AE19+'DB2'!$R$10*(100%-(1+'DB2'!$O$10))/SUMPRODUCT('TS2'!$F$47:$BM$47,'TS2'!$F$58:$BM$58)),))</f>
        <v>0</v>
      </c>
      <c r="AG19" s="133">
        <f>IF(AG10=0,,IF(AG10&gt;0,IF(AF19=0,'DB2'!$R$10*(1+'DB2'!$O$10),AF19+'DB2'!$R$10*(100%-(1+'DB2'!$O$10))/SUMPRODUCT('TS2'!$F$47:$BM$47,'TS2'!$F$58:$BM$58)),))</f>
        <v>0</v>
      </c>
      <c r="AH19" s="133">
        <f>IF(AH10=0,,IF(AH10&gt;0,IF(AG19=0,'DB2'!$R$10*(1+'DB2'!$O$10),AG19+'DB2'!$R$10*(100%-(1+'DB2'!$O$10))/SUMPRODUCT('TS2'!$F$47:$BM$47,'TS2'!$F$58:$BM$58)),))</f>
        <v>0</v>
      </c>
      <c r="AI19" s="133">
        <f>IF(AI10=0,,IF(AI10&gt;0,IF(AH19=0,'DB2'!$R$10*(1+'DB2'!$O$10),AH19+'DB2'!$R$10*(100%-(1+'DB2'!$O$10))/SUMPRODUCT('TS2'!$F$47:$BM$47,'TS2'!$F$58:$BM$58)),))</f>
        <v>0</v>
      </c>
      <c r="AJ19" s="133">
        <f>IF(AJ10=0,,IF(AJ10&gt;0,IF(AI19=0,'DB2'!$R$10*(1+'DB2'!$O$10),AI19+'DB2'!$R$10*(100%-(1+'DB2'!$O$10))/SUMPRODUCT('TS2'!$F$47:$BM$47,'TS2'!$F$58:$BM$58)),))</f>
        <v>0</v>
      </c>
      <c r="AK19" s="133">
        <f>IF(AK10=0,,IF(AK10&gt;0,IF(AJ19=0,'DB2'!$R$10*(1+'DB2'!$O$10),AJ19+'DB2'!$R$10*(100%-(1+'DB2'!$O$10))/SUMPRODUCT('TS2'!$F$47:$BM$47,'TS2'!$F$58:$BM$58)),))</f>
        <v>0</v>
      </c>
      <c r="AL19" s="133">
        <f>IF(AL10=0,,IF(AL10&gt;0,IF(AK19=0,'DB2'!$R$10*(1+'DB2'!$O$10),AK19+'DB2'!$R$10*(100%-(1+'DB2'!$O$10))/SUMPRODUCT('TS2'!$F$47:$BM$47,'TS2'!$F$58:$BM$58)),))</f>
        <v>0</v>
      </c>
      <c r="AM19" s="133">
        <f>IF(AM10=0,,IF(AM10&gt;0,IF(AL19=0,'DB2'!$R$10*(1+'DB2'!$O$10),AL19+'DB2'!$R$10*(100%-(1+'DB2'!$O$10))/SUMPRODUCT('TS2'!$F$47:$BM$47,'TS2'!$F$58:$BM$58)),))</f>
        <v>0</v>
      </c>
      <c r="AN19" s="133">
        <f>IF(AN10=0,,IF(AN10&gt;0,IF(AM19=0,'DB2'!$R$10*(1+'DB2'!$O$10),AM19+'DB2'!$R$10*(100%-(1+'DB2'!$O$10))/SUMPRODUCT('TS2'!$F$47:$BM$47,'TS2'!$F$58:$BM$58)),))</f>
        <v>0</v>
      </c>
      <c r="AO19" s="133">
        <f>IF(AO10=0,,IF(AO10&gt;0,IF(AN19=0,'DB2'!$R$10*(1+'DB2'!$O$10),AN19+'DB2'!$R$10*(100%-(1+'DB2'!$O$10))/SUMPRODUCT('TS2'!$F$47:$BM$47,'TS2'!$F$58:$BM$58)),))</f>
        <v>0</v>
      </c>
      <c r="AP19" s="133">
        <f>IF(AP10=0,,IF(AP10&gt;0,IF(AO19=0,'DB2'!$R$10*(1+'DB2'!$O$10),AO19+'DB2'!$R$10*(100%-(1+'DB2'!$O$10))/SUMPRODUCT('TS2'!$F$47:$BM$47,'TS2'!$F$58:$BM$58)),))</f>
        <v>0</v>
      </c>
      <c r="AQ19" s="133">
        <f>IF(AQ10=0,,IF(AQ10&gt;0,IF(AP19=0,'DB2'!$R$10*(1+'DB2'!$O$10),AP19+'DB2'!$R$10*(100%-(1+'DB2'!$O$10))/SUMPRODUCT('TS2'!$F$47:$BM$47,'TS2'!$F$58:$BM$58)),))</f>
        <v>0</v>
      </c>
      <c r="AR19" s="133">
        <f>IF(AR10=0,,IF(AR10&gt;0,IF(AQ19=0,'DB2'!$R$10*(1+'DB2'!$O$10),AQ19+'DB2'!$R$10*(100%-(1+'DB2'!$O$10))/SUMPRODUCT('TS2'!$F$47:$BM$47,'TS2'!$F$58:$BM$58)),))</f>
        <v>0</v>
      </c>
      <c r="AS19" s="133">
        <f>IF(AS10=0,,IF(AS10&gt;0,IF(AR19=0,'DB2'!$R$10*(1+'DB2'!$O$10),AR19+'DB2'!$R$10*(100%-(1+'DB2'!$O$10))/SUMPRODUCT('TS2'!$F$47:$BM$47,'TS2'!$F$58:$BM$58)),))</f>
        <v>0</v>
      </c>
      <c r="AT19" s="133">
        <f>IF(AT10=0,,IF(AT10&gt;0,IF(AS19=0,'DB2'!$R$10*(1+'DB2'!$O$10),AS19+'DB2'!$R$10*(100%-(1+'DB2'!$O$10))/SUMPRODUCT('TS2'!$F$47:$BM$47,'TS2'!$F$58:$BM$58)),))</f>
        <v>0</v>
      </c>
      <c r="AU19" s="133">
        <f>IF(AU10=0,,IF(AU10&gt;0,IF(AT19=0,'DB2'!$R$10*(1+'DB2'!$O$10),AT19+'DB2'!$R$10*(100%-(1+'DB2'!$O$10))/SUMPRODUCT('TS2'!$F$47:$BM$47,'TS2'!$F$58:$BM$58)),))</f>
        <v>0</v>
      </c>
      <c r="AV19" s="133">
        <f>IF(AV10=0,,IF(AV10&gt;0,IF(AU19=0,'DB2'!$R$10*(1+'DB2'!$O$10),AU19+'DB2'!$R$10*(100%-(1+'DB2'!$O$10))/SUMPRODUCT('TS2'!$F$47:$BM$47,'TS2'!$F$58:$BM$58)),))</f>
        <v>0</v>
      </c>
      <c r="AW19" s="133">
        <f>IF(AW10=0,,IF(AW10&gt;0,IF(AV19=0,'DB2'!$R$10*(1+'DB2'!$O$10),AV19+'DB2'!$R$10*(100%-(1+'DB2'!$O$10))/SUMPRODUCT('TS2'!$F$47:$BM$47,'TS2'!$F$58:$BM$58)),))</f>
        <v>0</v>
      </c>
      <c r="AX19" s="133">
        <f>IF(AX10=0,,IF(AX10&gt;0,IF(AW19=0,'DB2'!$R$10*(1+'DB2'!$O$10),AW19+'DB2'!$R$10*(100%-(1+'DB2'!$O$10))/SUMPRODUCT('TS2'!$F$47:$BM$47,'TS2'!$F$58:$BM$58)),))</f>
        <v>0</v>
      </c>
      <c r="AY19" s="133">
        <f>IF(AY10=0,,IF(AY10&gt;0,IF(AX19=0,'DB2'!$R$10*(1+'DB2'!$O$10),AX19+'DB2'!$R$10*(100%-(1+'DB2'!$O$10))/SUMPRODUCT('TS2'!$F$47:$BM$47,'TS2'!$F$58:$BM$58)),))</f>
        <v>0</v>
      </c>
      <c r="AZ19" s="133">
        <f>IF(AZ10=0,,IF(AZ10&gt;0,IF(AY19=0,'DB2'!$R$10*(1+'DB2'!$O$10),AY19+'DB2'!$R$10*(100%-(1+'DB2'!$O$10))/SUMPRODUCT('TS2'!$F$47:$BM$47,'TS2'!$F$58:$BM$58)),))</f>
        <v>0</v>
      </c>
      <c r="BA19" s="133">
        <f>IF(BA10=0,,IF(BA10&gt;0,IF(AZ19=0,'DB2'!$R$10*(1+'DB2'!$O$10),AZ19+'DB2'!$R$10*(100%-(1+'DB2'!$O$10))/SUMPRODUCT('TS2'!$F$47:$BM$47,'TS2'!$F$58:$BM$58)),))</f>
        <v>0</v>
      </c>
      <c r="BB19" s="133">
        <f>IF(BB10=0,,IF(BB10&gt;0,IF(BA19=0,'DB2'!$R$10*(1+'DB2'!$O$10),BA19+'DB2'!$R$10*(100%-(1+'DB2'!$O$10))/SUMPRODUCT('TS2'!$F$47:$BM$47,'TS2'!$F$58:$BM$58)),))</f>
        <v>0</v>
      </c>
      <c r="BC19" s="133">
        <f>IF(BC10=0,,IF(BC10&gt;0,IF(BB19=0,'DB2'!$R$10*(1+'DB2'!$O$10),BB19+'DB2'!$R$10*(100%-(1+'DB2'!$O$10))/SUMPRODUCT('TS2'!$F$47:$BM$47,'TS2'!$F$58:$BM$58)),))</f>
        <v>0</v>
      </c>
      <c r="BD19" s="133">
        <f>IF(BD10=0,,IF(BD10&gt;0,IF(BC19=0,'DB2'!$R$10*(1+'DB2'!$O$10),BC19+'DB2'!$R$10*(100%-(1+'DB2'!$O$10))/SUMPRODUCT('TS2'!$F$47:$BM$47,'TS2'!$F$58:$BM$58)),))</f>
        <v>0</v>
      </c>
      <c r="BE19" s="133">
        <f>IF(BE10=0,,IF(BE10&gt;0,IF(BD19=0,'DB2'!$R$10*(1+'DB2'!$O$10),BD19+'DB2'!$R$10*(100%-(1+'DB2'!$O$10))/SUMPRODUCT('TS2'!$F$47:$BM$47,'TS2'!$F$58:$BM$58)),))</f>
        <v>0</v>
      </c>
      <c r="BF19" s="133">
        <f>IF(BF10=0,,IF(BF10&gt;0,IF(BE19=0,'DB2'!$R$10*(1+'DB2'!$O$10),BE19+'DB2'!$R$10*(100%-(1+'DB2'!$O$10))/SUMPRODUCT('TS2'!$F$47:$BM$47,'TS2'!$F$58:$BM$58)),))</f>
        <v>0</v>
      </c>
      <c r="BG19" s="133">
        <f>IF(BG10=0,,IF(BG10&gt;0,IF(BF19=0,'DB2'!$R$10*(1+'DB2'!$O$10),BF19+'DB2'!$R$10*(100%-(1+'DB2'!$O$10))/SUMPRODUCT('TS2'!$F$47:$BM$47,'TS2'!$F$58:$BM$58)),))</f>
        <v>0</v>
      </c>
      <c r="BH19" s="133">
        <f>IF(BH10=0,,IF(BH10&gt;0,IF(BG19=0,'DB2'!$R$10*(1+'DB2'!$O$10),BG19+'DB2'!$R$10*(100%-(1+'DB2'!$O$10))/SUMPRODUCT('TS2'!$F$47:$BM$47,'TS2'!$F$58:$BM$58)),))</f>
        <v>0</v>
      </c>
      <c r="BI19" s="133">
        <f>IF(BI10=0,,IF(BI10&gt;0,IF(BH19=0,'DB2'!$R$10*(1+'DB2'!$O$10),BH19+'DB2'!$R$10*(100%-(1+'DB2'!$O$10))/SUMPRODUCT('TS2'!$F$47:$BM$47,'TS2'!$F$58:$BM$58)),))</f>
        <v>0</v>
      </c>
      <c r="BJ19" s="133">
        <f>IF(BJ10=0,,IF(BJ10&gt;0,IF(BI19=0,'DB2'!$R$10*(1+'DB2'!$O$10),BI19+'DB2'!$R$10*(100%-(1+'DB2'!$O$10))/SUMPRODUCT('TS2'!$F$47:$BM$47,'TS2'!$F$58:$BM$58)),))</f>
        <v>0</v>
      </c>
      <c r="BK19" s="133">
        <f>IF(BK10=0,,IF(BK10&gt;0,IF(BJ19=0,'DB2'!$R$10*(1+'DB2'!$O$10),BJ19+'DB2'!$R$10*(100%-(1+'DB2'!$O$10))/SUMPRODUCT('TS2'!$F$47:$BM$47,'TS2'!$F$58:$BM$58)),))</f>
        <v>0</v>
      </c>
      <c r="BL19" s="133">
        <f>IF(BL10=0,,IF(BL10&gt;0,IF(BK19=0,'DB2'!$R$10*(1+'DB2'!$O$10),BK19+'DB2'!$R$10*(100%-(1+'DB2'!$O$10))/SUMPRODUCT('TS2'!$F$47:$BM$47,'TS2'!$F$58:$BM$58)),))</f>
        <v>0</v>
      </c>
      <c r="BM19" s="133">
        <f>IF(BM10=0,,IF(BM10&gt;0,IF(BL19=0,'DB2'!$R$10*(1+'DB2'!$O$10),BL19+'DB2'!$R$10*(100%-(1+'DB2'!$O$10))/SUMPRODUCT('TS2'!$F$47:$BM$47,'TS2'!$F$58:$BM$58)),))</f>
        <v>0</v>
      </c>
    </row>
    <row r="20" spans="2:65" outlineLevel="1">
      <c r="B20" s="130" t="str">
        <f t="shared" si="3"/>
        <v>РИТЕЙЛ</v>
      </c>
      <c r="C20" s="28"/>
      <c r="D20" s="131" t="s">
        <v>481</v>
      </c>
      <c r="E20" s="132">
        <f t="shared" si="4"/>
        <v>700</v>
      </c>
      <c r="F20" s="551">
        <f>IF(F11&gt;0,'DB2'!$R$11,0)</f>
        <v>0</v>
      </c>
      <c r="G20" s="551">
        <f>IF(G11&gt;0,'DB2'!$R$11,0)</f>
        <v>0</v>
      </c>
      <c r="H20" s="551">
        <f>IF(H11&gt;0,'DB2'!$R$11,0)</f>
        <v>0</v>
      </c>
      <c r="I20" s="551">
        <f>IF(I11&gt;0,'DB2'!$R$11,0)</f>
        <v>0</v>
      </c>
      <c r="J20" s="551">
        <f>IF(J11&gt;0,'DB2'!$R$11,0)</f>
        <v>0</v>
      </c>
      <c r="K20" s="551">
        <f>IF(K11&gt;0,'DB2'!$R$11,0)</f>
        <v>0</v>
      </c>
      <c r="L20" s="551">
        <f>IF(L11&gt;0,'DB2'!$R$11,0)</f>
        <v>0</v>
      </c>
      <c r="M20" s="551">
        <f>IF(M11&gt;0,'DB2'!$R$11,0)</f>
        <v>0</v>
      </c>
      <c r="N20" s="133">
        <f>IF(N11&gt;0,'DB2'!$R$11,0)</f>
        <v>0</v>
      </c>
      <c r="O20" s="133">
        <f>IF(O11&gt;0,'DB2'!$R$11,0)</f>
        <v>0</v>
      </c>
      <c r="P20" s="133">
        <f>IF(P11&gt;0,'DB2'!$R$11,0)</f>
        <v>0</v>
      </c>
      <c r="Q20" s="133">
        <f>IF(Q11&gt;0,'DB2'!$R$11,0)</f>
        <v>0</v>
      </c>
      <c r="R20" s="133">
        <f>IF(R11&gt;0,'DB2'!$R$11,0)</f>
        <v>0</v>
      </c>
      <c r="S20" s="133">
        <f>IF(S11&gt;0,'DB2'!$R$11,0)</f>
        <v>0</v>
      </c>
      <c r="T20" s="133">
        <f>IF(T11&gt;0,'DB2'!$R$11,0)</f>
        <v>0</v>
      </c>
      <c r="U20" s="133">
        <f>IF(U11&gt;0,'DB2'!$R$11,0)</f>
        <v>0</v>
      </c>
      <c r="V20" s="133">
        <f>IF(V11&gt;0,'DB2'!$R$11,0)</f>
        <v>0</v>
      </c>
      <c r="W20" s="133">
        <f>IF(W11&gt;0,'DB2'!$R$11,0)</f>
        <v>0</v>
      </c>
      <c r="X20" s="133">
        <f>IF(X11&gt;0,'DB2'!$R$11,0)</f>
        <v>0</v>
      </c>
      <c r="Y20" s="133">
        <f>IF(Y11&gt;0,'DB2'!$R$11,0)</f>
        <v>0</v>
      </c>
      <c r="Z20" s="133">
        <f>IF(Z11&gt;0,'DB2'!$R$11,0)</f>
        <v>0</v>
      </c>
      <c r="AA20" s="133">
        <f>IF(AA11&gt;0,'DB2'!$R$11,0)</f>
        <v>0</v>
      </c>
      <c r="AB20" s="133">
        <f>IF(AB11&gt;0,'DB2'!$R$11,0)</f>
        <v>0</v>
      </c>
      <c r="AC20" s="133">
        <f>IF(AC11&gt;0,'DB2'!$R$11,0)</f>
        <v>0</v>
      </c>
      <c r="AD20" s="133">
        <f>IF(AD11&gt;0,'DB2'!$R$11,0)</f>
        <v>0</v>
      </c>
      <c r="AE20" s="133">
        <f>IF(AE11&gt;0,'DB2'!$R$11,0)</f>
        <v>0</v>
      </c>
      <c r="AF20" s="133">
        <f>IF(AF11&gt;0,'DB2'!$R$11,0)</f>
        <v>0</v>
      </c>
      <c r="AG20" s="133">
        <f>IF(AG11&gt;0,'DB2'!$R$11,0)</f>
        <v>0</v>
      </c>
      <c r="AH20" s="133">
        <f>IF(AH11&gt;0,'DB2'!$R$11,0)</f>
        <v>0</v>
      </c>
      <c r="AI20" s="133">
        <f>IF(AI11&gt;0,'DB2'!$R$11,0)</f>
        <v>0</v>
      </c>
      <c r="AJ20" s="133">
        <f>IF(AJ11&gt;0,'DB2'!$R$11,0)</f>
        <v>0</v>
      </c>
      <c r="AK20" s="133">
        <f>IF(AK11&gt;0,'DB2'!$R$11,0)</f>
        <v>700</v>
      </c>
      <c r="AL20" s="133">
        <f>IF(AL11&gt;0,'DB2'!$R$11,0)</f>
        <v>700</v>
      </c>
      <c r="AM20" s="133">
        <f>IF(AM11&gt;0,'DB2'!$R$11,0)</f>
        <v>0</v>
      </c>
      <c r="AN20" s="133">
        <f>IF(AN11&gt;0,'DB2'!$R$11,0)</f>
        <v>0</v>
      </c>
      <c r="AO20" s="133">
        <f>IF(AO11&gt;0,'DB2'!$R$11,0)</f>
        <v>0</v>
      </c>
      <c r="AP20" s="133">
        <f>IF(AP11&gt;0,'DB2'!$R$11,0)</f>
        <v>0</v>
      </c>
      <c r="AQ20" s="133">
        <f>IF(AQ11&gt;0,'DB2'!$R$11,0)</f>
        <v>0</v>
      </c>
      <c r="AR20" s="133">
        <f>IF(AR11&gt;0,'DB2'!$R$11,0)</f>
        <v>0</v>
      </c>
      <c r="AS20" s="133">
        <f>IF(AS11&gt;0,'DB2'!$R$11,0)</f>
        <v>0</v>
      </c>
      <c r="AT20" s="133">
        <f>IF(AT11&gt;0,'DB2'!$R$11,0)</f>
        <v>0</v>
      </c>
      <c r="AU20" s="133">
        <f>IF(AU11&gt;0,'DB2'!$R$11,0)</f>
        <v>0</v>
      </c>
      <c r="AV20" s="133">
        <f>IF(AV11&gt;0,'DB2'!$R$11,0)</f>
        <v>0</v>
      </c>
      <c r="AW20" s="133">
        <f>IF(AW11&gt;0,'DB2'!$R$11,0)</f>
        <v>0</v>
      </c>
      <c r="AX20" s="133">
        <f>IF(AX11&gt;0,'DB2'!$R$11,0)</f>
        <v>0</v>
      </c>
      <c r="AY20" s="133">
        <f>IF(AY11&gt;0,'DB2'!$R$11,0)</f>
        <v>0</v>
      </c>
      <c r="AZ20" s="133">
        <f>IF(AZ11&gt;0,'DB2'!$R$11,0)</f>
        <v>0</v>
      </c>
      <c r="BA20" s="133">
        <f>IF(BA11&gt;0,'DB2'!$R$11,0)</f>
        <v>0</v>
      </c>
      <c r="BB20" s="133">
        <f>IF(BB11&gt;0,'DB2'!$R$11,0)</f>
        <v>0</v>
      </c>
      <c r="BC20" s="133">
        <f>IF(BC11&gt;0,'DB2'!$R$11,0)</f>
        <v>0</v>
      </c>
      <c r="BD20" s="133">
        <f>IF(BD11&gt;0,'DB2'!$R$11,0)</f>
        <v>0</v>
      </c>
      <c r="BE20" s="133">
        <f>IF(BE11&gt;0,'DB2'!$R$11,0)</f>
        <v>0</v>
      </c>
      <c r="BF20" s="133">
        <f>IF(BF11&gt;0,'DB2'!$R$11,0)</f>
        <v>0</v>
      </c>
      <c r="BG20" s="133">
        <f>IF(BG11&gt;0,'DB2'!$R$11,0)</f>
        <v>0</v>
      </c>
      <c r="BH20" s="133">
        <f>IF(BH11&gt;0,'DB2'!$R$11,0)</f>
        <v>0</v>
      </c>
      <c r="BI20" s="133">
        <f>IF(BI11&gt;0,'DB2'!$R$11,0)</f>
        <v>0</v>
      </c>
      <c r="BJ20" s="133">
        <f>IF(BJ11&gt;0,'DB2'!$R$11,0)</f>
        <v>0</v>
      </c>
      <c r="BK20" s="133">
        <f>IF(BK11&gt;0,'DB2'!$R$11,0)</f>
        <v>0</v>
      </c>
      <c r="BL20" s="133">
        <f>IF(BL11&gt;0,'DB2'!$R$11,0)</f>
        <v>0</v>
      </c>
      <c r="BM20" s="133">
        <f>IF(BM11&gt;0,'DB2'!$R$11,0)</f>
        <v>0</v>
      </c>
    </row>
    <row r="21" spans="2:65" hidden="1" outlineLevel="1">
      <c r="B21" s="130" t="str">
        <f t="shared" si="3"/>
        <v>ТЦ</v>
      </c>
      <c r="C21" s="28"/>
      <c r="D21" s="131" t="s">
        <v>481</v>
      </c>
      <c r="E21" s="132">
        <f t="shared" si="4"/>
        <v>0</v>
      </c>
      <c r="F21" s="551">
        <f>IF(F12&gt;0,'DB2'!$R$12,0)</f>
        <v>0</v>
      </c>
      <c r="G21" s="551">
        <f>IF(G12&gt;0,'DB2'!$R$12,0)</f>
        <v>0</v>
      </c>
      <c r="H21" s="551">
        <f>IF(H12&gt;0,'DB2'!$R$12,0)</f>
        <v>0</v>
      </c>
      <c r="I21" s="551">
        <f>IF(I12&gt;0,'DB2'!$R$12,0)</f>
        <v>0</v>
      </c>
      <c r="J21" s="551">
        <f>IF(J12&gt;0,'DB2'!$R$12,0)</f>
        <v>0</v>
      </c>
      <c r="K21" s="551">
        <f>IF(K12&gt;0,'DB2'!$R$12,0)</f>
        <v>0</v>
      </c>
      <c r="L21" s="551">
        <f>IF(L12&gt;0,'DB2'!$R$12,0)</f>
        <v>0</v>
      </c>
      <c r="M21" s="551">
        <f>IF(M12&gt;0,'DB2'!$R$12,0)</f>
        <v>0</v>
      </c>
      <c r="N21" s="133">
        <f>IF(N12&gt;0,'DB2'!$R$12,0)</f>
        <v>0</v>
      </c>
      <c r="O21" s="133">
        <f>IF(O12&gt;0,'DB2'!$R$12,0)</f>
        <v>0</v>
      </c>
      <c r="P21" s="133">
        <f>IF(P12&gt;0,'DB2'!$R$12,0)</f>
        <v>0</v>
      </c>
      <c r="Q21" s="133">
        <f>IF(Q12&gt;0,'DB2'!$R$12,0)</f>
        <v>0</v>
      </c>
      <c r="R21" s="133">
        <f>IF(R12&gt;0,'DB2'!$R$12,0)</f>
        <v>0</v>
      </c>
      <c r="S21" s="133">
        <f>IF(S12&gt;0,'DB2'!$R$12,0)</f>
        <v>0</v>
      </c>
      <c r="T21" s="133">
        <f>IF(T12&gt;0,'DB2'!$R$12,0)</f>
        <v>0</v>
      </c>
      <c r="U21" s="133">
        <f>IF(U12&gt;0,'DB2'!$R$12,0)</f>
        <v>0</v>
      </c>
      <c r="V21" s="133">
        <f>IF(V12&gt;0,'DB2'!$R$12,0)</f>
        <v>0</v>
      </c>
      <c r="W21" s="133">
        <f>IF(W12&gt;0,'DB2'!$R$12,0)</f>
        <v>0</v>
      </c>
      <c r="X21" s="133">
        <f>IF(X12&gt;0,'DB2'!$R$12,0)</f>
        <v>0</v>
      </c>
      <c r="Y21" s="133">
        <f>IF(Y12&gt;0,'DB2'!$R$12,0)</f>
        <v>0</v>
      </c>
      <c r="Z21" s="133">
        <f>IF(Z12&gt;0,'DB2'!$R$12,0)</f>
        <v>0</v>
      </c>
      <c r="AA21" s="133">
        <f>IF(AA12&gt;0,'DB2'!$R$12,0)</f>
        <v>0</v>
      </c>
      <c r="AB21" s="133">
        <f>IF(AB12&gt;0,'DB2'!$R$12,0)</f>
        <v>0</v>
      </c>
      <c r="AC21" s="133">
        <f>IF(AC12&gt;0,'DB2'!$R$12,0)</f>
        <v>0</v>
      </c>
      <c r="AD21" s="133">
        <f>IF(AD12&gt;0,'DB2'!$R$12,0)</f>
        <v>0</v>
      </c>
      <c r="AE21" s="133">
        <f>IF(AE12&gt;0,'DB2'!$R$12,0)</f>
        <v>0</v>
      </c>
      <c r="AF21" s="133">
        <f>IF(AF12&gt;0,'DB2'!$R$12,0)</f>
        <v>0</v>
      </c>
      <c r="AG21" s="133">
        <f>IF(AG12&gt;0,'DB2'!$R$12,0)</f>
        <v>0</v>
      </c>
      <c r="AH21" s="133">
        <f>IF(AH12&gt;0,'DB2'!$R$12,0)</f>
        <v>0</v>
      </c>
      <c r="AI21" s="133">
        <f>IF(AI12&gt;0,'DB2'!$R$12,0)</f>
        <v>0</v>
      </c>
      <c r="AJ21" s="133">
        <f>IF(AJ12&gt;0,'DB2'!$R$12,0)</f>
        <v>0</v>
      </c>
      <c r="AK21" s="133">
        <f>IF(AK12&gt;0,'DB2'!$R$12,0)</f>
        <v>0</v>
      </c>
      <c r="AL21" s="133">
        <f>IF(AL12&gt;0,'DB2'!$R$12,0)</f>
        <v>0</v>
      </c>
      <c r="AM21" s="133">
        <f>IF(AM12&gt;0,'DB2'!$R$12,0)</f>
        <v>0</v>
      </c>
      <c r="AN21" s="133">
        <f>IF(AN12&gt;0,'DB2'!$R$12,0)</f>
        <v>0</v>
      </c>
      <c r="AO21" s="133">
        <f>IF(AO12&gt;0,'DB2'!$R$12,0)</f>
        <v>0</v>
      </c>
      <c r="AP21" s="133">
        <f>IF(AP12&gt;0,'DB2'!$R$12,0)</f>
        <v>0</v>
      </c>
      <c r="AQ21" s="133">
        <f>IF(AQ12&gt;0,'DB2'!$R$12,0)</f>
        <v>0</v>
      </c>
      <c r="AR21" s="133">
        <f>IF(AR12&gt;0,'DB2'!$R$12,0)</f>
        <v>0</v>
      </c>
      <c r="AS21" s="133">
        <f>IF(AS12&gt;0,'DB2'!$R$12,0)</f>
        <v>0</v>
      </c>
      <c r="AT21" s="133">
        <f>IF(AT12&gt;0,'DB2'!$R$12,0)</f>
        <v>0</v>
      </c>
      <c r="AU21" s="133">
        <f>IF(AU12&gt;0,'DB2'!$R$12,0)</f>
        <v>0</v>
      </c>
      <c r="AV21" s="133">
        <f>IF(AV12&gt;0,'DB2'!$R$12,0)</f>
        <v>0</v>
      </c>
      <c r="AW21" s="133">
        <f>IF(AW12&gt;0,'DB2'!$R$12,0)</f>
        <v>0</v>
      </c>
      <c r="AX21" s="133">
        <f>IF(AX12&gt;0,'DB2'!$R$12,0)</f>
        <v>0</v>
      </c>
      <c r="AY21" s="133">
        <f>IF(AY12&gt;0,'DB2'!$R$12,0)</f>
        <v>0</v>
      </c>
      <c r="AZ21" s="133">
        <f>IF(AZ12&gt;0,'DB2'!$R$12,0)</f>
        <v>0</v>
      </c>
      <c r="BA21" s="133">
        <f>IF(BA12&gt;0,'DB2'!$R$12,0)</f>
        <v>0</v>
      </c>
      <c r="BB21" s="133">
        <f>IF(BB12&gt;0,'DB2'!$R$12,0)</f>
        <v>0</v>
      </c>
      <c r="BC21" s="133">
        <f>IF(BC12&gt;0,'DB2'!$R$12,0)</f>
        <v>0</v>
      </c>
      <c r="BD21" s="133">
        <f>IF(BD12&gt;0,'DB2'!$R$12,0)</f>
        <v>0</v>
      </c>
      <c r="BE21" s="133">
        <f>IF(BE12&gt;0,'DB2'!$R$12,0)</f>
        <v>0</v>
      </c>
      <c r="BF21" s="133">
        <f>IF(BF12&gt;0,'DB2'!$R$12,0)</f>
        <v>0</v>
      </c>
      <c r="BG21" s="133">
        <f>IF(BG12&gt;0,'DB2'!$R$12,0)</f>
        <v>0</v>
      </c>
      <c r="BH21" s="133">
        <f>IF(BH12&gt;0,'DB2'!$R$12,0)</f>
        <v>0</v>
      </c>
      <c r="BI21" s="133">
        <f>IF(BI12&gt;0,'DB2'!$R$12,0)</f>
        <v>0</v>
      </c>
      <c r="BJ21" s="133">
        <f>IF(BJ12&gt;0,'DB2'!$R$12,0)</f>
        <v>0</v>
      </c>
      <c r="BK21" s="133">
        <f>IF(BK12&gt;0,'DB2'!$R$12,0)</f>
        <v>0</v>
      </c>
      <c r="BL21" s="133">
        <f>IF(BL12&gt;0,'DB2'!$R$12,0)</f>
        <v>0</v>
      </c>
      <c r="BM21" s="133">
        <f>IF(BM12&gt;0,'DB2'!$R$12,0)</f>
        <v>0</v>
      </c>
    </row>
    <row r="22" spans="2:65" outlineLevel="1">
      <c r="B22" s="130" t="str">
        <f t="shared" si="3"/>
        <v>ПАРКИНГ ЖИЛЬЕ</v>
      </c>
      <c r="C22" s="28"/>
      <c r="D22" s="131" t="s">
        <v>481</v>
      </c>
      <c r="E22" s="132">
        <f t="shared" si="4"/>
        <v>4500</v>
      </c>
      <c r="F22" s="551">
        <f>IF(F13=0,,IF(F13&gt;0,IF(E22=0,'DB2'!$R$16*(1+'DB2'!$O$16),E22+'DB2'!$R$16*(100%-(1+'DB2'!$O$16))/SUMPRODUCT('TS2'!$F$53:$BM$53,'TS2'!$F$56:$BM$56)),))</f>
        <v>0</v>
      </c>
      <c r="G22" s="551">
        <f>IF(G13=0,,IF(G13&gt;0,IF(F22=0,'DB2'!$R$16*(1+'DB2'!$O$16),F22+'DB2'!$R$16*(100%-(1+'DB2'!$O$16))/SUMPRODUCT('TS2'!$F$53:$BM$53,'TS2'!$F$56:$BM$56)),))</f>
        <v>0</v>
      </c>
      <c r="H22" s="551">
        <f>IF(H13=0,,IF(H13&gt;0,IF(G22=0,'DB2'!$R$16*(1+'DB2'!$O$16),G22+'DB2'!$R$16*(100%-(1+'DB2'!$O$16))/SUMPRODUCT('TS2'!$F$53:$BM$53,'TS2'!$F$56:$BM$56)),))</f>
        <v>0</v>
      </c>
      <c r="I22" s="551">
        <f>IF(I13=0,,IF(I13&gt;0,IF(H22=0,'DB2'!$R$16*(1+'DB2'!$O$16),H22+'DB2'!$R$16*(100%-(1+'DB2'!$O$16))/SUMPRODUCT('TS2'!$F$53:$BM$53,'TS2'!$F$56:$BM$56)),))</f>
        <v>0</v>
      </c>
      <c r="J22" s="551">
        <f>IF(J13=0,,IF(J13&gt;0,IF(I22=0,'DB2'!$R$16*(1+'DB2'!$O$16),I22+'DB2'!$R$16*(100%-(1+'DB2'!$O$16))/SUMPRODUCT('TS2'!$F$53:$BM$53,'TS2'!$F$56:$BM$56)),))</f>
        <v>0</v>
      </c>
      <c r="K22" s="551">
        <f>IF(K13=0,,IF(K13&gt;0,IF(J22=0,'DB2'!$R$16*(1+'DB2'!$O$16),J22+'DB2'!$R$16*(100%-(1+'DB2'!$O$16))/SUMPRODUCT('TS2'!$F$53:$BM$53,'TS2'!$F$56:$BM$56)),))</f>
        <v>0</v>
      </c>
      <c r="L22" s="551">
        <f>IF(L13=0,,IF(L13&gt;0,IF(K22=0,'DB2'!$R$16*(1+'DB2'!$O$16),K22+'DB2'!$R$16*(100%-(1+'DB2'!$O$16))/SUMPRODUCT('TS2'!$F$53:$BM$53,'TS2'!$F$56:$BM$56)),))</f>
        <v>0</v>
      </c>
      <c r="M22" s="551">
        <f>IF(M13=0,,IF(M13&gt;0,IF(L22=0,'DB2'!$R$16*(1+'DB2'!$O$16),L22+'DB2'!$R$16*(100%-(1+'DB2'!$O$16))/SUMPRODUCT('TS2'!$F$53:$BM$53,'TS2'!$F$56:$BM$56)),))</f>
        <v>0</v>
      </c>
      <c r="N22" s="133">
        <f>IF(N13=0,,IF(N13&gt;0,IF(M22=0,'DB2'!$R$16*(1+'DB2'!$O$16),M22+'DB2'!$R$16*(100%-(1+'DB2'!$O$16))/SUMPRODUCT('TS2'!$F$53:$BM$53,'TS2'!$F$56:$BM$56)),))</f>
        <v>0</v>
      </c>
      <c r="O22" s="133">
        <f>IF(O13=0,,IF(O13&gt;0,IF(N22=0,'DB2'!$R$16*(1+'DB2'!$O$16),N22+'DB2'!$R$16*(100%-(1+'DB2'!$O$16))/SUMPRODUCT('TS2'!$F$53:$BM$53,'TS2'!$F$56:$BM$56)),))</f>
        <v>0</v>
      </c>
      <c r="P22" s="133">
        <f>IF(P13=0,,IF(P13&gt;0,IF(O22=0,'DB2'!$R$16*(1+'DB2'!$O$16),O22+'DB2'!$R$16*(100%-(1+'DB2'!$O$16))/SUMPRODUCT('TS2'!$F$53:$BM$53,'TS2'!$F$56:$BM$56)),))</f>
        <v>0</v>
      </c>
      <c r="Q22" s="133">
        <f>IF(Q13=0,,IF(Q13&gt;0,IF(P22=0,'DB2'!$R$16*(1+'DB2'!$O$16),P22+'DB2'!$R$16*(100%-(1+'DB2'!$O$16))/SUMPRODUCT('TS2'!$F$53:$BM$53,'TS2'!$F$56:$BM$56)),))</f>
        <v>0</v>
      </c>
      <c r="R22" s="133">
        <f>IF(R13=0,,IF(R13&gt;0,IF(Q22=0,'DB2'!$R$16*(1+'DB2'!$O$16),Q22+'DB2'!$R$16*(100%-(1+'DB2'!$O$16))/SUMPRODUCT('TS2'!$F$53:$BM$53,'TS2'!$F$56:$BM$56)),))</f>
        <v>0</v>
      </c>
      <c r="S22" s="133">
        <f>IF(S13=0,,IF(S13&gt;0,IF(R22=0,'DB2'!$R$16*(1+'DB2'!$O$16),R22+'DB2'!$R$16*(100%-(1+'DB2'!$O$16))/SUMPRODUCT('TS2'!$F$53:$BM$53,'TS2'!$F$56:$BM$56)),))</f>
        <v>0</v>
      </c>
      <c r="T22" s="133">
        <f>IF(T13=0,,IF(T13&gt;0,IF(S22=0,'DB2'!$R$16*(1+'DB2'!$O$16),S22+'DB2'!$R$16*(100%-(1+'DB2'!$O$16))/SUMPRODUCT('TS2'!$F$53:$BM$53,'TS2'!$F$56:$BM$56)),))</f>
        <v>0</v>
      </c>
      <c r="U22" s="133">
        <f>IF(U13=0,,IF(U13&gt;0,IF(T22=0,'DB2'!$R$16*(1+'DB2'!$O$16),T22+'DB2'!$R$16*(100%-(1+'DB2'!$O$16))/SUMPRODUCT('TS2'!$F$53:$BM$53,'TS2'!$F$56:$BM$56)),))</f>
        <v>0</v>
      </c>
      <c r="V22" s="133">
        <f>IF(V13=0,,IF(V13&gt;0,IF(U22=0,'DB2'!$R$16*(1+'DB2'!$O$16),U22+'DB2'!$R$16*(100%-(1+'DB2'!$O$16))/SUMPRODUCT('TS2'!$F$53:$BM$53,'TS2'!$F$56:$BM$56)),))</f>
        <v>0</v>
      </c>
      <c r="W22" s="133">
        <f>IF(W13=0,,IF(W13&gt;0,IF(V22=0,'DB2'!$R$16*(1+'DB2'!$O$16),V22+'DB2'!$R$16*(100%-(1+'DB2'!$O$16))/SUMPRODUCT('TS2'!$F$53:$BM$53,'TS2'!$F$56:$BM$56)),))</f>
        <v>0</v>
      </c>
      <c r="X22" s="133">
        <f>IF(X13=0,,IF(X13&gt;0,IF(W22=0,'DB2'!$R$16*(1+'DB2'!$O$16),W22+'DB2'!$R$16*(100%-(1+'DB2'!$O$16))/SUMPRODUCT('TS2'!$F$53:$BM$53,'TS2'!$F$56:$BM$56)),))</f>
        <v>4500</v>
      </c>
      <c r="Y22" s="133">
        <f>IF(Y13=0,,IF(Y13&gt;0,IF(X22=0,'DB2'!$R$16*(1+'DB2'!$O$16),X22+'DB2'!$R$16*(100%-(1+'DB2'!$O$16))/SUMPRODUCT('TS2'!$F$53:$BM$53,'TS2'!$F$56:$BM$56)),))</f>
        <v>4500</v>
      </c>
      <c r="Z22" s="133">
        <f>IF(Z13=0,,IF(Z13&gt;0,IF(Y22=0,'DB2'!$R$16*(1+'DB2'!$O$16),Y22+'DB2'!$R$16*(100%-(1+'DB2'!$O$16))/SUMPRODUCT('TS2'!$F$53:$BM$53,'TS2'!$F$56:$BM$56)),))</f>
        <v>4500</v>
      </c>
      <c r="AA22" s="133">
        <f>IF(AA13=0,,IF(AA13&gt;0,IF(Z22=0,'DB2'!$R$16*(1+'DB2'!$O$16),Z22+'DB2'!$R$16*(100%-(1+'DB2'!$O$16))/SUMPRODUCT('TS2'!$F$53:$BM$53,'TS2'!$F$56:$BM$56)),))</f>
        <v>4500</v>
      </c>
      <c r="AB22" s="133">
        <f>IF(AB13=0,,IF(AB13&gt;0,IF(AA22=0,'DB2'!$R$16*(1+'DB2'!$O$16),AA22+'DB2'!$R$16*(100%-(1+'DB2'!$O$16))/SUMPRODUCT('TS2'!$F$53:$BM$53,'TS2'!$F$56:$BM$56)),))</f>
        <v>4500</v>
      </c>
      <c r="AC22" s="133">
        <f>IF(AC13=0,,IF(AC13&gt;0,IF(AB22=0,'DB2'!$R$16*(1+'DB2'!$O$16),AB22+'DB2'!$R$16*(100%-(1+'DB2'!$O$16))/SUMPRODUCT('TS2'!$F$53:$BM$53,'TS2'!$F$56:$BM$56)),))</f>
        <v>4500</v>
      </c>
      <c r="AD22" s="133">
        <f>IF(AD13=0,,IF(AD13&gt;0,IF(AC22=0,'DB2'!$R$16*(1+'DB2'!$O$16),AC22+'DB2'!$R$16*(100%-(1+'DB2'!$O$16))/SUMPRODUCT('TS2'!$F$53:$BM$53,'TS2'!$F$56:$BM$56)),))</f>
        <v>4500</v>
      </c>
      <c r="AE22" s="133">
        <f>IF(AE13=0,,IF(AE13&gt;0,IF(AD22=0,'DB2'!$R$16*(1+'DB2'!$O$16),AD22+'DB2'!$R$16*(100%-(1+'DB2'!$O$16))/SUMPRODUCT('TS2'!$F$53:$BM$53,'TS2'!$F$56:$BM$56)),))</f>
        <v>4500</v>
      </c>
      <c r="AF22" s="133">
        <f>IF(AF13=0,,IF(AF13&gt;0,IF(AE22=0,'DB2'!$R$16*(1+'DB2'!$O$16),AE22+'DB2'!$R$16*(100%-(1+'DB2'!$O$16))/SUMPRODUCT('TS2'!$F$53:$BM$53,'TS2'!$F$56:$BM$56)),))</f>
        <v>4500</v>
      </c>
      <c r="AG22" s="133">
        <f>IF(AG13=0,,IF(AG13&gt;0,IF(AF22=0,'DB2'!$R$16*(1+'DB2'!$O$16),AF22+'DB2'!$R$16*(100%-(1+'DB2'!$O$16))/SUMPRODUCT('TS2'!$F$53:$BM$53,'TS2'!$F$56:$BM$56)),))</f>
        <v>4500</v>
      </c>
      <c r="AH22" s="133">
        <f>IF(AH13=0,,IF(AH13&gt;0,IF(AG22=0,'DB2'!$R$16*(1+'DB2'!$O$16),AG22+'DB2'!$R$16*(100%-(1+'DB2'!$O$16))/SUMPRODUCT('TS2'!$F$53:$BM$53,'TS2'!$F$56:$BM$56)),))</f>
        <v>4500</v>
      </c>
      <c r="AI22" s="133">
        <f>IF(AI13=0,,IF(AI13&gt;0,IF(AH22=0,'DB2'!$R$16*(1+'DB2'!$O$16),AH22+'DB2'!$R$16*(100%-(1+'DB2'!$O$16))/SUMPRODUCT('TS2'!$F$53:$BM$53,'TS2'!$F$56:$BM$56)),))</f>
        <v>4500</v>
      </c>
      <c r="AJ22" s="133">
        <f>IF(AJ13=0,,IF(AJ13&gt;0,IF(AI22=0,'DB2'!$R$16*(1+'DB2'!$O$16),AI22+'DB2'!$R$16*(100%-(1+'DB2'!$O$16))/SUMPRODUCT('TS2'!$F$53:$BM$53,'TS2'!$F$56:$BM$56)),))</f>
        <v>4500</v>
      </c>
      <c r="AK22" s="133">
        <f>IF(AK13=0,,IF(AK13&gt;0,IF(AJ22=0,'DB2'!$R$16*(1+'DB2'!$O$16),AJ22+'DB2'!$R$16*(100%-(1+'DB2'!$O$16))/SUMPRODUCT('TS2'!$F$53:$BM$53,'TS2'!$F$56:$BM$56)),))</f>
        <v>4500</v>
      </c>
      <c r="AL22" s="133">
        <f>IF(AL13=0,,IF(AL13&gt;0,IF(AK22=0,'DB2'!$R$16*(1+'DB2'!$O$16),AK22+'DB2'!$R$16*(100%-(1+'DB2'!$O$16))/SUMPRODUCT('TS2'!$F$53:$BM$53,'TS2'!$F$56:$BM$56)),))</f>
        <v>4500</v>
      </c>
      <c r="AM22" s="133">
        <f>IF(AM13=0,,IF(AM13&gt;0,IF(AL22=0,'DB2'!$R$16*(1+'DB2'!$O$16),AL22+'DB2'!$R$16*(100%-(1+'DB2'!$O$16))/SUMPRODUCT('TS2'!$F$53:$BM$53,'TS2'!$F$56:$BM$56)),))</f>
        <v>4500</v>
      </c>
      <c r="AN22" s="133">
        <f>IF(AN13=0,,IF(AN13&gt;0,IF(AM22=0,'DB2'!$R$16*(1+'DB2'!$O$16),AM22+'DB2'!$R$16*(100%-(1+'DB2'!$O$16))/SUMPRODUCT('TS2'!$F$53:$BM$53,'TS2'!$F$56:$BM$56)),))</f>
        <v>4500</v>
      </c>
      <c r="AO22" s="133">
        <f>IF(AO13=0,,IF(AO13&gt;0,IF(AN22=0,'DB2'!$R$16*(1+'DB2'!$O$16),AN22+'DB2'!$R$16*(100%-(1+'DB2'!$O$16))/SUMPRODUCT('TS2'!$F$53:$BM$53,'TS2'!$F$56:$BM$56)),))</f>
        <v>0</v>
      </c>
      <c r="AP22" s="133">
        <f>IF(AP13=0,,IF(AP13&gt;0,IF(AO22=0,'DB2'!$R$16*(1+'DB2'!$O$16),AO22+'DB2'!$R$16*(100%-(1+'DB2'!$O$16))/SUMPRODUCT('TS2'!$F$53:$BM$53,'TS2'!$F$56:$BM$56)),))</f>
        <v>0</v>
      </c>
      <c r="AQ22" s="133">
        <f>IF(AQ13=0,,IF(AQ13&gt;0,IF(AP22=0,'DB2'!$R$16*(1+'DB2'!$O$16),AP22+'DB2'!$R$16*(100%-(1+'DB2'!$O$16))/SUMPRODUCT('TS2'!$F$53:$BM$53,'TS2'!$F$56:$BM$56)),))</f>
        <v>0</v>
      </c>
      <c r="AR22" s="133">
        <f>IF(AR13=0,,IF(AR13&gt;0,IF(AQ22=0,'DB2'!$R$16*(1+'DB2'!$O$16),AQ22+'DB2'!$R$16*(100%-(1+'DB2'!$O$16))/SUMPRODUCT('TS2'!$F$53:$BM$53,'TS2'!$F$56:$BM$56)),))</f>
        <v>0</v>
      </c>
      <c r="AS22" s="133">
        <f>IF(AS13=0,,IF(AS13&gt;0,IF(AR22=0,'DB2'!$R$16*(1+'DB2'!$O$16),AR22+'DB2'!$R$16*(100%-(1+'DB2'!$O$16))/SUMPRODUCT('TS2'!$F$53:$BM$53,'TS2'!$F$56:$BM$56)),))</f>
        <v>0</v>
      </c>
      <c r="AT22" s="133">
        <f>IF(AT13=0,,IF(AT13&gt;0,IF(AS22=0,'DB2'!$R$16*(1+'DB2'!$O$16),AS22+'DB2'!$R$16*(100%-(1+'DB2'!$O$16))/SUMPRODUCT('TS2'!$F$53:$BM$53,'TS2'!$F$56:$BM$56)),))</f>
        <v>0</v>
      </c>
      <c r="AU22" s="133">
        <f>IF(AU13=0,,IF(AU13&gt;0,IF(AT22=0,'DB2'!$R$16*(1+'DB2'!$O$16),AT22+'DB2'!$R$16*(100%-(1+'DB2'!$O$16))/SUMPRODUCT('TS2'!$F$53:$BM$53,'TS2'!$F$56:$BM$56)),))</f>
        <v>0</v>
      </c>
      <c r="AV22" s="133">
        <f>IF(AV13=0,,IF(AV13&gt;0,IF(AU22=0,'DB2'!$R$16*(1+'DB2'!$O$16),AU22+'DB2'!$R$16*(100%-(1+'DB2'!$O$16))/SUMPRODUCT('TS2'!$F$53:$BM$53,'TS2'!$F$56:$BM$56)),))</f>
        <v>0</v>
      </c>
      <c r="AW22" s="133">
        <f>IF(AW13=0,,IF(AW13&gt;0,IF(AV22=0,'DB2'!$R$16*(1+'DB2'!$O$16),AV22+'DB2'!$R$16*(100%-(1+'DB2'!$O$16))/SUMPRODUCT('TS2'!$F$53:$BM$53,'TS2'!$F$56:$BM$56)),))</f>
        <v>0</v>
      </c>
      <c r="AX22" s="133">
        <f>IF(AX13=0,,IF(AX13&gt;0,IF(AW22=0,'DB2'!$R$16*(1+'DB2'!$O$16),AW22+'DB2'!$R$16*(100%-(1+'DB2'!$O$16))/SUMPRODUCT('TS2'!$F$53:$BM$53,'TS2'!$F$56:$BM$56)),))</f>
        <v>0</v>
      </c>
      <c r="AY22" s="133">
        <f>IF(AY13=0,,IF(AY13&gt;0,IF(AX22=0,'DB2'!$R$16*(1+'DB2'!$O$16),AX22+'DB2'!$R$16*(100%-(1+'DB2'!$O$16))/SUMPRODUCT('TS2'!$F$53:$BM$53,'TS2'!$F$56:$BM$56)),))</f>
        <v>0</v>
      </c>
      <c r="AZ22" s="133">
        <f>IF(AZ13=0,,IF(AZ13&gt;0,IF(AY22=0,'DB2'!$R$16*(1+'DB2'!$O$16),AY22+'DB2'!$R$16*(100%-(1+'DB2'!$O$16))/SUMPRODUCT('TS2'!$F$53:$BM$53,'TS2'!$F$56:$BM$56)),))</f>
        <v>0</v>
      </c>
      <c r="BA22" s="133">
        <f>IF(BA13=0,,IF(BA13&gt;0,IF(AZ22=0,'DB2'!$R$16*(1+'DB2'!$O$16),AZ22+'DB2'!$R$16*(100%-(1+'DB2'!$O$16))/SUMPRODUCT('TS2'!$F$53:$BM$53,'TS2'!$F$56:$BM$56)),))</f>
        <v>0</v>
      </c>
      <c r="BB22" s="133">
        <f>IF(BB13=0,,IF(BB13&gt;0,IF(BA22=0,'DB2'!$R$16*(1+'DB2'!$O$16),BA22+'DB2'!$R$16*(100%-(1+'DB2'!$O$16))/SUMPRODUCT('TS2'!$F$53:$BM$53,'TS2'!$F$56:$BM$56)),))</f>
        <v>0</v>
      </c>
      <c r="BC22" s="133">
        <f>IF(BC13=0,,IF(BC13&gt;0,IF(BB22=0,'DB2'!$R$16*(1+'DB2'!$O$16),BB22+'DB2'!$R$16*(100%-(1+'DB2'!$O$16))/SUMPRODUCT('TS2'!$F$53:$BM$53,'TS2'!$F$56:$BM$56)),))</f>
        <v>0</v>
      </c>
      <c r="BD22" s="133">
        <f>IF(BD13=0,,IF(BD13&gt;0,IF(BC22=0,'DB2'!$R$16*(1+'DB2'!$O$16),BC22+'DB2'!$R$16*(100%-(1+'DB2'!$O$16))/SUMPRODUCT('TS2'!$F$53:$BM$53,'TS2'!$F$56:$BM$56)),))</f>
        <v>0</v>
      </c>
      <c r="BE22" s="133">
        <f>IF(BE13=0,,IF(BE13&gt;0,IF(BD22=0,'DB2'!$R$16*(1+'DB2'!$O$16),BD22+'DB2'!$R$16*(100%-(1+'DB2'!$O$16))/SUMPRODUCT('TS2'!$F$53:$BM$53,'TS2'!$F$56:$BM$56)),))</f>
        <v>0</v>
      </c>
      <c r="BF22" s="133">
        <f>IF(BF13=0,,IF(BF13&gt;0,IF(BE22=0,'DB2'!$R$16*(1+'DB2'!$O$16),BE22+'DB2'!$R$16*(100%-(1+'DB2'!$O$16))/SUMPRODUCT('TS2'!$F$53:$BM$53,'TS2'!$F$56:$BM$56)),))</f>
        <v>0</v>
      </c>
      <c r="BG22" s="133">
        <f>IF(BG13=0,,IF(BG13&gt;0,IF(BF22=0,'DB2'!$R$16*(1+'DB2'!$O$16),BF22+'DB2'!$R$16*(100%-(1+'DB2'!$O$16))/SUMPRODUCT('TS2'!$F$53:$BM$53,'TS2'!$F$56:$BM$56)),))</f>
        <v>0</v>
      </c>
      <c r="BH22" s="133">
        <f>IF(BH13=0,,IF(BH13&gt;0,IF(BG22=0,'DB2'!$R$16*(1+'DB2'!$O$16),BG22+'DB2'!$R$16*(100%-(1+'DB2'!$O$16))/SUMPRODUCT('TS2'!$F$53:$BM$53,'TS2'!$F$56:$BM$56)),))</f>
        <v>0</v>
      </c>
      <c r="BI22" s="133">
        <f>IF(BI13=0,,IF(BI13&gt;0,IF(BH22=0,'DB2'!$R$16*(1+'DB2'!$O$16),BH22+'DB2'!$R$16*(100%-(1+'DB2'!$O$16))/SUMPRODUCT('TS2'!$F$53:$BM$53,'TS2'!$F$56:$BM$56)),))</f>
        <v>0</v>
      </c>
      <c r="BJ22" s="133">
        <f>IF(BJ13=0,,IF(BJ13&gt;0,IF(BI22=0,'DB2'!$R$16*(1+'DB2'!$O$16),BI22+'DB2'!$R$16*(100%-(1+'DB2'!$O$16))/SUMPRODUCT('TS2'!$F$53:$BM$53,'TS2'!$F$56:$BM$56)),))</f>
        <v>0</v>
      </c>
      <c r="BK22" s="133">
        <f>IF(BK13=0,,IF(BK13&gt;0,IF(BJ22=0,'DB2'!$R$16*(1+'DB2'!$O$16),BJ22+'DB2'!$R$16*(100%-(1+'DB2'!$O$16))/SUMPRODUCT('TS2'!$F$53:$BM$53,'TS2'!$F$56:$BM$56)),))</f>
        <v>0</v>
      </c>
      <c r="BL22" s="133">
        <f>IF(BL13=0,,IF(BL13&gt;0,IF(BK22=0,'DB2'!$R$16*(1+'DB2'!$O$16),BK22+'DB2'!$R$16*(100%-(1+'DB2'!$O$16))/SUMPRODUCT('TS2'!$F$53:$BM$53,'TS2'!$F$56:$BM$56)),))</f>
        <v>0</v>
      </c>
      <c r="BM22" s="133">
        <f>IF(BM13=0,,IF(BM13&gt;0,IF(BL22=0,'DB2'!$R$16*(1+'DB2'!$O$16),BL22+'DB2'!$R$16*(100%-(1+'DB2'!$O$16))/SUMPRODUCT('TS2'!$F$53:$BM$53,'TS2'!$F$56:$BM$56)),))</f>
        <v>0</v>
      </c>
    </row>
    <row r="23" spans="2:65" hidden="1" outlineLevel="1">
      <c r="B23" s="130" t="str">
        <f t="shared" si="3"/>
        <v>ПАРКИНГ ОФИС</v>
      </c>
      <c r="C23" s="28"/>
      <c r="D23" s="131" t="s">
        <v>481</v>
      </c>
      <c r="E23" s="132">
        <f t="shared" si="4"/>
        <v>0</v>
      </c>
      <c r="F23" s="551">
        <f>IF(F14=0,,IF(F14&gt;0,IF(E23=0,'DB2'!$R$17*(1+'DB2'!$O$17),E23+'DB2'!$R$17*(100%-(1+'DB2'!$O$17))/SUMPRODUCT('TS2'!$F$55:$BM$55,'TS2'!$F$58:$BM$58)),))</f>
        <v>0</v>
      </c>
      <c r="G23" s="551">
        <f>IF(G14=0,,IF(G14&gt;0,IF(F23=0,'DB2'!$R$17*(1+'DB2'!$O$17),F23+'DB2'!$R$17*(100%-(1+'DB2'!$O$17))/SUMPRODUCT('TS2'!$F$55:$BM$55,'TS2'!$F$58:$BM$58)),))</f>
        <v>0</v>
      </c>
      <c r="H23" s="551">
        <f>IF(H14=0,,IF(H14&gt;0,IF(G23=0,'DB2'!$R$17*(1+'DB2'!$O$17),G23+'DB2'!$R$17*(100%-(1+'DB2'!$O$17))/SUMPRODUCT('TS2'!$F$55:$BM$55,'TS2'!$F$58:$BM$58)),))</f>
        <v>0</v>
      </c>
      <c r="I23" s="551">
        <f>IF(I14=0,,IF(I14&gt;0,IF(H23=0,'DB2'!$R$17*(1+'DB2'!$O$17),H23+'DB2'!$R$17*(100%-(1+'DB2'!$O$17))/SUMPRODUCT('TS2'!$F$55:$BM$55,'TS2'!$F$58:$BM$58)),))</f>
        <v>0</v>
      </c>
      <c r="J23" s="551">
        <f>IF(J14=0,,IF(J14&gt;0,IF(I23=0,'DB2'!$R$17*(1+'DB2'!$O$17),I23+'DB2'!$R$17*(100%-(1+'DB2'!$O$17))/SUMPRODUCT('TS2'!$F$55:$BM$55,'TS2'!$F$58:$BM$58)),))</f>
        <v>0</v>
      </c>
      <c r="K23" s="551">
        <f>IF(K14=0,,IF(K14&gt;0,IF(J23=0,'DB2'!$R$17*(1+'DB2'!$O$17),J23+'DB2'!$R$17*(100%-(1+'DB2'!$O$17))/SUMPRODUCT('TS2'!$F$55:$BM$55,'TS2'!$F$58:$BM$58)),))</f>
        <v>0</v>
      </c>
      <c r="L23" s="551">
        <f>IF(L14=0,,IF(L14&gt;0,IF(K23=0,'DB2'!$R$17*(1+'DB2'!$O$17),K23+'DB2'!$R$17*(100%-(1+'DB2'!$O$17))/SUMPRODUCT('TS2'!$F$55:$BM$55,'TS2'!$F$58:$BM$58)),))</f>
        <v>0</v>
      </c>
      <c r="M23" s="551">
        <f>IF(M14=0,,IF(M14&gt;0,IF(L23=0,'DB2'!$R$17*(1+'DB2'!$O$17),L23+'DB2'!$R$17*(100%-(1+'DB2'!$O$17))/SUMPRODUCT('TS2'!$F$55:$BM$55,'TS2'!$F$58:$BM$58)),))</f>
        <v>0</v>
      </c>
      <c r="N23" s="133">
        <f>IF(N14=0,,IF(N14&gt;0,IF(M23=0,'DB2'!$R$17*(1+'DB2'!$O$17),M23+'DB2'!$R$17*(100%-(1+'DB2'!$O$17))/SUMPRODUCT('TS2'!$F$55:$BM$55,'TS2'!$F$58:$BM$58)),))</f>
        <v>0</v>
      </c>
      <c r="O23" s="133">
        <f>IF(O14=0,,IF(O14&gt;0,IF(N23=0,'DB2'!$R$17*(1+'DB2'!$O$17),N23+'DB2'!$R$17*(100%-(1+'DB2'!$O$17))/SUMPRODUCT('TS2'!$F$55:$BM$55,'TS2'!$F$58:$BM$58)),))</f>
        <v>0</v>
      </c>
      <c r="P23" s="133">
        <f>IF(P14=0,,IF(P14&gt;0,IF(O23=0,'DB2'!$R$17*(1+'DB2'!$O$17),O23+'DB2'!$R$17*(100%-(1+'DB2'!$O$17))/SUMPRODUCT('TS2'!$F$55:$BM$55,'TS2'!$F$58:$BM$58)),))</f>
        <v>0</v>
      </c>
      <c r="Q23" s="133">
        <f>IF(Q14=0,,IF(Q14&gt;0,IF(P23=0,'DB2'!$R$17*(1+'DB2'!$O$17),P23+'DB2'!$R$17*(100%-(1+'DB2'!$O$17))/SUMPRODUCT('TS2'!$F$55:$BM$55,'TS2'!$F$58:$BM$58)),))</f>
        <v>0</v>
      </c>
      <c r="R23" s="133">
        <f>IF(R14=0,,IF(R14&gt;0,IF(Q23=0,'DB2'!$R$17*(1+'DB2'!$O$17),Q23+'DB2'!$R$17*(100%-(1+'DB2'!$O$17))/SUMPRODUCT('TS2'!$F$55:$BM$55,'TS2'!$F$58:$BM$58)),))</f>
        <v>0</v>
      </c>
      <c r="S23" s="133">
        <f>IF(S14=0,,IF(S14&gt;0,IF(R23=0,'DB2'!$R$17*(1+'DB2'!$O$17),R23+'DB2'!$R$17*(100%-(1+'DB2'!$O$17))/SUMPRODUCT('TS2'!$F$55:$BM$55,'TS2'!$F$58:$BM$58)),))</f>
        <v>0</v>
      </c>
      <c r="T23" s="133">
        <f>IF(T14=0,,IF(T14&gt;0,IF(S23=0,'DB2'!$R$17*(1+'DB2'!$O$17),S23+'DB2'!$R$17*(100%-(1+'DB2'!$O$17))/SUMPRODUCT('TS2'!$F$55:$BM$55,'TS2'!$F$58:$BM$58)),))</f>
        <v>0</v>
      </c>
      <c r="U23" s="133">
        <f>IF(U14=0,,IF(U14&gt;0,IF(T23=0,'DB2'!$R$17*(1+'DB2'!$O$17),T23+'DB2'!$R$17*(100%-(1+'DB2'!$O$17))/SUMPRODUCT('TS2'!$F$55:$BM$55,'TS2'!$F$58:$BM$58)),))</f>
        <v>0</v>
      </c>
      <c r="V23" s="133">
        <f>IF(V14=0,,IF(V14&gt;0,IF(U23=0,'DB2'!$R$17*(1+'DB2'!$O$17),U23+'DB2'!$R$17*(100%-(1+'DB2'!$O$17))/SUMPRODUCT('TS2'!$F$55:$BM$55,'TS2'!$F$58:$BM$58)),))</f>
        <v>0</v>
      </c>
      <c r="W23" s="133">
        <f>IF(W14=0,,IF(W14&gt;0,IF(V23=0,'DB2'!$R$17*(1+'DB2'!$O$17),V23+'DB2'!$R$17*(100%-(1+'DB2'!$O$17))/SUMPRODUCT('TS2'!$F$55:$BM$55,'TS2'!$F$58:$BM$58)),))</f>
        <v>0</v>
      </c>
      <c r="X23" s="133">
        <f>IF(X14=0,,IF(X14&gt;0,IF(W23=0,'DB2'!$R$17*(1+'DB2'!$O$17),W23+'DB2'!$R$17*(100%-(1+'DB2'!$O$17))/SUMPRODUCT('TS2'!$F$55:$BM$55,'TS2'!$F$58:$BM$58)),))</f>
        <v>0</v>
      </c>
      <c r="Y23" s="133">
        <f>IF(Y14=0,,IF(Y14&gt;0,IF(X23=0,'DB2'!$R$17*(1+'DB2'!$O$17),X23+'DB2'!$R$17*(100%-(1+'DB2'!$O$17))/SUMPRODUCT('TS2'!$F$55:$BM$55,'TS2'!$F$58:$BM$58)),))</f>
        <v>0</v>
      </c>
      <c r="Z23" s="133">
        <f>IF(Z14=0,,IF(Z14&gt;0,IF(Y23=0,'DB2'!$R$17*(1+'DB2'!$O$17),Y23+'DB2'!$R$17*(100%-(1+'DB2'!$O$17))/SUMPRODUCT('TS2'!$F$55:$BM$55,'TS2'!$F$58:$BM$58)),))</f>
        <v>0</v>
      </c>
      <c r="AA23" s="133">
        <f>IF(AA14=0,,IF(AA14&gt;0,IF(Z23=0,'DB2'!$R$17*(1+'DB2'!$O$17),Z23+'DB2'!$R$17*(100%-(1+'DB2'!$O$17))/SUMPRODUCT('TS2'!$F$55:$BM$55,'TS2'!$F$58:$BM$58)),))</f>
        <v>0</v>
      </c>
      <c r="AB23" s="133">
        <f>IF(AB14=0,,IF(AB14&gt;0,IF(AA23=0,'DB2'!$R$17*(1+'DB2'!$O$17),AA23+'DB2'!$R$17*(100%-(1+'DB2'!$O$17))/SUMPRODUCT('TS2'!$F$55:$BM$55,'TS2'!$F$58:$BM$58)),))</f>
        <v>0</v>
      </c>
      <c r="AC23" s="133">
        <f>IF(AC14=0,,IF(AC14&gt;0,IF(AB23=0,'DB2'!$R$17*(1+'DB2'!$O$17),AB23+'DB2'!$R$17*(100%-(1+'DB2'!$O$17))/SUMPRODUCT('TS2'!$F$55:$BM$55,'TS2'!$F$58:$BM$58)),))</f>
        <v>0</v>
      </c>
      <c r="AD23" s="133">
        <f>IF(AD14=0,,IF(AD14&gt;0,IF(AC23=0,'DB2'!$R$17*(1+'DB2'!$O$17),AC23+'DB2'!$R$17*(100%-(1+'DB2'!$O$17))/SUMPRODUCT('TS2'!$F$55:$BM$55,'TS2'!$F$58:$BM$58)),))</f>
        <v>0</v>
      </c>
      <c r="AE23" s="133">
        <f>IF(AE14=0,,IF(AE14&gt;0,IF(AD23=0,'DB2'!$R$17*(1+'DB2'!$O$17),AD23+'DB2'!$R$17*(100%-(1+'DB2'!$O$17))/SUMPRODUCT('TS2'!$F$55:$BM$55,'TS2'!$F$58:$BM$58)),))</f>
        <v>0</v>
      </c>
      <c r="AF23" s="133">
        <f>IF(AF14=0,,IF(AF14&gt;0,IF(AE23=0,'DB2'!$R$17*(1+'DB2'!$O$17),AE23+'DB2'!$R$17*(100%-(1+'DB2'!$O$17))/SUMPRODUCT('TS2'!$F$55:$BM$55,'TS2'!$F$58:$BM$58)),))</f>
        <v>0</v>
      </c>
      <c r="AG23" s="133">
        <f>IF(AG14=0,,IF(AG14&gt;0,IF(AF23=0,'DB2'!$R$17*(1+'DB2'!$O$17),AF23+'DB2'!$R$17*(100%-(1+'DB2'!$O$17))/SUMPRODUCT('TS2'!$F$55:$BM$55,'TS2'!$F$58:$BM$58)),))</f>
        <v>0</v>
      </c>
      <c r="AH23" s="133">
        <f>IF(AH14=0,,IF(AH14&gt;0,IF(AG23=0,'DB2'!$R$17*(1+'DB2'!$O$17),AG23+'DB2'!$R$17*(100%-(1+'DB2'!$O$17))/SUMPRODUCT('TS2'!$F$55:$BM$55,'TS2'!$F$58:$BM$58)),))</f>
        <v>0</v>
      </c>
      <c r="AI23" s="133">
        <f>IF(AI14=0,,IF(AI14&gt;0,IF(AH23=0,'DB2'!$R$17*(1+'DB2'!$O$17),AH23+'DB2'!$R$17*(100%-(1+'DB2'!$O$17))/SUMPRODUCT('TS2'!$F$55:$BM$55,'TS2'!$F$58:$BM$58)),))</f>
        <v>0</v>
      </c>
      <c r="AJ23" s="133">
        <f>IF(AJ14=0,,IF(AJ14&gt;0,IF(AI23=0,'DB2'!$R$17*(1+'DB2'!$O$17),AI23+'DB2'!$R$17*(100%-(1+'DB2'!$O$17))/SUMPRODUCT('TS2'!$F$55:$BM$55,'TS2'!$F$58:$BM$58)),))</f>
        <v>0</v>
      </c>
      <c r="AK23" s="133">
        <f>IF(AK14=0,,IF(AK14&gt;0,IF(AJ23=0,'DB2'!$R$17*(1+'DB2'!$O$17),AJ23+'DB2'!$R$17*(100%-(1+'DB2'!$O$17))/SUMPRODUCT('TS2'!$F$55:$BM$55,'TS2'!$F$58:$BM$58)),))</f>
        <v>0</v>
      </c>
      <c r="AL23" s="133">
        <f>IF(AL14=0,,IF(AL14&gt;0,IF(AK23=0,'DB2'!$R$17*(1+'DB2'!$O$17),AK23+'DB2'!$R$17*(100%-(1+'DB2'!$O$17))/SUMPRODUCT('TS2'!$F$55:$BM$55,'TS2'!$F$58:$BM$58)),))</f>
        <v>0</v>
      </c>
      <c r="AM23" s="133">
        <f>IF(AM14=0,,IF(AM14&gt;0,IF(AL23=0,'DB2'!$R$17*(1+'DB2'!$O$17),AL23+'DB2'!$R$17*(100%-(1+'DB2'!$O$17))/SUMPRODUCT('TS2'!$F$55:$BM$55,'TS2'!$F$58:$BM$58)),))</f>
        <v>0</v>
      </c>
      <c r="AN23" s="133">
        <f>IF(AN14=0,,IF(AN14&gt;0,IF(AM23=0,'DB2'!$R$17*(1+'DB2'!$O$17),AM23+'DB2'!$R$17*(100%-(1+'DB2'!$O$17))/SUMPRODUCT('TS2'!$F$55:$BM$55,'TS2'!$F$58:$BM$58)),))</f>
        <v>0</v>
      </c>
      <c r="AO23" s="133">
        <f>IF(AO14=0,,IF(AO14&gt;0,IF(AN23=0,'DB2'!$R$17*(1+'DB2'!$O$17),AN23+'DB2'!$R$17*(100%-(1+'DB2'!$O$17))/SUMPRODUCT('TS2'!$F$55:$BM$55,'TS2'!$F$58:$BM$58)),))</f>
        <v>0</v>
      </c>
      <c r="AP23" s="133">
        <f>IF(AP14=0,,IF(AP14&gt;0,IF(AO23=0,'DB2'!$R$17*(1+'DB2'!$O$17),AO23+'DB2'!$R$17*(100%-(1+'DB2'!$O$17))/SUMPRODUCT('TS2'!$F$55:$BM$55,'TS2'!$F$58:$BM$58)),))</f>
        <v>0</v>
      </c>
      <c r="AQ23" s="133">
        <f>IF(AQ14=0,,IF(AQ14&gt;0,IF(AP23=0,'DB2'!$R$17*(1+'DB2'!$O$17),AP23+'DB2'!$R$17*(100%-(1+'DB2'!$O$17))/SUMPRODUCT('TS2'!$F$55:$BM$55,'TS2'!$F$58:$BM$58)),))</f>
        <v>0</v>
      </c>
      <c r="AR23" s="133">
        <f>IF(AR14=0,,IF(AR14&gt;0,IF(AQ23=0,'DB2'!$R$17*(1+'DB2'!$O$17),AQ23+'DB2'!$R$17*(100%-(1+'DB2'!$O$17))/SUMPRODUCT('TS2'!$F$55:$BM$55,'TS2'!$F$58:$BM$58)),))</f>
        <v>0</v>
      </c>
      <c r="AS23" s="133">
        <f>IF(AS14=0,,IF(AS14&gt;0,IF(AR23=0,'DB2'!$R$17*(1+'DB2'!$O$17),AR23+'DB2'!$R$17*(100%-(1+'DB2'!$O$17))/SUMPRODUCT('TS2'!$F$55:$BM$55,'TS2'!$F$58:$BM$58)),))</f>
        <v>0</v>
      </c>
      <c r="AT23" s="133">
        <f>IF(AT14=0,,IF(AT14&gt;0,IF(AS23=0,'DB2'!$R$17*(1+'DB2'!$O$17),AS23+'DB2'!$R$17*(100%-(1+'DB2'!$O$17))/SUMPRODUCT('TS2'!$F$55:$BM$55,'TS2'!$F$58:$BM$58)),))</f>
        <v>0</v>
      </c>
      <c r="AU23" s="133">
        <f>IF(AU14=0,,IF(AU14&gt;0,IF(AT23=0,'DB2'!$R$17*(1+'DB2'!$O$17),AT23+'DB2'!$R$17*(100%-(1+'DB2'!$O$17))/SUMPRODUCT('TS2'!$F$55:$BM$55,'TS2'!$F$58:$BM$58)),))</f>
        <v>0</v>
      </c>
      <c r="AV23" s="133">
        <f>IF(AV14=0,,IF(AV14&gt;0,IF(AU23=0,'DB2'!$R$17*(1+'DB2'!$O$17),AU23+'DB2'!$R$17*(100%-(1+'DB2'!$O$17))/SUMPRODUCT('TS2'!$F$55:$BM$55,'TS2'!$F$58:$BM$58)),))</f>
        <v>0</v>
      </c>
      <c r="AW23" s="133">
        <f>IF(AW14=0,,IF(AW14&gt;0,IF(AV23=0,'DB2'!$R$17*(1+'DB2'!$O$17),AV23+'DB2'!$R$17*(100%-(1+'DB2'!$O$17))/SUMPRODUCT('TS2'!$F$55:$BM$55,'TS2'!$F$58:$BM$58)),))</f>
        <v>0</v>
      </c>
      <c r="AX23" s="133">
        <f>IF(AX14=0,,IF(AX14&gt;0,IF(AW23=0,'DB2'!$R$17*(1+'DB2'!$O$17),AW23+'DB2'!$R$17*(100%-(1+'DB2'!$O$17))/SUMPRODUCT('TS2'!$F$55:$BM$55,'TS2'!$F$58:$BM$58)),))</f>
        <v>0</v>
      </c>
      <c r="AY23" s="133">
        <f>IF(AY14=0,,IF(AY14&gt;0,IF(AX23=0,'DB2'!$R$17*(1+'DB2'!$O$17),AX23+'DB2'!$R$17*(100%-(1+'DB2'!$O$17))/SUMPRODUCT('TS2'!$F$55:$BM$55,'TS2'!$F$58:$BM$58)),))</f>
        <v>0</v>
      </c>
      <c r="AZ23" s="133">
        <f>IF(AZ14=0,,IF(AZ14&gt;0,IF(AY23=0,'DB2'!$R$17*(1+'DB2'!$O$17),AY23+'DB2'!$R$17*(100%-(1+'DB2'!$O$17))/SUMPRODUCT('TS2'!$F$55:$BM$55,'TS2'!$F$58:$BM$58)),))</f>
        <v>0</v>
      </c>
      <c r="BA23" s="133">
        <f>IF(BA14=0,,IF(BA14&gt;0,IF(AZ23=0,'DB2'!$R$17*(1+'DB2'!$O$17),AZ23+'DB2'!$R$17*(100%-(1+'DB2'!$O$17))/SUMPRODUCT('TS2'!$F$55:$BM$55,'TS2'!$F$58:$BM$58)),))</f>
        <v>0</v>
      </c>
      <c r="BB23" s="133">
        <f>IF(BB14=0,,IF(BB14&gt;0,IF(BA23=0,'DB2'!$R$17*(1+'DB2'!$O$17),BA23+'DB2'!$R$17*(100%-(1+'DB2'!$O$17))/SUMPRODUCT('TS2'!$F$55:$BM$55,'TS2'!$F$58:$BM$58)),))</f>
        <v>0</v>
      </c>
      <c r="BC23" s="133">
        <f>IF(BC14=0,,IF(BC14&gt;0,IF(BB23=0,'DB2'!$R$17*(1+'DB2'!$O$17),BB23+'DB2'!$R$17*(100%-(1+'DB2'!$O$17))/SUMPRODUCT('TS2'!$F$55:$BM$55,'TS2'!$F$58:$BM$58)),))</f>
        <v>0</v>
      </c>
      <c r="BD23" s="133">
        <f>IF(BD14=0,,IF(BD14&gt;0,IF(BC23=0,'DB2'!$R$17*(1+'DB2'!$O$17),BC23+'DB2'!$R$17*(100%-(1+'DB2'!$O$17))/SUMPRODUCT('TS2'!$F$55:$BM$55,'TS2'!$F$58:$BM$58)),))</f>
        <v>0</v>
      </c>
      <c r="BE23" s="133">
        <f>IF(BE14=0,,IF(BE14&gt;0,IF(BD23=0,'DB2'!$R$17*(1+'DB2'!$O$17),BD23+'DB2'!$R$17*(100%-(1+'DB2'!$O$17))/SUMPRODUCT('TS2'!$F$55:$BM$55,'TS2'!$F$58:$BM$58)),))</f>
        <v>0</v>
      </c>
      <c r="BF23" s="133">
        <f>IF(BF14=0,,IF(BF14&gt;0,IF(BE23=0,'DB2'!$R$17*(1+'DB2'!$O$17),BE23+'DB2'!$R$17*(100%-(1+'DB2'!$O$17))/SUMPRODUCT('TS2'!$F$55:$BM$55,'TS2'!$F$58:$BM$58)),))</f>
        <v>0</v>
      </c>
      <c r="BG23" s="133">
        <f>IF(BG14=0,,IF(BG14&gt;0,IF(BF23=0,'DB2'!$R$17*(1+'DB2'!$O$17),BF23+'DB2'!$R$17*(100%-(1+'DB2'!$O$17))/SUMPRODUCT('TS2'!$F$55:$BM$55,'TS2'!$F$58:$BM$58)),))</f>
        <v>0</v>
      </c>
      <c r="BH23" s="133">
        <f>IF(BH14=0,,IF(BH14&gt;0,IF(BG23=0,'DB2'!$R$17*(1+'DB2'!$O$17),BG23+'DB2'!$R$17*(100%-(1+'DB2'!$O$17))/SUMPRODUCT('TS2'!$F$55:$BM$55,'TS2'!$F$58:$BM$58)),))</f>
        <v>0</v>
      </c>
      <c r="BI23" s="133">
        <f>IF(BI14=0,,IF(BI14&gt;0,IF(BH23=0,'DB2'!$R$17*(1+'DB2'!$O$17),BH23+'DB2'!$R$17*(100%-(1+'DB2'!$O$17))/SUMPRODUCT('TS2'!$F$55:$BM$55,'TS2'!$F$58:$BM$58)),))</f>
        <v>0</v>
      </c>
      <c r="BJ23" s="133">
        <f>IF(BJ14=0,,IF(BJ14&gt;0,IF(BI23=0,'DB2'!$R$17*(1+'DB2'!$O$17),BI23+'DB2'!$R$17*(100%-(1+'DB2'!$O$17))/SUMPRODUCT('TS2'!$F$55:$BM$55,'TS2'!$F$58:$BM$58)),))</f>
        <v>0</v>
      </c>
      <c r="BK23" s="133">
        <f>IF(BK14=0,,IF(BK14&gt;0,IF(BJ23=0,'DB2'!$R$17*(1+'DB2'!$O$17),BJ23+'DB2'!$R$17*(100%-(1+'DB2'!$O$17))/SUMPRODUCT('TS2'!$F$55:$BM$55,'TS2'!$F$58:$BM$58)),))</f>
        <v>0</v>
      </c>
      <c r="BL23" s="133">
        <f>IF(BL14=0,,IF(BL14&gt;0,IF(BK23=0,'DB2'!$R$17*(1+'DB2'!$O$17),BK23+'DB2'!$R$17*(100%-(1+'DB2'!$O$17))/SUMPRODUCT('TS2'!$F$55:$BM$55,'TS2'!$F$58:$BM$58)),))</f>
        <v>0</v>
      </c>
      <c r="BM23" s="133">
        <f>IF(BM14=0,,IF(BM14&gt;0,IF(BL23=0,'DB2'!$R$17*(1+'DB2'!$O$17),BL23+'DB2'!$R$17*(100%-(1+'DB2'!$O$17))/SUMPRODUCT('TS2'!$F$55:$BM$55,'TS2'!$F$58:$BM$58)),))</f>
        <v>0</v>
      </c>
    </row>
    <row r="24" spans="2:65" outlineLevel="1">
      <c r="B24" s="134"/>
      <c r="C24" s="134"/>
      <c r="D24" s="135"/>
      <c r="E24" s="136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  <c r="BI24" s="137"/>
      <c r="BJ24" s="137"/>
      <c r="BK24" s="137"/>
      <c r="BL24" s="137"/>
      <c r="BM24" s="137"/>
    </row>
    <row r="25" spans="2:65" s="163" customFormat="1" outlineLevel="1">
      <c r="B25" s="293" t="s">
        <v>27</v>
      </c>
      <c r="C25" s="293"/>
      <c r="D25" s="294" t="s">
        <v>19</v>
      </c>
      <c r="E25" s="295">
        <f t="shared" ref="E25:E32" si="5">SUM(F25:BM25)</f>
        <v>36150.46678800002</v>
      </c>
      <c r="F25" s="296">
        <f t="shared" ref="F25:BM25" si="6">SUM(F26:F32)</f>
        <v>0</v>
      </c>
      <c r="G25" s="296">
        <f t="shared" si="6"/>
        <v>0</v>
      </c>
      <c r="H25" s="296">
        <f t="shared" si="6"/>
        <v>0</v>
      </c>
      <c r="I25" s="296">
        <f t="shared" si="6"/>
        <v>0</v>
      </c>
      <c r="J25" s="296">
        <f t="shared" si="6"/>
        <v>0</v>
      </c>
      <c r="K25" s="296">
        <f t="shared" si="6"/>
        <v>0</v>
      </c>
      <c r="L25" s="296">
        <f t="shared" si="6"/>
        <v>0</v>
      </c>
      <c r="M25" s="296">
        <f t="shared" si="6"/>
        <v>0</v>
      </c>
      <c r="N25" s="296">
        <f t="shared" si="6"/>
        <v>0</v>
      </c>
      <c r="O25" s="296">
        <f t="shared" si="6"/>
        <v>0</v>
      </c>
      <c r="P25" s="296">
        <f t="shared" si="6"/>
        <v>0</v>
      </c>
      <c r="Q25" s="296">
        <f t="shared" si="6"/>
        <v>0</v>
      </c>
      <c r="R25" s="296">
        <f t="shared" si="6"/>
        <v>0</v>
      </c>
      <c r="S25" s="296">
        <f t="shared" si="6"/>
        <v>0</v>
      </c>
      <c r="T25" s="296">
        <f t="shared" si="6"/>
        <v>0</v>
      </c>
      <c r="U25" s="296">
        <f t="shared" si="6"/>
        <v>0</v>
      </c>
      <c r="V25" s="296">
        <f t="shared" si="6"/>
        <v>0</v>
      </c>
      <c r="W25" s="296">
        <f t="shared" si="6"/>
        <v>0</v>
      </c>
      <c r="X25" s="296">
        <f t="shared" si="6"/>
        <v>1703.7</v>
      </c>
      <c r="Y25" s="296">
        <f t="shared" si="6"/>
        <v>1743.9595595681578</v>
      </c>
      <c r="Z25" s="296">
        <f t="shared" si="6"/>
        <v>1784.2191191363161</v>
      </c>
      <c r="AA25" s="296">
        <f t="shared" si="6"/>
        <v>1824.4786787044739</v>
      </c>
      <c r="AB25" s="296">
        <f t="shared" si="6"/>
        <v>1864.7382382726321</v>
      </c>
      <c r="AC25" s="296">
        <f t="shared" si="6"/>
        <v>1904.9977978407899</v>
      </c>
      <c r="AD25" s="296">
        <f t="shared" si="6"/>
        <v>1945.2573574089481</v>
      </c>
      <c r="AE25" s="296">
        <f t="shared" si="6"/>
        <v>1985.5169169771059</v>
      </c>
      <c r="AF25" s="296">
        <f t="shared" si="6"/>
        <v>2025.7764765452639</v>
      </c>
      <c r="AG25" s="296">
        <f t="shared" si="6"/>
        <v>2066.0360361134221</v>
      </c>
      <c r="AH25" s="296">
        <f t="shared" si="6"/>
        <v>2106.2955956815799</v>
      </c>
      <c r="AI25" s="296">
        <f t="shared" si="6"/>
        <v>2146.5551552497382</v>
      </c>
      <c r="AJ25" s="296">
        <f t="shared" si="6"/>
        <v>2266.6699878582335</v>
      </c>
      <c r="AK25" s="296">
        <f t="shared" si="6"/>
        <v>3161.2904628582332</v>
      </c>
      <c r="AL25" s="296">
        <f t="shared" si="6"/>
        <v>3161.2904628582332</v>
      </c>
      <c r="AM25" s="296">
        <f t="shared" si="6"/>
        <v>2266.6699878582335</v>
      </c>
      <c r="AN25" s="296">
        <f t="shared" si="6"/>
        <v>2193.0149550686615</v>
      </c>
      <c r="AO25" s="296">
        <f t="shared" si="6"/>
        <v>0</v>
      </c>
      <c r="AP25" s="296">
        <f t="shared" si="6"/>
        <v>0</v>
      </c>
      <c r="AQ25" s="296">
        <f t="shared" si="6"/>
        <v>0</v>
      </c>
      <c r="AR25" s="296">
        <f t="shared" si="6"/>
        <v>0</v>
      </c>
      <c r="AS25" s="296">
        <f t="shared" si="6"/>
        <v>0</v>
      </c>
      <c r="AT25" s="296">
        <f t="shared" si="6"/>
        <v>0</v>
      </c>
      <c r="AU25" s="296">
        <f t="shared" si="6"/>
        <v>0</v>
      </c>
      <c r="AV25" s="296">
        <f t="shared" si="6"/>
        <v>0</v>
      </c>
      <c r="AW25" s="296">
        <f t="shared" si="6"/>
        <v>0</v>
      </c>
      <c r="AX25" s="296">
        <f t="shared" si="6"/>
        <v>0</v>
      </c>
      <c r="AY25" s="296">
        <f t="shared" si="6"/>
        <v>0</v>
      </c>
      <c r="AZ25" s="296">
        <f t="shared" si="6"/>
        <v>0</v>
      </c>
      <c r="BA25" s="296">
        <f t="shared" si="6"/>
        <v>0</v>
      </c>
      <c r="BB25" s="296">
        <f t="shared" si="6"/>
        <v>0</v>
      </c>
      <c r="BC25" s="296">
        <f t="shared" si="6"/>
        <v>0</v>
      </c>
      <c r="BD25" s="296">
        <f t="shared" si="6"/>
        <v>0</v>
      </c>
      <c r="BE25" s="296">
        <f t="shared" si="6"/>
        <v>0</v>
      </c>
      <c r="BF25" s="296">
        <f t="shared" si="6"/>
        <v>0</v>
      </c>
      <c r="BG25" s="296">
        <f t="shared" si="6"/>
        <v>0</v>
      </c>
      <c r="BH25" s="296">
        <f t="shared" si="6"/>
        <v>0</v>
      </c>
      <c r="BI25" s="296">
        <f t="shared" si="6"/>
        <v>0</v>
      </c>
      <c r="BJ25" s="296">
        <f t="shared" si="6"/>
        <v>0</v>
      </c>
      <c r="BK25" s="296">
        <f t="shared" si="6"/>
        <v>0</v>
      </c>
      <c r="BL25" s="296">
        <f t="shared" si="6"/>
        <v>0</v>
      </c>
      <c r="BM25" s="296">
        <f t="shared" si="6"/>
        <v>0</v>
      </c>
    </row>
    <row r="26" spans="2:65" outlineLevel="1">
      <c r="B26" s="130" t="str">
        <f t="shared" ref="B26:B32" si="7">B17</f>
        <v>КВАРТИРЫ</v>
      </c>
      <c r="C26" s="28"/>
      <c r="D26" s="131" t="s">
        <v>19</v>
      </c>
      <c r="E26" s="132">
        <f t="shared" si="5"/>
        <v>32052.72583800002</v>
      </c>
      <c r="F26" s="551">
        <f t="shared" ref="F26:H30" si="8">F8*F17/10^3</f>
        <v>0</v>
      </c>
      <c r="G26" s="551">
        <f t="shared" si="8"/>
        <v>0</v>
      </c>
      <c r="H26" s="551">
        <f t="shared" si="8"/>
        <v>0</v>
      </c>
      <c r="I26" s="551">
        <f t="shared" ref="I26:BM30" si="9">I8*I17/10^3</f>
        <v>0</v>
      </c>
      <c r="J26" s="551">
        <f t="shared" si="9"/>
        <v>0</v>
      </c>
      <c r="K26" s="551">
        <f t="shared" si="9"/>
        <v>0</v>
      </c>
      <c r="L26" s="551">
        <f t="shared" si="9"/>
        <v>0</v>
      </c>
      <c r="M26" s="551">
        <f t="shared" si="9"/>
        <v>0</v>
      </c>
      <c r="N26" s="133">
        <f>N8*N17/10^3</f>
        <v>0</v>
      </c>
      <c r="O26" s="133">
        <f t="shared" si="9"/>
        <v>0</v>
      </c>
      <c r="P26" s="133">
        <f t="shared" si="9"/>
        <v>0</v>
      </c>
      <c r="Q26" s="133">
        <f t="shared" si="9"/>
        <v>0</v>
      </c>
      <c r="R26" s="133">
        <f t="shared" si="9"/>
        <v>0</v>
      </c>
      <c r="S26" s="133">
        <f t="shared" si="9"/>
        <v>0</v>
      </c>
      <c r="T26" s="133">
        <f t="shared" si="9"/>
        <v>0</v>
      </c>
      <c r="U26" s="133">
        <f t="shared" si="9"/>
        <v>0</v>
      </c>
      <c r="V26" s="133">
        <f t="shared" si="9"/>
        <v>0</v>
      </c>
      <c r="W26" s="133">
        <f t="shared" si="9"/>
        <v>0</v>
      </c>
      <c r="X26" s="133">
        <f t="shared" si="9"/>
        <v>1568.7</v>
      </c>
      <c r="Y26" s="133">
        <f t="shared" si="9"/>
        <v>1608.9595595681578</v>
      </c>
      <c r="Z26" s="133">
        <f t="shared" si="9"/>
        <v>1649.2191191363161</v>
      </c>
      <c r="AA26" s="133">
        <f t="shared" si="9"/>
        <v>1689.4786787044739</v>
      </c>
      <c r="AB26" s="133">
        <f t="shared" si="9"/>
        <v>1729.7382382726321</v>
      </c>
      <c r="AC26" s="133">
        <f t="shared" si="9"/>
        <v>1769.9977978407899</v>
      </c>
      <c r="AD26" s="133">
        <f t="shared" si="9"/>
        <v>1810.2573574089481</v>
      </c>
      <c r="AE26" s="133">
        <f t="shared" si="9"/>
        <v>1850.5169169771059</v>
      </c>
      <c r="AF26" s="133">
        <f t="shared" si="9"/>
        <v>1890.7764765452639</v>
      </c>
      <c r="AG26" s="133">
        <f t="shared" si="9"/>
        <v>1931.0360361134221</v>
      </c>
      <c r="AH26" s="133">
        <f t="shared" si="9"/>
        <v>1971.2955956815799</v>
      </c>
      <c r="AI26" s="133">
        <f t="shared" si="9"/>
        <v>2011.5551552497382</v>
      </c>
      <c r="AJ26" s="133">
        <f t="shared" si="9"/>
        <v>2131.6699878582335</v>
      </c>
      <c r="AK26" s="133">
        <f t="shared" si="9"/>
        <v>2131.6699878582335</v>
      </c>
      <c r="AL26" s="133">
        <f t="shared" si="9"/>
        <v>2131.6699878582335</v>
      </c>
      <c r="AM26" s="133">
        <f t="shared" si="9"/>
        <v>2131.6699878582335</v>
      </c>
      <c r="AN26" s="133">
        <f t="shared" si="9"/>
        <v>2044.5149550686615</v>
      </c>
      <c r="AO26" s="133">
        <f t="shared" si="9"/>
        <v>0</v>
      </c>
      <c r="AP26" s="133">
        <f t="shared" si="9"/>
        <v>0</v>
      </c>
      <c r="AQ26" s="133">
        <f t="shared" si="9"/>
        <v>0</v>
      </c>
      <c r="AR26" s="133">
        <f t="shared" si="9"/>
        <v>0</v>
      </c>
      <c r="AS26" s="133">
        <f t="shared" si="9"/>
        <v>0</v>
      </c>
      <c r="AT26" s="133">
        <f t="shared" si="9"/>
        <v>0</v>
      </c>
      <c r="AU26" s="133">
        <f t="shared" si="9"/>
        <v>0</v>
      </c>
      <c r="AV26" s="133">
        <f t="shared" si="9"/>
        <v>0</v>
      </c>
      <c r="AW26" s="133">
        <f t="shared" si="9"/>
        <v>0</v>
      </c>
      <c r="AX26" s="133">
        <f t="shared" si="9"/>
        <v>0</v>
      </c>
      <c r="AY26" s="133">
        <f t="shared" si="9"/>
        <v>0</v>
      </c>
      <c r="AZ26" s="133">
        <f t="shared" si="9"/>
        <v>0</v>
      </c>
      <c r="BA26" s="133">
        <f t="shared" si="9"/>
        <v>0</v>
      </c>
      <c r="BB26" s="133">
        <f t="shared" si="9"/>
        <v>0</v>
      </c>
      <c r="BC26" s="133">
        <f t="shared" si="9"/>
        <v>0</v>
      </c>
      <c r="BD26" s="133">
        <f t="shared" si="9"/>
        <v>0</v>
      </c>
      <c r="BE26" s="133">
        <f t="shared" si="9"/>
        <v>0</v>
      </c>
      <c r="BF26" s="133">
        <f t="shared" si="9"/>
        <v>0</v>
      </c>
      <c r="BG26" s="133">
        <f t="shared" si="9"/>
        <v>0</v>
      </c>
      <c r="BH26" s="133">
        <f t="shared" si="9"/>
        <v>0</v>
      </c>
      <c r="BI26" s="133">
        <f t="shared" si="9"/>
        <v>0</v>
      </c>
      <c r="BJ26" s="133">
        <f t="shared" si="9"/>
        <v>0</v>
      </c>
      <c r="BK26" s="133">
        <f t="shared" si="9"/>
        <v>0</v>
      </c>
      <c r="BL26" s="133">
        <f t="shared" si="9"/>
        <v>0</v>
      </c>
      <c r="BM26" s="133">
        <f t="shared" si="9"/>
        <v>0</v>
      </c>
    </row>
    <row r="27" spans="2:65" hidden="1" outlineLevel="1">
      <c r="B27" s="130" t="str">
        <f t="shared" si="7"/>
        <v>АПАРТАМЕНТЫ</v>
      </c>
      <c r="C27" s="28"/>
      <c r="D27" s="131" t="s">
        <v>19</v>
      </c>
      <c r="E27" s="132">
        <f t="shared" si="5"/>
        <v>0</v>
      </c>
      <c r="F27" s="551">
        <f t="shared" si="8"/>
        <v>0</v>
      </c>
      <c r="G27" s="551">
        <f t="shared" si="8"/>
        <v>0</v>
      </c>
      <c r="H27" s="551">
        <f t="shared" si="8"/>
        <v>0</v>
      </c>
      <c r="I27" s="551">
        <f t="shared" si="9"/>
        <v>0</v>
      </c>
      <c r="J27" s="551">
        <f t="shared" si="9"/>
        <v>0</v>
      </c>
      <c r="K27" s="551">
        <f t="shared" si="9"/>
        <v>0</v>
      </c>
      <c r="L27" s="551">
        <f t="shared" si="9"/>
        <v>0</v>
      </c>
      <c r="M27" s="551">
        <f t="shared" si="9"/>
        <v>0</v>
      </c>
      <c r="N27" s="133">
        <f t="shared" si="9"/>
        <v>0</v>
      </c>
      <c r="O27" s="133">
        <f t="shared" si="9"/>
        <v>0</v>
      </c>
      <c r="P27" s="133">
        <f t="shared" si="9"/>
        <v>0</v>
      </c>
      <c r="Q27" s="133">
        <f t="shared" si="9"/>
        <v>0</v>
      </c>
      <c r="R27" s="133">
        <f t="shared" si="9"/>
        <v>0</v>
      </c>
      <c r="S27" s="133">
        <f t="shared" si="9"/>
        <v>0</v>
      </c>
      <c r="T27" s="133">
        <f t="shared" si="9"/>
        <v>0</v>
      </c>
      <c r="U27" s="133">
        <f t="shared" si="9"/>
        <v>0</v>
      </c>
      <c r="V27" s="133">
        <f t="shared" si="9"/>
        <v>0</v>
      </c>
      <c r="W27" s="133">
        <f t="shared" si="9"/>
        <v>0</v>
      </c>
      <c r="X27" s="133">
        <f t="shared" si="9"/>
        <v>0</v>
      </c>
      <c r="Y27" s="133">
        <f t="shared" si="9"/>
        <v>0</v>
      </c>
      <c r="Z27" s="133">
        <f t="shared" si="9"/>
        <v>0</v>
      </c>
      <c r="AA27" s="133">
        <f t="shared" si="9"/>
        <v>0</v>
      </c>
      <c r="AB27" s="133">
        <f t="shared" si="9"/>
        <v>0</v>
      </c>
      <c r="AC27" s="133">
        <f t="shared" si="9"/>
        <v>0</v>
      </c>
      <c r="AD27" s="133">
        <f t="shared" si="9"/>
        <v>0</v>
      </c>
      <c r="AE27" s="133">
        <f t="shared" si="9"/>
        <v>0</v>
      </c>
      <c r="AF27" s="133">
        <f t="shared" si="9"/>
        <v>0</v>
      </c>
      <c r="AG27" s="133">
        <f t="shared" si="9"/>
        <v>0</v>
      </c>
      <c r="AH27" s="133">
        <f t="shared" si="9"/>
        <v>0</v>
      </c>
      <c r="AI27" s="133">
        <f t="shared" si="9"/>
        <v>0</v>
      </c>
      <c r="AJ27" s="133">
        <f t="shared" si="9"/>
        <v>0</v>
      </c>
      <c r="AK27" s="133">
        <f t="shared" si="9"/>
        <v>0</v>
      </c>
      <c r="AL27" s="133">
        <f t="shared" si="9"/>
        <v>0</v>
      </c>
      <c r="AM27" s="133">
        <f t="shared" si="9"/>
        <v>0</v>
      </c>
      <c r="AN27" s="133">
        <f t="shared" si="9"/>
        <v>0</v>
      </c>
      <c r="AO27" s="133">
        <f t="shared" si="9"/>
        <v>0</v>
      </c>
      <c r="AP27" s="133">
        <f t="shared" si="9"/>
        <v>0</v>
      </c>
      <c r="AQ27" s="133">
        <f t="shared" si="9"/>
        <v>0</v>
      </c>
      <c r="AR27" s="133">
        <f t="shared" si="9"/>
        <v>0</v>
      </c>
      <c r="AS27" s="133">
        <f t="shared" si="9"/>
        <v>0</v>
      </c>
      <c r="AT27" s="133">
        <f t="shared" si="9"/>
        <v>0</v>
      </c>
      <c r="AU27" s="133">
        <f t="shared" si="9"/>
        <v>0</v>
      </c>
      <c r="AV27" s="133">
        <f t="shared" si="9"/>
        <v>0</v>
      </c>
      <c r="AW27" s="133">
        <f t="shared" si="9"/>
        <v>0</v>
      </c>
      <c r="AX27" s="133">
        <f t="shared" si="9"/>
        <v>0</v>
      </c>
      <c r="AY27" s="133">
        <f t="shared" si="9"/>
        <v>0</v>
      </c>
      <c r="AZ27" s="133">
        <f t="shared" si="9"/>
        <v>0</v>
      </c>
      <c r="BA27" s="133">
        <f t="shared" si="9"/>
        <v>0</v>
      </c>
      <c r="BB27" s="133">
        <f t="shared" si="9"/>
        <v>0</v>
      </c>
      <c r="BC27" s="133">
        <f t="shared" si="9"/>
        <v>0</v>
      </c>
      <c r="BD27" s="133">
        <f t="shared" si="9"/>
        <v>0</v>
      </c>
      <c r="BE27" s="133">
        <f t="shared" si="9"/>
        <v>0</v>
      </c>
      <c r="BF27" s="133">
        <f t="shared" si="9"/>
        <v>0</v>
      </c>
      <c r="BG27" s="133">
        <f t="shared" si="9"/>
        <v>0</v>
      </c>
      <c r="BH27" s="133">
        <f t="shared" si="9"/>
        <v>0</v>
      </c>
      <c r="BI27" s="133">
        <f t="shared" si="9"/>
        <v>0</v>
      </c>
      <c r="BJ27" s="133">
        <f t="shared" si="9"/>
        <v>0</v>
      </c>
      <c r="BK27" s="133">
        <f t="shared" si="9"/>
        <v>0</v>
      </c>
      <c r="BL27" s="133">
        <f t="shared" si="9"/>
        <v>0</v>
      </c>
      <c r="BM27" s="133">
        <f t="shared" si="9"/>
        <v>0</v>
      </c>
    </row>
    <row r="28" spans="2:65" ht="15" hidden="1" outlineLevel="1">
      <c r="B28" s="130" t="str">
        <f t="shared" si="7"/>
        <v>ОФИСЫ</v>
      </c>
      <c r="C28" s="28"/>
      <c r="D28" s="131" t="s">
        <v>19</v>
      </c>
      <c r="E28" s="132">
        <f t="shared" si="5"/>
        <v>0</v>
      </c>
      <c r="F28" s="551">
        <f t="shared" si="8"/>
        <v>0</v>
      </c>
      <c r="G28" s="551">
        <f t="shared" si="8"/>
        <v>0</v>
      </c>
      <c r="H28" s="551">
        <f t="shared" si="8"/>
        <v>0</v>
      </c>
      <c r="I28" s="551">
        <f t="shared" si="9"/>
        <v>0</v>
      </c>
      <c r="J28" s="551">
        <f t="shared" si="9"/>
        <v>0</v>
      </c>
      <c r="K28" s="551">
        <f t="shared" si="9"/>
        <v>0</v>
      </c>
      <c r="L28" s="551">
        <f t="shared" si="9"/>
        <v>0</v>
      </c>
      <c r="M28" s="551">
        <f t="shared" si="9"/>
        <v>0</v>
      </c>
      <c r="N28" s="133">
        <f t="shared" si="9"/>
        <v>0</v>
      </c>
      <c r="O28" s="133">
        <f t="shared" si="9"/>
        <v>0</v>
      </c>
      <c r="P28" s="133">
        <f t="shared" si="9"/>
        <v>0</v>
      </c>
      <c r="Q28" s="133">
        <f t="shared" si="9"/>
        <v>0</v>
      </c>
      <c r="R28" s="133">
        <f t="shared" si="9"/>
        <v>0</v>
      </c>
      <c r="S28" s="133">
        <f t="shared" si="9"/>
        <v>0</v>
      </c>
      <c r="T28" s="133">
        <f t="shared" si="9"/>
        <v>0</v>
      </c>
      <c r="U28" s="133">
        <f t="shared" si="9"/>
        <v>0</v>
      </c>
      <c r="V28" s="133">
        <f t="shared" si="9"/>
        <v>0</v>
      </c>
      <c r="W28" s="133">
        <f t="shared" si="9"/>
        <v>0</v>
      </c>
      <c r="X28" s="133">
        <f t="shared" si="9"/>
        <v>0</v>
      </c>
      <c r="Y28" s="133">
        <f t="shared" si="9"/>
        <v>0</v>
      </c>
      <c r="Z28" s="133">
        <f t="shared" si="9"/>
        <v>0</v>
      </c>
      <c r="AA28" s="133">
        <f t="shared" si="9"/>
        <v>0</v>
      </c>
      <c r="AB28" s="133">
        <f t="shared" si="9"/>
        <v>0</v>
      </c>
      <c r="AC28" s="133">
        <f t="shared" si="9"/>
        <v>0</v>
      </c>
      <c r="AD28" s="133">
        <f t="shared" si="9"/>
        <v>0</v>
      </c>
      <c r="AE28" s="133">
        <f t="shared" si="9"/>
        <v>0</v>
      </c>
      <c r="AF28" s="1402">
        <f t="shared" si="9"/>
        <v>0</v>
      </c>
      <c r="AG28" s="133">
        <f t="shared" si="9"/>
        <v>0</v>
      </c>
      <c r="AH28" s="133">
        <f t="shared" si="9"/>
        <v>0</v>
      </c>
      <c r="AI28" s="133">
        <f t="shared" si="9"/>
        <v>0</v>
      </c>
      <c r="AJ28" s="133">
        <f t="shared" si="9"/>
        <v>0</v>
      </c>
      <c r="AK28" s="133">
        <f t="shared" si="9"/>
        <v>0</v>
      </c>
      <c r="AL28" s="133">
        <f t="shared" si="9"/>
        <v>0</v>
      </c>
      <c r="AM28" s="133">
        <f t="shared" si="9"/>
        <v>0</v>
      </c>
      <c r="AN28" s="133">
        <f t="shared" si="9"/>
        <v>0</v>
      </c>
      <c r="AO28" s="133">
        <f t="shared" si="9"/>
        <v>0</v>
      </c>
      <c r="AP28" s="133">
        <f t="shared" si="9"/>
        <v>0</v>
      </c>
      <c r="AQ28" s="133">
        <f t="shared" si="9"/>
        <v>0</v>
      </c>
      <c r="AR28" s="133">
        <f t="shared" si="9"/>
        <v>0</v>
      </c>
      <c r="AS28" s="133">
        <f t="shared" si="9"/>
        <v>0</v>
      </c>
      <c r="AT28" s="133">
        <f t="shared" si="9"/>
        <v>0</v>
      </c>
      <c r="AU28" s="133">
        <f t="shared" si="9"/>
        <v>0</v>
      </c>
      <c r="AV28" s="133">
        <f t="shared" si="9"/>
        <v>0</v>
      </c>
      <c r="AW28" s="133">
        <f t="shared" si="9"/>
        <v>0</v>
      </c>
      <c r="AX28" s="133">
        <f t="shared" si="9"/>
        <v>0</v>
      </c>
      <c r="AY28" s="133">
        <f t="shared" si="9"/>
        <v>0</v>
      </c>
      <c r="AZ28" s="133">
        <f t="shared" si="9"/>
        <v>0</v>
      </c>
      <c r="BA28" s="133">
        <f t="shared" si="9"/>
        <v>0</v>
      </c>
      <c r="BB28" s="133">
        <f t="shared" si="9"/>
        <v>0</v>
      </c>
      <c r="BC28" s="133">
        <f t="shared" si="9"/>
        <v>0</v>
      </c>
      <c r="BD28" s="133">
        <f t="shared" si="9"/>
        <v>0</v>
      </c>
      <c r="BE28" s="133">
        <f t="shared" si="9"/>
        <v>0</v>
      </c>
      <c r="BF28" s="133">
        <f t="shared" si="9"/>
        <v>0</v>
      </c>
      <c r="BG28" s="133">
        <f t="shared" si="9"/>
        <v>0</v>
      </c>
      <c r="BH28" s="133">
        <f t="shared" si="9"/>
        <v>0</v>
      </c>
      <c r="BI28" s="133">
        <f t="shared" si="9"/>
        <v>0</v>
      </c>
      <c r="BJ28" s="133">
        <f t="shared" si="9"/>
        <v>0</v>
      </c>
      <c r="BK28" s="133">
        <f t="shared" si="9"/>
        <v>0</v>
      </c>
      <c r="BL28" s="133">
        <f t="shared" si="9"/>
        <v>0</v>
      </c>
      <c r="BM28" s="133">
        <f t="shared" si="9"/>
        <v>0</v>
      </c>
    </row>
    <row r="29" spans="2:65" outlineLevel="1">
      <c r="B29" s="130" t="str">
        <f t="shared" si="7"/>
        <v>РИТЕЙЛ</v>
      </c>
      <c r="C29" s="28"/>
      <c r="D29" s="131" t="s">
        <v>19</v>
      </c>
      <c r="E29" s="132">
        <f t="shared" si="5"/>
        <v>1789.2409499999997</v>
      </c>
      <c r="F29" s="551">
        <f t="shared" si="8"/>
        <v>0</v>
      </c>
      <c r="G29" s="551">
        <f t="shared" si="8"/>
        <v>0</v>
      </c>
      <c r="H29" s="551">
        <f t="shared" si="8"/>
        <v>0</v>
      </c>
      <c r="I29" s="551">
        <f t="shared" si="9"/>
        <v>0</v>
      </c>
      <c r="J29" s="551">
        <f t="shared" si="9"/>
        <v>0</v>
      </c>
      <c r="K29" s="551">
        <f t="shared" si="9"/>
        <v>0</v>
      </c>
      <c r="L29" s="551">
        <f t="shared" si="9"/>
        <v>0</v>
      </c>
      <c r="M29" s="551">
        <f t="shared" si="9"/>
        <v>0</v>
      </c>
      <c r="N29" s="133">
        <f t="shared" si="9"/>
        <v>0</v>
      </c>
      <c r="O29" s="133">
        <f t="shared" si="9"/>
        <v>0</v>
      </c>
      <c r="P29" s="133">
        <f t="shared" si="9"/>
        <v>0</v>
      </c>
      <c r="Q29" s="133">
        <f t="shared" si="9"/>
        <v>0</v>
      </c>
      <c r="R29" s="133">
        <f t="shared" si="9"/>
        <v>0</v>
      </c>
      <c r="S29" s="133">
        <f t="shared" si="9"/>
        <v>0</v>
      </c>
      <c r="T29" s="133">
        <f t="shared" si="9"/>
        <v>0</v>
      </c>
      <c r="U29" s="133">
        <f t="shared" si="9"/>
        <v>0</v>
      </c>
      <c r="V29" s="133">
        <f t="shared" si="9"/>
        <v>0</v>
      </c>
      <c r="W29" s="133">
        <f t="shared" si="9"/>
        <v>0</v>
      </c>
      <c r="X29" s="133">
        <f t="shared" si="9"/>
        <v>0</v>
      </c>
      <c r="Y29" s="133">
        <f t="shared" si="9"/>
        <v>0</v>
      </c>
      <c r="Z29" s="133">
        <f t="shared" si="9"/>
        <v>0</v>
      </c>
      <c r="AA29" s="133">
        <f t="shared" si="9"/>
        <v>0</v>
      </c>
      <c r="AB29" s="133">
        <f t="shared" si="9"/>
        <v>0</v>
      </c>
      <c r="AC29" s="133">
        <f t="shared" si="9"/>
        <v>0</v>
      </c>
      <c r="AD29" s="133">
        <f t="shared" si="9"/>
        <v>0</v>
      </c>
      <c r="AE29" s="133">
        <f t="shared" si="9"/>
        <v>0</v>
      </c>
      <c r="AF29" s="133">
        <f t="shared" si="9"/>
        <v>0</v>
      </c>
      <c r="AG29" s="133">
        <f t="shared" si="9"/>
        <v>0</v>
      </c>
      <c r="AH29" s="133">
        <f t="shared" si="9"/>
        <v>0</v>
      </c>
      <c r="AI29" s="133">
        <f t="shared" si="9"/>
        <v>0</v>
      </c>
      <c r="AJ29" s="133">
        <f t="shared" si="9"/>
        <v>0</v>
      </c>
      <c r="AK29" s="133">
        <f t="shared" si="9"/>
        <v>894.62047499999983</v>
      </c>
      <c r="AL29" s="133">
        <f t="shared" si="9"/>
        <v>894.62047499999983</v>
      </c>
      <c r="AM29" s="133">
        <f t="shared" si="9"/>
        <v>0</v>
      </c>
      <c r="AN29" s="133">
        <f t="shared" si="9"/>
        <v>0</v>
      </c>
      <c r="AO29" s="133">
        <f t="shared" si="9"/>
        <v>0</v>
      </c>
      <c r="AP29" s="133">
        <f t="shared" si="9"/>
        <v>0</v>
      </c>
      <c r="AQ29" s="133">
        <f t="shared" si="9"/>
        <v>0</v>
      </c>
      <c r="AR29" s="133">
        <f t="shared" si="9"/>
        <v>0</v>
      </c>
      <c r="AS29" s="133">
        <f t="shared" si="9"/>
        <v>0</v>
      </c>
      <c r="AT29" s="133">
        <f t="shared" si="9"/>
        <v>0</v>
      </c>
      <c r="AU29" s="133">
        <f t="shared" si="9"/>
        <v>0</v>
      </c>
      <c r="AV29" s="133">
        <f t="shared" si="9"/>
        <v>0</v>
      </c>
      <c r="AW29" s="133">
        <f t="shared" si="9"/>
        <v>0</v>
      </c>
      <c r="AX29" s="133">
        <f t="shared" si="9"/>
        <v>0</v>
      </c>
      <c r="AY29" s="133">
        <f t="shared" si="9"/>
        <v>0</v>
      </c>
      <c r="AZ29" s="133">
        <f t="shared" si="9"/>
        <v>0</v>
      </c>
      <c r="BA29" s="133">
        <f t="shared" si="9"/>
        <v>0</v>
      </c>
      <c r="BB29" s="133">
        <f t="shared" si="9"/>
        <v>0</v>
      </c>
      <c r="BC29" s="133">
        <f t="shared" si="9"/>
        <v>0</v>
      </c>
      <c r="BD29" s="133">
        <f t="shared" si="9"/>
        <v>0</v>
      </c>
      <c r="BE29" s="133">
        <f t="shared" si="9"/>
        <v>0</v>
      </c>
      <c r="BF29" s="133">
        <f t="shared" si="9"/>
        <v>0</v>
      </c>
      <c r="BG29" s="133">
        <f t="shared" si="9"/>
        <v>0</v>
      </c>
      <c r="BH29" s="133">
        <f t="shared" si="9"/>
        <v>0</v>
      </c>
      <c r="BI29" s="133">
        <f t="shared" si="9"/>
        <v>0</v>
      </c>
      <c r="BJ29" s="133">
        <f t="shared" si="9"/>
        <v>0</v>
      </c>
      <c r="BK29" s="133">
        <f t="shared" si="9"/>
        <v>0</v>
      </c>
      <c r="BL29" s="133">
        <f t="shared" si="9"/>
        <v>0</v>
      </c>
      <c r="BM29" s="133">
        <f t="shared" si="9"/>
        <v>0</v>
      </c>
    </row>
    <row r="30" spans="2:65" hidden="1" outlineLevel="1">
      <c r="B30" s="130" t="str">
        <f t="shared" si="7"/>
        <v>ТЦ</v>
      </c>
      <c r="C30" s="28"/>
      <c r="D30" s="131" t="s">
        <v>19</v>
      </c>
      <c r="E30" s="132">
        <f t="shared" si="5"/>
        <v>0</v>
      </c>
      <c r="F30" s="551">
        <f t="shared" si="8"/>
        <v>0</v>
      </c>
      <c r="G30" s="551">
        <f t="shared" si="8"/>
        <v>0</v>
      </c>
      <c r="H30" s="551">
        <f t="shared" si="8"/>
        <v>0</v>
      </c>
      <c r="I30" s="551">
        <f t="shared" si="9"/>
        <v>0</v>
      </c>
      <c r="J30" s="551">
        <f t="shared" si="9"/>
        <v>0</v>
      </c>
      <c r="K30" s="551">
        <f t="shared" si="9"/>
        <v>0</v>
      </c>
      <c r="L30" s="551">
        <f t="shared" si="9"/>
        <v>0</v>
      </c>
      <c r="M30" s="551">
        <f t="shared" si="9"/>
        <v>0</v>
      </c>
      <c r="N30" s="133">
        <f t="shared" si="9"/>
        <v>0</v>
      </c>
      <c r="O30" s="133">
        <f t="shared" si="9"/>
        <v>0</v>
      </c>
      <c r="P30" s="133">
        <f t="shared" si="9"/>
        <v>0</v>
      </c>
      <c r="Q30" s="133">
        <f t="shared" si="9"/>
        <v>0</v>
      </c>
      <c r="R30" s="133">
        <f t="shared" si="9"/>
        <v>0</v>
      </c>
      <c r="S30" s="133">
        <f t="shared" si="9"/>
        <v>0</v>
      </c>
      <c r="T30" s="133">
        <f t="shared" si="9"/>
        <v>0</v>
      </c>
      <c r="U30" s="133">
        <f t="shared" si="9"/>
        <v>0</v>
      </c>
      <c r="V30" s="133">
        <f t="shared" ref="V30:BM32" si="10">V12*V21/10^3</f>
        <v>0</v>
      </c>
      <c r="W30" s="133">
        <f t="shared" si="10"/>
        <v>0</v>
      </c>
      <c r="X30" s="133">
        <f t="shared" si="10"/>
        <v>0</v>
      </c>
      <c r="Y30" s="133">
        <f t="shared" si="10"/>
        <v>0</v>
      </c>
      <c r="Z30" s="133">
        <f t="shared" si="10"/>
        <v>0</v>
      </c>
      <c r="AA30" s="133">
        <f t="shared" si="10"/>
        <v>0</v>
      </c>
      <c r="AB30" s="133">
        <f t="shared" si="10"/>
        <v>0</v>
      </c>
      <c r="AC30" s="133">
        <f t="shared" si="10"/>
        <v>0</v>
      </c>
      <c r="AD30" s="133">
        <f t="shared" si="10"/>
        <v>0</v>
      </c>
      <c r="AE30" s="133">
        <f t="shared" si="10"/>
        <v>0</v>
      </c>
      <c r="AF30" s="133">
        <f t="shared" si="10"/>
        <v>0</v>
      </c>
      <c r="AG30" s="133">
        <f t="shared" si="10"/>
        <v>0</v>
      </c>
      <c r="AH30" s="133">
        <f t="shared" si="10"/>
        <v>0</v>
      </c>
      <c r="AI30" s="133">
        <f t="shared" si="10"/>
        <v>0</v>
      </c>
      <c r="AJ30" s="133">
        <f t="shared" si="10"/>
        <v>0</v>
      </c>
      <c r="AK30" s="133">
        <f t="shared" si="10"/>
        <v>0</v>
      </c>
      <c r="AL30" s="133">
        <f t="shared" si="10"/>
        <v>0</v>
      </c>
      <c r="AM30" s="133">
        <f t="shared" si="10"/>
        <v>0</v>
      </c>
      <c r="AN30" s="133">
        <f t="shared" si="10"/>
        <v>0</v>
      </c>
      <c r="AO30" s="133">
        <f t="shared" si="10"/>
        <v>0</v>
      </c>
      <c r="AP30" s="133">
        <f t="shared" si="10"/>
        <v>0</v>
      </c>
      <c r="AQ30" s="133">
        <f t="shared" si="10"/>
        <v>0</v>
      </c>
      <c r="AR30" s="133">
        <f t="shared" si="10"/>
        <v>0</v>
      </c>
      <c r="AS30" s="133">
        <f t="shared" si="10"/>
        <v>0</v>
      </c>
      <c r="AT30" s="133">
        <f t="shared" si="10"/>
        <v>0</v>
      </c>
      <c r="AU30" s="133">
        <f t="shared" si="10"/>
        <v>0</v>
      </c>
      <c r="AV30" s="133">
        <f t="shared" si="10"/>
        <v>0</v>
      </c>
      <c r="AW30" s="133">
        <f t="shared" si="10"/>
        <v>0</v>
      </c>
      <c r="AX30" s="133">
        <f t="shared" si="10"/>
        <v>0</v>
      </c>
      <c r="AY30" s="133">
        <f t="shared" si="10"/>
        <v>0</v>
      </c>
      <c r="AZ30" s="133">
        <f t="shared" si="10"/>
        <v>0</v>
      </c>
      <c r="BA30" s="133">
        <f t="shared" si="10"/>
        <v>0</v>
      </c>
      <c r="BB30" s="133">
        <f t="shared" si="10"/>
        <v>0</v>
      </c>
      <c r="BC30" s="133">
        <f t="shared" si="10"/>
        <v>0</v>
      </c>
      <c r="BD30" s="133">
        <f t="shared" si="10"/>
        <v>0</v>
      </c>
      <c r="BE30" s="133">
        <f t="shared" si="10"/>
        <v>0</v>
      </c>
      <c r="BF30" s="133">
        <f t="shared" si="10"/>
        <v>0</v>
      </c>
      <c r="BG30" s="133">
        <f t="shared" si="10"/>
        <v>0</v>
      </c>
      <c r="BH30" s="133">
        <f t="shared" si="10"/>
        <v>0</v>
      </c>
      <c r="BI30" s="133">
        <f t="shared" si="10"/>
        <v>0</v>
      </c>
      <c r="BJ30" s="133">
        <f t="shared" si="10"/>
        <v>0</v>
      </c>
      <c r="BK30" s="133">
        <f t="shared" si="10"/>
        <v>0</v>
      </c>
      <c r="BL30" s="133">
        <f t="shared" si="10"/>
        <v>0</v>
      </c>
      <c r="BM30" s="133">
        <f t="shared" si="10"/>
        <v>0</v>
      </c>
    </row>
    <row r="31" spans="2:65" outlineLevel="1">
      <c r="B31" s="130" t="str">
        <f t="shared" si="7"/>
        <v>ПАРКИНГ ЖИЛЬЕ</v>
      </c>
      <c r="C31" s="28"/>
      <c r="D31" s="131" t="s">
        <v>19</v>
      </c>
      <c r="E31" s="132">
        <f t="shared" si="5"/>
        <v>2308.5</v>
      </c>
      <c r="F31" s="551">
        <f t="shared" ref="F31:H31" si="11">F13*F22/10^3</f>
        <v>0</v>
      </c>
      <c r="G31" s="551">
        <f t="shared" si="11"/>
        <v>0</v>
      </c>
      <c r="H31" s="551">
        <f t="shared" si="11"/>
        <v>0</v>
      </c>
      <c r="I31" s="551">
        <f t="shared" ref="F31:AK32" si="12">I13*I22/10^3</f>
        <v>0</v>
      </c>
      <c r="J31" s="551">
        <f t="shared" si="12"/>
        <v>0</v>
      </c>
      <c r="K31" s="551">
        <f t="shared" si="12"/>
        <v>0</v>
      </c>
      <c r="L31" s="551">
        <f t="shared" si="12"/>
        <v>0</v>
      </c>
      <c r="M31" s="551">
        <f t="shared" si="12"/>
        <v>0</v>
      </c>
      <c r="N31" s="133">
        <f t="shared" si="12"/>
        <v>0</v>
      </c>
      <c r="O31" s="133">
        <f t="shared" si="12"/>
        <v>0</v>
      </c>
      <c r="P31" s="133">
        <f t="shared" si="12"/>
        <v>0</v>
      </c>
      <c r="Q31" s="133">
        <f t="shared" si="12"/>
        <v>0</v>
      </c>
      <c r="R31" s="133">
        <f t="shared" si="12"/>
        <v>0</v>
      </c>
      <c r="S31" s="133">
        <f t="shared" si="12"/>
        <v>0</v>
      </c>
      <c r="T31" s="133">
        <f t="shared" si="12"/>
        <v>0</v>
      </c>
      <c r="U31" s="133">
        <f t="shared" si="12"/>
        <v>0</v>
      </c>
      <c r="V31" s="133">
        <f t="shared" si="12"/>
        <v>0</v>
      </c>
      <c r="W31" s="133">
        <f t="shared" si="12"/>
        <v>0</v>
      </c>
      <c r="X31" s="133">
        <f t="shared" si="12"/>
        <v>135</v>
      </c>
      <c r="Y31" s="133">
        <f t="shared" si="12"/>
        <v>135</v>
      </c>
      <c r="Z31" s="133">
        <f t="shared" si="12"/>
        <v>135</v>
      </c>
      <c r="AA31" s="133">
        <f t="shared" si="12"/>
        <v>135</v>
      </c>
      <c r="AB31" s="133">
        <f t="shared" si="12"/>
        <v>135</v>
      </c>
      <c r="AC31" s="133">
        <f t="shared" si="12"/>
        <v>135</v>
      </c>
      <c r="AD31" s="133">
        <f t="shared" si="12"/>
        <v>135</v>
      </c>
      <c r="AE31" s="133">
        <f t="shared" si="12"/>
        <v>135</v>
      </c>
      <c r="AF31" s="133">
        <f t="shared" si="12"/>
        <v>135</v>
      </c>
      <c r="AG31" s="133">
        <f t="shared" si="12"/>
        <v>135</v>
      </c>
      <c r="AH31" s="133">
        <f t="shared" si="12"/>
        <v>135</v>
      </c>
      <c r="AI31" s="133">
        <f t="shared" si="12"/>
        <v>135</v>
      </c>
      <c r="AJ31" s="133">
        <f t="shared" si="12"/>
        <v>135</v>
      </c>
      <c r="AK31" s="133">
        <f t="shared" si="12"/>
        <v>135</v>
      </c>
      <c r="AL31" s="133">
        <f t="shared" si="10"/>
        <v>135</v>
      </c>
      <c r="AM31" s="133">
        <f t="shared" si="10"/>
        <v>135</v>
      </c>
      <c r="AN31" s="133">
        <f t="shared" si="10"/>
        <v>148.5</v>
      </c>
      <c r="AO31" s="133">
        <f t="shared" si="10"/>
        <v>0</v>
      </c>
      <c r="AP31" s="133">
        <f t="shared" si="10"/>
        <v>0</v>
      </c>
      <c r="AQ31" s="133">
        <f t="shared" si="10"/>
        <v>0</v>
      </c>
      <c r="AR31" s="133">
        <f t="shared" si="10"/>
        <v>0</v>
      </c>
      <c r="AS31" s="133">
        <f t="shared" si="10"/>
        <v>0</v>
      </c>
      <c r="AT31" s="133">
        <f t="shared" si="10"/>
        <v>0</v>
      </c>
      <c r="AU31" s="133">
        <f t="shared" si="10"/>
        <v>0</v>
      </c>
      <c r="AV31" s="133">
        <f t="shared" si="10"/>
        <v>0</v>
      </c>
      <c r="AW31" s="133">
        <f t="shared" si="10"/>
        <v>0</v>
      </c>
      <c r="AX31" s="133">
        <f t="shared" si="10"/>
        <v>0</v>
      </c>
      <c r="AY31" s="133">
        <f t="shared" si="10"/>
        <v>0</v>
      </c>
      <c r="AZ31" s="133">
        <f t="shared" si="10"/>
        <v>0</v>
      </c>
      <c r="BA31" s="133">
        <f t="shared" si="10"/>
        <v>0</v>
      </c>
      <c r="BB31" s="133">
        <f t="shared" si="10"/>
        <v>0</v>
      </c>
      <c r="BC31" s="133">
        <f t="shared" si="10"/>
        <v>0</v>
      </c>
      <c r="BD31" s="133">
        <f t="shared" si="10"/>
        <v>0</v>
      </c>
      <c r="BE31" s="133">
        <f t="shared" si="10"/>
        <v>0</v>
      </c>
      <c r="BF31" s="133">
        <f t="shared" si="10"/>
        <v>0</v>
      </c>
      <c r="BG31" s="133">
        <f t="shared" si="10"/>
        <v>0</v>
      </c>
      <c r="BH31" s="133">
        <f t="shared" si="10"/>
        <v>0</v>
      </c>
      <c r="BI31" s="133">
        <f t="shared" si="10"/>
        <v>0</v>
      </c>
      <c r="BJ31" s="133">
        <f t="shared" si="10"/>
        <v>0</v>
      </c>
      <c r="BK31" s="133">
        <f t="shared" si="10"/>
        <v>0</v>
      </c>
      <c r="BL31" s="133">
        <f t="shared" si="10"/>
        <v>0</v>
      </c>
      <c r="BM31" s="133">
        <f t="shared" si="10"/>
        <v>0</v>
      </c>
    </row>
    <row r="32" spans="2:65" hidden="1" outlineLevel="1">
      <c r="B32" s="130" t="str">
        <f t="shared" si="7"/>
        <v>ПАРКИНГ ОФИС</v>
      </c>
      <c r="C32" s="28"/>
      <c r="D32" s="131" t="s">
        <v>19</v>
      </c>
      <c r="E32" s="132">
        <f t="shared" si="5"/>
        <v>0</v>
      </c>
      <c r="F32" s="551">
        <f t="shared" si="12"/>
        <v>0</v>
      </c>
      <c r="G32" s="551">
        <f t="shared" si="12"/>
        <v>0</v>
      </c>
      <c r="H32" s="551">
        <f t="shared" si="12"/>
        <v>0</v>
      </c>
      <c r="I32" s="551">
        <f t="shared" si="12"/>
        <v>0</v>
      </c>
      <c r="J32" s="551">
        <f t="shared" si="12"/>
        <v>0</v>
      </c>
      <c r="K32" s="551">
        <f t="shared" si="12"/>
        <v>0</v>
      </c>
      <c r="L32" s="551">
        <f t="shared" si="12"/>
        <v>0</v>
      </c>
      <c r="M32" s="551">
        <f t="shared" si="12"/>
        <v>0</v>
      </c>
      <c r="N32" s="133">
        <f t="shared" si="12"/>
        <v>0</v>
      </c>
      <c r="O32" s="133">
        <f t="shared" si="12"/>
        <v>0</v>
      </c>
      <c r="P32" s="133">
        <f t="shared" si="12"/>
        <v>0</v>
      </c>
      <c r="Q32" s="133">
        <f t="shared" si="12"/>
        <v>0</v>
      </c>
      <c r="R32" s="133">
        <f t="shared" si="12"/>
        <v>0</v>
      </c>
      <c r="S32" s="133">
        <f t="shared" si="12"/>
        <v>0</v>
      </c>
      <c r="T32" s="133">
        <f t="shared" si="12"/>
        <v>0</v>
      </c>
      <c r="U32" s="133">
        <f t="shared" si="12"/>
        <v>0</v>
      </c>
      <c r="V32" s="133">
        <f t="shared" si="12"/>
        <v>0</v>
      </c>
      <c r="W32" s="133">
        <f t="shared" si="12"/>
        <v>0</v>
      </c>
      <c r="X32" s="133">
        <f t="shared" si="12"/>
        <v>0</v>
      </c>
      <c r="Y32" s="133">
        <f t="shared" si="12"/>
        <v>0</v>
      </c>
      <c r="Z32" s="133">
        <f t="shared" si="12"/>
        <v>0</v>
      </c>
      <c r="AA32" s="133">
        <f t="shared" si="12"/>
        <v>0</v>
      </c>
      <c r="AB32" s="133">
        <f t="shared" si="12"/>
        <v>0</v>
      </c>
      <c r="AC32" s="133">
        <f t="shared" si="12"/>
        <v>0</v>
      </c>
      <c r="AD32" s="133">
        <f t="shared" si="12"/>
        <v>0</v>
      </c>
      <c r="AE32" s="133">
        <f t="shared" si="12"/>
        <v>0</v>
      </c>
      <c r="AF32" s="133">
        <f t="shared" si="12"/>
        <v>0</v>
      </c>
      <c r="AG32" s="133">
        <f t="shared" si="12"/>
        <v>0</v>
      </c>
      <c r="AH32" s="133">
        <f t="shared" si="12"/>
        <v>0</v>
      </c>
      <c r="AI32" s="133">
        <f t="shared" si="12"/>
        <v>0</v>
      </c>
      <c r="AJ32" s="133">
        <f t="shared" si="12"/>
        <v>0</v>
      </c>
      <c r="AK32" s="133">
        <f t="shared" si="12"/>
        <v>0</v>
      </c>
      <c r="AL32" s="133">
        <f t="shared" si="10"/>
        <v>0</v>
      </c>
      <c r="AM32" s="133">
        <f t="shared" si="10"/>
        <v>0</v>
      </c>
      <c r="AN32" s="133">
        <f t="shared" si="10"/>
        <v>0</v>
      </c>
      <c r="AO32" s="133">
        <f t="shared" si="10"/>
        <v>0</v>
      </c>
      <c r="AP32" s="133">
        <f t="shared" si="10"/>
        <v>0</v>
      </c>
      <c r="AQ32" s="133">
        <f t="shared" si="10"/>
        <v>0</v>
      </c>
      <c r="AR32" s="133">
        <f t="shared" si="10"/>
        <v>0</v>
      </c>
      <c r="AS32" s="133">
        <f t="shared" si="10"/>
        <v>0</v>
      </c>
      <c r="AT32" s="133">
        <f t="shared" si="10"/>
        <v>0</v>
      </c>
      <c r="AU32" s="133">
        <f t="shared" si="10"/>
        <v>0</v>
      </c>
      <c r="AV32" s="133">
        <f t="shared" si="10"/>
        <v>0</v>
      </c>
      <c r="AW32" s="133">
        <f t="shared" si="10"/>
        <v>0</v>
      </c>
      <c r="AX32" s="133">
        <f t="shared" si="10"/>
        <v>0</v>
      </c>
      <c r="AY32" s="133">
        <f t="shared" si="10"/>
        <v>0</v>
      </c>
      <c r="AZ32" s="133">
        <f t="shared" si="10"/>
        <v>0</v>
      </c>
      <c r="BA32" s="133">
        <f t="shared" si="10"/>
        <v>0</v>
      </c>
      <c r="BB32" s="133">
        <f t="shared" si="10"/>
        <v>0</v>
      </c>
      <c r="BC32" s="133">
        <f t="shared" si="10"/>
        <v>0</v>
      </c>
      <c r="BD32" s="133">
        <f t="shared" si="10"/>
        <v>0</v>
      </c>
      <c r="BE32" s="133">
        <f t="shared" si="10"/>
        <v>0</v>
      </c>
      <c r="BF32" s="133">
        <f t="shared" si="10"/>
        <v>0</v>
      </c>
      <c r="BG32" s="133">
        <f t="shared" si="10"/>
        <v>0</v>
      </c>
      <c r="BH32" s="133">
        <f t="shared" si="10"/>
        <v>0</v>
      </c>
      <c r="BI32" s="133">
        <f t="shared" si="10"/>
        <v>0</v>
      </c>
      <c r="BJ32" s="133">
        <f t="shared" si="10"/>
        <v>0</v>
      </c>
      <c r="BK32" s="133">
        <f t="shared" si="10"/>
        <v>0</v>
      </c>
      <c r="BL32" s="133">
        <f t="shared" si="10"/>
        <v>0</v>
      </c>
      <c r="BM32" s="133">
        <f t="shared" si="10"/>
        <v>0</v>
      </c>
    </row>
    <row r="33" spans="1:65">
      <c r="E33" s="138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</row>
    <row r="34" spans="1:65">
      <c r="A34" s="124"/>
      <c r="B34" s="177" t="s">
        <v>321</v>
      </c>
      <c r="C34" s="177"/>
      <c r="D34" s="178" t="s">
        <v>19</v>
      </c>
      <c r="E34" s="179">
        <f t="shared" ref="E34:E47" si="13">SUM(F34:BM34)</f>
        <v>36150.466788000027</v>
      </c>
      <c r="F34" s="180">
        <f>IF(SUM($E$175:E175)&gt;0,SUM($F$35:F47)-SUM(E$34:$F34),0)</f>
        <v>0</v>
      </c>
      <c r="G34" s="180">
        <f>IF(SUM($E$175:F175)&gt;0,SUM($F$35:G47)-SUM(F$34:$F34),0)</f>
        <v>0</v>
      </c>
      <c r="H34" s="180">
        <f>IF(SUM($E$175:G175)&gt;0,SUM($F$35:H47)-SUM($F$34:G34),0)</f>
        <v>0</v>
      </c>
      <c r="I34" s="180">
        <f>IF(SUM($E$175:H175)&gt;0,SUM($F$35:I47)-SUM($F$34:H34),0)</f>
        <v>0</v>
      </c>
      <c r="J34" s="180">
        <f>IF(SUM($E$175:I175)&gt;0,SUM($F$35:J47)-SUM($F$34:I34),0)</f>
        <v>0</v>
      </c>
      <c r="K34" s="180">
        <f>IF(SUM($E$175:J175)&gt;0,SUM($F$35:K47)-SUM($F$34:J34),0)</f>
        <v>0</v>
      </c>
      <c r="L34" s="180">
        <f>IF(SUM($E$175:K175)&gt;0,SUM($F$35:L47)-SUM($F$34:K34),0)</f>
        <v>0</v>
      </c>
      <c r="M34" s="180">
        <f>IF(SUM($E$175:L175)&gt;0,SUM($F$35:M47)-SUM($F$34:L34),0)</f>
        <v>0</v>
      </c>
      <c r="N34" s="180">
        <f>IF(SUM($E$175:M175)&gt;0,SUM($F$35:N35,$F$42:N42,$F$43:N43,$F$44:N44,$F$45:N45,$F$46:N46,)-SUM($F$34:M34),0)</f>
        <v>0</v>
      </c>
      <c r="O34" s="180">
        <f>IF(SUM($E$175:N175)&gt;0,SUM($F$35:O35,$F$42:O42,$F$43:O43,$F$44:O44,$F$45:O45,$F$46:O46,)-SUM($F$34:N34),0)</f>
        <v>0</v>
      </c>
      <c r="P34" s="180">
        <f>IF(SUM($E$175:O175)&gt;0,SUM($F$35:P35,$F$42:P42,$F$43:P43,$F$44:P44,$F$45:P45,$F$46:P46,)-SUM($F$34:O34),0)</f>
        <v>0</v>
      </c>
      <c r="Q34" s="180">
        <f>IF(SUM($E$175:P175)&gt;0,SUM($F$35:Q35,$F$42:Q42,$F$43:Q43,$F$44:Q44,$F$45:Q45,$F$46:Q46,)-SUM($F$34:P34),0)</f>
        <v>0</v>
      </c>
      <c r="R34" s="180">
        <f>IF(SUM($E$175:Q175)&gt;0,SUM($F$35:R35,$F$42:R42,$F$43:R43,$F$44:R44,$F$45:R45,$F$46:R46,)-SUM($F$34:Q34),0)</f>
        <v>0</v>
      </c>
      <c r="S34" s="180">
        <f>IF(SUM($E$175:R175)&gt;0,SUM($F$35:S35,$F$42:S42,$F$43:S43,$F$44:S44,$F$45:S45,$F$46:S46,)-SUM($F$34:R34),0)</f>
        <v>0</v>
      </c>
      <c r="T34" s="180">
        <f>IF(SUM($E$175:S175)&gt;0,SUM($F$35:T35,$F$42:T42,$F$43:T43,$F$44:T44,$F$45:T45,$F$46:T46,)-SUM($F$34:S34),0)</f>
        <v>0</v>
      </c>
      <c r="U34" s="180">
        <f>IF(SUM($E$175:T175)&gt;0,SUM($F$35:U35,$F$42:U42,$F$43:U43,$F$44:U44,$F$45:U45,$F$46:U46,)-SUM($F$34:T34),0)</f>
        <v>0</v>
      </c>
      <c r="V34" s="180">
        <f>IF(SUM($E$175:U175)&gt;0,SUM($F$35:V35,$F$42:V42,$F$43:V43,$F$44:V44,$F$45:V45,$F$46:V46,)-SUM($F$34:U34),0)</f>
        <v>0</v>
      </c>
      <c r="W34" s="180">
        <f>IF(SUM($E$175:V175)&gt;0,SUM($F$35:W35,$F$42:W42,$F$43:W43,$F$44:W44,$F$45:W45,$F$46:W46,)-SUM($F$34:V34),0)</f>
        <v>0</v>
      </c>
      <c r="X34" s="180">
        <f>IF(SUM($E$175:W175)&gt;0,SUM($F$35:X35,$F$42:X42,$F$43:X43,$F$44:X44,$F$45:X45,$F$46:X46,)-SUM($F$34:W34),0)</f>
        <v>0</v>
      </c>
      <c r="Y34" s="180">
        <f>IF(SUM($E$175:X175)&gt;0,SUM($F$35:Y35,$F$42:Y42,$F$43:Y43,$F$44:Y44,$F$45:Y45,$F$46:Y46,)-SUM($F$34:X34),0)</f>
        <v>0</v>
      </c>
      <c r="Z34" s="180">
        <f>IF(SUM($E$175:Y175)&gt;0,SUM($F$35:Z35,$F$42:Z42,$F$43:Z43,$F$44:Z44,$F$45:Z45,$F$46:Z46,)-SUM($F$34:Y34),0)</f>
        <v>0</v>
      </c>
      <c r="AA34" s="180">
        <f>IF(SUM($E$175:Z175)&gt;0,SUM($F$35:AA35,$F$42:AA42,$F$43:AA43,$F$44:AA44,$F$45:AA45,$F$46:AA46,)-SUM($F$34:Z34),0)</f>
        <v>0</v>
      </c>
      <c r="AB34" s="180">
        <f>IF(SUM($E$175:AA175)&gt;0,SUM($F$35:AB35,$F$42:AB42,$F$43:AB43,$F$44:AB44,$F$45:AB45,$F$46:AB46,)-SUM($F$34:AA34),0)</f>
        <v>0</v>
      </c>
      <c r="AC34" s="180">
        <f>IF(SUM($E$175:AB175)&gt;0,SUM($F$35:AC35,$F$42:AC42,$F$43:AC43,$F$44:AC44,$F$45:AC45,$F$46:AC46,)-SUM($F$34:AB34),0)</f>
        <v>0</v>
      </c>
      <c r="AD34" s="180">
        <f>IF(SUM($E$175:AC175)&gt;0,SUM($F$35:AD35,$F$42:AD42,$F$43:AD43,$F$44:AD44,$F$45:AD45,$F$46:AD46,)-SUM($F$34:AC34),0)</f>
        <v>0</v>
      </c>
      <c r="AE34" s="180">
        <f>IF(SUM($E$175:AD175)&gt;0,SUM($F$35:AE35,$F$42:AE42,$F$43:AE43,$F$44:AE44,$F$45:AE45,$F$46:AE46,)-SUM($F$34:AD34),0)</f>
        <v>0</v>
      </c>
      <c r="AF34" s="180">
        <f>IF(SUM($E$175:AE175)&gt;0,SUM($F$35:AF35,$F$42:AF42,$F$43:AF43,$F$44:AF44,$F$45:AF45,$F$46:AF46,)-SUM($F$34:AE34),0)</f>
        <v>0</v>
      </c>
      <c r="AG34" s="180">
        <f>IF(SUM($E$175:AF175)&gt;0,SUM($F$35:AG35,$F$42:AG42,$F$43:AG43,$F$44:AG44,$F$45:AG45,$F$46:AG46,)-SUM($F$34:AF34),0)</f>
        <v>0</v>
      </c>
      <c r="AH34" s="180">
        <f>IF(SUM($E$175:AG175)&gt;0,SUM($F$35:AH35,$F$42:AH42,$F$43:AH43,$F$44:AH44,$F$45:AH45,$F$46:AH46,)-SUM($F$34:AG34),0)</f>
        <v>0</v>
      </c>
      <c r="AI34" s="180">
        <f>IF(SUM($E$175:AH175)&gt;0,SUM($F$35:AI35,$F$42:AI42,$F$43:AI43,$F$44:AI44,$F$45:AI45,$F$46:AI46,)-SUM($F$34:AH34),0)</f>
        <v>0</v>
      </c>
      <c r="AJ34" s="180">
        <f>IF(SUM($E$175:AI175)&gt;0,SUM($F$35:AJ35,$F$42:AJ42,$F$43:AJ43,$F$44:AJ44,$F$45:AJ45,$F$46:AJ46,)-SUM($F$34:AI34),0)</f>
        <v>25327.700919356659</v>
      </c>
      <c r="AK34" s="180">
        <f>IF(SUM($E$175:AJ175)&gt;0,SUM($F$35:AK35,$F$42:AK42,$F$43:AK43,$F$44:AK44,$F$45:AK45,$F$46:AK46,)-SUM($F$34:AJ34),0)</f>
        <v>3161.2904628582328</v>
      </c>
      <c r="AL34" s="180">
        <f>IF(SUM($E$175:AK175)&gt;0,SUM($F$35:AL35,$F$42:AL42,$F$43:AL43,$F$44:AL44,$F$45:AL45,$F$46:AL46,)-SUM($F$34:AK34),0)</f>
        <v>3161.2904628582328</v>
      </c>
      <c r="AM34" s="180">
        <f>IF(SUM($E$175:AL175)&gt;0,SUM($F$35:AM35,$F$42:AM42,$F$43:AM43,$F$44:AM44,$F$45:AM45,$F$46:AM46,)-SUM($F$34:AL34),0)</f>
        <v>2266.6699878582331</v>
      </c>
      <c r="AN34" s="180">
        <f>IF(SUM($E$175:AM175)&gt;0,SUM($F$35:AN35,$F$42:AN42,$F$43:AN43,$F$44:AN44,$F$45:AN45,$F$46:AN46,)-SUM($F$34:AM34),0)</f>
        <v>2188.9649550686663</v>
      </c>
      <c r="AO34" s="180">
        <f>IF(SUM($E$175:AN175)&gt;0,SUM($F$35:AO35,$F$42:AO42,$F$43:AO43,$F$44:AO44,$F$45:AO45,$F$46:AO46,)-SUM($F$34:AN34),0)</f>
        <v>44.55000000000291</v>
      </c>
      <c r="AP34" s="180">
        <f>IF(SUM($E$175:AO175)&gt;0,SUM($F$35:AP35,$F$42:AP42,$F$43:AP43,$F$44:AP44,$F$45:AP45,$F$46:AP46,)-SUM($F$34:AO34),0)</f>
        <v>0</v>
      </c>
      <c r="AQ34" s="180">
        <f>IF(SUM($E$175:AP175)&gt;0,SUM($F$35:AQ35,$F$42:AQ42,$F$43:AQ43,$F$44:AQ44,$F$45:AQ45,$F$46:AQ46,)-SUM($F$34:AP34),0)</f>
        <v>0</v>
      </c>
      <c r="AR34" s="180">
        <f>IF(SUM($E$175:AQ175)&gt;0,SUM($F$35:AR35,$F$42:AR42,$F$43:AR43,$F$44:AR44,$F$45:AR45,$F$46:AR46,)-SUM($F$34:AQ34),0)</f>
        <v>0</v>
      </c>
      <c r="AS34" s="180">
        <f>IF(SUM($E$175:AR175)&gt;0,SUM($F$35:AS35,$F$42:AS42,$F$43:AS43,$F$44:AS44,$F$45:AS45,$F$46:AS46,)-SUM($F$34:AR34),0)</f>
        <v>0</v>
      </c>
      <c r="AT34" s="180">
        <f>IF(SUM($E$175:AS175)&gt;0,SUM($F$35:AT35,$F$42:AT42,$F$43:AT43,$F$44:AT44,$F$45:AT45,$F$46:AT46,)-SUM($F$34:AS34),0)</f>
        <v>0</v>
      </c>
      <c r="AU34" s="180">
        <f>IF(SUM($E$175:AT175)&gt;0,SUM($F$35:AU35,$F$42:AU42,$F$43:AU43,$F$44:AU44,$F$45:AU45,$F$46:AU46,)-SUM($F$34:AT34),0)</f>
        <v>0</v>
      </c>
      <c r="AV34" s="180">
        <f>IF(SUM($E$175:AU175)&gt;0,SUM($F$35:AV35,$F$42:AV42,$F$43:AV43,$F$44:AV44,$F$45:AV45,$F$46:AV46,)-SUM($F$34:AU34),0)</f>
        <v>0</v>
      </c>
      <c r="AW34" s="180">
        <f>IF(SUM($E$175:AV175)&gt;0,SUM($F$35:AW35,$F$42:AW42,$F$43:AW43,$F$44:AW44,$F$45:AW45,$F$46:AW46,)-SUM($F$34:AV34),0)</f>
        <v>0</v>
      </c>
      <c r="AX34" s="180">
        <f>IF(SUM($E$175:AW175)&gt;0,SUM($F$35:AX35,$F$42:AX42,$F$43:AX43,$F$44:AX44,$F$45:AX45,$F$46:AX46,)-SUM($F$34:AW34),0)</f>
        <v>0</v>
      </c>
      <c r="AY34" s="180">
        <f>IF(SUM($E$175:AX175)&gt;0,SUM($F$35:AY35,$F$42:AY42,$F$43:AY43,$F$44:AY44,$F$45:AY45,$F$46:AY46,)-SUM($F$34:AX34),0)</f>
        <v>0</v>
      </c>
      <c r="AZ34" s="180">
        <f>IF(SUM($E$175:AY175)&gt;0,SUM($F$35:AZ35,$F$42:AZ42,$F$43:AZ43,$F$44:AZ44,$F$45:AZ45,$F$46:AZ46,)-SUM($F$34:AY34),0)</f>
        <v>0</v>
      </c>
      <c r="BA34" s="180">
        <f>IF(SUM($E$175:AZ175)&gt;0,SUM($F$35:BA35,$F$42:BA42,$F$43:BA43,$F$44:BA44,$F$45:BA45,$F$46:BA46,)-SUM($F$34:AZ34),0)</f>
        <v>0</v>
      </c>
      <c r="BB34" s="180">
        <f>IF(SUM($E$175:BA175)&gt;0,SUM($F$35:BB35,$F$42:BB42,$F$43:BB43,$F$44:BB44,$F$45:BB45,$F$46:BB46,)-SUM($F$34:BA34),0)</f>
        <v>0</v>
      </c>
      <c r="BC34" s="180">
        <f>IF(SUM($E$175:BB175)&gt;0,SUM($F$35:BC35,$F$42:BC42,$F$43:BC43,$F$44:BC44,$F$45:BC45,$F$46:BC46,)-SUM($F$34:BB34),0)</f>
        <v>0</v>
      </c>
      <c r="BD34" s="180">
        <f>IF(SUM($E$175:BC175)&gt;0,SUM($F$35:BD35,$F$42:BD42,$F$43:BD43,$F$44:BD44,$F$45:BD45,$F$46:BD46,)-SUM($F$34:BC34),0)</f>
        <v>0</v>
      </c>
      <c r="BE34" s="180">
        <f>IF(SUM($E$175:BD175)&gt;0,SUM($F$35:BE35,$F$42:BE42,$F$43:BE43,$F$44:BE44,$F$45:BE45,$F$46:BE46,)-SUM($F$34:BD34),0)</f>
        <v>0</v>
      </c>
      <c r="BF34" s="180">
        <f>IF(SUM($E$175:BE175)&gt;0,SUM($F$35:BF35,$F$42:BF42,$F$43:BF43,$F$44:BF44,$F$45:BF45,$F$46:BF46,)-SUM($F$34:BE34),0)</f>
        <v>0</v>
      </c>
      <c r="BG34" s="180">
        <f>IF(SUM($E$175:BF175)&gt;0,SUM($F$35:BG35,$F$42:BG42,$F$43:BG43,$F$44:BG44,$F$45:BG45,$F$46:BG46,)-SUM($F$34:BF34),0)</f>
        <v>0</v>
      </c>
      <c r="BH34" s="180">
        <f>IF(SUM($E$175:BG175)&gt;0,SUM($F$35:BH35,$F$42:BH42,$F$43:BH43,$F$44:BH44,$F$45:BH45,$F$46:BH46,)-SUM($F$34:BG34),0)</f>
        <v>0</v>
      </c>
      <c r="BI34" s="180">
        <f>IF(SUM($E$175:BH175)&gt;0,SUM($F$35:BI35,$F$42:BI42,$F$43:BI43,$F$44:BI44,$F$45:BI45,$F$46:BI46,)-SUM($F$34:BH34),0)</f>
        <v>0</v>
      </c>
      <c r="BJ34" s="180">
        <f>IF(SUM($E$175:BI175)&gt;0,SUM($F$35:BJ35,$F$42:BJ42,$F$43:BJ43,$F$44:BJ44,$F$45:BJ45,$F$46:BJ46,)-SUM($F$34:BI34),0)</f>
        <v>0</v>
      </c>
      <c r="BK34" s="180">
        <f>IF(SUM($E$175:BJ175)&gt;0,SUM($F$35:BK35,$F$42:BK42,$F$43:BK43,$F$44:BK44,$F$45:BK45,$F$46:BK46,)-SUM($F$34:BJ34),0)</f>
        <v>0</v>
      </c>
      <c r="BL34" s="180">
        <f>IF(SUM($E$175:BK175)&gt;0,SUM($F$35:BL35,$F$42:BL42,$F$43:BL43,$F$44:BL44,$F$45:BL45,$F$46:BL46,)-SUM($F$34:BK34),0)</f>
        <v>0</v>
      </c>
      <c r="BM34" s="180">
        <f>IF(SUM($E$175:BL175)&gt;0,SUM($F$35:BM35,$F$42:BM42,$F$43:BM43,$F$44:BM44,$F$45:BM45,$F$46:BM46,)-SUM($F$34:BL34),0)</f>
        <v>0</v>
      </c>
    </row>
    <row r="35" spans="1:65">
      <c r="B35" s="140" t="str">
        <f t="shared" ref="B35" si="14">B26</f>
        <v>КВАРТИРЫ</v>
      </c>
      <c r="C35" s="200"/>
      <c r="D35" s="131" t="s">
        <v>19</v>
      </c>
      <c r="E35" s="141">
        <f t="shared" si="13"/>
        <v>32052.72583800002</v>
      </c>
      <c r="F35" s="202">
        <f>DETAILS!K16/1000000</f>
        <v>0</v>
      </c>
      <c r="G35" s="202">
        <f>DETAILS!L16/1000000</f>
        <v>0</v>
      </c>
      <c r="H35" s="202">
        <f>DETAILS!M16/1000000</f>
        <v>0</v>
      </c>
      <c r="I35" s="202">
        <f>DETAILS!N16/1000000</f>
        <v>0</v>
      </c>
      <c r="J35" s="202">
        <f>DETAILS!O16/1000000</f>
        <v>0</v>
      </c>
      <c r="K35" s="202">
        <f>DETAILS!P16/1000000</f>
        <v>0</v>
      </c>
      <c r="L35" s="202">
        <f>DETAILS!Q16/1000000</f>
        <v>0</v>
      </c>
      <c r="M35" s="202">
        <f>DETAILS!R16/1000000</f>
        <v>0</v>
      </c>
      <c r="N35" s="142">
        <f t="shared" ref="N35" si="15">N39+N41+N26*(1-N36)</f>
        <v>0</v>
      </c>
      <c r="O35" s="142">
        <f t="shared" ref="O35" si="16">O39+O41+O26*(1-O36)</f>
        <v>0</v>
      </c>
      <c r="P35" s="142">
        <f t="shared" ref="P35" si="17">P39+P41+P26*(1-P36)</f>
        <v>0</v>
      </c>
      <c r="Q35" s="142">
        <f t="shared" ref="Q35" si="18">Q39+Q41+Q26*(1-Q36)</f>
        <v>0</v>
      </c>
      <c r="R35" s="142">
        <f t="shared" ref="R35" si="19">R39+R41+R26*(1-R36)</f>
        <v>0</v>
      </c>
      <c r="S35" s="142">
        <f t="shared" ref="S35" si="20">S39+S41+S26*(1-S36)</f>
        <v>0</v>
      </c>
      <c r="T35" s="142">
        <f t="shared" ref="T35" si="21">T39+T41+T26*(1-T36)</f>
        <v>0</v>
      </c>
      <c r="U35" s="142">
        <f t="shared" ref="U35" si="22">U39+U41+U26*(1-U36)</f>
        <v>0</v>
      </c>
      <c r="V35" s="142">
        <f t="shared" ref="V35" si="23">V39+V41+V26*(1-V36)</f>
        <v>0</v>
      </c>
      <c r="W35" s="142">
        <f t="shared" ref="W35" si="24">W39+W41+W26*(1-W36)</f>
        <v>0</v>
      </c>
      <c r="X35" s="142">
        <f t="shared" ref="X35" si="25">X39+X41+X26*(1-X36)</f>
        <v>1169.3945454545456</v>
      </c>
      <c r="Y35" s="142">
        <f t="shared" ref="Y35" si="26">Y39+Y41+Y26*(1-Y36)</f>
        <v>1344.7967482643214</v>
      </c>
      <c r="Z35" s="142">
        <f t="shared" ref="Z35" si="27">Z39+Z41+Z26*(1-Z36)</f>
        <v>1415.0835797696805</v>
      </c>
      <c r="AA35" s="142">
        <f t="shared" ref="AA35" si="28">AA39+AA41+AA26*(1-AA36)</f>
        <v>1491.2374471445175</v>
      </c>
      <c r="AB35" s="142">
        <f t="shared" ref="AB35" si="29">AB39+AB41+AB26*(1-AB36)</f>
        <v>1574.9346463515415</v>
      </c>
      <c r="AC35" s="142">
        <f t="shared" ref="AC35" si="30">AC39+AC41+AC26*(1-AC36)</f>
        <v>1771.9394928755269</v>
      </c>
      <c r="AD35" s="142">
        <f t="shared" ref="AD35" si="31">AD39+AD41+AD26*(1-AD36)</f>
        <v>1857.2499201115934</v>
      </c>
      <c r="AE35" s="142">
        <f t="shared" ref="AE35" si="32">AE39+AE41+AE26*(1-AE36)</f>
        <v>1956.6412334344077</v>
      </c>
      <c r="AF35" s="142">
        <f t="shared" ref="AF35" si="33">AF39+AF41+AF26*(1-AF36)</f>
        <v>2079.5006902351361</v>
      </c>
      <c r="AG35" s="142">
        <f t="shared" ref="AG35" si="34">AG39+AG41+AG26*(1-AG36)</f>
        <v>2384.4689565196309</v>
      </c>
      <c r="AH35" s="142">
        <f t="shared" ref="AH35" si="35">AH39+AH41+AH26*(1-AH36)</f>
        <v>2424.7285160877886</v>
      </c>
      <c r="AI35" s="142">
        <f t="shared" ref="AI35" si="36">AI39+AI41+AI26*(1-AI36)</f>
        <v>2011.5551552497382</v>
      </c>
      <c r="AJ35" s="142">
        <f t="shared" ref="AJ35" si="37">AJ39+AJ41+AJ26*(1-AJ36)</f>
        <v>2131.6699878582335</v>
      </c>
      <c r="AK35" s="142">
        <f t="shared" ref="AK35" si="38">AK39+AK41+AK26*(1-AK36)</f>
        <v>2131.6699878582335</v>
      </c>
      <c r="AL35" s="142">
        <f t="shared" ref="AL35" si="39">AL39+AL41+AL26*(1-AL36)</f>
        <v>2131.6699878582335</v>
      </c>
      <c r="AM35" s="142">
        <f t="shared" ref="AM35" si="40">AM39+AM41+AM26*(1-AM36)</f>
        <v>2131.6699878582335</v>
      </c>
      <c r="AN35" s="142">
        <f t="shared" ref="AN35" si="41">AN39+AN41+AN26*(1-AN36)</f>
        <v>2044.5149550686615</v>
      </c>
      <c r="AO35" s="142">
        <f t="shared" ref="AO35" si="42">AO39+AO41+AO26*(1-AO36)</f>
        <v>0</v>
      </c>
      <c r="AP35" s="142">
        <f t="shared" ref="AP35" si="43">AP39+AP41+AP26*(1-AP36)</f>
        <v>0</v>
      </c>
      <c r="AQ35" s="142">
        <f t="shared" ref="AQ35" si="44">AQ39+AQ41+AQ26*(1-AQ36)</f>
        <v>0</v>
      </c>
      <c r="AR35" s="142">
        <f t="shared" ref="AR35" si="45">AR39+AR41+AR26*(1-AR36)</f>
        <v>0</v>
      </c>
      <c r="AS35" s="142">
        <f t="shared" ref="AS35" si="46">AS39+AS41+AS26*(1-AS36)</f>
        <v>0</v>
      </c>
      <c r="AT35" s="142">
        <f t="shared" ref="AT35" si="47">AT39+AT41+AT26*(1-AT36)</f>
        <v>0</v>
      </c>
      <c r="AU35" s="142">
        <f t="shared" ref="AU35" si="48">AU39+AU41+AU26*(1-AU36)</f>
        <v>0</v>
      </c>
      <c r="AV35" s="142">
        <f t="shared" ref="AV35" si="49">AV39+AV41+AV26*(1-AV36)</f>
        <v>0</v>
      </c>
      <c r="AW35" s="142">
        <f t="shared" ref="AW35" si="50">AW39+AW41+AW26*(1-AW36)</f>
        <v>0</v>
      </c>
      <c r="AX35" s="142">
        <f t="shared" ref="AX35" si="51">AX39+AX41+AX26*(1-AX36)</f>
        <v>0</v>
      </c>
      <c r="AY35" s="142">
        <f t="shared" ref="AY35" si="52">AY39+AY41+AY26*(1-AY36)</f>
        <v>0</v>
      </c>
      <c r="AZ35" s="142">
        <f t="shared" ref="AZ35" si="53">AZ39+AZ41+AZ26*(1-AZ36)</f>
        <v>0</v>
      </c>
      <c r="BA35" s="142">
        <f t="shared" ref="BA35" si="54">BA39+BA41+BA26*(1-BA36)</f>
        <v>0</v>
      </c>
      <c r="BB35" s="142">
        <f t="shared" ref="BB35" si="55">BB39+BB41+BB26*(1-BB36)</f>
        <v>0</v>
      </c>
      <c r="BC35" s="142">
        <f t="shared" ref="BC35" si="56">BC39+BC41+BC26*(1-BC36)</f>
        <v>0</v>
      </c>
      <c r="BD35" s="142">
        <f t="shared" ref="BD35" si="57">BD39+BD41+BD26*(1-BD36)</f>
        <v>0</v>
      </c>
      <c r="BE35" s="142">
        <f t="shared" ref="BE35" si="58">BE39+BE41+BE26*(1-BE36)</f>
        <v>0</v>
      </c>
      <c r="BF35" s="142">
        <f t="shared" ref="BF35" si="59">BF39+BF41+BF26*(1-BF36)</f>
        <v>0</v>
      </c>
      <c r="BG35" s="142">
        <f t="shared" ref="BG35" si="60">BG39+BG41+BG26*(1-BG36)</f>
        <v>0</v>
      </c>
      <c r="BH35" s="142">
        <f t="shared" ref="BH35" si="61">BH39+BH41+BH26*(1-BH36)</f>
        <v>0</v>
      </c>
      <c r="BI35" s="142">
        <f t="shared" ref="BI35" si="62">BI39+BI41+BI26*(1-BI36)</f>
        <v>0</v>
      </c>
      <c r="BJ35" s="142">
        <f t="shared" ref="BJ35" si="63">BJ39+BJ41+BJ26*(1-BJ36)</f>
        <v>0</v>
      </c>
      <c r="BK35" s="142">
        <f t="shared" ref="BK35" si="64">BK39+BK41+BK26*(1-BK36)</f>
        <v>0</v>
      </c>
      <c r="BL35" s="142">
        <f t="shared" ref="BL35" si="65">BL39+BL41+BL26*(1-BL36)</f>
        <v>0</v>
      </c>
      <c r="BM35" s="142">
        <f t="shared" ref="BM35" si="66">BM39+BM41+BM26*(1-BM36)</f>
        <v>0</v>
      </c>
    </row>
    <row r="36" spans="1:65" hidden="1" outlineLevel="1">
      <c r="B36" s="140"/>
      <c r="C36" s="569" t="s">
        <v>959</v>
      </c>
      <c r="D36" s="131" t="s">
        <v>178</v>
      </c>
      <c r="E36" s="141"/>
      <c r="F36" s="202">
        <f>'CF1'!F36</f>
        <v>0</v>
      </c>
      <c r="G36" s="202">
        <f>'CF1'!G36</f>
        <v>0</v>
      </c>
      <c r="H36" s="202">
        <f>'CF1'!H36</f>
        <v>0</v>
      </c>
      <c r="I36" s="202">
        <f>'CF1'!I36</f>
        <v>0</v>
      </c>
      <c r="J36" s="202">
        <f>'CF1'!J36</f>
        <v>0</v>
      </c>
      <c r="K36" s="202">
        <f>'CF1'!K36</f>
        <v>0</v>
      </c>
      <c r="L36" s="202">
        <f>'CF1'!L36</f>
        <v>0</v>
      </c>
      <c r="M36" s="202">
        <f>'CF1'!M36</f>
        <v>0</v>
      </c>
      <c r="N36" s="142">
        <f>'CF1'!N36</f>
        <v>0</v>
      </c>
      <c r="O36" s="142">
        <f>'CF1'!O36</f>
        <v>0</v>
      </c>
      <c r="P36" s="142">
        <f>'CF1'!P36</f>
        <v>0</v>
      </c>
      <c r="Q36" s="142">
        <f>'CF1'!Q36</f>
        <v>0</v>
      </c>
      <c r="R36" s="142">
        <f>'CF1'!R36</f>
        <v>0</v>
      </c>
      <c r="S36" s="567">
        <f>'CF1'!S36</f>
        <v>0.5</v>
      </c>
      <c r="T36" s="567">
        <f>'CF1'!T36</f>
        <v>0.5</v>
      </c>
      <c r="U36" s="567">
        <f>'CF1'!U36</f>
        <v>0.4</v>
      </c>
      <c r="V36" s="567">
        <f>'CF1'!V36</f>
        <v>0.4</v>
      </c>
      <c r="W36" s="567">
        <f>'CF1'!W36</f>
        <v>0.4</v>
      </c>
      <c r="X36" s="567">
        <f>'CF1'!X36</f>
        <v>0.4</v>
      </c>
      <c r="Y36" s="567">
        <f>'CF1'!Y36</f>
        <v>0.3</v>
      </c>
      <c r="Z36" s="567">
        <f>'CF1'!Z36</f>
        <v>0.3</v>
      </c>
      <c r="AA36" s="567">
        <f>'CF1'!AA36</f>
        <v>0.3</v>
      </c>
      <c r="AB36" s="567">
        <f>'CF1'!AB36</f>
        <v>0.3</v>
      </c>
      <c r="AC36" s="567">
        <f>'CF1'!AC36</f>
        <v>0.2</v>
      </c>
      <c r="AD36" s="567">
        <f>'CF1'!AD36</f>
        <v>0.2</v>
      </c>
      <c r="AE36" s="567">
        <f>'CF1'!AE36</f>
        <v>0.2</v>
      </c>
      <c r="AF36" s="567">
        <f>'CF1'!AF36</f>
        <v>0.2</v>
      </c>
      <c r="AG36" s="568">
        <f>'CF1'!AG36</f>
        <v>0</v>
      </c>
      <c r="AH36" s="568">
        <f>'CF1'!AH36</f>
        <v>0</v>
      </c>
      <c r="AI36" s="568">
        <f>'CF1'!AI36</f>
        <v>0</v>
      </c>
      <c r="AJ36" s="568">
        <f>'CF1'!AJ36</f>
        <v>0</v>
      </c>
      <c r="AK36" s="568">
        <f>'CF1'!AK36</f>
        <v>0</v>
      </c>
      <c r="AL36" s="568">
        <f>'CF1'!AL36</f>
        <v>0</v>
      </c>
      <c r="AM36" s="568">
        <f>'CF1'!AM36</f>
        <v>0</v>
      </c>
      <c r="AN36" s="568">
        <f>'CF1'!AN36</f>
        <v>0</v>
      </c>
      <c r="AO36" s="568">
        <f>'CF1'!AO36</f>
        <v>0</v>
      </c>
      <c r="AP36" s="568">
        <f>'CF1'!AP36</f>
        <v>0</v>
      </c>
      <c r="AQ36" s="568">
        <f>'CF1'!AQ36</f>
        <v>0</v>
      </c>
      <c r="AR36" s="568">
        <f>'CF1'!AR36</f>
        <v>0</v>
      </c>
      <c r="AS36" s="568">
        <f>'CF1'!AS36</f>
        <v>0</v>
      </c>
      <c r="AT36" s="568">
        <f>'CF1'!AT36</f>
        <v>0</v>
      </c>
      <c r="AU36" s="568">
        <f>'CF1'!AU36</f>
        <v>0</v>
      </c>
      <c r="AV36" s="568">
        <f>'CF1'!AV36</f>
        <v>0</v>
      </c>
      <c r="AW36" s="568">
        <f>'CF1'!AW36</f>
        <v>0</v>
      </c>
      <c r="AX36" s="568">
        <f>'CF1'!AX36</f>
        <v>0</v>
      </c>
      <c r="AY36" s="568">
        <f>'CF1'!AY36</f>
        <v>0</v>
      </c>
      <c r="AZ36" s="568">
        <f>'CF1'!AZ36</f>
        <v>0</v>
      </c>
      <c r="BA36" s="568">
        <f>'CF1'!BA36</f>
        <v>0</v>
      </c>
      <c r="BB36" s="568">
        <f>'CF1'!BB36</f>
        <v>0</v>
      </c>
      <c r="BC36" s="568">
        <f>'CF1'!BC36</f>
        <v>0</v>
      </c>
      <c r="BD36" s="568">
        <f>'CF1'!BD36</f>
        <v>0</v>
      </c>
      <c r="BE36" s="568">
        <f>'CF1'!BE36</f>
        <v>0</v>
      </c>
      <c r="BF36" s="568">
        <f>'CF1'!BF36</f>
        <v>0</v>
      </c>
      <c r="BG36" s="568">
        <f>'CF1'!BG36</f>
        <v>0</v>
      </c>
      <c r="BH36" s="568">
        <f>'CF1'!BH36</f>
        <v>0</v>
      </c>
      <c r="BI36" s="568">
        <f>'CF1'!BI36</f>
        <v>0</v>
      </c>
      <c r="BJ36" s="568">
        <f>'CF1'!BJ36</f>
        <v>0</v>
      </c>
      <c r="BK36" s="568">
        <f>'CF1'!BK36</f>
        <v>0</v>
      </c>
      <c r="BL36" s="568">
        <f>'CF1'!BL36</f>
        <v>0</v>
      </c>
      <c r="BM36" s="568">
        <f>'CF1'!BM36</f>
        <v>0</v>
      </c>
    </row>
    <row r="37" spans="1:65" hidden="1" outlineLevel="1">
      <c r="B37" s="140"/>
      <c r="C37" s="569" t="s">
        <v>963</v>
      </c>
      <c r="D37" s="131" t="s">
        <v>19</v>
      </c>
      <c r="E37" s="141"/>
      <c r="F37" s="202"/>
      <c r="G37" s="202"/>
      <c r="H37" s="202"/>
      <c r="I37" s="202"/>
      <c r="J37" s="202"/>
      <c r="K37" s="202"/>
      <c r="L37" s="202"/>
      <c r="M37" s="202"/>
      <c r="N37" s="142">
        <f t="shared" ref="N37:AS37" si="67">N26*N36*N174</f>
        <v>0</v>
      </c>
      <c r="O37" s="142">
        <f t="shared" si="67"/>
        <v>0</v>
      </c>
      <c r="P37" s="142">
        <f t="shared" si="67"/>
        <v>0</v>
      </c>
      <c r="Q37" s="142">
        <f t="shared" si="67"/>
        <v>0</v>
      </c>
      <c r="R37" s="142">
        <f t="shared" si="67"/>
        <v>0</v>
      </c>
      <c r="S37" s="142">
        <f t="shared" si="67"/>
        <v>0</v>
      </c>
      <c r="T37" s="142">
        <f t="shared" si="67"/>
        <v>0</v>
      </c>
      <c r="U37" s="142">
        <f t="shared" si="67"/>
        <v>0</v>
      </c>
      <c r="V37" s="142">
        <f t="shared" si="67"/>
        <v>0</v>
      </c>
      <c r="W37" s="142">
        <f t="shared" si="67"/>
        <v>0</v>
      </c>
      <c r="X37" s="142">
        <f t="shared" si="67"/>
        <v>627.48</v>
      </c>
      <c r="Y37" s="142">
        <f t="shared" si="67"/>
        <v>482.68786787044735</v>
      </c>
      <c r="Z37" s="142">
        <f t="shared" si="67"/>
        <v>494.7657357408948</v>
      </c>
      <c r="AA37" s="142">
        <f t="shared" si="67"/>
        <v>506.84360361134213</v>
      </c>
      <c r="AB37" s="142">
        <f t="shared" si="67"/>
        <v>518.92147148178958</v>
      </c>
      <c r="AC37" s="142">
        <f t="shared" si="67"/>
        <v>353.99955956815802</v>
      </c>
      <c r="AD37" s="142">
        <f t="shared" si="67"/>
        <v>362.05147148178963</v>
      </c>
      <c r="AE37" s="142">
        <f t="shared" si="67"/>
        <v>370.10338339542119</v>
      </c>
      <c r="AF37" s="142">
        <f t="shared" si="67"/>
        <v>378.1552953090528</v>
      </c>
      <c r="AG37" s="142">
        <f t="shared" si="67"/>
        <v>0</v>
      </c>
      <c r="AH37" s="142">
        <f t="shared" si="67"/>
        <v>0</v>
      </c>
      <c r="AI37" s="142">
        <f t="shared" si="67"/>
        <v>0</v>
      </c>
      <c r="AJ37" s="142">
        <f t="shared" si="67"/>
        <v>0</v>
      </c>
      <c r="AK37" s="142">
        <f t="shared" si="67"/>
        <v>0</v>
      </c>
      <c r="AL37" s="142">
        <f t="shared" si="67"/>
        <v>0</v>
      </c>
      <c r="AM37" s="142">
        <f t="shared" si="67"/>
        <v>0</v>
      </c>
      <c r="AN37" s="142">
        <f t="shared" si="67"/>
        <v>0</v>
      </c>
      <c r="AO37" s="142">
        <f t="shared" si="67"/>
        <v>0</v>
      </c>
      <c r="AP37" s="142">
        <f t="shared" si="67"/>
        <v>0</v>
      </c>
      <c r="AQ37" s="142">
        <f t="shared" si="67"/>
        <v>0</v>
      </c>
      <c r="AR37" s="142">
        <f t="shared" si="67"/>
        <v>0</v>
      </c>
      <c r="AS37" s="142">
        <f t="shared" si="67"/>
        <v>0</v>
      </c>
      <c r="AT37" s="142">
        <f t="shared" ref="AT37:BM37" si="68">AT26*AT36*AT174</f>
        <v>0</v>
      </c>
      <c r="AU37" s="142">
        <f t="shared" si="68"/>
        <v>0</v>
      </c>
      <c r="AV37" s="142">
        <f t="shared" si="68"/>
        <v>0</v>
      </c>
      <c r="AW37" s="142">
        <f t="shared" si="68"/>
        <v>0</v>
      </c>
      <c r="AX37" s="142">
        <f t="shared" si="68"/>
        <v>0</v>
      </c>
      <c r="AY37" s="142">
        <f t="shared" si="68"/>
        <v>0</v>
      </c>
      <c r="AZ37" s="142">
        <f t="shared" si="68"/>
        <v>0</v>
      </c>
      <c r="BA37" s="142">
        <f t="shared" si="68"/>
        <v>0</v>
      </c>
      <c r="BB37" s="142">
        <f t="shared" si="68"/>
        <v>0</v>
      </c>
      <c r="BC37" s="142">
        <f t="shared" si="68"/>
        <v>0</v>
      </c>
      <c r="BD37" s="142">
        <f t="shared" si="68"/>
        <v>0</v>
      </c>
      <c r="BE37" s="142">
        <f t="shared" si="68"/>
        <v>0</v>
      </c>
      <c r="BF37" s="142">
        <f t="shared" si="68"/>
        <v>0</v>
      </c>
      <c r="BG37" s="142">
        <f t="shared" si="68"/>
        <v>0</v>
      </c>
      <c r="BH37" s="142">
        <f t="shared" si="68"/>
        <v>0</v>
      </c>
      <c r="BI37" s="142">
        <f t="shared" si="68"/>
        <v>0</v>
      </c>
      <c r="BJ37" s="142">
        <f t="shared" si="68"/>
        <v>0</v>
      </c>
      <c r="BK37" s="142">
        <f t="shared" si="68"/>
        <v>0</v>
      </c>
      <c r="BL37" s="142">
        <f t="shared" si="68"/>
        <v>0</v>
      </c>
      <c r="BM37" s="142">
        <f t="shared" si="68"/>
        <v>0</v>
      </c>
    </row>
    <row r="38" spans="1:65" hidden="1" outlineLevel="1">
      <c r="B38" s="140"/>
      <c r="C38" s="569" t="s">
        <v>960</v>
      </c>
      <c r="D38" s="131" t="s">
        <v>178</v>
      </c>
      <c r="E38" s="141"/>
      <c r="F38" s="202"/>
      <c r="G38" s="202"/>
      <c r="H38" s="202"/>
      <c r="I38" s="202"/>
      <c r="J38" s="202"/>
      <c r="K38" s="202"/>
      <c r="L38" s="202"/>
      <c r="M38" s="202"/>
      <c r="N38" s="142">
        <f>'CF1'!N38</f>
        <v>0</v>
      </c>
      <c r="O38" s="142">
        <f>'CF1'!O38</f>
        <v>0</v>
      </c>
      <c r="P38" s="142">
        <f>'CF1'!P38</f>
        <v>0</v>
      </c>
      <c r="Q38" s="142">
        <f>'CF1'!Q38</f>
        <v>0</v>
      </c>
      <c r="R38" s="142">
        <f>'CF1'!R38</f>
        <v>0</v>
      </c>
      <c r="S38" s="567">
        <f>'CF1'!S38</f>
        <v>0.3</v>
      </c>
      <c r="T38" s="567">
        <f>'CF1'!T38</f>
        <v>0.3</v>
      </c>
      <c r="U38" s="567">
        <f>'CF1'!U38</f>
        <v>0.3</v>
      </c>
      <c r="V38" s="567">
        <f>'CF1'!V38</f>
        <v>0.3</v>
      </c>
      <c r="W38" s="567">
        <f>'CF1'!W38</f>
        <v>0.3</v>
      </c>
      <c r="X38" s="567">
        <f>'CF1'!X38</f>
        <v>0.3</v>
      </c>
      <c r="Y38" s="567">
        <f>'CF1'!Y38</f>
        <v>0.3</v>
      </c>
      <c r="Z38" s="567">
        <f>'CF1'!Z38</f>
        <v>0.3</v>
      </c>
      <c r="AA38" s="567">
        <f>'CF1'!AA38</f>
        <v>0.3</v>
      </c>
      <c r="AB38" s="567">
        <f>'CF1'!AB38</f>
        <v>0.3</v>
      </c>
      <c r="AC38" s="567">
        <f>'CF1'!AC38</f>
        <v>0.3</v>
      </c>
      <c r="AD38" s="567">
        <f>'CF1'!AD38</f>
        <v>0.3</v>
      </c>
      <c r="AE38" s="567">
        <f>'CF1'!AE38</f>
        <v>0.3</v>
      </c>
      <c r="AF38" s="567">
        <f>'CF1'!AF38</f>
        <v>0.3</v>
      </c>
      <c r="AG38" s="568">
        <f>'CF1'!AG38</f>
        <v>0</v>
      </c>
      <c r="AH38" s="568">
        <f>'CF1'!AH38</f>
        <v>0</v>
      </c>
      <c r="AI38" s="568">
        <f>'CF1'!AI38</f>
        <v>0</v>
      </c>
      <c r="AJ38" s="568">
        <f>'CF1'!AJ38</f>
        <v>0</v>
      </c>
      <c r="AK38" s="568">
        <f>'CF1'!AK38</f>
        <v>0</v>
      </c>
      <c r="AL38" s="568">
        <f>'CF1'!AL38</f>
        <v>0</v>
      </c>
      <c r="AM38" s="568">
        <f>'CF1'!AM38</f>
        <v>0</v>
      </c>
      <c r="AN38" s="568">
        <f>'CF1'!AN38</f>
        <v>0</v>
      </c>
      <c r="AO38" s="568">
        <f>'CF1'!AO38</f>
        <v>0</v>
      </c>
      <c r="AP38" s="568">
        <f>'CF1'!AP38</f>
        <v>0</v>
      </c>
      <c r="AQ38" s="568">
        <f>'CF1'!AQ38</f>
        <v>0</v>
      </c>
      <c r="AR38" s="568">
        <f>'CF1'!AR38</f>
        <v>0</v>
      </c>
      <c r="AS38" s="568">
        <f>'CF1'!AS38</f>
        <v>0</v>
      </c>
      <c r="AT38" s="568">
        <f>'CF1'!AT38</f>
        <v>0</v>
      </c>
      <c r="AU38" s="568">
        <f>'CF1'!AU38</f>
        <v>0</v>
      </c>
      <c r="AV38" s="568">
        <f>'CF1'!AV38</f>
        <v>0</v>
      </c>
      <c r="AW38" s="568">
        <f>'CF1'!AW38</f>
        <v>0</v>
      </c>
      <c r="AX38" s="568">
        <f>'CF1'!AX38</f>
        <v>0</v>
      </c>
      <c r="AY38" s="568">
        <f>'CF1'!AY38</f>
        <v>0</v>
      </c>
      <c r="AZ38" s="568">
        <f>'CF1'!AZ38</f>
        <v>0</v>
      </c>
      <c r="BA38" s="568">
        <f>'CF1'!BA38</f>
        <v>0</v>
      </c>
      <c r="BB38" s="568">
        <f>'CF1'!BB38</f>
        <v>0</v>
      </c>
      <c r="BC38" s="568">
        <f>'CF1'!BC38</f>
        <v>0</v>
      </c>
      <c r="BD38" s="568">
        <f>'CF1'!BD38</f>
        <v>0</v>
      </c>
      <c r="BE38" s="568">
        <f>'CF1'!BE38</f>
        <v>0</v>
      </c>
      <c r="BF38" s="568">
        <f>'CF1'!BF38</f>
        <v>0</v>
      </c>
      <c r="BG38" s="568">
        <f>'CF1'!BG38</f>
        <v>0</v>
      </c>
      <c r="BH38" s="568">
        <f>'CF1'!BH38</f>
        <v>0</v>
      </c>
      <c r="BI38" s="568">
        <f>'CF1'!BI38</f>
        <v>0</v>
      </c>
      <c r="BJ38" s="568">
        <f>'CF1'!BJ38</f>
        <v>0</v>
      </c>
      <c r="BK38" s="568">
        <f>'CF1'!BK38</f>
        <v>0</v>
      </c>
      <c r="BL38" s="568">
        <f>'CF1'!BL38</f>
        <v>0</v>
      </c>
      <c r="BM38" s="568">
        <f>'CF1'!BM38</f>
        <v>0</v>
      </c>
    </row>
    <row r="39" spans="1:65" hidden="1" outlineLevel="1">
      <c r="B39" s="140"/>
      <c r="C39" s="569" t="s">
        <v>960</v>
      </c>
      <c r="D39" s="131" t="s">
        <v>19</v>
      </c>
      <c r="E39" s="141"/>
      <c r="F39" s="202"/>
      <c r="G39" s="202"/>
      <c r="H39" s="202"/>
      <c r="I39" s="202"/>
      <c r="J39" s="202"/>
      <c r="K39" s="202"/>
      <c r="L39" s="202"/>
      <c r="M39" s="202"/>
      <c r="N39" s="142">
        <f>N37*N38</f>
        <v>0</v>
      </c>
      <c r="O39" s="142">
        <f t="shared" ref="O39:BM39" si="69">O37*O38</f>
        <v>0</v>
      </c>
      <c r="P39" s="142">
        <f t="shared" si="69"/>
        <v>0</v>
      </c>
      <c r="Q39" s="142">
        <f t="shared" si="69"/>
        <v>0</v>
      </c>
      <c r="R39" s="142">
        <f t="shared" si="69"/>
        <v>0</v>
      </c>
      <c r="S39" s="142">
        <f t="shared" si="69"/>
        <v>0</v>
      </c>
      <c r="T39" s="142">
        <f t="shared" si="69"/>
        <v>0</v>
      </c>
      <c r="U39" s="142">
        <f t="shared" si="69"/>
        <v>0</v>
      </c>
      <c r="V39" s="142">
        <f t="shared" si="69"/>
        <v>0</v>
      </c>
      <c r="W39" s="142">
        <f t="shared" si="69"/>
        <v>0</v>
      </c>
      <c r="X39" s="142">
        <f t="shared" si="69"/>
        <v>188.244</v>
      </c>
      <c r="Y39" s="142">
        <f t="shared" si="69"/>
        <v>144.80636036113421</v>
      </c>
      <c r="Z39" s="142">
        <f t="shared" si="69"/>
        <v>148.42972072226843</v>
      </c>
      <c r="AA39" s="142">
        <f t="shared" si="69"/>
        <v>152.05308108340265</v>
      </c>
      <c r="AB39" s="142">
        <f t="shared" si="69"/>
        <v>155.67644144453686</v>
      </c>
      <c r="AC39" s="142">
        <f t="shared" si="69"/>
        <v>106.19986787044741</v>
      </c>
      <c r="AD39" s="142">
        <f t="shared" si="69"/>
        <v>108.61544144453688</v>
      </c>
      <c r="AE39" s="142">
        <f t="shared" si="69"/>
        <v>111.03101501862635</v>
      </c>
      <c r="AF39" s="142">
        <f t="shared" si="69"/>
        <v>113.44658859271584</v>
      </c>
      <c r="AG39" s="142">
        <f t="shared" si="69"/>
        <v>0</v>
      </c>
      <c r="AH39" s="142">
        <f t="shared" si="69"/>
        <v>0</v>
      </c>
      <c r="AI39" s="142">
        <f t="shared" si="69"/>
        <v>0</v>
      </c>
      <c r="AJ39" s="142">
        <f t="shared" si="69"/>
        <v>0</v>
      </c>
      <c r="AK39" s="142">
        <f t="shared" si="69"/>
        <v>0</v>
      </c>
      <c r="AL39" s="142">
        <f t="shared" si="69"/>
        <v>0</v>
      </c>
      <c r="AM39" s="142">
        <f t="shared" si="69"/>
        <v>0</v>
      </c>
      <c r="AN39" s="142">
        <f t="shared" si="69"/>
        <v>0</v>
      </c>
      <c r="AO39" s="142">
        <f t="shared" si="69"/>
        <v>0</v>
      </c>
      <c r="AP39" s="142">
        <f t="shared" si="69"/>
        <v>0</v>
      </c>
      <c r="AQ39" s="142">
        <f t="shared" si="69"/>
        <v>0</v>
      </c>
      <c r="AR39" s="142">
        <f t="shared" si="69"/>
        <v>0</v>
      </c>
      <c r="AS39" s="142">
        <f t="shared" si="69"/>
        <v>0</v>
      </c>
      <c r="AT39" s="142">
        <f t="shared" si="69"/>
        <v>0</v>
      </c>
      <c r="AU39" s="142">
        <f t="shared" si="69"/>
        <v>0</v>
      </c>
      <c r="AV39" s="142">
        <f t="shared" si="69"/>
        <v>0</v>
      </c>
      <c r="AW39" s="142">
        <f t="shared" si="69"/>
        <v>0</v>
      </c>
      <c r="AX39" s="142">
        <f t="shared" si="69"/>
        <v>0</v>
      </c>
      <c r="AY39" s="142">
        <f t="shared" si="69"/>
        <v>0</v>
      </c>
      <c r="AZ39" s="142">
        <f t="shared" si="69"/>
        <v>0</v>
      </c>
      <c r="BA39" s="142">
        <f t="shared" si="69"/>
        <v>0</v>
      </c>
      <c r="BB39" s="142">
        <f t="shared" si="69"/>
        <v>0</v>
      </c>
      <c r="BC39" s="142">
        <f t="shared" si="69"/>
        <v>0</v>
      </c>
      <c r="BD39" s="142">
        <f t="shared" si="69"/>
        <v>0</v>
      </c>
      <c r="BE39" s="142">
        <f t="shared" si="69"/>
        <v>0</v>
      </c>
      <c r="BF39" s="142">
        <f t="shared" si="69"/>
        <v>0</v>
      </c>
      <c r="BG39" s="142">
        <f t="shared" si="69"/>
        <v>0</v>
      </c>
      <c r="BH39" s="142">
        <f t="shared" si="69"/>
        <v>0</v>
      </c>
      <c r="BI39" s="142">
        <f t="shared" si="69"/>
        <v>0</v>
      </c>
      <c r="BJ39" s="142">
        <f t="shared" si="69"/>
        <v>0</v>
      </c>
      <c r="BK39" s="142">
        <f t="shared" si="69"/>
        <v>0</v>
      </c>
      <c r="BL39" s="142">
        <f t="shared" si="69"/>
        <v>0</v>
      </c>
      <c r="BM39" s="142">
        <f t="shared" si="69"/>
        <v>0</v>
      </c>
    </row>
    <row r="40" spans="1:65" hidden="1" outlineLevel="1">
      <c r="B40" s="140"/>
      <c r="C40" s="569" t="s">
        <v>961</v>
      </c>
      <c r="D40" s="131" t="s">
        <v>19</v>
      </c>
      <c r="E40" s="141"/>
      <c r="F40" s="202"/>
      <c r="G40" s="202"/>
      <c r="H40" s="202"/>
      <c r="I40" s="202"/>
      <c r="J40" s="202"/>
      <c r="K40" s="202"/>
      <c r="L40" s="202"/>
      <c r="M40" s="202"/>
      <c r="N40" s="142">
        <f>N37-N39</f>
        <v>0</v>
      </c>
      <c r="O40" s="142">
        <f t="shared" ref="O40:BM40" si="70">O37-O39</f>
        <v>0</v>
      </c>
      <c r="P40" s="142">
        <f t="shared" si="70"/>
        <v>0</v>
      </c>
      <c r="Q40" s="142">
        <f t="shared" si="70"/>
        <v>0</v>
      </c>
      <c r="R40" s="142">
        <f t="shared" si="70"/>
        <v>0</v>
      </c>
      <c r="S40" s="142">
        <f t="shared" si="70"/>
        <v>0</v>
      </c>
      <c r="T40" s="142">
        <f t="shared" si="70"/>
        <v>0</v>
      </c>
      <c r="U40" s="142">
        <f t="shared" si="70"/>
        <v>0</v>
      </c>
      <c r="V40" s="142">
        <f t="shared" si="70"/>
        <v>0</v>
      </c>
      <c r="W40" s="142">
        <f t="shared" si="70"/>
        <v>0</v>
      </c>
      <c r="X40" s="142">
        <f t="shared" si="70"/>
        <v>439.23599999999999</v>
      </c>
      <c r="Y40" s="142">
        <f t="shared" si="70"/>
        <v>337.88150750931311</v>
      </c>
      <c r="Z40" s="142">
        <f t="shared" si="70"/>
        <v>346.33601501862637</v>
      </c>
      <c r="AA40" s="142">
        <f t="shared" si="70"/>
        <v>354.79052252793952</v>
      </c>
      <c r="AB40" s="142">
        <f t="shared" si="70"/>
        <v>363.24503003725272</v>
      </c>
      <c r="AC40" s="142">
        <f t="shared" si="70"/>
        <v>247.79969169771061</v>
      </c>
      <c r="AD40" s="142">
        <f t="shared" si="70"/>
        <v>253.43603003725275</v>
      </c>
      <c r="AE40" s="142">
        <f t="shared" si="70"/>
        <v>259.07236837679483</v>
      </c>
      <c r="AF40" s="142">
        <f t="shared" si="70"/>
        <v>264.70870671633696</v>
      </c>
      <c r="AG40" s="142">
        <f t="shared" si="70"/>
        <v>0</v>
      </c>
      <c r="AH40" s="142">
        <f t="shared" si="70"/>
        <v>0</v>
      </c>
      <c r="AI40" s="142">
        <f t="shared" si="70"/>
        <v>0</v>
      </c>
      <c r="AJ40" s="142">
        <f t="shared" si="70"/>
        <v>0</v>
      </c>
      <c r="AK40" s="142">
        <f t="shared" si="70"/>
        <v>0</v>
      </c>
      <c r="AL40" s="142">
        <f t="shared" si="70"/>
        <v>0</v>
      </c>
      <c r="AM40" s="142">
        <f t="shared" si="70"/>
        <v>0</v>
      </c>
      <c r="AN40" s="142">
        <f t="shared" si="70"/>
        <v>0</v>
      </c>
      <c r="AO40" s="142">
        <f t="shared" si="70"/>
        <v>0</v>
      </c>
      <c r="AP40" s="142">
        <f t="shared" si="70"/>
        <v>0</v>
      </c>
      <c r="AQ40" s="142">
        <f t="shared" si="70"/>
        <v>0</v>
      </c>
      <c r="AR40" s="142">
        <f t="shared" si="70"/>
        <v>0</v>
      </c>
      <c r="AS40" s="142">
        <f t="shared" si="70"/>
        <v>0</v>
      </c>
      <c r="AT40" s="142">
        <f t="shared" si="70"/>
        <v>0</v>
      </c>
      <c r="AU40" s="142">
        <f t="shared" si="70"/>
        <v>0</v>
      </c>
      <c r="AV40" s="142">
        <f t="shared" si="70"/>
        <v>0</v>
      </c>
      <c r="AW40" s="142">
        <f t="shared" si="70"/>
        <v>0</v>
      </c>
      <c r="AX40" s="142">
        <f t="shared" si="70"/>
        <v>0</v>
      </c>
      <c r="AY40" s="142">
        <f t="shared" si="70"/>
        <v>0</v>
      </c>
      <c r="AZ40" s="142">
        <f t="shared" si="70"/>
        <v>0</v>
      </c>
      <c r="BA40" s="142">
        <f t="shared" si="70"/>
        <v>0</v>
      </c>
      <c r="BB40" s="142">
        <f t="shared" si="70"/>
        <v>0</v>
      </c>
      <c r="BC40" s="142">
        <f t="shared" si="70"/>
        <v>0</v>
      </c>
      <c r="BD40" s="142">
        <f t="shared" si="70"/>
        <v>0</v>
      </c>
      <c r="BE40" s="142">
        <f t="shared" si="70"/>
        <v>0</v>
      </c>
      <c r="BF40" s="142">
        <f t="shared" si="70"/>
        <v>0</v>
      </c>
      <c r="BG40" s="142">
        <f t="shared" si="70"/>
        <v>0</v>
      </c>
      <c r="BH40" s="142">
        <f t="shared" si="70"/>
        <v>0</v>
      </c>
      <c r="BI40" s="142">
        <f t="shared" si="70"/>
        <v>0</v>
      </c>
      <c r="BJ40" s="142">
        <f t="shared" si="70"/>
        <v>0</v>
      </c>
      <c r="BK40" s="142">
        <f t="shared" si="70"/>
        <v>0</v>
      </c>
      <c r="BL40" s="142">
        <f t="shared" si="70"/>
        <v>0</v>
      </c>
      <c r="BM40" s="142">
        <f t="shared" si="70"/>
        <v>0</v>
      </c>
    </row>
    <row r="41" spans="1:65" hidden="1" outlineLevel="1">
      <c r="B41" s="140"/>
      <c r="C41" s="569" t="s">
        <v>962</v>
      </c>
      <c r="D41" s="131" t="s">
        <v>19</v>
      </c>
      <c r="E41" s="141"/>
      <c r="F41" s="202"/>
      <c r="G41" s="202"/>
      <c r="H41" s="202"/>
      <c r="I41" s="202"/>
      <c r="J41" s="202"/>
      <c r="K41" s="202"/>
      <c r="L41" s="202"/>
      <c r="M41" s="202"/>
      <c r="N41" s="142">
        <f>N40/SUM(N174:$AH$174)</f>
        <v>0</v>
      </c>
      <c r="O41" s="142">
        <f>O40/SUM(O174:$AH$174)</f>
        <v>0</v>
      </c>
      <c r="P41" s="142">
        <f>P40/SUM(P174:$AH$174)</f>
        <v>0</v>
      </c>
      <c r="Q41" s="142">
        <f>Q40/SUM(Q174:$AH$174)</f>
        <v>0</v>
      </c>
      <c r="R41" s="142">
        <f>R40/SUM(R174:$AH$174)</f>
        <v>0</v>
      </c>
      <c r="S41" s="142">
        <f>S40/SUM(S174:$AH$174)</f>
        <v>0</v>
      </c>
      <c r="T41" s="142">
        <f>T40/SUM(T174:$AH$174)</f>
        <v>0</v>
      </c>
      <c r="U41" s="142">
        <f>U40/SUM(U174:$AH$174)</f>
        <v>0</v>
      </c>
      <c r="V41" s="142">
        <f>V40/SUM(V174:$AH$174)</f>
        <v>0</v>
      </c>
      <c r="W41" s="142">
        <f>W40/SUM(W174:$AH$174)</f>
        <v>0</v>
      </c>
      <c r="X41" s="142">
        <f>W41+X40/SUM(X174:$AH$174)</f>
        <v>39.930545454545452</v>
      </c>
      <c r="Y41" s="142">
        <f>X41+Y40/SUM(Y174:$AH$174)</f>
        <v>73.71869620547676</v>
      </c>
      <c r="Z41" s="142">
        <f>Y41+Z40/SUM(Z174:$AH$174)</f>
        <v>112.2004756519908</v>
      </c>
      <c r="AA41" s="142">
        <f>Z41+AA40/SUM(AA174:$AH$174)</f>
        <v>156.54929096798324</v>
      </c>
      <c r="AB41" s="142">
        <f>AA41+AB40/SUM(AB174:$AH$174)</f>
        <v>208.4414381161622</v>
      </c>
      <c r="AC41" s="142">
        <f>AB41+AC40/SUM(AC174:$AH$174)</f>
        <v>249.7413867324473</v>
      </c>
      <c r="AD41" s="142">
        <f>AC41+AD40/SUM(AD174:$AH$174)</f>
        <v>300.42859273989785</v>
      </c>
      <c r="AE41" s="142">
        <f>AD41+AE40/SUM(AE174:$AH$174)</f>
        <v>365.19668483409657</v>
      </c>
      <c r="AF41" s="142">
        <f>AE41+AF40/SUM(AF174:$AH$174)</f>
        <v>453.43292040620889</v>
      </c>
      <c r="AG41" s="142">
        <f>AF41+AG40/SUM(AG174:$AH$174)</f>
        <v>453.43292040620889</v>
      </c>
      <c r="AH41" s="142">
        <f>AG41+AH40/SUM(AH174:$AH$174)</f>
        <v>453.43292040620889</v>
      </c>
      <c r="AI41" s="142"/>
      <c r="AJ41" s="142">
        <f>AJ40/SUM($AH174:AJ$174)</f>
        <v>0</v>
      </c>
      <c r="AK41" s="142">
        <f>AK40/SUM($AH174:AK$174)</f>
        <v>0</v>
      </c>
      <c r="AL41" s="142">
        <f>AL40/SUM($AH174:AL$174)</f>
        <v>0</v>
      </c>
      <c r="AM41" s="142">
        <f>AM40/SUM($AH174:AM$174)</f>
        <v>0</v>
      </c>
      <c r="AN41" s="142">
        <f>AN40/SUM($AH174:AN$174)</f>
        <v>0</v>
      </c>
      <c r="AO41" s="142">
        <f>AO40/SUM($AH174:AO$174)</f>
        <v>0</v>
      </c>
      <c r="AP41" s="142">
        <f>AP40/SUM($AH174:AP$174)</f>
        <v>0</v>
      </c>
      <c r="AQ41" s="142">
        <f>AQ40/SUM($AH174:AQ$174)</f>
        <v>0</v>
      </c>
      <c r="AR41" s="142">
        <f>AR40/SUM($AH174:AR$174)</f>
        <v>0</v>
      </c>
      <c r="AS41" s="142">
        <f>AS40/SUM($AH174:AS$174)</f>
        <v>0</v>
      </c>
      <c r="AT41" s="142">
        <f>AT40/SUM($AH174:AT$174)</f>
        <v>0</v>
      </c>
      <c r="AU41" s="142">
        <f>AU40/SUM($AH174:AU$174)</f>
        <v>0</v>
      </c>
      <c r="AV41" s="142">
        <f>AV40/SUM($AH174:AV$174)</f>
        <v>0</v>
      </c>
      <c r="AW41" s="142">
        <f>AW40/SUM($AH174:AW$174)</f>
        <v>0</v>
      </c>
      <c r="AX41" s="142">
        <f>AX40/SUM($AH174:AX$174)</f>
        <v>0</v>
      </c>
      <c r="AY41" s="142">
        <f>AY40/SUM($AH174:AY$174)</f>
        <v>0</v>
      </c>
      <c r="AZ41" s="142">
        <f>AZ40/SUM($AH174:AZ$174)</f>
        <v>0</v>
      </c>
      <c r="BA41" s="142">
        <f>BA40/SUM($AH174:BA$174)</f>
        <v>0</v>
      </c>
      <c r="BB41" s="142">
        <f>BB40/SUM($AH174:BB$174)</f>
        <v>0</v>
      </c>
      <c r="BC41" s="142">
        <f>BC40/SUM($AH174:BC$174)</f>
        <v>0</v>
      </c>
      <c r="BD41" s="142">
        <f>BD40/SUM($AH174:BD$174)</f>
        <v>0</v>
      </c>
      <c r="BE41" s="142">
        <f>BE40/SUM($AH174:BE$174)</f>
        <v>0</v>
      </c>
      <c r="BF41" s="142">
        <f>BF40/SUM($AH174:BF$174)</f>
        <v>0</v>
      </c>
      <c r="BG41" s="142">
        <f>BG40/SUM($AH174:BG$174)</f>
        <v>0</v>
      </c>
      <c r="BH41" s="142">
        <f>BH40/SUM($AH174:BH$174)</f>
        <v>0</v>
      </c>
      <c r="BI41" s="142">
        <f>BI40/SUM($AH174:BI$174)</f>
        <v>0</v>
      </c>
      <c r="BJ41" s="142">
        <f>BJ40/SUM($AH174:BJ$174)</f>
        <v>0</v>
      </c>
      <c r="BK41" s="142">
        <f>BK40/SUM($AH174:BK$174)</f>
        <v>0</v>
      </c>
      <c r="BL41" s="142">
        <f>BL40/SUM($AH174:BL$174)</f>
        <v>0</v>
      </c>
      <c r="BM41" s="142">
        <f>BM40/SUM($AH174:BM$174)</f>
        <v>0</v>
      </c>
    </row>
    <row r="42" spans="1:65" hidden="1" collapsed="1">
      <c r="B42" s="140" t="str">
        <f t="shared" ref="B42:B47" si="71">B27</f>
        <v>АПАРТАМЕНТЫ</v>
      </c>
      <c r="C42" s="200"/>
      <c r="D42" s="131" t="s">
        <v>19</v>
      </c>
      <c r="E42" s="141">
        <f t="shared" si="13"/>
        <v>0</v>
      </c>
      <c r="F42" s="202"/>
      <c r="G42" s="202">
        <f>G27*'DB2'!$N$9+SUM($F27:F27)-SUM($F42:F42)</f>
        <v>0</v>
      </c>
      <c r="H42" s="202">
        <f>H27*'DB2'!$N$9+SUM($F27:G27)-SUM($F42:G42)</f>
        <v>0</v>
      </c>
      <c r="I42" s="202">
        <f>I27*'DB2'!$N$9+SUM($F27:H27)-SUM($F42:H42)</f>
        <v>0</v>
      </c>
      <c r="J42" s="202">
        <f>J27*'DB2'!$N$9+SUM($F27:I27)-SUM($F42:I42)</f>
        <v>0</v>
      </c>
      <c r="K42" s="202">
        <f>K27*'DB2'!$N$9+SUM($F27:J27)-SUM($F42:J42)</f>
        <v>0</v>
      </c>
      <c r="L42" s="202">
        <f>L27*'DB2'!$N$9+SUM($F27:K27)-SUM($F42:K42)</f>
        <v>0</v>
      </c>
      <c r="M42" s="202">
        <f>M27*'DB2'!$N$9+SUM($F27:L27)-SUM($F42:L42)</f>
        <v>0</v>
      </c>
      <c r="N42" s="142">
        <f>N27*'DB2'!$N$9+SUM($F27:M27)-SUM($F42:M42)</f>
        <v>0</v>
      </c>
      <c r="O42" s="142">
        <f>O27*'DB2'!$N$9+SUM($F27:N27)-SUM($F42:N42)</f>
        <v>0</v>
      </c>
      <c r="P42" s="142">
        <f>P27*'DB2'!$N$9+SUM($F27:O27)-SUM($F42:O42)</f>
        <v>0</v>
      </c>
      <c r="Q42" s="142">
        <f>Q27*'DB2'!$N$9+SUM($F27:P27)-SUM($F42:P42)</f>
        <v>0</v>
      </c>
      <c r="R42" s="142">
        <f>R27*'DB2'!$N$9+SUM($F27:Q27)-SUM($F42:Q42)</f>
        <v>0</v>
      </c>
      <c r="S42" s="142">
        <f>S27*'DB2'!$N$9+SUM($F27:R27)-SUM($F42:R42)</f>
        <v>0</v>
      </c>
      <c r="T42" s="142">
        <f>T27*'DB2'!$N$9+SUM($F27:S27)-SUM($F42:S42)</f>
        <v>0</v>
      </c>
      <c r="U42" s="142">
        <f>U27*'DB2'!$N$9+SUM($F27:T27)-SUM($F42:T42)</f>
        <v>0</v>
      </c>
      <c r="V42" s="142">
        <f>V27*'DB2'!$N$9+SUM($F27:U27)-SUM($F42:U42)</f>
        <v>0</v>
      </c>
      <c r="W42" s="142">
        <f>W27*'DB2'!$N$9+SUM($F27:V27)-SUM($F42:V42)</f>
        <v>0</v>
      </c>
      <c r="X42" s="142">
        <f>X27*'DB2'!$N$9+SUM($F27:W27)-SUM($F42:W42)</f>
        <v>0</v>
      </c>
      <c r="Y42" s="142">
        <f>Y27*'DB2'!$N$9+SUM($F27:X27)-SUM($F42:X42)</f>
        <v>0</v>
      </c>
      <c r="Z42" s="142">
        <f>Z27*'DB2'!$N$9+SUM($F27:Y27)-SUM($F42:Y42)</f>
        <v>0</v>
      </c>
      <c r="AA42" s="142">
        <f>AA27*'DB2'!$N$9+SUM($F27:Z27)-SUM($F42:Z42)</f>
        <v>0</v>
      </c>
      <c r="AB42" s="142">
        <f>AB27*'DB2'!$N$9+SUM($F27:AA27)-SUM($F42:AA42)</f>
        <v>0</v>
      </c>
      <c r="AC42" s="142">
        <f>AC27*'DB2'!$N$9+SUM($F27:AB27)-SUM($F42:AB42)</f>
        <v>0</v>
      </c>
      <c r="AD42" s="142">
        <f>AD27*'DB2'!$N$9+SUM($F27:AC27)-SUM($F42:AC42)</f>
        <v>0</v>
      </c>
      <c r="AE42" s="142">
        <f>AE27*'DB2'!$N$9+SUM($F27:AD27)-SUM($F42:AD42)</f>
        <v>0</v>
      </c>
      <c r="AF42" s="142">
        <f>AF27*'DB2'!$N$9+SUM($F27:AE27)-SUM($F42:AE42)</f>
        <v>0</v>
      </c>
      <c r="AG42" s="142">
        <f>AG27*'DB2'!$N$9+SUM($F27:AF27)-SUM($F42:AF42)</f>
        <v>0</v>
      </c>
      <c r="AH42" s="142">
        <f>AH27*'DB2'!$N$9+SUM($F27:AG27)-SUM($F42:AG42)</f>
        <v>0</v>
      </c>
      <c r="AI42" s="142">
        <f>AI27*'DB2'!$N$9+SUM($F27:AH27)-SUM($F42:AH42)</f>
        <v>0</v>
      </c>
      <c r="AJ42" s="142">
        <f>AJ27*'DB2'!$N$9+SUM($F27:AI27)-SUM($F42:AI42)</f>
        <v>0</v>
      </c>
      <c r="AK42" s="142">
        <f>AK27*'DB2'!$N$9+SUM($F27:AJ27)-SUM($F42:AJ42)</f>
        <v>0</v>
      </c>
      <c r="AL42" s="142">
        <f>AL27*'DB2'!$N$9+SUM($F27:AK27)-SUM($F42:AK42)</f>
        <v>0</v>
      </c>
      <c r="AM42" s="142">
        <f>AM27*'DB2'!$N$9+SUM($F27:AL27)-SUM($F42:AL42)</f>
        <v>0</v>
      </c>
      <c r="AN42" s="142">
        <f>AN27*'DB2'!$N$9+SUM($F27:AM27)-SUM($F42:AM42)</f>
        <v>0</v>
      </c>
      <c r="AO42" s="142">
        <f>AO27*'DB2'!$N$9+SUM($F27:AN27)-SUM($F42:AN42)</f>
        <v>0</v>
      </c>
      <c r="AP42" s="142">
        <f>AP27*'DB2'!$N$9+SUM($F27:AO27)-SUM($F42:AO42)</f>
        <v>0</v>
      </c>
      <c r="AQ42" s="142">
        <f>AQ27*'DB2'!$N$9+SUM($F27:AP27)-SUM($F42:AP42)</f>
        <v>0</v>
      </c>
      <c r="AR42" s="142">
        <f>AR27*'DB2'!$N$9+SUM($F27:AQ27)-SUM($F42:AQ42)</f>
        <v>0</v>
      </c>
      <c r="AS42" s="142">
        <f>AS27*'DB2'!$N$9+SUM($F27:AR27)-SUM($F42:AR42)</f>
        <v>0</v>
      </c>
      <c r="AT42" s="142">
        <f>AT27*'DB2'!$N$9+SUM($F27:AS27)-SUM($F42:AS42)</f>
        <v>0</v>
      </c>
      <c r="AU42" s="142">
        <f>AU27*'DB2'!$N$9+SUM($F27:AT27)-SUM($F42:AT42)</f>
        <v>0</v>
      </c>
      <c r="AV42" s="142">
        <f>AV27*'DB2'!$N$9+SUM($F27:AU27)-SUM($F42:AU42)</f>
        <v>0</v>
      </c>
      <c r="AW42" s="142">
        <f>AW27*'DB2'!$N$9+SUM($F27:AV27)-SUM($F42:AV42)</f>
        <v>0</v>
      </c>
      <c r="AX42" s="142">
        <f>AX27*'DB2'!$N$9+SUM($F27:AW27)-SUM($F42:AW42)</f>
        <v>0</v>
      </c>
      <c r="AY42" s="142">
        <f>AY27*'DB2'!$N$9+SUM($F27:AX27)-SUM($F42:AX42)</f>
        <v>0</v>
      </c>
      <c r="AZ42" s="142">
        <f>AZ27*'DB2'!$N$9+SUM($F27:AY27)-SUM($F42:AY42)</f>
        <v>0</v>
      </c>
      <c r="BA42" s="142">
        <f>BA27*'DB2'!$N$9+SUM($F27:AZ27)-SUM($F42:AZ42)</f>
        <v>0</v>
      </c>
      <c r="BB42" s="142">
        <f>BB27*'DB2'!$N$9+SUM($F27:BA27)-SUM($F42:BA42)</f>
        <v>0</v>
      </c>
      <c r="BC42" s="142">
        <f>BC27*'DB2'!$N$9+SUM($F27:BB27)-SUM($F42:BB42)</f>
        <v>0</v>
      </c>
      <c r="BD42" s="142">
        <f>BD27*'DB2'!$N$9+SUM($F27:BC27)-SUM($F42:BC42)</f>
        <v>0</v>
      </c>
      <c r="BE42" s="142">
        <f>BE27*'DB2'!$N$9+SUM($F27:BD27)-SUM($F42:BD42)</f>
        <v>0</v>
      </c>
      <c r="BF42" s="142">
        <f>BF27*'DB2'!$N$9+SUM($F27:BE27)-SUM($F42:BE42)</f>
        <v>0</v>
      </c>
      <c r="BG42" s="142">
        <f>BG27*'DB2'!$N$9+SUM($F27:BF27)-SUM($F42:BF42)</f>
        <v>0</v>
      </c>
      <c r="BH42" s="142">
        <f>BH27*'DB2'!$N$9+SUM($F27:BG27)-SUM($F42:BG42)</f>
        <v>0</v>
      </c>
      <c r="BI42" s="142">
        <f>BI27*'DB2'!$N$9+SUM($F27:BH27)-SUM($F42:BH42)</f>
        <v>0</v>
      </c>
      <c r="BJ42" s="142">
        <f>BJ27*'DB2'!$N$9+SUM($F27:BI27)-SUM($F42:BI42)</f>
        <v>0</v>
      </c>
      <c r="BK42" s="142">
        <f>BK27*'DB2'!$N$9+SUM($F27:BJ27)-SUM($F42:BJ42)</f>
        <v>0</v>
      </c>
      <c r="BL42" s="142">
        <f>BL27*'DB2'!$N$9+SUM($F27:BK27)-SUM($F42:BK42)</f>
        <v>0</v>
      </c>
      <c r="BM42" s="142">
        <f>BM27*'DB2'!$N$9+SUM($F27:BL27)-SUM($F42:BL42)</f>
        <v>0</v>
      </c>
    </row>
    <row r="43" spans="1:65" hidden="1">
      <c r="B43" s="140" t="str">
        <f t="shared" si="71"/>
        <v>ОФИСЫ</v>
      </c>
      <c r="C43" s="200"/>
      <c r="D43" s="131" t="s">
        <v>19</v>
      </c>
      <c r="E43" s="141">
        <f t="shared" si="13"/>
        <v>0</v>
      </c>
      <c r="F43" s="202"/>
      <c r="G43" s="202">
        <f>G28*'DB2'!$N$10+SUM($F28:F28)-SUM($F43:F43)</f>
        <v>0</v>
      </c>
      <c r="H43" s="202">
        <f>H28*'DB2'!$N$10+SUM($F28:G28)-SUM($F43:G43)</f>
        <v>0</v>
      </c>
      <c r="I43" s="202">
        <f>I28*'DB2'!$N$10+SUM($F28:H28)-SUM($F43:H43)</f>
        <v>0</v>
      </c>
      <c r="J43" s="202">
        <f>J28*'DB2'!$N$10+SUM($F28:I28)-SUM($F43:I43)</f>
        <v>0</v>
      </c>
      <c r="K43" s="202">
        <f>K28*'DB2'!$N$10+SUM($F28:J28)-SUM($F43:J43)</f>
        <v>0</v>
      </c>
      <c r="L43" s="202">
        <f>L28*'DB2'!$N$10+SUM($F28:K28)-SUM($F43:K43)</f>
        <v>0</v>
      </c>
      <c r="M43" s="202">
        <f>M28*'DB2'!$N$10+SUM($F28:L28)-SUM($F43:L43)</f>
        <v>0</v>
      </c>
      <c r="N43" s="142">
        <f>N28*'DB2'!$N$10+SUM($F28:M28)-SUM($F43:M43)</f>
        <v>0</v>
      </c>
      <c r="O43" s="142">
        <f>O28*'DB2'!$N$10+SUM($F28:N28)-SUM($F43:N43)</f>
        <v>0</v>
      </c>
      <c r="P43" s="142">
        <f>P28*'DB2'!$N$10+SUM($F28:O28)-SUM($F43:O43)</f>
        <v>0</v>
      </c>
      <c r="Q43" s="142">
        <f>Q28*'DB2'!$N$10+SUM($F28:P28)-SUM($F43:P43)</f>
        <v>0</v>
      </c>
      <c r="R43" s="142">
        <f>R28*'DB2'!$N$10+SUM($F28:Q28)-SUM($F43:Q43)</f>
        <v>0</v>
      </c>
      <c r="S43" s="142">
        <f>S28*'DB2'!$N$10+SUM($F28:R28)-SUM($F43:R43)</f>
        <v>0</v>
      </c>
      <c r="T43" s="142">
        <f>T28*'DB2'!$N$10+SUM($F28:S28)-SUM($F43:S43)</f>
        <v>0</v>
      </c>
      <c r="U43" s="142">
        <f>U28*'DB2'!$N$10+SUM($F28:T28)-SUM($F43:T43)</f>
        <v>0</v>
      </c>
      <c r="V43" s="142">
        <f>V28*'DB2'!$N$10+SUM($F28:U28)-SUM($F43:U43)</f>
        <v>0</v>
      </c>
      <c r="W43" s="142">
        <f>W28*'DB2'!$N$10+SUM($F28:V28)-SUM($F43:V43)</f>
        <v>0</v>
      </c>
      <c r="X43" s="142">
        <f>X28*'DB2'!$N$10+SUM($F28:W28)-SUM($F43:W43)</f>
        <v>0</v>
      </c>
      <c r="Y43" s="142">
        <f>Y28*'DB2'!$N$10+SUM($F28:X28)-SUM($F43:X43)</f>
        <v>0</v>
      </c>
      <c r="Z43" s="142">
        <f>Z28*'DB2'!$N$10+SUM($F28:Y28)-SUM($F43:Y43)</f>
        <v>0</v>
      </c>
      <c r="AA43" s="142">
        <f>AA28*'DB2'!$N$10+SUM($F28:Z28)-SUM($F43:Z43)</f>
        <v>0</v>
      </c>
      <c r="AB43" s="142">
        <f>AB28*'DB2'!$N$10+SUM($F28:AA28)-SUM($F43:AA43)</f>
        <v>0</v>
      </c>
      <c r="AC43" s="142">
        <f>AC28*'DB2'!$N$10+SUM($F28:AB28)-SUM($F43:AB43)</f>
        <v>0</v>
      </c>
      <c r="AD43" s="142">
        <f>AD28*'DB2'!$N$10+SUM($F28:AC28)-SUM($F43:AC43)</f>
        <v>0</v>
      </c>
      <c r="AE43" s="142">
        <f>AE28*'DB2'!$N$10+SUM($F28:AD28)-SUM($F43:AD43)</f>
        <v>0</v>
      </c>
      <c r="AF43" s="142">
        <f>AF28*'DB2'!$N$10+SUM($F28:AE28)-SUM($F43:AE43)</f>
        <v>0</v>
      </c>
      <c r="AG43" s="142">
        <f>AG28*'DB2'!$N$10+SUM($F28:AF28)-SUM($F43:AF43)</f>
        <v>0</v>
      </c>
      <c r="AH43" s="142">
        <f>AH28*'DB2'!$N$10+SUM($F28:AG28)-SUM($F43:AG43)</f>
        <v>0</v>
      </c>
      <c r="AI43" s="142">
        <f>AI28*'DB2'!$N$10+SUM($F28:AH28)-SUM($F43:AH43)</f>
        <v>0</v>
      </c>
      <c r="AJ43" s="142">
        <f>AJ28*'DB2'!$N$10+SUM($F28:AI28)-SUM($F43:AI43)</f>
        <v>0</v>
      </c>
      <c r="AK43" s="142">
        <f>AK28*'DB2'!$N$10+SUM($F28:AJ28)-SUM($F43:AJ43)</f>
        <v>0</v>
      </c>
      <c r="AL43" s="142">
        <f>AL28*'DB2'!$N$10+SUM($F28:AK28)-SUM($F43:AK43)</f>
        <v>0</v>
      </c>
      <c r="AM43" s="142">
        <f>AM28*'DB2'!$N$10+SUM($F28:AL28)-SUM($F43:AL43)</f>
        <v>0</v>
      </c>
      <c r="AN43" s="142">
        <f>AN28*'DB2'!$N$10+SUM($F28:AM28)-SUM($F43:AM43)</f>
        <v>0</v>
      </c>
      <c r="AO43" s="142">
        <f>AO28*'DB2'!$N$10+SUM($F28:AN28)-SUM($F43:AN43)</f>
        <v>0</v>
      </c>
      <c r="AP43" s="142">
        <f>AP28*'DB2'!$N$10+SUM($F28:AO28)-SUM($F43:AO43)</f>
        <v>0</v>
      </c>
      <c r="AQ43" s="142">
        <f>AQ28*'DB2'!$N$10+SUM($F28:AP28)-SUM($F43:AP43)</f>
        <v>0</v>
      </c>
      <c r="AR43" s="142">
        <f>AR28*'DB2'!$N$10+SUM($F28:AQ28)-SUM($F43:AQ43)</f>
        <v>0</v>
      </c>
      <c r="AS43" s="142">
        <f>AS28*'DB2'!$N$10+SUM($F28:AR28)-SUM($F43:AR43)</f>
        <v>0</v>
      </c>
      <c r="AT43" s="142">
        <f>AT28*'DB2'!$N$10+SUM($F28:AS28)-SUM($F43:AS43)</f>
        <v>0</v>
      </c>
      <c r="AU43" s="142">
        <f>AU28*'DB2'!$N$10+SUM($F28:AT28)-SUM($F43:AT43)</f>
        <v>0</v>
      </c>
      <c r="AV43" s="142">
        <f>AV28*'DB2'!$N$10+SUM($F28:AU28)-SUM($F43:AU43)</f>
        <v>0</v>
      </c>
      <c r="AW43" s="142">
        <f>AW28*'DB2'!$N$10+SUM($F28:AV28)-SUM($F43:AV43)</f>
        <v>0</v>
      </c>
      <c r="AX43" s="142">
        <f>AX28*'DB2'!$N$10+SUM($F28:AW28)-SUM($F43:AW43)</f>
        <v>0</v>
      </c>
      <c r="AY43" s="142">
        <f>AY28*'DB2'!$N$10+SUM($F28:AX28)-SUM($F43:AX43)</f>
        <v>0</v>
      </c>
      <c r="AZ43" s="142">
        <f>AZ28*'DB2'!$N$10+SUM($F28:AY28)-SUM($F43:AY43)</f>
        <v>0</v>
      </c>
      <c r="BA43" s="142">
        <f>BA28*'DB2'!$N$10+SUM($F28:AZ28)-SUM($F43:AZ43)</f>
        <v>0</v>
      </c>
      <c r="BB43" s="142">
        <f>BB28*'DB2'!$N$10+SUM($F28:BA28)-SUM($F43:BA43)</f>
        <v>0</v>
      </c>
      <c r="BC43" s="142">
        <f>BC28*'DB2'!$N$10+SUM($F28:BB28)-SUM($F43:BB43)</f>
        <v>0</v>
      </c>
      <c r="BD43" s="142">
        <f>BD28*'DB2'!$N$10+SUM($F28:BC28)-SUM($F43:BC43)</f>
        <v>0</v>
      </c>
      <c r="BE43" s="142">
        <f>BE28*'DB2'!$N$10+SUM($F28:BD28)-SUM($F43:BD43)</f>
        <v>0</v>
      </c>
      <c r="BF43" s="142">
        <f>BF28*'DB2'!$N$10+SUM($F28:BE28)-SUM($F43:BE43)</f>
        <v>0</v>
      </c>
      <c r="BG43" s="142">
        <f>BG28*'DB2'!$N$10+SUM($F28:BF28)-SUM($F43:BF43)</f>
        <v>0</v>
      </c>
      <c r="BH43" s="142">
        <f>BH28*'DB2'!$N$10+SUM($F28:BG28)-SUM($F43:BG43)</f>
        <v>0</v>
      </c>
      <c r="BI43" s="142">
        <f>BI28*'DB2'!$N$10+SUM($F28:BH28)-SUM($F43:BH43)</f>
        <v>0</v>
      </c>
      <c r="BJ43" s="142">
        <f>BJ28*'DB2'!$N$10+SUM($F28:BI28)-SUM($F43:BI43)</f>
        <v>0</v>
      </c>
      <c r="BK43" s="142">
        <f>BK28*'DB2'!$N$10+SUM($F28:BJ28)-SUM($F43:BJ43)</f>
        <v>0</v>
      </c>
      <c r="BL43" s="142">
        <f>BL28*'DB2'!$N$10+SUM($F28:BK28)-SUM($F43:BK43)</f>
        <v>0</v>
      </c>
      <c r="BM43" s="142">
        <f>BM28*'DB2'!$N$10+SUM($F28:BL28)-SUM($F43:BL43)</f>
        <v>0</v>
      </c>
    </row>
    <row r="44" spans="1:65">
      <c r="B44" s="140" t="str">
        <f t="shared" si="71"/>
        <v>РИТЕЙЛ</v>
      </c>
      <c r="C44" s="200"/>
      <c r="D44" s="131" t="s">
        <v>19</v>
      </c>
      <c r="E44" s="141">
        <f t="shared" si="13"/>
        <v>1789.2409499999997</v>
      </c>
      <c r="F44" s="202">
        <f>DETAILS!K17/1000000</f>
        <v>0</v>
      </c>
      <c r="G44" s="202">
        <f>DETAILS!L17/1000000</f>
        <v>0</v>
      </c>
      <c r="H44" s="202">
        <f>DETAILS!M17/1000000</f>
        <v>0</v>
      </c>
      <c r="I44" s="202">
        <f>DETAILS!N17/1000000</f>
        <v>0</v>
      </c>
      <c r="J44" s="202">
        <f>DETAILS!O17/1000000</f>
        <v>0</v>
      </c>
      <c r="K44" s="202">
        <f>DETAILS!P17/1000000</f>
        <v>0</v>
      </c>
      <c r="L44" s="202">
        <f>DETAILS!Q17/1000000</f>
        <v>0</v>
      </c>
      <c r="M44" s="202">
        <f>DETAILS!R17/1000000</f>
        <v>0</v>
      </c>
      <c r="N44" s="142">
        <f>DETAILS!S17/1000000</f>
        <v>0</v>
      </c>
      <c r="O44" s="142">
        <f>DETAILS!T17/1000000</f>
        <v>0</v>
      </c>
      <c r="P44" s="142">
        <f>DETAILS!U17/1000000</f>
        <v>0</v>
      </c>
      <c r="Q44" s="142">
        <f>DETAILS!V17/1000000</f>
        <v>0</v>
      </c>
      <c r="R44" s="142">
        <f>DETAILS!W17/1000000</f>
        <v>0</v>
      </c>
      <c r="S44" s="142">
        <f>DETAILS!X17/1000000</f>
        <v>0</v>
      </c>
      <c r="T44" s="142">
        <f>DETAILS!Y17/1000000</f>
        <v>0</v>
      </c>
      <c r="U44" s="142">
        <f>DETAILS!Z17/1000000</f>
        <v>0</v>
      </c>
      <c r="V44" s="142">
        <f>DETAILS!AA17/1000000</f>
        <v>0</v>
      </c>
      <c r="W44" s="142">
        <f>DETAILS!AB17/1000000</f>
        <v>0</v>
      </c>
      <c r="X44" s="142">
        <f>DETAILS!AC17/1000000</f>
        <v>0</v>
      </c>
      <c r="Y44" s="142">
        <f>DETAILS!AD17/1000000</f>
        <v>0</v>
      </c>
      <c r="Z44" s="142">
        <f>DETAILS!AE17/1000000</f>
        <v>0</v>
      </c>
      <c r="AA44" s="142">
        <f>DETAILS!AF17/1000000</f>
        <v>0</v>
      </c>
      <c r="AB44" s="142">
        <f>DETAILS!AG17/1000000</f>
        <v>0</v>
      </c>
      <c r="AC44" s="142">
        <f>DETAILS!AH17/1000000</f>
        <v>0</v>
      </c>
      <c r="AD44" s="142">
        <f>DETAILS!AI17/1000000</f>
        <v>0</v>
      </c>
      <c r="AE44" s="142">
        <f>DETAILS!AJ17/1000000</f>
        <v>0</v>
      </c>
      <c r="AF44" s="142">
        <f>DETAILS!AK17/1000000</f>
        <v>0</v>
      </c>
      <c r="AG44" s="142">
        <f>DETAILS!AL17/1000000</f>
        <v>0</v>
      </c>
      <c r="AH44" s="142">
        <f>DETAILS!AM17/1000000</f>
        <v>0</v>
      </c>
      <c r="AI44" s="142">
        <f>DETAILS!AN17/1000000</f>
        <v>0</v>
      </c>
      <c r="AJ44" s="142">
        <f>DETAILS!AO17/1000000</f>
        <v>0</v>
      </c>
      <c r="AK44" s="142">
        <f>DETAILS!AP17/1000000</f>
        <v>894.62047499999983</v>
      </c>
      <c r="AL44" s="142">
        <f>DETAILS!AQ17/1000000</f>
        <v>894.62047499999983</v>
      </c>
      <c r="AM44" s="142">
        <f>DETAILS!AR17/1000000</f>
        <v>0</v>
      </c>
      <c r="AN44" s="142">
        <f>DETAILS!AS17/1000000</f>
        <v>0</v>
      </c>
      <c r="AO44" s="142">
        <f>DETAILS!AT17/1000000</f>
        <v>0</v>
      </c>
      <c r="AP44" s="142">
        <f>DETAILS!AU17/1000000</f>
        <v>0</v>
      </c>
      <c r="AQ44" s="142">
        <f>DETAILS!AV17/1000000</f>
        <v>0</v>
      </c>
      <c r="AR44" s="142">
        <f>DETAILS!AW17/1000000</f>
        <v>0</v>
      </c>
      <c r="AS44" s="142">
        <f>DETAILS!AX17/1000000</f>
        <v>0</v>
      </c>
      <c r="AT44" s="142">
        <f>DETAILS!AY17/1000000</f>
        <v>0</v>
      </c>
      <c r="AU44" s="142">
        <f>DETAILS!AZ17/1000000</f>
        <v>0</v>
      </c>
      <c r="AV44" s="142">
        <f>DETAILS!BA17/1000000</f>
        <v>0</v>
      </c>
      <c r="AW44" s="142">
        <f>DETAILS!BB17/1000000</f>
        <v>0</v>
      </c>
      <c r="AX44" s="142">
        <f>DETAILS!BC17/1000000</f>
        <v>0</v>
      </c>
      <c r="AY44" s="142">
        <f>DETAILS!BD17/1000000</f>
        <v>0</v>
      </c>
      <c r="AZ44" s="142">
        <f>DETAILS!BE17/1000000</f>
        <v>0</v>
      </c>
      <c r="BA44" s="142">
        <f>DETAILS!BF17/1000000</f>
        <v>0</v>
      </c>
      <c r="BB44" s="142">
        <f>DETAILS!BG17/1000000</f>
        <v>0</v>
      </c>
      <c r="BC44" s="142">
        <f>DETAILS!BH17/1000000</f>
        <v>0</v>
      </c>
      <c r="BD44" s="142">
        <f>DETAILS!BI17/1000000</f>
        <v>0</v>
      </c>
      <c r="BE44" s="142">
        <f>DETAILS!BJ17/1000000</f>
        <v>0</v>
      </c>
      <c r="BF44" s="142">
        <f>DETAILS!BK17/1000000</f>
        <v>0</v>
      </c>
      <c r="BG44" s="142">
        <f>DETAILS!BL17/1000000</f>
        <v>0</v>
      </c>
      <c r="BH44" s="142">
        <f>DETAILS!BM17/1000000</f>
        <v>0</v>
      </c>
      <c r="BI44" s="142">
        <f>DETAILS!BN17/1000000</f>
        <v>0</v>
      </c>
      <c r="BJ44" s="142">
        <f>DETAILS!BO17/1000000</f>
        <v>0</v>
      </c>
      <c r="BK44" s="142">
        <f>DETAILS!BP17/1000000</f>
        <v>0</v>
      </c>
      <c r="BL44" s="142">
        <f>DETAILS!BQ17/1000000</f>
        <v>0</v>
      </c>
      <c r="BM44" s="142">
        <f>DETAILS!BR17/1000000</f>
        <v>0</v>
      </c>
    </row>
    <row r="45" spans="1:65" hidden="1">
      <c r="B45" s="140" t="str">
        <f t="shared" si="71"/>
        <v>ТЦ</v>
      </c>
      <c r="C45" s="200"/>
      <c r="D45" s="131" t="s">
        <v>19</v>
      </c>
      <c r="E45" s="141">
        <f t="shared" si="13"/>
        <v>0</v>
      </c>
      <c r="F45" s="202"/>
      <c r="G45" s="202">
        <f>G30*'DB2'!$N$12+SUM($F30:F30)-SUM($F45:F45)</f>
        <v>0</v>
      </c>
      <c r="H45" s="202">
        <f>H30*'DB2'!$N$12+SUM($F30:G30)-SUM($F45:G45)</f>
        <v>0</v>
      </c>
      <c r="I45" s="202">
        <f>I30*'DB2'!$N$12+SUM($F30:H30)-SUM($F45:H45)</f>
        <v>0</v>
      </c>
      <c r="J45" s="202">
        <f>J30*'DB2'!$N$12+SUM($F30:I30)-SUM($F45:I45)</f>
        <v>0</v>
      </c>
      <c r="K45" s="202">
        <f>K30*'DB2'!$N$12+SUM($F30:J30)-SUM($F45:J45)</f>
        <v>0</v>
      </c>
      <c r="L45" s="202">
        <f>L30*'DB2'!$N$12+SUM($F30:K30)-SUM($F45:K45)</f>
        <v>0</v>
      </c>
      <c r="M45" s="202">
        <f>M30*'DB2'!$N$12+SUM($F30:L30)-SUM($F45:L45)</f>
        <v>0</v>
      </c>
      <c r="N45" s="142">
        <f>N30*'DB2'!$N$12+SUM($F30:M30)-SUM($F45:M45)</f>
        <v>0</v>
      </c>
      <c r="O45" s="142">
        <f>O30*'DB2'!$N$12+SUM($F30:N30)-SUM($F45:N45)</f>
        <v>0</v>
      </c>
      <c r="P45" s="142">
        <f>P30*'DB2'!$N$12+SUM($F30:O30)-SUM($F45:O45)</f>
        <v>0</v>
      </c>
      <c r="Q45" s="142">
        <f>Q30*'DB2'!$N$12+SUM($F30:P30)-SUM($F45:P45)</f>
        <v>0</v>
      </c>
      <c r="R45" s="142">
        <f>R30*'DB2'!$N$12+SUM($F30:Q30)-SUM($F45:Q45)</f>
        <v>0</v>
      </c>
      <c r="S45" s="142">
        <f>S30*'DB2'!$N$12+SUM($F30:R30)-SUM($F45:R45)</f>
        <v>0</v>
      </c>
      <c r="T45" s="142">
        <f>T30*'DB2'!$N$12+SUM($F30:S30)-SUM($F45:S45)</f>
        <v>0</v>
      </c>
      <c r="U45" s="142">
        <f>U30*'DB2'!$N$12+SUM($F30:T30)-SUM($F45:T45)</f>
        <v>0</v>
      </c>
      <c r="V45" s="142">
        <f>V30*'DB2'!$N$12+SUM($F30:U30)-SUM($F45:U45)</f>
        <v>0</v>
      </c>
      <c r="W45" s="142">
        <f>W30*'DB2'!$N$12+SUM($F30:V30)-SUM($F45:V45)</f>
        <v>0</v>
      </c>
      <c r="X45" s="142">
        <f>X30*'DB2'!$N$12+SUM($F30:W30)-SUM($F45:W45)</f>
        <v>0</v>
      </c>
      <c r="Y45" s="142">
        <f>Y30*'DB2'!$N$12+SUM($F30:X30)-SUM($F45:X45)</f>
        <v>0</v>
      </c>
      <c r="Z45" s="142">
        <f>Z30*'DB2'!$N$12+SUM($F30:Y30)-SUM($F45:Y45)</f>
        <v>0</v>
      </c>
      <c r="AA45" s="142">
        <f>AA30*'DB2'!$N$12+SUM($F30:Z30)-SUM($F45:Z45)</f>
        <v>0</v>
      </c>
      <c r="AB45" s="142">
        <f>AB30*'DB2'!$N$12+SUM($F30:AA30)-SUM($F45:AA45)</f>
        <v>0</v>
      </c>
      <c r="AC45" s="142">
        <f>AC30*'DB2'!$N$12+SUM($F30:AB30)-SUM($F45:AB45)</f>
        <v>0</v>
      </c>
      <c r="AD45" s="142">
        <f>AD30*'DB2'!$N$12+SUM($F30:AC30)-SUM($F45:AC45)</f>
        <v>0</v>
      </c>
      <c r="AE45" s="142">
        <f>AE30*'DB2'!$N$12+SUM($F30:AD30)-SUM($F45:AD45)</f>
        <v>0</v>
      </c>
      <c r="AF45" s="142">
        <f>AF30*'DB2'!$N$12+SUM($F30:AE30)-SUM($F45:AE45)</f>
        <v>0</v>
      </c>
      <c r="AG45" s="142">
        <f>AG30*'DB2'!$N$12+SUM($F30:AF30)-SUM($F45:AF45)</f>
        <v>0</v>
      </c>
      <c r="AH45" s="142">
        <f>AH30*'DB2'!$N$12+SUM($F30:AG30)-SUM($F45:AG45)</f>
        <v>0</v>
      </c>
      <c r="AI45" s="142">
        <f>AI30*'DB2'!$N$12+SUM($F30:AH30)-SUM($F45:AH45)</f>
        <v>0</v>
      </c>
      <c r="AJ45" s="142">
        <f>AJ30*'DB2'!$N$12+SUM($F30:AI30)-SUM($F45:AI45)</f>
        <v>0</v>
      </c>
      <c r="AK45" s="142">
        <f>AK30*'DB2'!$N$12+SUM($F30:AJ30)-SUM($F45:AJ45)</f>
        <v>0</v>
      </c>
      <c r="AL45" s="142">
        <f>AL30*'DB2'!$N$12+SUM($F30:AK30)-SUM($F45:AK45)</f>
        <v>0</v>
      </c>
      <c r="AM45" s="142">
        <f>AM30*'DB2'!$N$12+SUM($F30:AL30)-SUM($F45:AL45)</f>
        <v>0</v>
      </c>
      <c r="AN45" s="142">
        <f>AN30*'DB2'!$N$12+SUM($F30:AM30)-SUM($F45:AM45)</f>
        <v>0</v>
      </c>
      <c r="AO45" s="142">
        <f>AO30*'DB2'!$N$12+SUM($F30:AN30)-SUM($F45:AN45)</f>
        <v>0</v>
      </c>
      <c r="AP45" s="142">
        <f>AP30*'DB2'!$N$12+SUM($F30:AO30)-SUM($F45:AO45)</f>
        <v>0</v>
      </c>
      <c r="AQ45" s="142">
        <f>AQ30*'DB2'!$N$12+SUM($F30:AP30)-SUM($F45:AP45)</f>
        <v>0</v>
      </c>
      <c r="AR45" s="142">
        <f>AR30*'DB2'!$N$12+SUM($F30:AQ30)-SUM($F45:AQ45)</f>
        <v>0</v>
      </c>
      <c r="AS45" s="142">
        <f>AS30*'DB2'!$N$12+SUM($F30:AR30)-SUM($F45:AR45)</f>
        <v>0</v>
      </c>
      <c r="AT45" s="142">
        <f>AT30*'DB2'!$N$12+SUM($F30:AS30)-SUM($F45:AS45)</f>
        <v>0</v>
      </c>
      <c r="AU45" s="142">
        <f>AU30*'DB2'!$N$12+SUM($F30:AT30)-SUM($F45:AT45)</f>
        <v>0</v>
      </c>
      <c r="AV45" s="142">
        <f>AV30*'DB2'!$N$12+SUM($F30:AU30)-SUM($F45:AU45)</f>
        <v>0</v>
      </c>
      <c r="AW45" s="142">
        <f>AW30*'DB2'!$N$12+SUM($F30:AV30)-SUM($F45:AV45)</f>
        <v>0</v>
      </c>
      <c r="AX45" s="142">
        <f>AX30*'DB2'!$N$12+SUM($F30:AW30)-SUM($F45:AW45)</f>
        <v>0</v>
      </c>
      <c r="AY45" s="142">
        <f>AY30*'DB2'!$N$12+SUM($F30:AX30)-SUM($F45:AX45)</f>
        <v>0</v>
      </c>
      <c r="AZ45" s="142">
        <f>AZ30*'DB2'!$N$12+SUM($F30:AY30)-SUM($F45:AY45)</f>
        <v>0</v>
      </c>
      <c r="BA45" s="142">
        <f>BA30*'DB2'!$N$12+SUM($F30:AZ30)-SUM($F45:AZ45)</f>
        <v>0</v>
      </c>
      <c r="BB45" s="142">
        <f>BB30*'DB2'!$N$12+SUM($F30:BA30)-SUM($F45:BA45)</f>
        <v>0</v>
      </c>
      <c r="BC45" s="142">
        <f>BC30*'DB2'!$N$12+SUM($F30:BB30)-SUM($F45:BB45)</f>
        <v>0</v>
      </c>
      <c r="BD45" s="142">
        <f>BD30*'DB2'!$N$12+SUM($F30:BC30)-SUM($F45:BC45)</f>
        <v>0</v>
      </c>
      <c r="BE45" s="142">
        <f>BE30*'DB2'!$N$12+SUM($F30:BD30)-SUM($F45:BD45)</f>
        <v>0</v>
      </c>
      <c r="BF45" s="142">
        <f>BF30*'DB2'!$N$12+SUM($F30:BE30)-SUM($F45:BE45)</f>
        <v>0</v>
      </c>
      <c r="BG45" s="142">
        <f>BG30*'DB2'!$N$12+SUM($F30:BF30)-SUM($F45:BF45)</f>
        <v>0</v>
      </c>
      <c r="BH45" s="142">
        <f>BH30*'DB2'!$N$12+SUM($F30:BG30)-SUM($F45:BG45)</f>
        <v>0</v>
      </c>
      <c r="BI45" s="142">
        <f>BI30*'DB2'!$N$12+SUM($F30:BH30)-SUM($F45:BH45)</f>
        <v>0</v>
      </c>
      <c r="BJ45" s="142">
        <f>BJ30*'DB2'!$N$12+SUM($F30:BI30)-SUM($F45:BI45)</f>
        <v>0</v>
      </c>
      <c r="BK45" s="142">
        <f>BK30*'DB2'!$N$12+SUM($F30:BJ30)-SUM($F45:BJ45)</f>
        <v>0</v>
      </c>
      <c r="BL45" s="142">
        <f>BL30*'DB2'!$N$12+SUM($F30:BK30)-SUM($F45:BK45)</f>
        <v>0</v>
      </c>
      <c r="BM45" s="142">
        <f>BM30*'DB2'!$N$12+SUM($F30:BL30)-SUM($F45:BL45)</f>
        <v>0</v>
      </c>
    </row>
    <row r="46" spans="1:65">
      <c r="B46" s="140" t="str">
        <f t="shared" si="71"/>
        <v>ПАРКИНГ ЖИЛЬЕ</v>
      </c>
      <c r="C46" s="200"/>
      <c r="D46" s="131" t="s">
        <v>19</v>
      </c>
      <c r="E46" s="141">
        <f t="shared" si="13"/>
        <v>2308.5</v>
      </c>
      <c r="F46" s="202">
        <f>DETAILS!K19/1000000</f>
        <v>0</v>
      </c>
      <c r="G46" s="202">
        <f>DETAILS!L19/1000000</f>
        <v>0</v>
      </c>
      <c r="H46" s="202">
        <f>DETAILS!M19/1000000</f>
        <v>0</v>
      </c>
      <c r="I46" s="202">
        <f>DETAILS!N19/1000000</f>
        <v>0</v>
      </c>
      <c r="J46" s="202">
        <f>DETAILS!O19/1000000</f>
        <v>0</v>
      </c>
      <c r="K46" s="202">
        <f>DETAILS!P19/1000000</f>
        <v>0</v>
      </c>
      <c r="L46" s="202">
        <f>DETAILS!Q19/1000000</f>
        <v>0</v>
      </c>
      <c r="M46" s="202">
        <f>DETAILS!R19/1000000</f>
        <v>0</v>
      </c>
      <c r="N46" s="142">
        <f>DETAILS!S19/1000000</f>
        <v>0</v>
      </c>
      <c r="O46" s="142">
        <f>DETAILS!T19/1000000</f>
        <v>0</v>
      </c>
      <c r="P46" s="142">
        <f>DETAILS!U19/1000000</f>
        <v>0</v>
      </c>
      <c r="Q46" s="142">
        <f>DETAILS!V19/1000000</f>
        <v>0</v>
      </c>
      <c r="R46" s="142">
        <f>DETAILS!W19/1000000</f>
        <v>0</v>
      </c>
      <c r="S46" s="142">
        <f>DETAILS!X19/1000000</f>
        <v>0</v>
      </c>
      <c r="T46" s="142">
        <f>DETAILS!Y19/1000000</f>
        <v>0</v>
      </c>
      <c r="U46" s="142">
        <f>DETAILS!Z19/1000000</f>
        <v>0</v>
      </c>
      <c r="V46" s="142">
        <f>DETAILS!AA19/1000000</f>
        <v>0</v>
      </c>
      <c r="W46" s="142">
        <f>DETAILS!AB19/1000000</f>
        <v>0</v>
      </c>
      <c r="X46" s="142">
        <f>DETAILS!AC19/1000000</f>
        <v>94.5</v>
      </c>
      <c r="Y46" s="142">
        <f>DETAILS!AD19/1000000</f>
        <v>135</v>
      </c>
      <c r="Z46" s="142">
        <f>DETAILS!AE19/1000000</f>
        <v>135</v>
      </c>
      <c r="AA46" s="142">
        <f>DETAILS!AF19/1000000</f>
        <v>135</v>
      </c>
      <c r="AB46" s="142">
        <f>DETAILS!AG19/1000000</f>
        <v>135</v>
      </c>
      <c r="AC46" s="142">
        <f>DETAILS!AH19/1000000</f>
        <v>135</v>
      </c>
      <c r="AD46" s="142">
        <f>DETAILS!AI19/1000000</f>
        <v>135</v>
      </c>
      <c r="AE46" s="142">
        <f>DETAILS!AJ19/1000000</f>
        <v>135</v>
      </c>
      <c r="AF46" s="142">
        <f>DETAILS!AK19/1000000</f>
        <v>135</v>
      </c>
      <c r="AG46" s="142">
        <f>DETAILS!AL19/1000000</f>
        <v>135</v>
      </c>
      <c r="AH46" s="142">
        <f>DETAILS!AM19/1000000</f>
        <v>135</v>
      </c>
      <c r="AI46" s="142">
        <f>DETAILS!AN19/1000000</f>
        <v>135</v>
      </c>
      <c r="AJ46" s="142">
        <f>DETAILS!AO19/1000000</f>
        <v>135</v>
      </c>
      <c r="AK46" s="142">
        <f>DETAILS!AP19/1000000</f>
        <v>135</v>
      </c>
      <c r="AL46" s="142">
        <f>DETAILS!AQ19/1000000</f>
        <v>135</v>
      </c>
      <c r="AM46" s="142">
        <f>DETAILS!AR19/1000000</f>
        <v>135</v>
      </c>
      <c r="AN46" s="142">
        <f>DETAILS!AS19/1000000</f>
        <v>144.44999999999982</v>
      </c>
      <c r="AO46" s="142">
        <f>DETAILS!AT19/1000000</f>
        <v>44.550000000000182</v>
      </c>
      <c r="AP46" s="142">
        <f>DETAILS!AU19/1000000</f>
        <v>0</v>
      </c>
      <c r="AQ46" s="142">
        <f>DETAILS!AV19/1000000</f>
        <v>0</v>
      </c>
      <c r="AR46" s="142">
        <f>DETAILS!AW19/1000000</f>
        <v>0</v>
      </c>
      <c r="AS46" s="142">
        <f>DETAILS!AX19/1000000</f>
        <v>0</v>
      </c>
      <c r="AT46" s="142">
        <f>DETAILS!AY19/1000000</f>
        <v>0</v>
      </c>
      <c r="AU46" s="142">
        <f>DETAILS!AZ19/1000000</f>
        <v>0</v>
      </c>
      <c r="AV46" s="142">
        <f>DETAILS!BA19/1000000</f>
        <v>0</v>
      </c>
      <c r="AW46" s="142">
        <f>DETAILS!BB19/1000000</f>
        <v>0</v>
      </c>
      <c r="AX46" s="142">
        <f>DETAILS!BC19/1000000</f>
        <v>0</v>
      </c>
      <c r="AY46" s="142">
        <f>DETAILS!BD19/1000000</f>
        <v>0</v>
      </c>
      <c r="AZ46" s="142">
        <f>DETAILS!BE19/1000000</f>
        <v>0</v>
      </c>
      <c r="BA46" s="142">
        <f>DETAILS!BF19/1000000</f>
        <v>0</v>
      </c>
      <c r="BB46" s="142">
        <f>DETAILS!BG19/1000000</f>
        <v>0</v>
      </c>
      <c r="BC46" s="142">
        <f>DETAILS!BH19/1000000</f>
        <v>0</v>
      </c>
      <c r="BD46" s="142">
        <f>DETAILS!BI19/1000000</f>
        <v>0</v>
      </c>
      <c r="BE46" s="142">
        <f>DETAILS!BJ19/1000000</f>
        <v>0</v>
      </c>
      <c r="BF46" s="142">
        <f>DETAILS!BK19/1000000</f>
        <v>0</v>
      </c>
      <c r="BG46" s="142">
        <f>DETAILS!BL19/1000000</f>
        <v>0</v>
      </c>
      <c r="BH46" s="142">
        <f>DETAILS!BM19/1000000</f>
        <v>0</v>
      </c>
      <c r="BI46" s="142">
        <f>DETAILS!BN19/1000000</f>
        <v>0</v>
      </c>
      <c r="BJ46" s="142">
        <f>DETAILS!BO19/1000000</f>
        <v>0</v>
      </c>
      <c r="BK46" s="142">
        <f>DETAILS!BP19/1000000</f>
        <v>0</v>
      </c>
      <c r="BL46" s="142">
        <f>DETAILS!BQ19/1000000</f>
        <v>0</v>
      </c>
      <c r="BM46" s="142">
        <f>DETAILS!BR19/1000000</f>
        <v>0</v>
      </c>
    </row>
    <row r="47" spans="1:65" hidden="1">
      <c r="B47" s="140" t="str">
        <f t="shared" si="71"/>
        <v>ПАРКИНГ ОФИС</v>
      </c>
      <c r="C47" s="197"/>
      <c r="D47" s="131" t="s">
        <v>19</v>
      </c>
      <c r="E47" s="141">
        <f t="shared" si="13"/>
        <v>0</v>
      </c>
      <c r="F47" s="142"/>
      <c r="G47" s="142">
        <f>G32*'DB2'!$N$17+SUM($F32:F32)-SUM($F47:F47)</f>
        <v>0</v>
      </c>
      <c r="H47" s="142">
        <f>H32*'DB2'!$N$17+SUM($F32:G32)-SUM($F47:G47)</f>
        <v>0</v>
      </c>
      <c r="I47" s="142">
        <f>I32*'DB2'!$N$17+SUM($F32:H32)-SUM($F47:H47)</f>
        <v>0</v>
      </c>
      <c r="J47" s="142">
        <f>J32*'DB2'!$N$17+SUM($F32:I32)-SUM($F47:I47)</f>
        <v>0</v>
      </c>
      <c r="K47" s="142">
        <f>K32*'DB2'!$N$17+SUM($F32:J32)-SUM($F47:J47)</f>
        <v>0</v>
      </c>
      <c r="L47" s="142">
        <f>L32*'DB2'!$N$17+SUM($F32:K32)-SUM($F47:K47)</f>
        <v>0</v>
      </c>
      <c r="M47" s="142">
        <f>M32*'DB2'!$N$17+SUM($F32:L32)-SUM($F47:L47)</f>
        <v>0</v>
      </c>
      <c r="N47" s="142">
        <f>N32*'DB2'!$N$17+SUM($F32:M32)-SUM($F47:M47)</f>
        <v>0</v>
      </c>
      <c r="O47" s="142">
        <f>O32*'DB2'!$N$17+SUM($F32:N32)-SUM($F47:N47)</f>
        <v>0</v>
      </c>
      <c r="P47" s="142">
        <f>P32*'DB2'!$N$17+SUM($F32:O32)-SUM($F47:O47)</f>
        <v>0</v>
      </c>
      <c r="Q47" s="142">
        <f>Q32*'DB2'!$N$17+SUM($F32:P32)-SUM($F47:P47)</f>
        <v>0</v>
      </c>
      <c r="R47" s="142">
        <f>R32*'DB2'!$N$17+SUM($F32:Q32)-SUM($F47:Q47)</f>
        <v>0</v>
      </c>
      <c r="S47" s="142">
        <f>S32*'DB2'!$N$17+SUM($F32:R32)-SUM($F47:R47)</f>
        <v>0</v>
      </c>
      <c r="T47" s="142">
        <f>T32*'DB2'!$N$17+SUM($F32:S32)-SUM($F47:S47)</f>
        <v>0</v>
      </c>
      <c r="U47" s="142">
        <f>U32*'DB2'!$N$17+SUM($F32:T32)-SUM($F47:T47)</f>
        <v>0</v>
      </c>
      <c r="V47" s="142">
        <f>V32*'DB2'!$N$17+SUM($F32:U32)-SUM($F47:U47)</f>
        <v>0</v>
      </c>
      <c r="W47" s="142">
        <f>W32*'DB2'!$N$17+SUM($F32:V32)-SUM($F47:V47)</f>
        <v>0</v>
      </c>
      <c r="X47" s="142">
        <f>X32*'DB2'!$N$17+SUM($F32:W32)-SUM($F47:W47)</f>
        <v>0</v>
      </c>
      <c r="Y47" s="142">
        <f>Y32*'DB2'!$N$17+SUM($F32:X32)-SUM($F47:X47)</f>
        <v>0</v>
      </c>
      <c r="Z47" s="142">
        <f>Z32*'DB2'!$N$17+SUM($F32:Y32)-SUM($F47:Y47)</f>
        <v>0</v>
      </c>
      <c r="AA47" s="142">
        <f>AA32*'DB2'!$N$17+SUM($F32:Z32)-SUM($F47:Z47)</f>
        <v>0</v>
      </c>
      <c r="AB47" s="142">
        <f>AB32*'DB2'!$N$17+SUM($F32:AA32)-SUM($F47:AA47)</f>
        <v>0</v>
      </c>
      <c r="AC47" s="142">
        <f>AC32*'DB2'!$N$17+SUM($F32:AB32)-SUM($F47:AB47)</f>
        <v>0</v>
      </c>
      <c r="AD47" s="142">
        <f>AD32*'DB2'!$N$17+SUM($F32:AC32)-SUM($F47:AC47)</f>
        <v>0</v>
      </c>
      <c r="AE47" s="142">
        <f>AE32*'DB2'!$N$17+SUM($F32:AD32)-SUM($F47:AD47)</f>
        <v>0</v>
      </c>
      <c r="AF47" s="142">
        <f>AF32*'DB2'!$N$17+SUM($F32:AE32)-SUM($F47:AE47)</f>
        <v>0</v>
      </c>
      <c r="AG47" s="142">
        <f>AG32*'DB2'!$N$17+SUM($F32:AF32)-SUM($F47:AF47)</f>
        <v>0</v>
      </c>
      <c r="AH47" s="142">
        <f>AH32*'DB2'!$N$17+SUM($F32:AG32)-SUM($F47:AG47)</f>
        <v>0</v>
      </c>
      <c r="AI47" s="142">
        <f>AI32*'DB2'!$N$17+SUM($F32:AH32)-SUM($F47:AH47)</f>
        <v>0</v>
      </c>
      <c r="AJ47" s="142">
        <f>AJ32*'DB2'!$N$17+SUM($F32:AI32)-SUM($F47:AI47)</f>
        <v>0</v>
      </c>
      <c r="AK47" s="142">
        <f>AK32*'DB2'!$N$17+SUM($F32:AJ32)-SUM($F47:AJ47)</f>
        <v>0</v>
      </c>
      <c r="AL47" s="142">
        <f>AL32*'DB2'!$N$17+SUM($F32:AK32)-SUM($F47:AK47)</f>
        <v>0</v>
      </c>
      <c r="AM47" s="142">
        <f>AM32*'DB2'!$N$17+SUM($F32:AL32)-SUM($F47:AL47)</f>
        <v>0</v>
      </c>
      <c r="AN47" s="142">
        <f>AN32*'DB2'!$N$17+SUM($F32:AM32)-SUM($F47:AM47)</f>
        <v>0</v>
      </c>
      <c r="AO47" s="142">
        <f>AO32*'DB2'!$N$17+SUM($F32:AN32)-SUM($F47:AN47)</f>
        <v>0</v>
      </c>
      <c r="AP47" s="142">
        <f>AP32*'DB2'!$N$17+SUM($F32:AO32)-SUM($F47:AO47)</f>
        <v>0</v>
      </c>
      <c r="AQ47" s="142">
        <f>AQ32*'DB2'!$N$17+SUM($F32:AP32)-SUM($F47:AP47)</f>
        <v>0</v>
      </c>
      <c r="AR47" s="142">
        <f>AR32*'DB2'!$N$17+SUM($F32:AQ32)-SUM($F47:AQ47)</f>
        <v>0</v>
      </c>
      <c r="AS47" s="142">
        <f>AS32*'DB2'!$N$17+SUM($F32:AR32)-SUM($F47:AR47)</f>
        <v>0</v>
      </c>
      <c r="AT47" s="142">
        <f>AT32*'DB2'!$N$17+SUM($F32:AS32)-SUM($F47:AS47)</f>
        <v>0</v>
      </c>
      <c r="AU47" s="142">
        <f>AU32*'DB2'!$N$17+SUM($F32:AT32)-SUM($F47:AT47)</f>
        <v>0</v>
      </c>
      <c r="AV47" s="142">
        <f>AV32*'DB2'!$N$17+SUM($F32:AU32)-SUM($F47:AU47)</f>
        <v>0</v>
      </c>
      <c r="AW47" s="142">
        <f>AW32*'DB2'!$N$17+SUM($F32:AV32)-SUM($F47:AV47)</f>
        <v>0</v>
      </c>
      <c r="AX47" s="142">
        <f>AX32*'DB2'!$N$17+SUM($F32:AW32)-SUM($F47:AW47)</f>
        <v>0</v>
      </c>
      <c r="AY47" s="142">
        <f>AY32*'DB2'!$N$17+SUM($F32:AX32)-SUM($F47:AX47)</f>
        <v>0</v>
      </c>
      <c r="AZ47" s="142">
        <f>AZ32*'DB2'!$N$17+SUM($F32:AY32)-SUM($F47:AY47)</f>
        <v>0</v>
      </c>
      <c r="BA47" s="142">
        <f>BA32*'DB2'!$N$17+SUM($F32:AZ32)-SUM($F47:AZ47)</f>
        <v>0</v>
      </c>
      <c r="BB47" s="142">
        <f>BB32*'DB2'!$N$17+SUM($F32:BA32)-SUM($F47:BA47)</f>
        <v>0</v>
      </c>
      <c r="BC47" s="142">
        <f>BC32*'DB2'!$N$17+SUM($F32:BB32)-SUM($F47:BB47)</f>
        <v>0</v>
      </c>
      <c r="BD47" s="142">
        <f>BD32*'DB2'!$N$17+SUM($F32:BC32)-SUM($F47:BC47)</f>
        <v>0</v>
      </c>
      <c r="BE47" s="142">
        <f>BE32*'DB2'!$N$17+SUM($F32:BD32)-SUM($F47:BD47)</f>
        <v>0</v>
      </c>
      <c r="BF47" s="142">
        <f>BF32*'DB2'!$N$17+SUM($F32:BE32)-SUM($F47:BE47)</f>
        <v>0</v>
      </c>
      <c r="BG47" s="142">
        <f>BG32*'DB2'!$N$17+SUM($F32:BF32)-SUM($F47:BF47)</f>
        <v>0</v>
      </c>
      <c r="BH47" s="142">
        <f>BH32*'DB2'!$N$17+SUM($F32:BG32)-SUM($F47:BG47)</f>
        <v>0</v>
      </c>
      <c r="BI47" s="142">
        <f>BI32*'DB2'!$N$17+SUM($F32:BH32)-SUM($F47:BH47)</f>
        <v>0</v>
      </c>
      <c r="BJ47" s="142">
        <f>BJ32*'DB2'!$N$17+SUM($F32:BI32)-SUM($F47:BI47)</f>
        <v>0</v>
      </c>
      <c r="BK47" s="142">
        <f>BK32*'DB2'!$N$17+SUM($F32:BJ32)-SUM($F47:BJ47)</f>
        <v>0</v>
      </c>
      <c r="BL47" s="142">
        <f>BL32*'DB2'!$N$17+SUM($F32:BK32)-SUM($F47:BK47)</f>
        <v>0</v>
      </c>
      <c r="BM47" s="142">
        <f>BM32*'DB2'!$N$17+SUM($F32:BL32)-SUM($F47:BL47)</f>
        <v>0</v>
      </c>
    </row>
    <row r="48" spans="1:65">
      <c r="E48" s="138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39"/>
      <c r="BF48" s="139"/>
      <c r="BG48" s="139"/>
      <c r="BH48" s="139"/>
      <c r="BI48" s="139"/>
      <c r="BJ48" s="139"/>
      <c r="BK48" s="139"/>
      <c r="BL48" s="139"/>
      <c r="BM48" s="139"/>
    </row>
    <row r="49" spans="1:65">
      <c r="E49" s="138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</row>
    <row r="50" spans="1:65">
      <c r="A50" s="149"/>
      <c r="B50" s="177" t="s">
        <v>30</v>
      </c>
      <c r="C50" s="177"/>
      <c r="D50" s="178" t="s">
        <v>19</v>
      </c>
      <c r="E50" s="179">
        <f>SUM(F50:BM50)</f>
        <v>-2760.3490754946247</v>
      </c>
      <c r="F50" s="180">
        <f>SUM(F53:F56)</f>
        <v>0</v>
      </c>
      <c r="G50" s="180">
        <f t="shared" ref="G50:BM50" si="72">SUM(G51:G56)</f>
        <v>0</v>
      </c>
      <c r="H50" s="180">
        <f t="shared" si="72"/>
        <v>0</v>
      </c>
      <c r="I50" s="180">
        <f t="shared" si="72"/>
        <v>0</v>
      </c>
      <c r="J50" s="180">
        <f t="shared" si="72"/>
        <v>0</v>
      </c>
      <c r="K50" s="180">
        <f t="shared" si="72"/>
        <v>0</v>
      </c>
      <c r="L50" s="180">
        <f t="shared" si="72"/>
        <v>0</v>
      </c>
      <c r="M50" s="180">
        <f t="shared" si="72"/>
        <v>0</v>
      </c>
      <c r="N50" s="180">
        <f t="shared" si="72"/>
        <v>-3</v>
      </c>
      <c r="O50" s="180">
        <f t="shared" si="72"/>
        <v>-3</v>
      </c>
      <c r="P50" s="180">
        <f t="shared" si="72"/>
        <v>-3</v>
      </c>
      <c r="Q50" s="180">
        <f t="shared" si="72"/>
        <v>-3</v>
      </c>
      <c r="R50" s="180">
        <f t="shared" si="72"/>
        <v>-3</v>
      </c>
      <c r="S50" s="180">
        <f t="shared" si="72"/>
        <v>-3</v>
      </c>
      <c r="T50" s="180">
        <f t="shared" si="72"/>
        <v>-3</v>
      </c>
      <c r="U50" s="180">
        <f t="shared" si="72"/>
        <v>-3</v>
      </c>
      <c r="V50" s="180">
        <f t="shared" si="72"/>
        <v>-3</v>
      </c>
      <c r="W50" s="180">
        <f t="shared" si="72"/>
        <v>-3</v>
      </c>
      <c r="X50" s="180">
        <f t="shared" si="72"/>
        <v>-69.39305459813545</v>
      </c>
      <c r="Y50" s="180">
        <f t="shared" si="72"/>
        <v>-122.47662550722636</v>
      </c>
      <c r="Z50" s="180">
        <f t="shared" si="72"/>
        <v>-131.54451802523693</v>
      </c>
      <c r="AA50" s="180">
        <f t="shared" si="72"/>
        <v>-134.49656494846204</v>
      </c>
      <c r="AB50" s="180">
        <f t="shared" si="72"/>
        <v>-137.69502737820517</v>
      </c>
      <c r="AC50" s="180">
        <f t="shared" si="72"/>
        <v>-141.2103097449002</v>
      </c>
      <c r="AD50" s="180">
        <f t="shared" si="72"/>
        <v>-149.48451329890756</v>
      </c>
      <c r="AE50" s="180">
        <f t="shared" si="72"/>
        <v>-153.06755124282236</v>
      </c>
      <c r="AF50" s="180">
        <f t="shared" si="72"/>
        <v>-157.24198640238058</v>
      </c>
      <c r="AG50" s="180">
        <f t="shared" si="72"/>
        <v>-162.40208358801115</v>
      </c>
      <c r="AH50" s="180">
        <f t="shared" si="72"/>
        <v>-175.21075077195994</v>
      </c>
      <c r="AI50" s="180">
        <f t="shared" si="72"/>
        <v>-193.27772035212445</v>
      </c>
      <c r="AJ50" s="180">
        <f t="shared" si="72"/>
        <v>-167.14041377812447</v>
      </c>
      <c r="AK50" s="180">
        <f t="shared" si="72"/>
        <v>-172.56864552268129</v>
      </c>
      <c r="AL50" s="180">
        <f t="shared" si="72"/>
        <v>-202.55066281318128</v>
      </c>
      <c r="AM50" s="180">
        <f t="shared" si="72"/>
        <v>-202.16725403818126</v>
      </c>
      <c r="AN50" s="180">
        <f t="shared" si="72"/>
        <v>-164.61376537120015</v>
      </c>
      <c r="AO50" s="180">
        <f t="shared" si="72"/>
        <v>-91.936528112883764</v>
      </c>
      <c r="AP50" s="180">
        <f t="shared" si="72"/>
        <v>-1.8711000000000075</v>
      </c>
      <c r="AQ50" s="180">
        <f t="shared" si="72"/>
        <v>0</v>
      </c>
      <c r="AR50" s="180">
        <f t="shared" si="72"/>
        <v>0</v>
      </c>
      <c r="AS50" s="180">
        <f t="shared" si="72"/>
        <v>0</v>
      </c>
      <c r="AT50" s="180">
        <f t="shared" si="72"/>
        <v>0</v>
      </c>
      <c r="AU50" s="180">
        <f t="shared" si="72"/>
        <v>0</v>
      </c>
      <c r="AV50" s="180">
        <f t="shared" si="72"/>
        <v>0</v>
      </c>
      <c r="AW50" s="180">
        <f t="shared" si="72"/>
        <v>0</v>
      </c>
      <c r="AX50" s="180">
        <f t="shared" si="72"/>
        <v>0</v>
      </c>
      <c r="AY50" s="180">
        <f t="shared" si="72"/>
        <v>0</v>
      </c>
      <c r="AZ50" s="180">
        <f t="shared" si="72"/>
        <v>0</v>
      </c>
      <c r="BA50" s="180">
        <f t="shared" si="72"/>
        <v>0</v>
      </c>
      <c r="BB50" s="180">
        <f t="shared" si="72"/>
        <v>0</v>
      </c>
      <c r="BC50" s="180">
        <f t="shared" si="72"/>
        <v>0</v>
      </c>
      <c r="BD50" s="180">
        <f t="shared" si="72"/>
        <v>0</v>
      </c>
      <c r="BE50" s="180">
        <f t="shared" si="72"/>
        <v>0</v>
      </c>
      <c r="BF50" s="180">
        <f t="shared" si="72"/>
        <v>0</v>
      </c>
      <c r="BG50" s="180">
        <f t="shared" si="72"/>
        <v>0</v>
      </c>
      <c r="BH50" s="180">
        <f t="shared" si="72"/>
        <v>0</v>
      </c>
      <c r="BI50" s="180">
        <f t="shared" si="72"/>
        <v>0</v>
      </c>
      <c r="BJ50" s="180">
        <f t="shared" si="72"/>
        <v>0</v>
      </c>
      <c r="BK50" s="180">
        <f t="shared" si="72"/>
        <v>0</v>
      </c>
      <c r="BL50" s="180">
        <f t="shared" si="72"/>
        <v>0</v>
      </c>
      <c r="BM50" s="180">
        <f t="shared" si="72"/>
        <v>0</v>
      </c>
    </row>
    <row r="51" spans="1:65">
      <c r="A51" s="149"/>
      <c r="B51" s="140" t="s">
        <v>25</v>
      </c>
      <c r="C51" s="27"/>
      <c r="D51" s="131" t="s">
        <v>19</v>
      </c>
      <c r="E51" s="141">
        <f>SUM(G51:BM51)</f>
        <v>-1084.5140036400007</v>
      </c>
      <c r="F51" s="202">
        <f>DETAILS!K101/1000000</f>
        <v>0</v>
      </c>
      <c r="G51" s="202">
        <f>DETAILS!L101/1000000</f>
        <v>0</v>
      </c>
      <c r="H51" s="202">
        <f>DETAILS!M101/1000000</f>
        <v>0</v>
      </c>
      <c r="I51" s="202">
        <f>DETAILS!N101/1000000</f>
        <v>0</v>
      </c>
      <c r="J51" s="202">
        <f>DETAILS!O101/1000000</f>
        <v>0</v>
      </c>
      <c r="K51" s="202">
        <f>DETAILS!P101/1000000</f>
        <v>0</v>
      </c>
      <c r="L51" s="202">
        <f>DETAILS!Q101/1000000</f>
        <v>0</v>
      </c>
      <c r="M51" s="202">
        <f>DETAILS!R101/1000000</f>
        <v>0</v>
      </c>
      <c r="N51" s="142">
        <f>DETAILS!S101/1000000</f>
        <v>0</v>
      </c>
      <c r="O51" s="142">
        <f>DETAILS!T101/1000000</f>
        <v>0</v>
      </c>
      <c r="P51" s="142">
        <f>DETAILS!U101/1000000</f>
        <v>0</v>
      </c>
      <c r="Q51" s="142">
        <f>DETAILS!V101/1000000</f>
        <v>0</v>
      </c>
      <c r="R51" s="142">
        <f>DETAILS!W101/1000000</f>
        <v>0</v>
      </c>
      <c r="S51" s="142">
        <f>DETAILS!X101/1000000</f>
        <v>0</v>
      </c>
      <c r="T51" s="142">
        <f>DETAILS!Y101/1000000</f>
        <v>0</v>
      </c>
      <c r="U51" s="142">
        <f>DETAILS!Z101/1000000</f>
        <v>0</v>
      </c>
      <c r="V51" s="142">
        <f>DETAILS!AA101/1000000</f>
        <v>0</v>
      </c>
      <c r="W51" s="142">
        <f>DETAILS!AB101/1000000</f>
        <v>0</v>
      </c>
      <c r="X51" s="142">
        <f>DETAILS!AC101/1000000</f>
        <v>0</v>
      </c>
      <c r="Y51" s="142">
        <f>DETAILS!AD101/1000000</f>
        <v>-37.916836363636364</v>
      </c>
      <c r="Z51" s="142">
        <f>DETAILS!AE101/1000000</f>
        <v>-44.393902447929634</v>
      </c>
      <c r="AA51" s="142">
        <f>DETAILS!AF101/1000000</f>
        <v>-46.502507393090411</v>
      </c>
      <c r="AB51" s="142">
        <f>DETAILS!AG101/1000000</f>
        <v>-48.787123414335525</v>
      </c>
      <c r="AC51" s="142">
        <f>DETAILS!AH101/1000000</f>
        <v>-51.298039390546251</v>
      </c>
      <c r="AD51" s="142">
        <f>DETAILS!AI101/1000000</f>
        <v>-57.208184786265804</v>
      </c>
      <c r="AE51" s="142">
        <f>DETAILS!AJ101/1000000</f>
        <v>-59.767497603347799</v>
      </c>
      <c r="AF51" s="142">
        <f>DETAILS!AK101/1000000</f>
        <v>-62.749237003032228</v>
      </c>
      <c r="AG51" s="142">
        <f>DETAILS!AL101/1000000</f>
        <v>-66.435020707054079</v>
      </c>
      <c r="AH51" s="142">
        <f>DETAILS!AM101/1000000</f>
        <v>-75.584068695588925</v>
      </c>
      <c r="AI51" s="142">
        <f>DETAILS!AN101/1000000</f>
        <v>-76.79185548263365</v>
      </c>
      <c r="AJ51" s="142">
        <f>DETAILS!AO101/1000000</f>
        <v>-64.396654657492149</v>
      </c>
      <c r="AK51" s="142">
        <f>DETAILS!AP101/1000000</f>
        <v>-68.000099635747006</v>
      </c>
      <c r="AL51" s="142">
        <f>DETAILS!AQ101/1000000</f>
        <v>-94.838713885746998</v>
      </c>
      <c r="AM51" s="142">
        <f>DETAILS!AR101/1000000</f>
        <v>-94.838713885746998</v>
      </c>
      <c r="AN51" s="142">
        <f>DETAILS!AS101/1000000</f>
        <v>-68.000099635747006</v>
      </c>
      <c r="AO51" s="142">
        <f>DETAILS!AT101/1000000</f>
        <v>-65.668948652059825</v>
      </c>
      <c r="AP51" s="142">
        <f>DETAILS!AU101/1000000</f>
        <v>-1.3365000000000054</v>
      </c>
      <c r="AQ51" s="142">
        <f>DETAILS!AV101/1000000</f>
        <v>0</v>
      </c>
      <c r="AR51" s="142">
        <f>DETAILS!AW101/1000000</f>
        <v>0</v>
      </c>
      <c r="AS51" s="142">
        <f>DETAILS!AX101/1000000</f>
        <v>0</v>
      </c>
      <c r="AT51" s="142">
        <f>DETAILS!AY101/1000000</f>
        <v>0</v>
      </c>
      <c r="AU51" s="142">
        <f>DETAILS!AZ101/1000000</f>
        <v>0</v>
      </c>
      <c r="AV51" s="142">
        <f>DETAILS!BA101/1000000</f>
        <v>0</v>
      </c>
      <c r="AW51" s="142">
        <f>DETAILS!BB101/1000000</f>
        <v>0</v>
      </c>
      <c r="AX51" s="142">
        <f>DETAILS!BC101/1000000</f>
        <v>0</v>
      </c>
      <c r="AY51" s="142">
        <f>DETAILS!BD101/1000000</f>
        <v>0</v>
      </c>
      <c r="AZ51" s="142">
        <f>DETAILS!BE101/1000000</f>
        <v>0</v>
      </c>
      <c r="BA51" s="142">
        <f>DETAILS!BF101/1000000</f>
        <v>0</v>
      </c>
      <c r="BB51" s="142">
        <f>DETAILS!BG101/1000000</f>
        <v>0</v>
      </c>
      <c r="BC51" s="142">
        <f>DETAILS!BH101/1000000</f>
        <v>0</v>
      </c>
      <c r="BD51" s="142">
        <f>DETAILS!BI101/1000000</f>
        <v>0</v>
      </c>
      <c r="BE51" s="142">
        <f>DETAILS!BJ101/1000000</f>
        <v>0</v>
      </c>
      <c r="BF51" s="142">
        <f>DETAILS!BK101/1000000</f>
        <v>0</v>
      </c>
      <c r="BG51" s="142">
        <f>DETAILS!BL101/1000000</f>
        <v>0</v>
      </c>
      <c r="BH51" s="142">
        <f>DETAILS!BM101/1000000</f>
        <v>0</v>
      </c>
      <c r="BI51" s="142">
        <f>DETAILS!BN101/1000000</f>
        <v>0</v>
      </c>
      <c r="BJ51" s="142">
        <f>DETAILS!BO101/1000000</f>
        <v>0</v>
      </c>
      <c r="BK51" s="142">
        <f>DETAILS!BP101/1000000</f>
        <v>0</v>
      </c>
      <c r="BL51" s="142">
        <f>DETAILS!BQ101/1000000</f>
        <v>0</v>
      </c>
      <c r="BM51" s="142">
        <f>DETAILS!BR101/1000000</f>
        <v>0</v>
      </c>
    </row>
    <row r="52" spans="1:65">
      <c r="A52" s="149"/>
      <c r="B52" s="140" t="s">
        <v>40</v>
      </c>
      <c r="C52" s="27"/>
      <c r="D52" s="131" t="s">
        <v>19</v>
      </c>
      <c r="E52" s="141">
        <f>SUM(G52:BM52)</f>
        <v>-433.8056014560002</v>
      </c>
      <c r="F52" s="202">
        <f>DETAILS!K102/1000000</f>
        <v>0</v>
      </c>
      <c r="G52" s="202">
        <f>DETAILS!L102/1000000</f>
        <v>0</v>
      </c>
      <c r="H52" s="202">
        <f>DETAILS!M102/1000000</f>
        <v>0</v>
      </c>
      <c r="I52" s="202">
        <f>DETAILS!N102/1000000</f>
        <v>0</v>
      </c>
      <c r="J52" s="202">
        <f>DETAILS!O102/1000000</f>
        <v>0</v>
      </c>
      <c r="K52" s="202">
        <f>DETAILS!P102/1000000</f>
        <v>0</v>
      </c>
      <c r="L52" s="202">
        <f>DETAILS!Q102/1000000</f>
        <v>0</v>
      </c>
      <c r="M52" s="202">
        <f>DETAILS!R102/1000000</f>
        <v>0</v>
      </c>
      <c r="N52" s="142">
        <f>DETAILS!S102/1000000</f>
        <v>0</v>
      </c>
      <c r="O52" s="142">
        <f>DETAILS!T102/1000000</f>
        <v>0</v>
      </c>
      <c r="P52" s="142">
        <f>DETAILS!U102/1000000</f>
        <v>0</v>
      </c>
      <c r="Q52" s="142">
        <f>DETAILS!V102/1000000</f>
        <v>0</v>
      </c>
      <c r="R52" s="142">
        <f>DETAILS!W102/1000000</f>
        <v>0</v>
      </c>
      <c r="S52" s="142">
        <f>DETAILS!X102/1000000</f>
        <v>0</v>
      </c>
      <c r="T52" s="142">
        <f>DETAILS!Y102/1000000</f>
        <v>0</v>
      </c>
      <c r="U52" s="142">
        <f>DETAILS!Z102/1000000</f>
        <v>0</v>
      </c>
      <c r="V52" s="142">
        <f>DETAILS!AA102/1000000</f>
        <v>0</v>
      </c>
      <c r="W52" s="142">
        <f>DETAILS!AB102/1000000</f>
        <v>0</v>
      </c>
      <c r="X52" s="142">
        <f>DETAILS!AC102/1000000</f>
        <v>0</v>
      </c>
      <c r="Y52" s="142">
        <f>DETAILS!AD102/1000000</f>
        <v>-15.166734545454547</v>
      </c>
      <c r="Z52" s="142">
        <f>DETAILS!AE102/1000000</f>
        <v>-17.757560979171856</v>
      </c>
      <c r="AA52" s="142">
        <f>DETAILS!AF102/1000000</f>
        <v>-18.601002957236169</v>
      </c>
      <c r="AB52" s="142">
        <f>DETAILS!AG102/1000000</f>
        <v>-19.514849365734211</v>
      </c>
      <c r="AC52" s="142">
        <f>DETAILS!AH102/1000000</f>
        <v>-20.5192157562185</v>
      </c>
      <c r="AD52" s="142">
        <f>DETAILS!AI102/1000000</f>
        <v>-22.883273914506322</v>
      </c>
      <c r="AE52" s="142">
        <f>DETAILS!AJ102/1000000</f>
        <v>-23.906999041339123</v>
      </c>
      <c r="AF52" s="142">
        <f>DETAILS!AK102/1000000</f>
        <v>-25.099694801212891</v>
      </c>
      <c r="AG52" s="142">
        <f>DETAILS!AL102/1000000</f>
        <v>-26.574008282821634</v>
      </c>
      <c r="AH52" s="142">
        <f>DETAILS!AM102/1000000</f>
        <v>-30.233627478235572</v>
      </c>
      <c r="AI52" s="142">
        <f>DETAILS!AN102/1000000</f>
        <v>-30.716742193053467</v>
      </c>
      <c r="AJ52" s="142">
        <f>DETAILS!AO102/1000000</f>
        <v>-25.758661862996856</v>
      </c>
      <c r="AK52" s="142">
        <f>DETAILS!AP102/1000000</f>
        <v>-27.200039854298801</v>
      </c>
      <c r="AL52" s="142">
        <f>DETAILS!AQ102/1000000</f>
        <v>-37.935485554298801</v>
      </c>
      <c r="AM52" s="142">
        <f>DETAILS!AR102/1000000</f>
        <v>-37.935485554298801</v>
      </c>
      <c r="AN52" s="142">
        <f>DETAILS!AS102/1000000</f>
        <v>-27.200039854298801</v>
      </c>
      <c r="AO52" s="142">
        <f>DETAILS!AT102/1000000</f>
        <v>-26.267579460823935</v>
      </c>
      <c r="AP52" s="142">
        <f>DETAILS!AU102/1000000</f>
        <v>-0.53460000000000218</v>
      </c>
      <c r="AQ52" s="142">
        <f>DETAILS!AV102/1000000</f>
        <v>0</v>
      </c>
      <c r="AR52" s="142">
        <f>DETAILS!AW102/1000000</f>
        <v>0</v>
      </c>
      <c r="AS52" s="142">
        <f>DETAILS!AX102/1000000</f>
        <v>0</v>
      </c>
      <c r="AT52" s="142">
        <f>DETAILS!AY102/1000000</f>
        <v>0</v>
      </c>
      <c r="AU52" s="142">
        <f>DETAILS!AZ102/1000000</f>
        <v>0</v>
      </c>
      <c r="AV52" s="142">
        <f>DETAILS!BA102/1000000</f>
        <v>0</v>
      </c>
      <c r="AW52" s="142">
        <f>DETAILS!BB102/1000000</f>
        <v>0</v>
      </c>
      <c r="AX52" s="142">
        <f>DETAILS!BC102/1000000</f>
        <v>0</v>
      </c>
      <c r="AY52" s="142">
        <f>DETAILS!BD102/1000000</f>
        <v>0</v>
      </c>
      <c r="AZ52" s="142">
        <f>DETAILS!BE102/1000000</f>
        <v>0</v>
      </c>
      <c r="BA52" s="142">
        <f>DETAILS!BF102/1000000</f>
        <v>0</v>
      </c>
      <c r="BB52" s="142">
        <f>DETAILS!BG102/1000000</f>
        <v>0</v>
      </c>
      <c r="BC52" s="142">
        <f>DETAILS!BH102/1000000</f>
        <v>0</v>
      </c>
      <c r="BD52" s="142">
        <f>DETAILS!BI102/1000000</f>
        <v>0</v>
      </c>
      <c r="BE52" s="142">
        <f>DETAILS!BJ102/1000000</f>
        <v>0</v>
      </c>
      <c r="BF52" s="142">
        <f>DETAILS!BK102/1000000</f>
        <v>0</v>
      </c>
      <c r="BG52" s="142">
        <f>DETAILS!BL102/1000000</f>
        <v>0</v>
      </c>
      <c r="BH52" s="142">
        <f>DETAILS!BM102/1000000</f>
        <v>0</v>
      </c>
      <c r="BI52" s="142">
        <f>DETAILS!BN102/1000000</f>
        <v>0</v>
      </c>
      <c r="BJ52" s="142">
        <f>DETAILS!BO102/1000000</f>
        <v>0</v>
      </c>
      <c r="BK52" s="142">
        <f>DETAILS!BP102/1000000</f>
        <v>0</v>
      </c>
      <c r="BL52" s="142">
        <f>DETAILS!BQ102/1000000</f>
        <v>0</v>
      </c>
      <c r="BM52" s="142">
        <f>DETAILS!BR102/1000000</f>
        <v>0</v>
      </c>
    </row>
    <row r="53" spans="1:65">
      <c r="A53" s="149"/>
      <c r="B53" s="140" t="s">
        <v>26</v>
      </c>
      <c r="C53" s="27"/>
      <c r="D53" s="131" t="s">
        <v>19</v>
      </c>
      <c r="E53" s="141">
        <f>SUM(F53:BM53)</f>
        <v>-1084.5140036400007</v>
      </c>
      <c r="F53" s="202">
        <f>SUMIFS(DETAILS!K$107:K$122,DETAILS!$C$107:$C$122,'CF2'!$D$2)/1000000</f>
        <v>0</v>
      </c>
      <c r="G53" s="202">
        <f>SUMIFS(DETAILS!L$107:L$122,DETAILS!$C$107:$C$122,'CF2'!$D$2)/1000000</f>
        <v>0</v>
      </c>
      <c r="H53" s="202">
        <f>SUMIFS(DETAILS!M$107:M$122,DETAILS!$C$107:$C$122,'CF2'!$D$2)/1000000</f>
        <v>0</v>
      </c>
      <c r="I53" s="202">
        <f>SUMIFS(DETAILS!N$107:N$122,DETAILS!$C$107:$C$122,'CF2'!$D$2)/1000000</f>
        <v>0</v>
      </c>
      <c r="J53" s="202">
        <f>SUMIFS(DETAILS!O$107:O$122,DETAILS!$C$107:$C$122,'CF2'!$D$2)/1000000</f>
        <v>0</v>
      </c>
      <c r="K53" s="202">
        <f>SUMIFS(DETAILS!P$107:P$122,DETAILS!$C$107:$C$122,'CF2'!$D$2)/1000000</f>
        <v>0</v>
      </c>
      <c r="L53" s="202">
        <f>SUMIFS(DETAILS!Q$107:Q$122,DETAILS!$C$107:$C$122,'CF2'!$D$2)/1000000</f>
        <v>0</v>
      </c>
      <c r="M53" s="202">
        <f>SUMIFS(DETAILS!R$107:R$122,DETAILS!$C$107:$C$122,'CF2'!$D$2)/1000000</f>
        <v>0</v>
      </c>
      <c r="N53" s="142">
        <f>SUMIFS(DETAILS!S$107:S$122,DETAILS!$C$107:$C$122,'CF2'!$D$2)/1000000</f>
        <v>0</v>
      </c>
      <c r="O53" s="142">
        <f>SUMIFS(DETAILS!T$107:T$122,DETAILS!$C$107:$C$122,'CF2'!$D$2)/1000000</f>
        <v>0</v>
      </c>
      <c r="P53" s="142">
        <f>SUMIFS(DETAILS!U$107:U$122,DETAILS!$C$107:$C$122,'CF2'!$D$2)/1000000</f>
        <v>0</v>
      </c>
      <c r="Q53" s="142">
        <f>SUMIFS(DETAILS!V$107:V$122,DETAILS!$C$107:$C$122,'CF2'!$D$2)/1000000</f>
        <v>0</v>
      </c>
      <c r="R53" s="142">
        <f>SUMIFS(DETAILS!W$107:W$122,DETAILS!$C$107:$C$122,'CF2'!$D$2)/1000000</f>
        <v>0</v>
      </c>
      <c r="S53" s="142">
        <f>SUMIFS(DETAILS!X$107:X$122,DETAILS!$C$107:$C$122,'CF2'!$D$2)/1000000</f>
        <v>0</v>
      </c>
      <c r="T53" s="142">
        <f>SUMIFS(DETAILS!Y$107:Y$122,DETAILS!$C$107:$C$122,'CF2'!$D$2)/1000000</f>
        <v>0</v>
      </c>
      <c r="U53" s="142">
        <f>SUMIFS(DETAILS!Z$107:Z$122,DETAILS!$C$107:$C$122,'CF2'!$D$2)/1000000</f>
        <v>0</v>
      </c>
      <c r="V53" s="142">
        <f>SUMIFS(DETAILS!AA$107:AA$122,DETAILS!$C$107:$C$122,'CF2'!$D$2)/1000000</f>
        <v>0</v>
      </c>
      <c r="W53" s="142">
        <f>SUMIFS(DETAILS!AB$107:AB$122,DETAILS!$C$107:$C$122,'CF2'!$D$2)/1000000</f>
        <v>0</v>
      </c>
      <c r="X53" s="142">
        <f>SUMIFS(DETAILS!AC$107:AC$122,DETAILS!$C$107:$C$122,'CF2'!$D$2)/1000000</f>
        <v>-63.794941390588285</v>
      </c>
      <c r="Y53" s="142">
        <f>SUMIFS(DETAILS!AD$107:AD$122,DETAILS!$C$107:$C$122,'CF2'!$D$2)/1000000</f>
        <v>-63.794941390588285</v>
      </c>
      <c r="Z53" s="142">
        <f>SUMIFS(DETAILS!AE$107:AE$122,DETAILS!$C$107:$C$122,'CF2'!$D$2)/1000000</f>
        <v>-63.794941390588285</v>
      </c>
      <c r="AA53" s="142">
        <f>SUMIFS(DETAILS!AF$107:AF$122,DETAILS!$C$107:$C$122,'CF2'!$D$2)/1000000</f>
        <v>-63.794941390588285</v>
      </c>
      <c r="AB53" s="142">
        <f>SUMIFS(DETAILS!AG$107:AG$122,DETAILS!$C$107:$C$122,'CF2'!$D$2)/1000000</f>
        <v>-63.794941390588285</v>
      </c>
      <c r="AC53" s="142">
        <f>SUMIFS(DETAILS!AH$107:AH$122,DETAILS!$C$107:$C$122,'CF2'!$D$2)/1000000</f>
        <v>-63.794941390588285</v>
      </c>
      <c r="AD53" s="142">
        <f>SUMIFS(DETAILS!AI$107:AI$122,DETAILS!$C$107:$C$122,'CF2'!$D$2)/1000000</f>
        <v>-63.794941390588285</v>
      </c>
      <c r="AE53" s="142">
        <f>SUMIFS(DETAILS!AJ$107:AJ$122,DETAILS!$C$107:$C$122,'CF2'!$D$2)/1000000</f>
        <v>-63.794941390588285</v>
      </c>
      <c r="AF53" s="142">
        <f>SUMIFS(DETAILS!AK$107:AK$122,DETAILS!$C$107:$C$122,'CF2'!$D$2)/1000000</f>
        <v>-63.794941390588285</v>
      </c>
      <c r="AG53" s="142">
        <f>SUMIFS(DETAILS!AL$107:AL$122,DETAILS!$C$107:$C$122,'CF2'!$D$2)/1000000</f>
        <v>-63.794941390588285</v>
      </c>
      <c r="AH53" s="142">
        <f>SUMIFS(DETAILS!AM$107:AM$122,DETAILS!$C$107:$C$122,'CF2'!$D$2)/1000000</f>
        <v>-63.794941390588285</v>
      </c>
      <c r="AI53" s="142">
        <f>SUMIFS(DETAILS!AN$107:AN$122,DETAILS!$C$107:$C$122,'CF2'!$D$2)/1000000</f>
        <v>-63.794941390588285</v>
      </c>
      <c r="AJ53" s="142">
        <f>SUMIFS(DETAILS!AO$107:AO$122,DETAILS!$C$107:$C$122,'CF2'!$D$2)/1000000</f>
        <v>-63.794941390588285</v>
      </c>
      <c r="AK53" s="142">
        <f>SUMIFS(DETAILS!AP$107:AP$122,DETAILS!$C$107:$C$122,'CF2'!$D$2)/1000000</f>
        <v>-63.794941390588285</v>
      </c>
      <c r="AL53" s="142">
        <f>SUMIFS(DETAILS!AQ$107:AQ$122,DETAILS!$C$107:$C$122,'CF2'!$D$2)/1000000</f>
        <v>-63.794941390588285</v>
      </c>
      <c r="AM53" s="142">
        <f>SUMIFS(DETAILS!AR$107:AR$122,DETAILS!$C$107:$C$122,'CF2'!$D$2)/1000000</f>
        <v>-63.794941390588285</v>
      </c>
      <c r="AN53" s="142">
        <f>SUMIFS(DETAILS!AS$107:AS$122,DETAILS!$C$107:$C$122,'CF2'!$D$2)/1000000</f>
        <v>-63.794941390588285</v>
      </c>
      <c r="AO53" s="142">
        <f>SUMIFS(DETAILS!AT$107:AT$122,DETAILS!$C$107:$C$122,'CF2'!$D$2)/1000000</f>
        <v>0</v>
      </c>
      <c r="AP53" s="142">
        <f>SUMIFS(DETAILS!AU$107:AU$122,DETAILS!$C$107:$C$122,'CF2'!$D$2)/1000000</f>
        <v>0</v>
      </c>
      <c r="AQ53" s="142">
        <f>SUMIFS(DETAILS!AV$107:AV$122,DETAILS!$C$107:$C$122,'CF2'!$D$2)/1000000</f>
        <v>0</v>
      </c>
      <c r="AR53" s="142">
        <f>SUMIFS(DETAILS!AW$107:AW$122,DETAILS!$C$107:$C$122,'CF2'!$D$2)/1000000</f>
        <v>0</v>
      </c>
      <c r="AS53" s="142">
        <f>SUMIFS(DETAILS!AX$107:AX$122,DETAILS!$C$107:$C$122,'CF2'!$D$2)/1000000</f>
        <v>0</v>
      </c>
      <c r="AT53" s="142">
        <f>SUMIFS(DETAILS!AY$107:AY$122,DETAILS!$C$107:$C$122,'CF2'!$D$2)/1000000</f>
        <v>0</v>
      </c>
      <c r="AU53" s="142">
        <f>SUMIFS(DETAILS!AZ$107:AZ$122,DETAILS!$C$107:$C$122,'CF2'!$D$2)/1000000</f>
        <v>0</v>
      </c>
      <c r="AV53" s="142">
        <f>SUMIFS(DETAILS!BA$107:BA$122,DETAILS!$C$107:$C$122,'CF2'!$D$2)/1000000</f>
        <v>0</v>
      </c>
      <c r="AW53" s="142">
        <f>SUMIFS(DETAILS!BB$107:BB$122,DETAILS!$C$107:$C$122,'CF2'!$D$2)/1000000</f>
        <v>0</v>
      </c>
      <c r="AX53" s="142">
        <f>SUMIFS(DETAILS!BC$107:BC$122,DETAILS!$C$107:$C$122,'CF2'!$D$2)/1000000</f>
        <v>0</v>
      </c>
      <c r="AY53" s="142">
        <f>SUMIFS(DETAILS!BD$107:BD$122,DETAILS!$C$107:$C$122,'CF2'!$D$2)/1000000</f>
        <v>0</v>
      </c>
      <c r="AZ53" s="142">
        <f>SUMIFS(DETAILS!BE$107:BE$122,DETAILS!$C$107:$C$122,'CF2'!$D$2)/1000000</f>
        <v>0</v>
      </c>
      <c r="BA53" s="142">
        <f>SUMIFS(DETAILS!BF$107:BF$122,DETAILS!$C$107:$C$122,'CF2'!$D$2)/1000000</f>
        <v>0</v>
      </c>
      <c r="BB53" s="142">
        <f>SUMIFS(DETAILS!BG$107:BG$122,DETAILS!$C$107:$C$122,'CF2'!$D$2)/1000000</f>
        <v>0</v>
      </c>
      <c r="BC53" s="142">
        <f>SUMIFS(DETAILS!BH$107:BH$122,DETAILS!$C$107:$C$122,'CF2'!$D$2)/1000000</f>
        <v>0</v>
      </c>
      <c r="BD53" s="142">
        <f>SUMIFS(DETAILS!BI$107:BI$122,DETAILS!$C$107:$C$122,'CF2'!$D$2)/1000000</f>
        <v>0</v>
      </c>
      <c r="BE53" s="142">
        <f>SUMIFS(DETAILS!BJ$107:BJ$122,DETAILS!$C$107:$C$122,'CF2'!$D$2)/1000000</f>
        <v>0</v>
      </c>
      <c r="BF53" s="142">
        <f>SUMIFS(DETAILS!BK$107:BK$122,DETAILS!$C$107:$C$122,'CF2'!$D$2)/1000000</f>
        <v>0</v>
      </c>
      <c r="BG53" s="142">
        <f>SUMIFS(DETAILS!BL$107:BL$122,DETAILS!$C$107:$C$122,'CF2'!$D$2)/1000000</f>
        <v>0</v>
      </c>
      <c r="BH53" s="142">
        <f>SUMIFS(DETAILS!BM$107:BM$122,DETAILS!$C$107:$C$122,'CF2'!$D$2)/1000000</f>
        <v>0</v>
      </c>
      <c r="BI53" s="142">
        <f>SUMIFS(DETAILS!BN$107:BN$122,DETAILS!$C$107:$C$122,'CF2'!$D$2)/1000000</f>
        <v>0</v>
      </c>
      <c r="BJ53" s="142">
        <f>SUMIFS(DETAILS!BO$107:BO$122,DETAILS!$C$107:$C$122,'CF2'!$D$2)/1000000</f>
        <v>0</v>
      </c>
      <c r="BK53" s="142">
        <f>SUMIFS(DETAILS!BP$107:BP$122,DETAILS!$C$107:$C$122,'CF2'!$D$2)/1000000</f>
        <v>0</v>
      </c>
      <c r="BL53" s="142">
        <f>SUMIFS(DETAILS!BQ$107:BQ$122,DETAILS!$C$107:$C$122,'CF2'!$D$2)/1000000</f>
        <v>0</v>
      </c>
      <c r="BM53" s="142">
        <f>SUMIFS(DETAILS!BR$107:BR$122,DETAILS!$C$107:$C$122,'CF2'!$D$2)/1000000</f>
        <v>0</v>
      </c>
    </row>
    <row r="54" spans="1:65">
      <c r="A54" s="149"/>
      <c r="B54" s="140" t="s">
        <v>39</v>
      </c>
      <c r="C54" s="27"/>
      <c r="D54" s="131" t="s">
        <v>19</v>
      </c>
      <c r="E54" s="141">
        <f>SUM(F54:BM54)</f>
        <v>-15.184085318999999</v>
      </c>
      <c r="F54" s="202">
        <f>SUMIFS(DETAILS!K$281:K$286,DETAILS!$C$281:$C$286,'CF2'!$D$2)/10^6-F62</f>
        <v>0</v>
      </c>
      <c r="G54" s="202">
        <f>SUMIFS(DETAILS!L$281:L$286,DETAILS!$C$281:$C$286,'CF2'!$D$2)/10^6-G62</f>
        <v>0</v>
      </c>
      <c r="H54" s="202">
        <f>SUMIFS(DETAILS!M$281:M$286,DETAILS!$C$281:$C$286,'CF2'!$D$2)/10^6-H62</f>
        <v>0</v>
      </c>
      <c r="I54" s="202">
        <f>SUMIFS(DETAILS!N$281:N$286,DETAILS!$C$281:$C$286,'CF2'!$D$2)/10^6-I62</f>
        <v>0</v>
      </c>
      <c r="J54" s="202">
        <f>SUMIFS(DETAILS!O$281:O$286,DETAILS!$C$281:$C$286,'CF2'!$D$2)/10^6-J62</f>
        <v>0</v>
      </c>
      <c r="K54" s="202">
        <f>SUMIFS(DETAILS!P$281:P$286,DETAILS!$C$281:$C$286,'CF2'!$D$2)/10^6-K62</f>
        <v>0</v>
      </c>
      <c r="L54" s="202">
        <f>SUMIFS(DETAILS!Q$281:Q$286,DETAILS!$C$281:$C$286,'CF2'!$D$2)/10^6-L62</f>
        <v>0</v>
      </c>
      <c r="M54" s="202">
        <f>SUMIFS(DETAILS!R$281:R$286,DETAILS!$C$281:$C$286,'CF2'!$D$2)/10^6-M62</f>
        <v>0</v>
      </c>
      <c r="N54" s="142">
        <f>SUMIFS(DETAILS!S$281:S$286,DETAILS!$C$281:$C$286,'CF2'!$D$2)/10^6-N62</f>
        <v>0</v>
      </c>
      <c r="O54" s="142">
        <f>SUMIFS(DETAILS!T$281:T$286,DETAILS!$C$281:$C$286,'CF2'!$D$2)/10^6-O62</f>
        <v>0</v>
      </c>
      <c r="P54" s="142">
        <f>SUMIFS(DETAILS!U$281:U$286,DETAILS!$C$281:$C$286,'CF2'!$D$2)/10^6-P62</f>
        <v>0</v>
      </c>
      <c r="Q54" s="142">
        <f>SUMIFS(DETAILS!V$281:V$286,DETAILS!$C$281:$C$286,'CF2'!$D$2)/10^6-Q62</f>
        <v>0</v>
      </c>
      <c r="R54" s="142">
        <f>SUMIFS(DETAILS!W$281:W$286,DETAILS!$C$281:$C$286,'CF2'!$D$2)/10^6-R62</f>
        <v>0</v>
      </c>
      <c r="S54" s="142">
        <f>SUMIFS(DETAILS!X$281:X$286,DETAILS!$C$281:$C$286,'CF2'!$D$2)/10^6-S62</f>
        <v>0</v>
      </c>
      <c r="T54" s="142">
        <f>SUMIFS(DETAILS!Y$281:Y$286,DETAILS!$C$281:$C$286,'CF2'!$D$2)/10^6-T62</f>
        <v>0</v>
      </c>
      <c r="U54" s="142">
        <f>SUMIFS(DETAILS!Z$281:Z$286,DETAILS!$C$281:$C$286,'CF2'!$D$2)/10^6-U62</f>
        <v>0</v>
      </c>
      <c r="V54" s="142">
        <f>SUMIFS(DETAILS!AA$281:AA$286,DETAILS!$C$281:$C$286,'CF2'!$D$2)/10^6-V62</f>
        <v>0</v>
      </c>
      <c r="W54" s="142">
        <f>SUMIFS(DETAILS!AB$281:AB$286,DETAILS!$C$281:$C$286,'CF2'!$D$2)/10^6-W62</f>
        <v>0</v>
      </c>
      <c r="X54" s="142">
        <f>SUMIFS(DETAILS!AC$281:AC$286,DETAILS!$C$281:$C$286,'CF2'!$D$2)/10^6-X62</f>
        <v>0</v>
      </c>
      <c r="Y54" s="142">
        <f>SUMIFS(DETAILS!AD$281:AD$286,DETAILS!$C$281:$C$286,'CF2'!$D$2)/10^6-Y62</f>
        <v>0</v>
      </c>
      <c r="Z54" s="142">
        <f>SUMIFS(DETAILS!AE$281:AE$286,DETAILS!$C$281:$C$286,'CF2'!$D$2)/10^6-Z62</f>
        <v>0</v>
      </c>
      <c r="AA54" s="142">
        <f>SUMIFS(DETAILS!AF$281:AF$286,DETAILS!$C$281:$C$286,'CF2'!$D$2)/10^6-AA62</f>
        <v>0</v>
      </c>
      <c r="AB54" s="142">
        <f>SUMIFS(DETAILS!AG$281:AG$286,DETAILS!$C$281:$C$286,'CF2'!$D$2)/10^6-AB62</f>
        <v>0</v>
      </c>
      <c r="AC54" s="142">
        <f>SUMIFS(DETAILS!AH$281:AH$286,DETAILS!$C$281:$C$286,'CF2'!$D$2)/10^6-AC62</f>
        <v>0</v>
      </c>
      <c r="AD54" s="142">
        <f>SUMIFS(DETAILS!AI$281:AI$286,DETAILS!$C$281:$C$286,'CF2'!$D$2)/10^6-AD62</f>
        <v>0</v>
      </c>
      <c r="AE54" s="142">
        <f>SUMIFS(DETAILS!AJ$281:AJ$286,DETAILS!$C$281:$C$286,'CF2'!$D$2)/10^6-AE62</f>
        <v>0</v>
      </c>
      <c r="AF54" s="142">
        <f>SUMIFS(DETAILS!AK$281:AK$286,DETAILS!$C$281:$C$286,'CF2'!$D$2)/10^6-AF62</f>
        <v>0</v>
      </c>
      <c r="AG54" s="142">
        <f>SUMIFS(DETAILS!AL$281:AL$286,DETAILS!$C$281:$C$286,'CF2'!$D$2)/10^6-AG62</f>
        <v>0</v>
      </c>
      <c r="AH54" s="142">
        <f>SUMIFS(DETAILS!AM$281:AM$286,DETAILS!$C$281:$C$286,'CF2'!$D$2)/10^6-AH62</f>
        <v>0</v>
      </c>
      <c r="AI54" s="142">
        <f>SUMIFS(DETAILS!AN$281:AN$286,DETAILS!$C$281:$C$286,'CF2'!$D$2)/10^6-AI62</f>
        <v>0</v>
      </c>
      <c r="AJ54" s="142">
        <f>SUMIFS(DETAILS!AO$281:AO$286,DETAILS!$C$281:$C$286,'CF2'!$D$2)/10^6-AJ62</f>
        <v>-7.5920426594999997</v>
      </c>
      <c r="AK54" s="142">
        <f>SUMIFS(DETAILS!AP$281:AP$286,DETAILS!$C$281:$C$286,'CF2'!$D$2)/10^6-AK62</f>
        <v>-7.5920426594999997</v>
      </c>
      <c r="AL54" s="142">
        <f>SUMIFS(DETAILS!AQ$281:AQ$286,DETAILS!$C$281:$C$286,'CF2'!$D$2)/10^6-AL62</f>
        <v>0</v>
      </c>
      <c r="AM54" s="142">
        <f>SUMIFS(DETAILS!AR$281:AR$286,DETAILS!$C$281:$C$286,'CF2'!$D$2)/10^6-AM62</f>
        <v>0</v>
      </c>
      <c r="AN54" s="142">
        <f>SUMIFS(DETAILS!AS$281:AS$286,DETAILS!$C$281:$C$286,'CF2'!$D$2)/10^6-AN62</f>
        <v>0</v>
      </c>
      <c r="AO54" s="142">
        <f>SUMIFS(DETAILS!AT$281:AT$286,DETAILS!$C$281:$C$286,'CF2'!$D$2)/10^6-AO62</f>
        <v>0</v>
      </c>
      <c r="AP54" s="142">
        <f>SUMIFS(DETAILS!AU$281:AU$286,DETAILS!$C$281:$C$286,'CF2'!$D$2)/10^6-AP62</f>
        <v>0</v>
      </c>
      <c r="AQ54" s="142">
        <f>SUMIFS(DETAILS!AV$281:AV$286,DETAILS!$C$281:$C$286,'CF2'!$D$2)/10^6-AQ62</f>
        <v>0</v>
      </c>
      <c r="AR54" s="142">
        <f>SUMIFS(DETAILS!AW$281:AW$286,DETAILS!$C$281:$C$286,'CF2'!$D$2)/10^6-AR62</f>
        <v>0</v>
      </c>
      <c r="AS54" s="142">
        <f>SUMIFS(DETAILS!AX$281:AX$286,DETAILS!$C$281:$C$286,'CF2'!$D$2)/10^6-AS62</f>
        <v>0</v>
      </c>
      <c r="AT54" s="142">
        <f>SUMIFS(DETAILS!AY$281:AY$286,DETAILS!$C$281:$C$286,'CF2'!$D$2)/10^6-AT62</f>
        <v>0</v>
      </c>
      <c r="AU54" s="142">
        <f>SUMIFS(DETAILS!AZ$281:AZ$286,DETAILS!$C$281:$C$286,'CF2'!$D$2)/10^6-AU62</f>
        <v>0</v>
      </c>
      <c r="AV54" s="142">
        <f>SUMIFS(DETAILS!BA$281:BA$286,DETAILS!$C$281:$C$286,'CF2'!$D$2)/10^6-AV62</f>
        <v>0</v>
      </c>
      <c r="AW54" s="142">
        <f>SUMIFS(DETAILS!BB$281:BB$286,DETAILS!$C$281:$C$286,'CF2'!$D$2)/10^6-AW62</f>
        <v>0</v>
      </c>
      <c r="AX54" s="142">
        <f>SUMIFS(DETAILS!BC$281:BC$286,DETAILS!$C$281:$C$286,'CF2'!$D$2)/10^6-AX62</f>
        <v>0</v>
      </c>
      <c r="AY54" s="142">
        <f>SUMIFS(DETAILS!BD$281:BD$286,DETAILS!$C$281:$C$286,'CF2'!$D$2)/10^6-AY62</f>
        <v>0</v>
      </c>
      <c r="AZ54" s="142">
        <f>SUMIFS(DETAILS!BE$281:BE$286,DETAILS!$C$281:$C$286,'CF2'!$D$2)/10^6-AZ62</f>
        <v>0</v>
      </c>
      <c r="BA54" s="142">
        <f>SUMIFS(DETAILS!BF$281:BF$286,DETAILS!$C$281:$C$286,'CF2'!$D$2)/10^6-BA62</f>
        <v>0</v>
      </c>
      <c r="BB54" s="142">
        <f>SUMIFS(DETAILS!BG$281:BG$286,DETAILS!$C$281:$C$286,'CF2'!$D$2)/10^6-BB62</f>
        <v>0</v>
      </c>
      <c r="BC54" s="142">
        <f>SUMIFS(DETAILS!BH$281:BH$286,DETAILS!$C$281:$C$286,'CF2'!$D$2)/10^6-BC62</f>
        <v>0</v>
      </c>
      <c r="BD54" s="142">
        <f>SUMIFS(DETAILS!BI$281:BI$286,DETAILS!$C$281:$C$286,'CF2'!$D$2)/10^6-BD62</f>
        <v>0</v>
      </c>
      <c r="BE54" s="142">
        <f>SUMIFS(DETAILS!BJ$281:BJ$286,DETAILS!$C$281:$C$286,'CF2'!$D$2)/10^6-BE62</f>
        <v>0</v>
      </c>
      <c r="BF54" s="142">
        <f>SUMIFS(DETAILS!BK$281:BK$286,DETAILS!$C$281:$C$286,'CF2'!$D$2)/10^6-BF62</f>
        <v>0</v>
      </c>
      <c r="BG54" s="142">
        <f>SUMIFS(DETAILS!BL$281:BL$286,DETAILS!$C$281:$C$286,'CF2'!$D$2)/10^6-BG62</f>
        <v>0</v>
      </c>
      <c r="BH54" s="142">
        <f>SUMIFS(DETAILS!BM$281:BM$286,DETAILS!$C$281:$C$286,'CF2'!$D$2)/10^6-BH62</f>
        <v>0</v>
      </c>
      <c r="BI54" s="142">
        <f>SUMIFS(DETAILS!BN$281:BN$286,DETAILS!$C$281:$C$286,'CF2'!$D$2)/10^6-BI62</f>
        <v>0</v>
      </c>
      <c r="BJ54" s="142">
        <f>SUMIFS(DETAILS!BO$281:BO$286,DETAILS!$C$281:$C$286,'CF2'!$D$2)/10^6-BJ62</f>
        <v>0</v>
      </c>
      <c r="BK54" s="142">
        <f>SUMIFS(DETAILS!BP$281:BP$286,DETAILS!$C$281:$C$286,'CF2'!$D$2)/10^6-BK62</f>
        <v>0</v>
      </c>
      <c r="BL54" s="142">
        <f>SUMIFS(DETAILS!BQ$281:BQ$286,DETAILS!$C$281:$C$286,'CF2'!$D$2)/10^6-BL62</f>
        <v>0</v>
      </c>
      <c r="BM54" s="142">
        <f>SUMIFS(DETAILS!BR$281:BR$286,DETAILS!$C$281:$C$286,'CF2'!$D$2)/10^6-BM62</f>
        <v>0</v>
      </c>
    </row>
    <row r="55" spans="1:65">
      <c r="A55" s="149"/>
      <c r="B55" s="140" t="s">
        <v>141</v>
      </c>
      <c r="C55" s="27"/>
      <c r="D55" s="131" t="s">
        <v>19</v>
      </c>
      <c r="E55" s="141">
        <f>SUM(F55:BM55)</f>
        <v>-61.33138143962266</v>
      </c>
      <c r="F55" s="202">
        <f>DETAILS!K104/1000000</f>
        <v>0</v>
      </c>
      <c r="G55" s="202">
        <f>DETAILS!L104/1000000</f>
        <v>0</v>
      </c>
      <c r="H55" s="202">
        <f>DETAILS!M104/1000000</f>
        <v>0</v>
      </c>
      <c r="I55" s="202">
        <f>DETAILS!N104/1000000</f>
        <v>0</v>
      </c>
      <c r="J55" s="202">
        <f>DETAILS!O104/1000000</f>
        <v>0</v>
      </c>
      <c r="K55" s="202">
        <f>DETAILS!P104/1000000</f>
        <v>0</v>
      </c>
      <c r="L55" s="202">
        <f>DETAILS!Q104/1000000</f>
        <v>0</v>
      </c>
      <c r="M55" s="202">
        <f>DETAILS!R104/1000000</f>
        <v>0</v>
      </c>
      <c r="N55" s="142">
        <f>DETAILS!S104/1000000</f>
        <v>0</v>
      </c>
      <c r="O55" s="142">
        <f>DETAILS!T104/1000000</f>
        <v>0</v>
      </c>
      <c r="P55" s="142">
        <f>DETAILS!U104/1000000</f>
        <v>0</v>
      </c>
      <c r="Q55" s="142">
        <f>DETAILS!V104/1000000</f>
        <v>0</v>
      </c>
      <c r="R55" s="142">
        <f>DETAILS!W104/1000000</f>
        <v>0</v>
      </c>
      <c r="S55" s="142">
        <f>DETAILS!X104/1000000</f>
        <v>0</v>
      </c>
      <c r="T55" s="142">
        <f>DETAILS!Y104/1000000</f>
        <v>0</v>
      </c>
      <c r="U55" s="142">
        <f>DETAILS!Z104/1000000</f>
        <v>0</v>
      </c>
      <c r="V55" s="142">
        <f>DETAILS!AA104/1000000</f>
        <v>0</v>
      </c>
      <c r="W55" s="142">
        <f>DETAILS!AB104/1000000</f>
        <v>0</v>
      </c>
      <c r="X55" s="142">
        <f>DETAILS!AC104/1000000</f>
        <v>-2.5981132075471702</v>
      </c>
      <c r="Y55" s="142">
        <f>DETAILS!AD104/1000000</f>
        <v>-2.5981132075471702</v>
      </c>
      <c r="Z55" s="142">
        <f>DETAILS!AE104/1000000</f>
        <v>-2.5981132075471702</v>
      </c>
      <c r="AA55" s="142">
        <f>DETAILS!AF104/1000000</f>
        <v>-2.5981132075471702</v>
      </c>
      <c r="AB55" s="142">
        <f>DETAILS!AG104/1000000</f>
        <v>-2.5981132075471702</v>
      </c>
      <c r="AC55" s="142">
        <f>DETAILS!AH104/1000000</f>
        <v>-2.5981132075471702</v>
      </c>
      <c r="AD55" s="142">
        <f>DETAILS!AI104/1000000</f>
        <v>-2.5981132075471702</v>
      </c>
      <c r="AE55" s="142">
        <f>DETAILS!AJ104/1000000</f>
        <v>-2.5981132075471702</v>
      </c>
      <c r="AF55" s="142">
        <f>DETAILS!AK104/1000000</f>
        <v>-2.5981132075471702</v>
      </c>
      <c r="AG55" s="142">
        <f>DETAILS!AL104/1000000</f>
        <v>-2.5981132075471702</v>
      </c>
      <c r="AH55" s="142">
        <f>DETAILS!AM104/1000000</f>
        <v>-2.5981132075471702</v>
      </c>
      <c r="AI55" s="142">
        <f>DETAILS!AN104/1000000</f>
        <v>-18.97418128584906</v>
      </c>
      <c r="AJ55" s="142">
        <f>DETAILS!AO104/1000000</f>
        <v>-2.5981132075471702</v>
      </c>
      <c r="AK55" s="142">
        <f>DETAILS!AP104/1000000</f>
        <v>-2.9815219825471697</v>
      </c>
      <c r="AL55" s="142">
        <f>DETAILS!AQ104/1000000</f>
        <v>-2.9815219825471697</v>
      </c>
      <c r="AM55" s="142">
        <f>DETAILS!AR104/1000000</f>
        <v>-2.5981132075471702</v>
      </c>
      <c r="AN55" s="142">
        <f>DETAILS!AS104/1000000</f>
        <v>-2.6186844905660398</v>
      </c>
      <c r="AO55" s="142">
        <f>DETAILS!AT104/1000000</f>
        <v>0</v>
      </c>
      <c r="AP55" s="142">
        <f>DETAILS!AU104/1000000</f>
        <v>0</v>
      </c>
      <c r="AQ55" s="142">
        <f>DETAILS!AV104/1000000</f>
        <v>0</v>
      </c>
      <c r="AR55" s="142">
        <f>DETAILS!AW104/1000000</f>
        <v>0</v>
      </c>
      <c r="AS55" s="142">
        <f>DETAILS!AX104/1000000</f>
        <v>0</v>
      </c>
      <c r="AT55" s="142">
        <f>DETAILS!AY104/1000000</f>
        <v>0</v>
      </c>
      <c r="AU55" s="142">
        <f>DETAILS!AZ104/1000000</f>
        <v>0</v>
      </c>
      <c r="AV55" s="142">
        <f>DETAILS!BA104/1000000</f>
        <v>0</v>
      </c>
      <c r="AW55" s="142">
        <f>DETAILS!BB104/1000000</f>
        <v>0</v>
      </c>
      <c r="AX55" s="142">
        <f>DETAILS!BC104/1000000</f>
        <v>0</v>
      </c>
      <c r="AY55" s="142">
        <f>DETAILS!BD104/1000000</f>
        <v>0</v>
      </c>
      <c r="AZ55" s="142">
        <f>DETAILS!BE104/1000000</f>
        <v>0</v>
      </c>
      <c r="BA55" s="142">
        <f>DETAILS!BF104/1000000</f>
        <v>0</v>
      </c>
      <c r="BB55" s="142">
        <f>DETAILS!BG104/1000000</f>
        <v>0</v>
      </c>
      <c r="BC55" s="142">
        <f>DETAILS!BH104/1000000</f>
        <v>0</v>
      </c>
      <c r="BD55" s="142">
        <f>DETAILS!BI104/1000000</f>
        <v>0</v>
      </c>
      <c r="BE55" s="142">
        <f>DETAILS!BJ104/1000000</f>
        <v>0</v>
      </c>
      <c r="BF55" s="142">
        <f>DETAILS!BK104/1000000</f>
        <v>0</v>
      </c>
      <c r="BG55" s="142">
        <f>DETAILS!BL104/1000000</f>
        <v>0</v>
      </c>
      <c r="BH55" s="142">
        <f>DETAILS!BM104/1000000</f>
        <v>0</v>
      </c>
      <c r="BI55" s="142">
        <f>DETAILS!BN104/1000000</f>
        <v>0</v>
      </c>
      <c r="BJ55" s="142">
        <f>DETAILS!BO104/1000000</f>
        <v>0</v>
      </c>
      <c r="BK55" s="142">
        <f>DETAILS!BP104/1000000</f>
        <v>0</v>
      </c>
      <c r="BL55" s="142">
        <f>DETAILS!BQ104/1000000</f>
        <v>0</v>
      </c>
      <c r="BM55" s="142">
        <f>DETAILS!BR104/1000000</f>
        <v>0</v>
      </c>
    </row>
    <row r="56" spans="1:65">
      <c r="A56" s="149"/>
      <c r="B56" s="140" t="s">
        <v>6</v>
      </c>
      <c r="C56" s="27"/>
      <c r="D56" s="131" t="s">
        <v>19</v>
      </c>
      <c r="E56" s="141">
        <f>SUM(F56:BM56)</f>
        <v>-81</v>
      </c>
      <c r="F56" s="202">
        <f>SUMIFS(DETAILS!K$47:K$93,DETAILS!$C$47:$C$93,2)/1000000</f>
        <v>0</v>
      </c>
      <c r="G56" s="202">
        <f>SUMIFS(DETAILS!L$47:L$93,DETAILS!$C$47:$C$93,2)/1000000</f>
        <v>0</v>
      </c>
      <c r="H56" s="202">
        <f>SUMIFS(DETAILS!M$47:M$93,DETAILS!$C$47:$C$93,2)/1000000</f>
        <v>0</v>
      </c>
      <c r="I56" s="202">
        <f>SUMIFS(DETAILS!N$47:N$93,DETAILS!$C$47:$C$93,2)/1000000</f>
        <v>0</v>
      </c>
      <c r="J56" s="202">
        <f>SUMIFS(DETAILS!O$47:O$93,DETAILS!$C$47:$C$93,2)/1000000</f>
        <v>0</v>
      </c>
      <c r="K56" s="202">
        <f>SUMIFS(DETAILS!P$47:P$93,DETAILS!$C$47:$C$93,2)/1000000</f>
        <v>0</v>
      </c>
      <c r="L56" s="202">
        <f>SUMIFS(DETAILS!Q$47:Q$93,DETAILS!$C$47:$C$93,2)/1000000</f>
        <v>0</v>
      </c>
      <c r="M56" s="202">
        <f>SUMIFS(DETAILS!R$47:R$93,DETAILS!$C$47:$C$93,2)/1000000</f>
        <v>0</v>
      </c>
      <c r="N56" s="142">
        <f>SUMIFS(DETAILS!S$47:S$93,DETAILS!$C$47:$C$93,2)/1000000</f>
        <v>-3</v>
      </c>
      <c r="O56" s="142">
        <f>SUMIFS(DETAILS!T$47:T$93,DETAILS!$C$47:$C$93,2)/1000000</f>
        <v>-3</v>
      </c>
      <c r="P56" s="142">
        <f>SUMIFS(DETAILS!U$47:U$93,DETAILS!$C$47:$C$93,2)/1000000</f>
        <v>-3</v>
      </c>
      <c r="Q56" s="142">
        <f>SUMIFS(DETAILS!V$47:V$93,DETAILS!$C$47:$C$93,2)/1000000</f>
        <v>-3</v>
      </c>
      <c r="R56" s="142">
        <f>SUMIFS(DETAILS!W$47:W$93,DETAILS!$C$47:$C$93,2)/1000000</f>
        <v>-3</v>
      </c>
      <c r="S56" s="142">
        <f>SUMIFS(DETAILS!X$47:X$93,DETAILS!$C$47:$C$93,2)/1000000</f>
        <v>-3</v>
      </c>
      <c r="T56" s="142">
        <f>SUMIFS(DETAILS!Y$47:Y$93,DETAILS!$C$47:$C$93,2)/1000000</f>
        <v>-3</v>
      </c>
      <c r="U56" s="142">
        <f>SUMIFS(DETAILS!Z$47:Z$93,DETAILS!$C$47:$C$93,2)/1000000</f>
        <v>-3</v>
      </c>
      <c r="V56" s="142">
        <f>SUMIFS(DETAILS!AA$47:AA$93,DETAILS!$C$47:$C$93,2)/1000000</f>
        <v>-3</v>
      </c>
      <c r="W56" s="142">
        <f>SUMIFS(DETAILS!AB$47:AB$93,DETAILS!$C$47:$C$93,2)/1000000</f>
        <v>-3</v>
      </c>
      <c r="X56" s="142">
        <f>SUMIFS(DETAILS!AC$47:AC$93,DETAILS!$C$47:$C$93,2)/1000000</f>
        <v>-3</v>
      </c>
      <c r="Y56" s="142">
        <f>SUMIFS(DETAILS!AD$47:AD$93,DETAILS!$C$47:$C$93,2)/1000000</f>
        <v>-3</v>
      </c>
      <c r="Z56" s="142">
        <f>SUMIFS(DETAILS!AE$47:AE$93,DETAILS!$C$47:$C$93,2)/1000000</f>
        <v>-3</v>
      </c>
      <c r="AA56" s="142">
        <f>SUMIFS(DETAILS!AF$47:AF$93,DETAILS!$C$47:$C$93,2)/1000000</f>
        <v>-3</v>
      </c>
      <c r="AB56" s="142">
        <f>SUMIFS(DETAILS!AG$47:AG$93,DETAILS!$C$47:$C$93,2)/1000000</f>
        <v>-3</v>
      </c>
      <c r="AC56" s="142">
        <f>SUMIFS(DETAILS!AH$47:AH$93,DETAILS!$C$47:$C$93,2)/1000000</f>
        <v>-3</v>
      </c>
      <c r="AD56" s="142">
        <f>SUMIFS(DETAILS!AI$47:AI$93,DETAILS!$C$47:$C$93,2)/1000000</f>
        <v>-3</v>
      </c>
      <c r="AE56" s="142">
        <f>SUMIFS(DETAILS!AJ$47:AJ$93,DETAILS!$C$47:$C$93,2)/1000000</f>
        <v>-3</v>
      </c>
      <c r="AF56" s="142">
        <f>SUMIFS(DETAILS!AK$47:AK$93,DETAILS!$C$47:$C$93,2)/1000000</f>
        <v>-3</v>
      </c>
      <c r="AG56" s="142">
        <f>SUMIFS(DETAILS!AL$47:AL$93,DETAILS!$C$47:$C$93,2)/1000000</f>
        <v>-3</v>
      </c>
      <c r="AH56" s="142">
        <f>SUMIFS(DETAILS!AM$47:AM$93,DETAILS!$C$47:$C$93,2)/1000000</f>
        <v>-3</v>
      </c>
      <c r="AI56" s="142">
        <f>SUMIFS(DETAILS!AN$47:AN$93,DETAILS!$C$47:$C$93,2)/1000000</f>
        <v>-3</v>
      </c>
      <c r="AJ56" s="142">
        <f>SUMIFS(DETAILS!AO$47:AO$93,DETAILS!$C$47:$C$93,2)/1000000</f>
        <v>-3</v>
      </c>
      <c r="AK56" s="142">
        <f>SUMIFS(DETAILS!AP$47:AP$93,DETAILS!$C$47:$C$93,2)/1000000</f>
        <v>-3</v>
      </c>
      <c r="AL56" s="142">
        <f>SUMIFS(DETAILS!AQ$47:AQ$93,DETAILS!$C$47:$C$93,2)/1000000</f>
        <v>-3</v>
      </c>
      <c r="AM56" s="142">
        <f>SUMIFS(DETAILS!AR$47:AR$93,DETAILS!$C$47:$C$93,2)/1000000</f>
        <v>-3</v>
      </c>
      <c r="AN56" s="142">
        <f>SUMIFS(DETAILS!AS$47:AS$93,DETAILS!$C$47:$C$93,2)/1000000</f>
        <v>-3</v>
      </c>
      <c r="AO56" s="142">
        <f>SUMIFS(DETAILS!AT$47:AT$93,DETAILS!$C$47:$C$93,2)/1000000</f>
        <v>0</v>
      </c>
      <c r="AP56" s="142">
        <f>SUMIFS(DETAILS!AU$47:AU$93,DETAILS!$C$47:$C$93,2)/1000000</f>
        <v>0</v>
      </c>
      <c r="AQ56" s="142">
        <f>SUMIFS(DETAILS!AV$47:AV$93,DETAILS!$C$47:$C$93,2)/1000000</f>
        <v>0</v>
      </c>
      <c r="AR56" s="142">
        <f>SUMIFS(DETAILS!AW$47:AW$93,DETAILS!$C$47:$C$93,2)/1000000</f>
        <v>0</v>
      </c>
      <c r="AS56" s="142">
        <f>SUMIFS(DETAILS!AX$47:AX$93,DETAILS!$C$47:$C$93,2)/1000000</f>
        <v>0</v>
      </c>
      <c r="AT56" s="142">
        <f>SUMIFS(DETAILS!AY$47:AY$93,DETAILS!$C$47:$C$93,2)/1000000</f>
        <v>0</v>
      </c>
      <c r="AU56" s="142">
        <f>SUMIFS(DETAILS!AZ$47:AZ$93,DETAILS!$C$47:$C$93,2)/1000000</f>
        <v>0</v>
      </c>
      <c r="AV56" s="142">
        <f>SUMIFS(DETAILS!BA$47:BA$93,DETAILS!$C$47:$C$93,2)/1000000</f>
        <v>0</v>
      </c>
      <c r="AW56" s="142">
        <f>SUMIFS(DETAILS!BB$47:BB$93,DETAILS!$C$47:$C$93,2)/1000000</f>
        <v>0</v>
      </c>
      <c r="AX56" s="142">
        <f>SUMIFS(DETAILS!BC$47:BC$93,DETAILS!$C$47:$C$93,2)/1000000</f>
        <v>0</v>
      </c>
      <c r="AY56" s="142">
        <f>SUMIFS(DETAILS!BD$47:BD$93,DETAILS!$C$47:$C$93,2)/1000000</f>
        <v>0</v>
      </c>
      <c r="AZ56" s="142">
        <f>SUMIFS(DETAILS!BE$47:BE$93,DETAILS!$C$47:$C$93,2)/1000000</f>
        <v>0</v>
      </c>
      <c r="BA56" s="142">
        <f>SUMIFS(DETAILS!BF$47:BF$93,DETAILS!$C$47:$C$93,2)/1000000</f>
        <v>0</v>
      </c>
      <c r="BB56" s="142">
        <f>SUMIFS(DETAILS!BG$47:BG$93,DETAILS!$C$47:$C$93,2)/1000000</f>
        <v>0</v>
      </c>
      <c r="BC56" s="142">
        <f>SUMIFS(DETAILS!BH$47:BH$93,DETAILS!$C$47:$C$93,2)/1000000</f>
        <v>0</v>
      </c>
      <c r="BD56" s="142">
        <f>SUMIFS(DETAILS!BI$47:BI$93,DETAILS!$C$47:$C$93,2)/1000000</f>
        <v>0</v>
      </c>
      <c r="BE56" s="142">
        <f>SUMIFS(DETAILS!BJ$47:BJ$93,DETAILS!$C$47:$C$93,2)/1000000</f>
        <v>0</v>
      </c>
      <c r="BF56" s="142">
        <f>SUMIFS(DETAILS!BK$47:BK$93,DETAILS!$C$47:$C$93,2)/1000000</f>
        <v>0</v>
      </c>
      <c r="BG56" s="142">
        <f>SUMIFS(DETAILS!BL$47:BL$93,DETAILS!$C$47:$C$93,2)/1000000</f>
        <v>0</v>
      </c>
      <c r="BH56" s="142">
        <f>SUMIFS(DETAILS!BM$47:BM$93,DETAILS!$C$47:$C$93,2)/1000000</f>
        <v>0</v>
      </c>
      <c r="BI56" s="142">
        <f>SUMIFS(DETAILS!BN$47:BN$93,DETAILS!$C$47:$C$93,2)/1000000</f>
        <v>0</v>
      </c>
      <c r="BJ56" s="142">
        <f>SUMIFS(DETAILS!BO$47:BO$93,DETAILS!$C$47:$C$93,2)/1000000</f>
        <v>0</v>
      </c>
      <c r="BK56" s="142">
        <f>SUMIFS(DETAILS!BP$47:BP$93,DETAILS!$C$47:$C$93,2)/1000000</f>
        <v>0</v>
      </c>
      <c r="BL56" s="142">
        <f>SUMIFS(DETAILS!BQ$47:BQ$93,DETAILS!$C$47:$C$93,2)/1000000</f>
        <v>0</v>
      </c>
      <c r="BM56" s="142">
        <f>SUMIFS(DETAILS!BR$47:BR$93,DETAILS!$C$47:$C$93,2)/1000000</f>
        <v>0</v>
      </c>
    </row>
    <row r="57" spans="1:65">
      <c r="A57" s="149"/>
      <c r="E57" s="138"/>
      <c r="F57" s="139"/>
      <c r="G57" s="139"/>
      <c r="H57" s="139"/>
      <c r="I57" s="139"/>
      <c r="J57" s="394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  <c r="AK57" s="139"/>
      <c r="AL57" s="139"/>
      <c r="AM57" s="139"/>
      <c r="AN57" s="139"/>
      <c r="AO57" s="139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AZ57" s="139"/>
      <c r="BA57" s="139"/>
      <c r="BB57" s="139"/>
      <c r="BC57" s="139"/>
      <c r="BD57" s="139"/>
      <c r="BE57" s="139"/>
      <c r="BF57" s="139"/>
      <c r="BG57" s="139"/>
      <c r="BH57" s="139"/>
      <c r="BI57" s="139"/>
      <c r="BJ57" s="139"/>
      <c r="BK57" s="139"/>
      <c r="BL57" s="139"/>
      <c r="BM57" s="139"/>
    </row>
    <row r="58" spans="1:65">
      <c r="A58" s="149"/>
      <c r="E58" s="395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39"/>
      <c r="BE58" s="139"/>
      <c r="BF58" s="139"/>
      <c r="BG58" s="139"/>
      <c r="BH58" s="139"/>
      <c r="BI58" s="139"/>
      <c r="BJ58" s="139"/>
      <c r="BK58" s="139"/>
      <c r="BL58" s="139"/>
      <c r="BM58" s="139"/>
    </row>
    <row r="59" spans="1:65">
      <c r="A59" s="149"/>
      <c r="B59" s="177" t="s">
        <v>13</v>
      </c>
      <c r="C59" s="177"/>
      <c r="D59" s="178" t="s">
        <v>19</v>
      </c>
      <c r="E59" s="179">
        <f t="shared" ref="E59:E74" si="73">SUM(F59:BM59)</f>
        <v>-22598.419942257136</v>
      </c>
      <c r="F59" s="180">
        <f t="shared" ref="F59:AK59" si="74">SUM(F60:F74)</f>
        <v>0</v>
      </c>
      <c r="G59" s="180">
        <f t="shared" si="74"/>
        <v>0</v>
      </c>
      <c r="H59" s="180">
        <f t="shared" si="74"/>
        <v>0</v>
      </c>
      <c r="I59" s="180">
        <f t="shared" si="74"/>
        <v>0</v>
      </c>
      <c r="J59" s="180">
        <f t="shared" si="74"/>
        <v>0</v>
      </c>
      <c r="K59" s="180">
        <f t="shared" si="74"/>
        <v>0</v>
      </c>
      <c r="L59" s="180">
        <f t="shared" si="74"/>
        <v>0</v>
      </c>
      <c r="M59" s="180">
        <f t="shared" si="74"/>
        <v>0</v>
      </c>
      <c r="N59" s="180">
        <f t="shared" si="74"/>
        <v>-35.707316270437914</v>
      </c>
      <c r="O59" s="180">
        <f t="shared" si="74"/>
        <v>-35.707316270437914</v>
      </c>
      <c r="P59" s="180">
        <f t="shared" si="74"/>
        <v>-567.20731627043801</v>
      </c>
      <c r="Q59" s="180">
        <f t="shared" si="74"/>
        <v>-35.707316270437914</v>
      </c>
      <c r="R59" s="180">
        <f t="shared" si="74"/>
        <v>-36.074516270437911</v>
      </c>
      <c r="S59" s="180">
        <f t="shared" si="74"/>
        <v>-59.623187828437914</v>
      </c>
      <c r="T59" s="180">
        <f t="shared" si="74"/>
        <v>-187.97998782843791</v>
      </c>
      <c r="U59" s="180">
        <f t="shared" si="74"/>
        <v>-458.8715878284379</v>
      </c>
      <c r="V59" s="180">
        <f t="shared" si="74"/>
        <v>-805.57621109643799</v>
      </c>
      <c r="W59" s="180">
        <f t="shared" si="74"/>
        <v>-839.58954340317382</v>
      </c>
      <c r="X59" s="180">
        <f t="shared" si="74"/>
        <v>-1886.7856956905691</v>
      </c>
      <c r="Y59" s="180">
        <f t="shared" si="74"/>
        <v>-1889.5486205205691</v>
      </c>
      <c r="Z59" s="180">
        <f t="shared" si="74"/>
        <v>-1889.5486205205691</v>
      </c>
      <c r="AA59" s="180">
        <f t="shared" si="74"/>
        <v>-1498.2612158891357</v>
      </c>
      <c r="AB59" s="180">
        <f t="shared" si="74"/>
        <v>-1505.8532585486355</v>
      </c>
      <c r="AC59" s="180">
        <f t="shared" si="74"/>
        <v>-1492.2831851786357</v>
      </c>
      <c r="AD59" s="180">
        <f t="shared" si="74"/>
        <v>-1505.8532585486355</v>
      </c>
      <c r="AE59" s="180">
        <f t="shared" si="74"/>
        <v>-1505.8532585486355</v>
      </c>
      <c r="AF59" s="180">
        <f t="shared" si="74"/>
        <v>-1574.6453012081356</v>
      </c>
      <c r="AG59" s="180">
        <f t="shared" si="74"/>
        <v>-1567.1335089641354</v>
      </c>
      <c r="AH59" s="180">
        <f t="shared" si="74"/>
        <v>-1567.1335089641354</v>
      </c>
      <c r="AI59" s="180">
        <f t="shared" si="74"/>
        <v>-1513.4453012081356</v>
      </c>
      <c r="AJ59" s="180">
        <f t="shared" si="74"/>
        <v>-59.204033583009597</v>
      </c>
      <c r="AK59" s="180">
        <f t="shared" si="74"/>
        <v>-56.441108753009601</v>
      </c>
      <c r="AL59" s="180">
        <f t="shared" ref="AL59:BM59" si="75">SUM(AL60:AL74)</f>
        <v>-24.385766794071682</v>
      </c>
      <c r="AM59" s="180">
        <f t="shared" si="75"/>
        <v>0</v>
      </c>
      <c r="AN59" s="180">
        <f t="shared" si="75"/>
        <v>0</v>
      </c>
      <c r="AO59" s="180">
        <f t="shared" si="75"/>
        <v>0</v>
      </c>
      <c r="AP59" s="180">
        <f t="shared" si="75"/>
        <v>0</v>
      </c>
      <c r="AQ59" s="180">
        <f t="shared" si="75"/>
        <v>0</v>
      </c>
      <c r="AR59" s="180">
        <f t="shared" si="75"/>
        <v>0</v>
      </c>
      <c r="AS59" s="180">
        <f t="shared" si="75"/>
        <v>0</v>
      </c>
      <c r="AT59" s="180">
        <f t="shared" si="75"/>
        <v>0</v>
      </c>
      <c r="AU59" s="180">
        <f t="shared" si="75"/>
        <v>0</v>
      </c>
      <c r="AV59" s="180">
        <f t="shared" si="75"/>
        <v>0</v>
      </c>
      <c r="AW59" s="180">
        <f t="shared" si="75"/>
        <v>0</v>
      </c>
      <c r="AX59" s="180">
        <f t="shared" si="75"/>
        <v>0</v>
      </c>
      <c r="AY59" s="180">
        <f t="shared" si="75"/>
        <v>0</v>
      </c>
      <c r="AZ59" s="180">
        <f t="shared" si="75"/>
        <v>0</v>
      </c>
      <c r="BA59" s="180">
        <f t="shared" si="75"/>
        <v>0</v>
      </c>
      <c r="BB59" s="180">
        <f t="shared" si="75"/>
        <v>0</v>
      </c>
      <c r="BC59" s="180">
        <f t="shared" si="75"/>
        <v>0</v>
      </c>
      <c r="BD59" s="180">
        <f t="shared" si="75"/>
        <v>0</v>
      </c>
      <c r="BE59" s="180">
        <f t="shared" si="75"/>
        <v>0</v>
      </c>
      <c r="BF59" s="180">
        <f t="shared" si="75"/>
        <v>0</v>
      </c>
      <c r="BG59" s="180">
        <f t="shared" si="75"/>
        <v>0</v>
      </c>
      <c r="BH59" s="180">
        <f t="shared" si="75"/>
        <v>0</v>
      </c>
      <c r="BI59" s="180">
        <f t="shared" si="75"/>
        <v>0</v>
      </c>
      <c r="BJ59" s="180">
        <f t="shared" si="75"/>
        <v>0</v>
      </c>
      <c r="BK59" s="180">
        <f t="shared" si="75"/>
        <v>0</v>
      </c>
      <c r="BL59" s="180">
        <f t="shared" si="75"/>
        <v>0</v>
      </c>
      <c r="BM59" s="180">
        <f t="shared" si="75"/>
        <v>0</v>
      </c>
    </row>
    <row r="60" spans="1:65">
      <c r="A60" s="149"/>
      <c r="B60" s="140" t="s">
        <v>31</v>
      </c>
      <c r="C60" s="27"/>
      <c r="D60" s="131" t="s">
        <v>19</v>
      </c>
      <c r="E60" s="141">
        <f t="shared" si="73"/>
        <v>-526.50000000000011</v>
      </c>
      <c r="F60" s="202">
        <f>SUMIFS(DETAILS!K$138:K$146,DETAILS!$C$138:$C$146,'CF2'!$D$2)/10^6</f>
        <v>0</v>
      </c>
      <c r="G60" s="202">
        <f>SUMIFS(DETAILS!L$138:L$146,DETAILS!$C$138:$C$146,'CF2'!$D$2)/10^6</f>
        <v>0</v>
      </c>
      <c r="H60" s="202">
        <f>SUMIFS(DETAILS!M$138:M$146,DETAILS!$C$138:$C$146,'CF2'!$D$2)/10^6</f>
        <v>0</v>
      </c>
      <c r="I60" s="202">
        <f>SUMIFS(DETAILS!N$138:N$146,DETAILS!$C$138:$C$146,'CF2'!$D$2)/10^6</f>
        <v>0</v>
      </c>
      <c r="J60" s="202">
        <f>SUMIFS(DETAILS!O$138:O$146,DETAILS!$C$138:$C$146,'CF2'!$D$2)/10^6</f>
        <v>0</v>
      </c>
      <c r="K60" s="202">
        <f>SUMIFS(DETAILS!P$138:P$146,DETAILS!$C$138:$C$146,'CF2'!$D$2)/10^6</f>
        <v>0</v>
      </c>
      <c r="L60" s="202">
        <f>SUMIFS(DETAILS!Q$138:Q$146,DETAILS!$C$138:$C$146,'CF2'!$D$2)/10^6</f>
        <v>0</v>
      </c>
      <c r="M60" s="202">
        <f>SUMIFS(DETAILS!R$138:R$146,DETAILS!$C$138:$C$146,'CF2'!$D$2)/10^6</f>
        <v>0</v>
      </c>
      <c r="N60" s="142">
        <f>SUMIFS(DETAILS!S$138:S$146,DETAILS!$C$138:$C$146,'CF2'!$D$2)/10^6</f>
        <v>0</v>
      </c>
      <c r="O60" s="142">
        <f>SUMIFS(DETAILS!T$138:T$146,DETAILS!$C$138:$C$146,'CF2'!$D$2)/10^6</f>
        <v>0</v>
      </c>
      <c r="P60" s="142">
        <f>SUMIFS(DETAILS!U$138:U$146,DETAILS!$C$138:$C$146,'CF2'!$D$2)/10^6</f>
        <v>-526.50000000000011</v>
      </c>
      <c r="Q60" s="142">
        <f>SUMIFS(DETAILS!V$138:V$146,DETAILS!$C$138:$C$146,'CF2'!$D$2)/10^6</f>
        <v>0</v>
      </c>
      <c r="R60" s="142">
        <f>SUMIFS(DETAILS!W$138:W$146,DETAILS!$C$138:$C$146,'CF2'!$D$2)/10^6</f>
        <v>0</v>
      </c>
      <c r="S60" s="142">
        <f>SUMIFS(DETAILS!X$138:X$146,DETAILS!$C$138:$C$146,'CF2'!$D$2)/10^6</f>
        <v>0</v>
      </c>
      <c r="T60" s="142">
        <f>SUMIFS(DETAILS!Y$138:Y$146,DETAILS!$C$138:$C$146,'CF2'!$D$2)/10^6</f>
        <v>0</v>
      </c>
      <c r="U60" s="142">
        <f>SUMIFS(DETAILS!Z$138:Z$146,DETAILS!$C$138:$C$146,'CF2'!$D$2)/10^6</f>
        <v>0</v>
      </c>
      <c r="V60" s="142">
        <f>SUMIFS(DETAILS!AA$138:AA$146,DETAILS!$C$138:$C$146,'CF2'!$D$2)/10^6</f>
        <v>0</v>
      </c>
      <c r="W60" s="142">
        <f>SUMIFS(DETAILS!AB$138:AB$146,DETAILS!$C$138:$C$146,'CF2'!$D$2)/10^6</f>
        <v>0</v>
      </c>
      <c r="X60" s="142">
        <f>SUMIFS(DETAILS!AC$138:AC$146,DETAILS!$C$138:$C$146,'CF2'!$D$2)/10^6</f>
        <v>0</v>
      </c>
      <c r="Y60" s="142">
        <f>SUMIFS(DETAILS!AD$138:AD$146,DETAILS!$C$138:$C$146,'CF2'!$D$2)/10^6</f>
        <v>0</v>
      </c>
      <c r="Z60" s="142">
        <f>SUMIFS(DETAILS!AE$138:AE$146,DETAILS!$C$138:$C$146,'CF2'!$D$2)/10^6</f>
        <v>0</v>
      </c>
      <c r="AA60" s="142">
        <f>SUMIFS(DETAILS!AF$138:AF$146,DETAILS!$C$138:$C$146,'CF2'!$D$2)/10^6</f>
        <v>0</v>
      </c>
      <c r="AB60" s="142">
        <f>SUMIFS(DETAILS!AG$138:AG$146,DETAILS!$C$138:$C$146,'CF2'!$D$2)/10^6</f>
        <v>0</v>
      </c>
      <c r="AC60" s="142">
        <f>SUMIFS(DETAILS!AH$138:AH$146,DETAILS!$C$138:$C$146,'CF2'!$D$2)/10^6</f>
        <v>0</v>
      </c>
      <c r="AD60" s="142">
        <f>SUMIFS(DETAILS!AI$138:AI$146,DETAILS!$C$138:$C$146,'CF2'!$D$2)/10^6</f>
        <v>0</v>
      </c>
      <c r="AE60" s="142">
        <f>SUMIFS(DETAILS!AJ$138:AJ$146,DETAILS!$C$138:$C$146,'CF2'!$D$2)/10^6</f>
        <v>0</v>
      </c>
      <c r="AF60" s="142">
        <f>SUMIFS(DETAILS!AK$138:AK$146,DETAILS!$C$138:$C$146,'CF2'!$D$2)/10^6</f>
        <v>0</v>
      </c>
      <c r="AG60" s="142">
        <f>SUMIFS(DETAILS!AL$138:AL$146,DETAILS!$C$138:$C$146,'CF2'!$D$2)/10^6</f>
        <v>0</v>
      </c>
      <c r="AH60" s="142">
        <f>SUMIFS(DETAILS!AM$138:AM$146,DETAILS!$C$138:$C$146,'CF2'!$D$2)/10^6</f>
        <v>0</v>
      </c>
      <c r="AI60" s="142">
        <f>SUMIFS(DETAILS!AN$138:AN$146,DETAILS!$C$138:$C$146,'CF2'!$D$2)/10^6</f>
        <v>0</v>
      </c>
      <c r="AJ60" s="142">
        <f>SUMIFS(DETAILS!AO$138:AO$146,DETAILS!$C$138:$C$146,'CF2'!$D$2)/10^6</f>
        <v>0</v>
      </c>
      <c r="AK60" s="142">
        <f>SUMIFS(DETAILS!AP$138:AP$146,DETAILS!$C$138:$C$146,'CF2'!$D$2)/10^6</f>
        <v>0</v>
      </c>
      <c r="AL60" s="142">
        <f>SUMIFS(DETAILS!AQ$138:AQ$146,DETAILS!$C$138:$C$146,'CF2'!$D$2)/10^6</f>
        <v>0</v>
      </c>
      <c r="AM60" s="142">
        <f>SUMIFS(DETAILS!AR$138:AR$146,DETAILS!$C$138:$C$146,'CF2'!$D$2)/10^6</f>
        <v>0</v>
      </c>
      <c r="AN60" s="142">
        <f>SUMIFS(DETAILS!AS$138:AS$146,DETAILS!$C$138:$C$146,'CF2'!$D$2)/10^6</f>
        <v>0</v>
      </c>
      <c r="AO60" s="142">
        <f>SUMIFS(DETAILS!AT$138:AT$146,DETAILS!$C$138:$C$146,'CF2'!$D$2)/10^6</f>
        <v>0</v>
      </c>
      <c r="AP60" s="142">
        <f>SUMIFS(DETAILS!AU$138:AU$146,DETAILS!$C$138:$C$146,'CF2'!$D$2)/10^6</f>
        <v>0</v>
      </c>
      <c r="AQ60" s="142">
        <f>SUMIFS(DETAILS!AV$138:AV$146,DETAILS!$C$138:$C$146,'CF2'!$D$2)/10^6</f>
        <v>0</v>
      </c>
      <c r="AR60" s="142">
        <f>SUMIFS(DETAILS!AW$138:AW$146,DETAILS!$C$138:$C$146,'CF2'!$D$2)/10^6</f>
        <v>0</v>
      </c>
      <c r="AS60" s="142">
        <f>SUMIFS(DETAILS!AX$138:AX$146,DETAILS!$C$138:$C$146,'CF2'!$D$2)/10^6</f>
        <v>0</v>
      </c>
      <c r="AT60" s="142">
        <f>SUMIFS(DETAILS!AY$138:AY$146,DETAILS!$C$138:$C$146,'CF2'!$D$2)/10^6</f>
        <v>0</v>
      </c>
      <c r="AU60" s="142">
        <f>SUMIFS(DETAILS!AZ$138:AZ$146,DETAILS!$C$138:$C$146,'CF2'!$D$2)/10^6</f>
        <v>0</v>
      </c>
      <c r="AV60" s="142">
        <f>SUMIFS(DETAILS!BA$138:BA$146,DETAILS!$C$138:$C$146,'CF2'!$D$2)/10^6</f>
        <v>0</v>
      </c>
      <c r="AW60" s="142">
        <f>SUMIFS(DETAILS!BB$138:BB$146,DETAILS!$C$138:$C$146,'CF2'!$D$2)/10^6</f>
        <v>0</v>
      </c>
      <c r="AX60" s="142">
        <f>SUMIFS(DETAILS!BC$138:BC$146,DETAILS!$C$138:$C$146,'CF2'!$D$2)/10^6</f>
        <v>0</v>
      </c>
      <c r="AY60" s="142">
        <f>SUMIFS(DETAILS!BD$138:BD$146,DETAILS!$C$138:$C$146,'CF2'!$D$2)/10^6</f>
        <v>0</v>
      </c>
      <c r="AZ60" s="142">
        <f>SUMIFS(DETAILS!BE$138:BE$146,DETAILS!$C$138:$C$146,'CF2'!$D$2)/10^6</f>
        <v>0</v>
      </c>
      <c r="BA60" s="142">
        <f>SUMIFS(DETAILS!BF$138:BF$146,DETAILS!$C$138:$C$146,'CF2'!$D$2)/10^6</f>
        <v>0</v>
      </c>
      <c r="BB60" s="142">
        <f>SUMIFS(DETAILS!BG$138:BG$146,DETAILS!$C$138:$C$146,'CF2'!$D$2)/10^6</f>
        <v>0</v>
      </c>
      <c r="BC60" s="142">
        <f>SUMIFS(DETAILS!BH$138:BH$146,DETAILS!$C$138:$C$146,'CF2'!$D$2)/10^6</f>
        <v>0</v>
      </c>
      <c r="BD60" s="142">
        <f>SUMIFS(DETAILS!BI$138:BI$146,DETAILS!$C$138:$C$146,'CF2'!$D$2)/10^6</f>
        <v>0</v>
      </c>
      <c r="BE60" s="142">
        <f>SUMIFS(DETAILS!BJ$138:BJ$146,DETAILS!$C$138:$C$146,'CF2'!$D$2)/10^6</f>
        <v>0</v>
      </c>
      <c r="BF60" s="142">
        <f>SUMIFS(DETAILS!BK$138:BK$146,DETAILS!$C$138:$C$146,'CF2'!$D$2)/10^6</f>
        <v>0</v>
      </c>
      <c r="BG60" s="142">
        <f>SUMIFS(DETAILS!BL$138:BL$146,DETAILS!$C$138:$C$146,'CF2'!$D$2)/10^6</f>
        <v>0</v>
      </c>
      <c r="BH60" s="142">
        <f>SUMIFS(DETAILS!BM$138:BM$146,DETAILS!$C$138:$C$146,'CF2'!$D$2)/10^6</f>
        <v>0</v>
      </c>
      <c r="BI60" s="142">
        <f>SUMIFS(DETAILS!BN$138:BN$146,DETAILS!$C$138:$C$146,'CF2'!$D$2)/10^6</f>
        <v>0</v>
      </c>
      <c r="BJ60" s="142">
        <f>SUMIFS(DETAILS!BO$138:BO$146,DETAILS!$C$138:$C$146,'CF2'!$D$2)/10^6</f>
        <v>0</v>
      </c>
      <c r="BK60" s="142">
        <f>SUMIFS(DETAILS!BP$138:BP$146,DETAILS!$C$138:$C$146,'CF2'!$D$2)/10^6</f>
        <v>0</v>
      </c>
      <c r="BL60" s="142">
        <f>SUMIFS(DETAILS!BQ$138:BQ$146,DETAILS!$C$138:$C$146,'CF2'!$D$2)/10^6</f>
        <v>0</v>
      </c>
      <c r="BM60" s="142">
        <f>SUMIFS(DETAILS!BR$138:BR$146,DETAILS!$C$138:$C$146,'CF2'!$D$2)/10^6</f>
        <v>0</v>
      </c>
    </row>
    <row r="61" spans="1:65">
      <c r="A61" s="149"/>
      <c r="B61" s="140" t="s">
        <v>10</v>
      </c>
      <c r="C61" s="27"/>
      <c r="D61" s="131" t="s">
        <v>19</v>
      </c>
      <c r="E61" s="141">
        <f t="shared" si="73"/>
        <v>-1955.3218872308821</v>
      </c>
      <c r="F61" s="382">
        <f>(DETAILS!K277+DETAILS!K278+DETAILS!K279)/1000000</f>
        <v>0</v>
      </c>
      <c r="G61" s="382">
        <f>(DETAILS!L277+DETAILS!L278+DETAILS!L279)/1000000</f>
        <v>0</v>
      </c>
      <c r="H61" s="382">
        <f>(DETAILS!M277+DETAILS!M278+DETAILS!M279)/1000000</f>
        <v>0</v>
      </c>
      <c r="I61" s="382">
        <f>(DETAILS!N277+DETAILS!N278+DETAILS!N279)/1000000</f>
        <v>0</v>
      </c>
      <c r="J61" s="382">
        <f>(DETAILS!O277+DETAILS!O278+DETAILS!O279)/1000000</f>
        <v>0</v>
      </c>
      <c r="K61" s="382">
        <f>(DETAILS!P277+DETAILS!P278+DETAILS!P279)/1000000</f>
        <v>0</v>
      </c>
      <c r="L61" s="382">
        <f>(DETAILS!Q277+DETAILS!Q278+DETAILS!Q279)/1000000</f>
        <v>0</v>
      </c>
      <c r="M61" s="382">
        <f>(DETAILS!R277+DETAILS!R278+DETAILS!R279)/1000000</f>
        <v>0</v>
      </c>
      <c r="N61" s="144">
        <f>(DETAILS!S277+DETAILS!S278+DETAILS!S279)/1000000</f>
        <v>0</v>
      </c>
      <c r="O61" s="144">
        <f>(DETAILS!T277+DETAILS!T278+DETAILS!T279)/1000000</f>
        <v>0</v>
      </c>
      <c r="P61" s="144">
        <f>(DETAILS!U277+DETAILS!U278+DETAILS!U279)/1000000</f>
        <v>0</v>
      </c>
      <c r="Q61" s="144">
        <f>(DETAILS!V277+DETAILS!V278+DETAILS!V279)/1000000</f>
        <v>0</v>
      </c>
      <c r="R61" s="144">
        <f>(DETAILS!W277+DETAILS!W278+DETAILS!W279)/1000000</f>
        <v>0</v>
      </c>
      <c r="S61" s="144">
        <f>(DETAILS!X277+DETAILS!X278+DETAILS!X279)/1000000</f>
        <v>0</v>
      </c>
      <c r="T61" s="144">
        <f>(DETAILS!Y277+DETAILS!Y278+DETAILS!Y279)/1000000</f>
        <v>0</v>
      </c>
      <c r="U61" s="144">
        <f>(DETAILS!Z277+DETAILS!Z278+DETAILS!Z279)/1000000</f>
        <v>0</v>
      </c>
      <c r="V61" s="144">
        <f>(DETAILS!AA277+DETAILS!AA278+DETAILS!AA279)/1000000</f>
        <v>0</v>
      </c>
      <c r="W61" s="144">
        <f>(DETAILS!AB277+DETAILS!AB278+DETAILS!AB279)/1000000</f>
        <v>-415.6731714255053</v>
      </c>
      <c r="X61" s="144">
        <f>(DETAILS!AC277+DETAILS!AC278+DETAILS!AC279)/1000000</f>
        <v>-415.6731714255053</v>
      </c>
      <c r="Y61" s="144">
        <f>(DETAILS!AD277+DETAILS!AD278+DETAILS!AD279)/1000000</f>
        <v>-415.6731714255053</v>
      </c>
      <c r="Z61" s="144">
        <f>(DETAILS!AE277+DETAILS!AE278+DETAILS!AE279)/1000000</f>
        <v>-415.6731714255053</v>
      </c>
      <c r="AA61" s="144">
        <f>(DETAILS!AF277+DETAILS!AF278+DETAILS!AF279)/1000000</f>
        <v>-24.385766794071682</v>
      </c>
      <c r="AB61" s="144">
        <f>(DETAILS!AG277+DETAILS!AG278+DETAILS!AG279)/1000000</f>
        <v>-24.385766794071682</v>
      </c>
      <c r="AC61" s="144">
        <f>(DETAILS!AH277+DETAILS!AH278+DETAILS!AH279)/1000000</f>
        <v>-24.385766794071682</v>
      </c>
      <c r="AD61" s="144">
        <f>(DETAILS!AI277+DETAILS!AI278+DETAILS!AI279)/1000000</f>
        <v>-24.385766794071682</v>
      </c>
      <c r="AE61" s="144">
        <f>(DETAILS!AJ277+DETAILS!AJ278+DETAILS!AJ279)/1000000</f>
        <v>-24.385766794071682</v>
      </c>
      <c r="AF61" s="144">
        <f>(DETAILS!AK277+DETAILS!AK278+DETAILS!AK279)/1000000</f>
        <v>-24.385766794071682</v>
      </c>
      <c r="AG61" s="144">
        <f>(DETAILS!AL277+DETAILS!AL278+DETAILS!AL279)/1000000</f>
        <v>-24.385766794071682</v>
      </c>
      <c r="AH61" s="144">
        <f>(DETAILS!AM277+DETAILS!AM278+DETAILS!AM279)/1000000</f>
        <v>-24.385766794071682</v>
      </c>
      <c r="AI61" s="144">
        <f>(DETAILS!AN277+DETAILS!AN278+DETAILS!AN279)/1000000</f>
        <v>-24.385766794071682</v>
      </c>
      <c r="AJ61" s="144">
        <f>(DETAILS!AO277+DETAILS!AO278+DETAILS!AO279)/1000000</f>
        <v>-24.385766794071682</v>
      </c>
      <c r="AK61" s="144">
        <f>(DETAILS!AP277+DETAILS!AP278+DETAILS!AP279)/1000000</f>
        <v>-24.385766794071682</v>
      </c>
      <c r="AL61" s="144">
        <f>(DETAILS!AQ277+DETAILS!AQ278+DETAILS!AQ279)/1000000</f>
        <v>-24.385766794071682</v>
      </c>
      <c r="AM61" s="144">
        <f>(DETAILS!AR277+DETAILS!AR278+DETAILS!AR279)/1000000</f>
        <v>0</v>
      </c>
      <c r="AN61" s="144">
        <f>(DETAILS!AS277+DETAILS!AS278+DETAILS!AS279)/1000000</f>
        <v>0</v>
      </c>
      <c r="AO61" s="144">
        <f>(DETAILS!AT277+DETAILS!AT278+DETAILS!AT279)/1000000</f>
        <v>0</v>
      </c>
      <c r="AP61" s="144">
        <f>(DETAILS!AU277+DETAILS!AU278+DETAILS!AU279)/1000000</f>
        <v>0</v>
      </c>
      <c r="AQ61" s="144">
        <f>(DETAILS!AV277+DETAILS!AV278+DETAILS!AV279)/1000000</f>
        <v>0</v>
      </c>
      <c r="AR61" s="144">
        <f>(DETAILS!AW277+DETAILS!AW278+DETAILS!AW279)/1000000</f>
        <v>0</v>
      </c>
      <c r="AS61" s="144">
        <f>(DETAILS!AX277+DETAILS!AX278+DETAILS!AX279)/1000000</f>
        <v>0</v>
      </c>
      <c r="AT61" s="144">
        <f>(DETAILS!AY277+DETAILS!AY278+DETAILS!AY279)/1000000</f>
        <v>0</v>
      </c>
      <c r="AU61" s="144">
        <f>(DETAILS!AZ277+DETAILS!AZ278+DETAILS!AZ279)/1000000</f>
        <v>0</v>
      </c>
      <c r="AV61" s="144">
        <f>(DETAILS!BA277+DETAILS!BA278+DETAILS!BA279)/1000000</f>
        <v>0</v>
      </c>
      <c r="AW61" s="144">
        <f>(DETAILS!BB277+DETAILS!BB278+DETAILS!BB279)/1000000</f>
        <v>0</v>
      </c>
      <c r="AX61" s="144">
        <f>(DETAILS!BC277+DETAILS!BC278+DETAILS!BC279)/1000000</f>
        <v>0</v>
      </c>
      <c r="AY61" s="144">
        <f>(DETAILS!BD277+DETAILS!BD278+DETAILS!BD279)/1000000</f>
        <v>0</v>
      </c>
      <c r="AZ61" s="144">
        <f>(DETAILS!BE277+DETAILS!BE278+DETAILS!BE279)/1000000</f>
        <v>0</v>
      </c>
      <c r="BA61" s="144">
        <f>(DETAILS!BF277+DETAILS!BF278+DETAILS!BF279)/1000000</f>
        <v>0</v>
      </c>
      <c r="BB61" s="144">
        <f>(DETAILS!BG277+DETAILS!BG278+DETAILS!BG279)/1000000</f>
        <v>0</v>
      </c>
      <c r="BC61" s="144">
        <f>(DETAILS!BH277+DETAILS!BH278+DETAILS!BH279)/1000000</f>
        <v>0</v>
      </c>
      <c r="BD61" s="144">
        <f>(DETAILS!BI277+DETAILS!BI278+DETAILS!BI279)/1000000</f>
        <v>0</v>
      </c>
      <c r="BE61" s="144">
        <f>(DETAILS!BJ277+DETAILS!BJ278+DETAILS!BJ279)/1000000</f>
        <v>0</v>
      </c>
      <c r="BF61" s="144">
        <f>(DETAILS!BK277+DETAILS!BK278+DETAILS!BK279)/1000000</f>
        <v>0</v>
      </c>
      <c r="BG61" s="144">
        <f>(DETAILS!BL277+DETAILS!BL278+DETAILS!BL279)/1000000</f>
        <v>0</v>
      </c>
      <c r="BH61" s="144">
        <f>(DETAILS!BM277+DETAILS!BM278+DETAILS!BM279)/1000000</f>
        <v>0</v>
      </c>
      <c r="BI61" s="144">
        <f>(DETAILS!BN277+DETAILS!BN278+DETAILS!BN279)/1000000</f>
        <v>0</v>
      </c>
      <c r="BJ61" s="144">
        <f>(DETAILS!BO277+DETAILS!BO278+DETAILS!BO279)/1000000</f>
        <v>0</v>
      </c>
      <c r="BK61" s="144">
        <f>(DETAILS!BP277+DETAILS!BP278+DETAILS!BP279)/1000000</f>
        <v>0</v>
      </c>
      <c r="BL61" s="144">
        <f>(DETAILS!BQ277+DETAILS!BQ278+DETAILS!BQ279)/1000000</f>
        <v>0</v>
      </c>
      <c r="BM61" s="144">
        <f>(DETAILS!BR277+DETAILS!BR278+DETAILS!BR279)/1000000</f>
        <v>0</v>
      </c>
    </row>
    <row r="62" spans="1:65">
      <c r="A62" s="149"/>
      <c r="B62" s="140" t="s">
        <v>889</v>
      </c>
      <c r="C62" s="27"/>
      <c r="D62" s="131" t="s">
        <v>19</v>
      </c>
      <c r="E62" s="141">
        <f t="shared" si="73"/>
        <v>-114.06467264900002</v>
      </c>
      <c r="F62" s="202">
        <f>SUMIFS(DETAILS!K$281:K$286,DETAILS!$C$281:$C$286,'CF2'!$D$2)/10^6*F174</f>
        <v>0</v>
      </c>
      <c r="G62" s="202">
        <f>SUMIFS(DETAILS!L$281:L$286,DETAILS!$C$281:$C$286,'CF2'!$D$2)/10^6*G174</f>
        <v>0</v>
      </c>
      <c r="H62" s="202">
        <f>SUMIFS(DETAILS!M$281:M$286,DETAILS!$C$281:$C$286,'CF2'!$D$2)/10^6*H174</f>
        <v>0</v>
      </c>
      <c r="I62" s="202">
        <f>SUMIFS(DETAILS!N$281:N$286,DETAILS!$C$281:$C$286,'CF2'!$D$2)/10^6*I174</f>
        <v>0</v>
      </c>
      <c r="J62" s="202">
        <f>SUMIFS(DETAILS!O$281:O$286,DETAILS!$C$281:$C$286,'CF2'!$D$2)/10^6*J174</f>
        <v>0</v>
      </c>
      <c r="K62" s="202">
        <f>SUMIFS(DETAILS!P$281:P$286,DETAILS!$C$281:$C$286,'CF2'!$D$2)/10^6*K174</f>
        <v>0</v>
      </c>
      <c r="L62" s="202">
        <f>SUMIFS(DETAILS!Q$281:Q$286,DETAILS!$C$281:$C$286,'CF2'!$D$2)/10^6*L174</f>
        <v>0</v>
      </c>
      <c r="M62" s="202">
        <f>SUMIFS(DETAILS!R$281:R$286,DETAILS!$C$281:$C$286,'CF2'!$D$2)/10^6*M174</f>
        <v>0</v>
      </c>
      <c r="N62" s="142">
        <f>SUMIFS(DETAILS!S$281:S$286,DETAILS!$C$281:$C$286,'CF2'!$D$2)/10^6*N174</f>
        <v>-1.7960160734999997</v>
      </c>
      <c r="O62" s="142">
        <f>SUMIFS(DETAILS!T$281:T$286,DETAILS!$C$281:$C$286,'CF2'!$D$2)/10^6*O174</f>
        <v>-1.7960160734999997</v>
      </c>
      <c r="P62" s="142">
        <f>SUMIFS(DETAILS!U$281:U$286,DETAILS!$C$281:$C$286,'CF2'!$D$2)/10^6*P174</f>
        <v>-6.7960160734999997</v>
      </c>
      <c r="Q62" s="142">
        <f>SUMIFS(DETAILS!V$281:V$286,DETAILS!$C$281:$C$286,'CF2'!$D$2)/10^6*Q174</f>
        <v>-1.7960160734999997</v>
      </c>
      <c r="R62" s="142">
        <f>SUMIFS(DETAILS!W$281:W$286,DETAILS!$C$281:$C$286,'CF2'!$D$2)/10^6*R174</f>
        <v>-1.7960160734999997</v>
      </c>
      <c r="S62" s="142">
        <f>SUMIFS(DETAILS!X$281:X$286,DETAILS!$C$281:$C$286,'CF2'!$D$2)/10^6*S174</f>
        <v>-1.7960160734999997</v>
      </c>
      <c r="T62" s="142">
        <f>SUMIFS(DETAILS!Y$281:Y$286,DETAILS!$C$281:$C$286,'CF2'!$D$2)/10^6*T174</f>
        <v>-1.7960160734999997</v>
      </c>
      <c r="U62" s="142">
        <f>SUMIFS(DETAILS!Z$281:Z$286,DETAILS!$C$281:$C$286,'CF2'!$D$2)/10^6*U174</f>
        <v>-1.7960160734999997</v>
      </c>
      <c r="V62" s="142">
        <f>SUMIFS(DETAILS!AA$281:AA$286,DETAILS!$C$281:$C$286,'CF2'!$D$2)/10^6*V174</f>
        <v>-1.7960160734999997</v>
      </c>
      <c r="W62" s="142">
        <f>SUMIFS(DETAILS!AB$281:AB$286,DETAILS!$C$281:$C$286,'CF2'!$D$2)/10^6*W174</f>
        <v>-1.7960160734999997</v>
      </c>
      <c r="X62" s="142">
        <f>SUMIFS(DETAILS!AC$281:AC$286,DETAILS!$C$281:$C$286,'CF2'!$D$2)/10^6*X174</f>
        <v>0</v>
      </c>
      <c r="Y62" s="142">
        <f>SUMIFS(DETAILS!AD$281:AD$286,DETAILS!$C$281:$C$286,'CF2'!$D$2)/10^6*Y174</f>
        <v>0</v>
      </c>
      <c r="Z62" s="142">
        <f>SUMIFS(DETAILS!AE$281:AE$286,DETAILS!$C$281:$C$286,'CF2'!$D$2)/10^6*Z174</f>
        <v>0</v>
      </c>
      <c r="AA62" s="142">
        <f>SUMIFS(DETAILS!AF$281:AF$286,DETAILS!$C$281:$C$286,'CF2'!$D$2)/10^6*AA174</f>
        <v>0</v>
      </c>
      <c r="AB62" s="142">
        <f>SUMIFS(DETAILS!AG$281:AG$286,DETAILS!$C$281:$C$286,'CF2'!$D$2)/10^6*AB174</f>
        <v>-7.5920426594999997</v>
      </c>
      <c r="AC62" s="142">
        <f>SUMIFS(DETAILS!AH$281:AH$286,DETAILS!$C$281:$C$286,'CF2'!$D$2)/10^6*AC174</f>
        <v>-7.5920426594999997</v>
      </c>
      <c r="AD62" s="142">
        <f>SUMIFS(DETAILS!AI$281:AI$286,DETAILS!$C$281:$C$286,'CF2'!$D$2)/10^6*AD174</f>
        <v>-7.5920426594999997</v>
      </c>
      <c r="AE62" s="142">
        <f>SUMIFS(DETAILS!AJ$281:AJ$286,DETAILS!$C$281:$C$286,'CF2'!$D$2)/10^6*AE174</f>
        <v>-7.5920426594999997</v>
      </c>
      <c r="AF62" s="142">
        <f>SUMIFS(DETAILS!AK$281:AK$286,DETAILS!$C$281:$C$286,'CF2'!$D$2)/10^6*AF174</f>
        <v>-15.184085318999999</v>
      </c>
      <c r="AG62" s="142">
        <f>SUMIFS(DETAILS!AL$281:AL$286,DETAILS!$C$281:$C$286,'CF2'!$D$2)/10^6*AG174</f>
        <v>-15.184085318999999</v>
      </c>
      <c r="AH62" s="142">
        <f>SUMIFS(DETAILS!AM$281:AM$286,DETAILS!$C$281:$C$286,'CF2'!$D$2)/10^6*AH174</f>
        <v>-15.184085318999999</v>
      </c>
      <c r="AI62" s="142">
        <f>SUMIFS(DETAILS!AN$281:AN$286,DETAILS!$C$281:$C$286,'CF2'!$D$2)/10^6*AI174</f>
        <v>-15.184085318999999</v>
      </c>
      <c r="AJ62" s="142">
        <f>SUMIFS(DETAILS!AO$281:AO$286,DETAILS!$C$281:$C$286,'CF2'!$D$2)/10^6*AJ174</f>
        <v>0</v>
      </c>
      <c r="AK62" s="142">
        <f>SUMIFS(DETAILS!AP$281:AP$286,DETAILS!$C$281:$C$286,'CF2'!$D$2)/10^6*AK174</f>
        <v>0</v>
      </c>
      <c r="AL62" s="142">
        <f>SUMIFS(DETAILS!AQ$281:AQ$286,DETAILS!$C$281:$C$286,'CF2'!$D$2)/10^6*AL174</f>
        <v>0</v>
      </c>
      <c r="AM62" s="142">
        <f>SUMIFS(DETAILS!AR$281:AR$286,DETAILS!$C$281:$C$286,'CF2'!$D$2)/10^6*AM174</f>
        <v>0</v>
      </c>
      <c r="AN62" s="142">
        <f>SUMIFS(DETAILS!AS$281:AS$286,DETAILS!$C$281:$C$286,'CF2'!$D$2)/10^6*AN174</f>
        <v>0</v>
      </c>
      <c r="AO62" s="142">
        <f>SUMIFS(DETAILS!AT$281:AT$286,DETAILS!$C$281:$C$286,'CF2'!$D$2)/10^6*AO174</f>
        <v>0</v>
      </c>
      <c r="AP62" s="142">
        <f>SUMIFS(DETAILS!AU$281:AU$286,DETAILS!$C$281:$C$286,'CF2'!$D$2)/10^6*AP174</f>
        <v>0</v>
      </c>
      <c r="AQ62" s="142">
        <f>SUMIFS(DETAILS!AV$281:AV$286,DETAILS!$C$281:$C$286,'CF2'!$D$2)/10^6*AQ174</f>
        <v>0</v>
      </c>
      <c r="AR62" s="142">
        <f>SUMIFS(DETAILS!AW$281:AW$286,DETAILS!$C$281:$C$286,'CF2'!$D$2)/10^6*AR174</f>
        <v>0</v>
      </c>
      <c r="AS62" s="142">
        <f>SUMIFS(DETAILS!AX$281:AX$286,DETAILS!$C$281:$C$286,'CF2'!$D$2)/10^6*AS174</f>
        <v>0</v>
      </c>
      <c r="AT62" s="142">
        <f>SUMIFS(DETAILS!AY$281:AY$286,DETAILS!$C$281:$C$286,'CF2'!$D$2)/10^6*AT174</f>
        <v>0</v>
      </c>
      <c r="AU62" s="142">
        <f>SUMIFS(DETAILS!AZ$281:AZ$286,DETAILS!$C$281:$C$286,'CF2'!$D$2)/10^6*AU174</f>
        <v>0</v>
      </c>
      <c r="AV62" s="142">
        <f>SUMIFS(DETAILS!BA$281:BA$286,DETAILS!$C$281:$C$286,'CF2'!$D$2)/10^6*AV174</f>
        <v>0</v>
      </c>
      <c r="AW62" s="142">
        <f>SUMIFS(DETAILS!BB$281:BB$286,DETAILS!$C$281:$C$286,'CF2'!$D$2)/10^6*AW174</f>
        <v>0</v>
      </c>
      <c r="AX62" s="142">
        <f>SUMIFS(DETAILS!BC$281:BC$286,DETAILS!$C$281:$C$286,'CF2'!$D$2)/10^6*AX174</f>
        <v>0</v>
      </c>
      <c r="AY62" s="142">
        <f>SUMIFS(DETAILS!BD$281:BD$286,DETAILS!$C$281:$C$286,'CF2'!$D$2)/10^6*AY174</f>
        <v>0</v>
      </c>
      <c r="AZ62" s="142">
        <f>SUMIFS(DETAILS!BE$281:BE$286,DETAILS!$C$281:$C$286,'CF2'!$D$2)/10^6*AZ174</f>
        <v>0</v>
      </c>
      <c r="BA62" s="142">
        <f>SUMIFS(DETAILS!BF$281:BF$286,DETAILS!$C$281:$C$286,'CF2'!$D$2)/10^6*BA174</f>
        <v>0</v>
      </c>
      <c r="BB62" s="142">
        <f>SUMIFS(DETAILS!BG$281:BG$286,DETAILS!$C$281:$C$286,'CF2'!$D$2)/10^6*BB174</f>
        <v>0</v>
      </c>
      <c r="BC62" s="142">
        <f>SUMIFS(DETAILS!BH$281:BH$286,DETAILS!$C$281:$C$286,'CF2'!$D$2)/10^6*BC174</f>
        <v>0</v>
      </c>
      <c r="BD62" s="142">
        <f>SUMIFS(DETAILS!BI$281:BI$286,DETAILS!$C$281:$C$286,'CF2'!$D$2)/10^6*BD174</f>
        <v>0</v>
      </c>
      <c r="BE62" s="142">
        <f>SUMIFS(DETAILS!BJ$281:BJ$286,DETAILS!$C$281:$C$286,'CF2'!$D$2)/10^6*BE174</f>
        <v>0</v>
      </c>
      <c r="BF62" s="142">
        <f>SUMIFS(DETAILS!BK$281:BK$286,DETAILS!$C$281:$C$286,'CF2'!$D$2)/10^6*BF174</f>
        <v>0</v>
      </c>
      <c r="BG62" s="142">
        <f>SUMIFS(DETAILS!BL$281:BL$286,DETAILS!$C$281:$C$286,'CF2'!$D$2)/10^6*BG174</f>
        <v>0</v>
      </c>
      <c r="BH62" s="142">
        <f>SUMIFS(DETAILS!BM$281:BM$286,DETAILS!$C$281:$C$286,'CF2'!$D$2)/10^6*BH174</f>
        <v>0</v>
      </c>
      <c r="BI62" s="142">
        <f>SUMIFS(DETAILS!BN$281:BN$286,DETAILS!$C$281:$C$286,'CF2'!$D$2)/10^6*BI174</f>
        <v>0</v>
      </c>
      <c r="BJ62" s="142">
        <f>SUMIFS(DETAILS!BO$281:BO$286,DETAILS!$C$281:$C$286,'CF2'!$D$2)/10^6*BJ174</f>
        <v>0</v>
      </c>
      <c r="BK62" s="142">
        <f>SUMIFS(DETAILS!BP$281:BP$286,DETAILS!$C$281:$C$286,'CF2'!$D$2)/10^6*BK174</f>
        <v>0</v>
      </c>
      <c r="BL62" s="142">
        <f>SUMIFS(DETAILS!BQ$281:BQ$286,DETAILS!$C$281:$C$286,'CF2'!$D$2)/10^6*BL174</f>
        <v>0</v>
      </c>
      <c r="BM62" s="142">
        <f>SUMIFS(DETAILS!BR$281:BR$286,DETAILS!$C$281:$C$286,'CF2'!$D$2)/10^6*BM174</f>
        <v>0</v>
      </c>
    </row>
    <row r="63" spans="1:65">
      <c r="A63" s="149"/>
      <c r="B63" s="140" t="str">
        <f>'DB2'!B31</f>
        <v>ПРОЕКТИРОВАНИЕ (П+РД)</v>
      </c>
      <c r="C63" s="27"/>
      <c r="D63" s="131" t="s">
        <v>19</v>
      </c>
      <c r="E63" s="141">
        <f t="shared" si="73"/>
        <v>-627.9649740000001</v>
      </c>
      <c r="F63" s="202">
        <f>SUMIFS(DETAILS!K$148:K$222,DETAILS!$C$148:$C$222,'CF2'!$D$2)/10^6</f>
        <v>0</v>
      </c>
      <c r="G63" s="202">
        <f>SUMIFS(DETAILS!L$148:L$222,DETAILS!$C$148:$C$222,'CF2'!$D$2)/10^6</f>
        <v>0</v>
      </c>
      <c r="H63" s="202">
        <f>SUMIFS(DETAILS!M$148:M$222,DETAILS!$C$148:$C$222,'CF2'!$D$2)/10^6</f>
        <v>0</v>
      </c>
      <c r="I63" s="202">
        <f>SUMIFS(DETAILS!N$148:N$222,DETAILS!$C$148:$C$222,'CF2'!$D$2)/10^6</f>
        <v>0</v>
      </c>
      <c r="J63" s="202">
        <f>SUMIFS(DETAILS!O$148:O$222,DETAILS!$C$148:$C$222,'CF2'!$D$2)/10^6</f>
        <v>0</v>
      </c>
      <c r="K63" s="202">
        <f>SUMIFS(DETAILS!P$148:P$222,DETAILS!$C$148:$C$222,'CF2'!$D$2)/10^6</f>
        <v>0</v>
      </c>
      <c r="L63" s="202">
        <f>SUMIFS(DETAILS!Q$148:Q$222,DETAILS!$C$148:$C$222,'CF2'!$D$2)/10^6</f>
        <v>0</v>
      </c>
      <c r="M63" s="202">
        <f>SUMIFS(DETAILS!R$148:R$222,DETAILS!$C$148:$C$222,'CF2'!$D$2)/10^6</f>
        <v>0</v>
      </c>
      <c r="N63" s="142">
        <f>SUMIFS(DETAILS!S$148:S$222,DETAILS!$C$148:$C$222,'CF2'!$D$2)/10^6</f>
        <v>0.88693290000000002</v>
      </c>
      <c r="O63" s="142">
        <f>SUMIFS(DETAILS!T$148:T$222,DETAILS!$C$148:$C$222,'CF2'!$D$2)/10^6</f>
        <v>0.88693290000000002</v>
      </c>
      <c r="P63" s="142">
        <f>SUMIFS(DETAILS!U$148:U$222,DETAILS!$C$148:$C$222,'CF2'!$D$2)/10^6</f>
        <v>0.88693290000000002</v>
      </c>
      <c r="Q63" s="142">
        <f>SUMIFS(DETAILS!V$148:V$222,DETAILS!$C$148:$C$222,'CF2'!$D$2)/10^6</f>
        <v>0.88693290000000002</v>
      </c>
      <c r="R63" s="142">
        <f>SUMIFS(DETAILS!W$148:W$222,DETAILS!$C$148:$C$222,'CF2'!$D$2)/10^6</f>
        <v>0.88693290000000002</v>
      </c>
      <c r="S63" s="142">
        <f>SUMIFS(DETAILS!X$148:X$222,DETAILS!$C$148:$C$222,'CF2'!$D$2)/10^6</f>
        <v>-22.2</v>
      </c>
      <c r="T63" s="142">
        <f>SUMIFS(DETAILS!Y$148:Y$222,DETAILS!$C$148:$C$222,'CF2'!$D$2)/10^6</f>
        <v>-45.8</v>
      </c>
      <c r="U63" s="142">
        <f>SUMIFS(DETAILS!Z$148:Z$222,DETAILS!$C$148:$C$222,'CF2'!$D$2)/10^6</f>
        <v>-61.68</v>
      </c>
      <c r="V63" s="142">
        <f>SUMIFS(DETAILS!AA$148:AA$222,DETAILS!$C$148:$C$222,'CF2'!$D$2)/10^6</f>
        <v>-211.12</v>
      </c>
      <c r="W63" s="142">
        <f>SUMIFS(DETAILS!AB$148:AB$222,DETAILS!$C$148:$C$222,'CF2'!$D$2)/10^6</f>
        <v>-6</v>
      </c>
      <c r="X63" s="142">
        <f>SUMIFS(DETAILS!AC$148:AC$222,DETAILS!$C$148:$C$222,'CF2'!$D$2)/10^6</f>
        <v>-19.908636000000001</v>
      </c>
      <c r="Y63" s="142">
        <f>SUMIFS(DETAILS!AD$148:AD$222,DETAILS!$C$148:$C$222,'CF2'!$D$2)/10^6</f>
        <v>-19.908636000000001</v>
      </c>
      <c r="Z63" s="142">
        <f>SUMIFS(DETAILS!AE$148:AE$222,DETAILS!$C$148:$C$222,'CF2'!$D$2)/10^6</f>
        <v>-19.908636000000001</v>
      </c>
      <c r="AA63" s="142">
        <f>SUMIFS(DETAILS!AF$148:AF$222,DETAILS!$C$148:$C$222,'CF2'!$D$2)/10^6</f>
        <v>-19.908636000000001</v>
      </c>
      <c r="AB63" s="142">
        <f>SUMIFS(DETAILS!AG$148:AG$222,DETAILS!$C$148:$C$222,'CF2'!$D$2)/10^6</f>
        <v>-19.908636000000001</v>
      </c>
      <c r="AC63" s="142">
        <f>SUMIFS(DETAILS!AH$148:AH$222,DETAILS!$C$148:$C$222,'CF2'!$D$2)/10^6</f>
        <v>-6.6046424999999997</v>
      </c>
      <c r="AD63" s="142">
        <f>SUMIFS(DETAILS!AI$148:AI$222,DETAILS!$C$148:$C$222,'CF2'!$D$2)/10^6</f>
        <v>-19.908636000000001</v>
      </c>
      <c r="AE63" s="142">
        <f>SUMIFS(DETAILS!AJ$148:AJ$222,DETAILS!$C$148:$C$222,'CF2'!$D$2)/10^6</f>
        <v>-19.908636000000001</v>
      </c>
      <c r="AF63" s="142">
        <f>SUMIFS(DETAILS!AK$148:AK$222,DETAILS!$C$148:$C$222,'CF2'!$D$2)/10^6</f>
        <v>-79.908636000000001</v>
      </c>
      <c r="AG63" s="142">
        <f>SUMIFS(DETAILS!AL$148:AL$222,DETAILS!$C$148:$C$222,'CF2'!$D$2)/10^6</f>
        <v>-19.908636000000001</v>
      </c>
      <c r="AH63" s="142">
        <f>SUMIFS(DETAILS!AM$148:AM$222,DETAILS!$C$148:$C$222,'CF2'!$D$2)/10^6</f>
        <v>-19.908636000000001</v>
      </c>
      <c r="AI63" s="142">
        <f>SUMIFS(DETAILS!AN$148:AN$222,DETAILS!$C$148:$C$222,'CF2'!$D$2)/10^6</f>
        <v>-19.908636000000001</v>
      </c>
      <c r="AJ63" s="142">
        <f>SUMIFS(DETAILS!AO$148:AO$222,DETAILS!$C$148:$C$222,'CF2'!$D$2)/10^6</f>
        <v>0</v>
      </c>
      <c r="AK63" s="142">
        <f>SUMIFS(DETAILS!AP$148:AP$222,DETAILS!$C$148:$C$222,'CF2'!$D$2)/10^6</f>
        <v>0</v>
      </c>
      <c r="AL63" s="142">
        <f>SUMIFS(DETAILS!AQ$148:AQ$222,DETAILS!$C$148:$C$222,'CF2'!$D$2)/10^6</f>
        <v>0</v>
      </c>
      <c r="AM63" s="142">
        <f>SUMIFS(DETAILS!AR$148:AR$222,DETAILS!$C$148:$C$222,'CF2'!$D$2)/10^6</f>
        <v>0</v>
      </c>
      <c r="AN63" s="142">
        <f>SUMIFS(DETAILS!AS$148:AS$222,DETAILS!$C$148:$C$222,'CF2'!$D$2)/10^6</f>
        <v>0</v>
      </c>
      <c r="AO63" s="142">
        <f>SUMIFS(DETAILS!AT$148:AT$222,DETAILS!$C$148:$C$222,'CF2'!$D$2)/10^6</f>
        <v>0</v>
      </c>
      <c r="AP63" s="142">
        <f>SUMIFS(DETAILS!AU$148:AU$222,DETAILS!$C$148:$C$222,'CF2'!$D$2)/10^6</f>
        <v>0</v>
      </c>
      <c r="AQ63" s="142">
        <f>SUMIFS(DETAILS!AV$148:AV$222,DETAILS!$C$148:$C$222,'CF2'!$D$2)/10^6</f>
        <v>0</v>
      </c>
      <c r="AR63" s="142">
        <f>SUMIFS(DETAILS!AW$148:AW$222,DETAILS!$C$148:$C$222,'CF2'!$D$2)/10^6</f>
        <v>0</v>
      </c>
      <c r="AS63" s="142">
        <f>SUMIFS(DETAILS!AX$148:AX$222,DETAILS!$C$148:$C$222,'CF2'!$D$2)/10^6</f>
        <v>0</v>
      </c>
      <c r="AT63" s="142">
        <f>SUMIFS(DETAILS!AY$148:AY$222,DETAILS!$C$148:$C$222,'CF2'!$D$2)/10^6</f>
        <v>0</v>
      </c>
      <c r="AU63" s="142">
        <f>SUMIFS(DETAILS!AZ$148:AZ$222,DETAILS!$C$148:$C$222,'CF2'!$D$2)/10^6</f>
        <v>0</v>
      </c>
      <c r="AV63" s="142">
        <f>SUMIFS(DETAILS!BA$148:BA$222,DETAILS!$C$148:$C$222,'CF2'!$D$2)/10^6</f>
        <v>0</v>
      </c>
      <c r="AW63" s="142">
        <f>SUMIFS(DETAILS!BB$148:BB$222,DETAILS!$C$148:$C$222,'CF2'!$D$2)/10^6</f>
        <v>0</v>
      </c>
      <c r="AX63" s="142">
        <f>SUMIFS(DETAILS!BC$148:BC$222,DETAILS!$C$148:$C$222,'CF2'!$D$2)/10^6</f>
        <v>0</v>
      </c>
      <c r="AY63" s="142">
        <f>SUMIFS(DETAILS!BD$148:BD$222,DETAILS!$C$148:$C$222,'CF2'!$D$2)/10^6</f>
        <v>0</v>
      </c>
      <c r="AZ63" s="142">
        <f>SUMIFS(DETAILS!BE$148:BE$222,DETAILS!$C$148:$C$222,'CF2'!$D$2)/10^6</f>
        <v>0</v>
      </c>
      <c r="BA63" s="142">
        <f>SUMIFS(DETAILS!BF$148:BF$222,DETAILS!$C$148:$C$222,'CF2'!$D$2)/10^6</f>
        <v>0</v>
      </c>
      <c r="BB63" s="142">
        <f>SUMIFS(DETAILS!BG$148:BG$222,DETAILS!$C$148:$C$222,'CF2'!$D$2)/10^6</f>
        <v>0</v>
      </c>
      <c r="BC63" s="142">
        <f>SUMIFS(DETAILS!BH$148:BH$222,DETAILS!$C$148:$C$222,'CF2'!$D$2)/10^6</f>
        <v>0</v>
      </c>
      <c r="BD63" s="142">
        <f>SUMIFS(DETAILS!BI$148:BI$222,DETAILS!$C$148:$C$222,'CF2'!$D$2)/10^6</f>
        <v>0</v>
      </c>
      <c r="BE63" s="142">
        <f>SUMIFS(DETAILS!BJ$148:BJ$222,DETAILS!$C$148:$C$222,'CF2'!$D$2)/10^6</f>
        <v>0</v>
      </c>
      <c r="BF63" s="142">
        <f>SUMIFS(DETAILS!BK$148:BK$222,DETAILS!$C$148:$C$222,'CF2'!$D$2)/10^6</f>
        <v>0</v>
      </c>
      <c r="BG63" s="142">
        <f>SUMIFS(DETAILS!BL$148:BL$222,DETAILS!$C$148:$C$222,'CF2'!$D$2)/10^6</f>
        <v>0</v>
      </c>
      <c r="BH63" s="142">
        <f>SUMIFS(DETAILS!BM$148:BM$222,DETAILS!$C$148:$C$222,'CF2'!$D$2)/10^6</f>
        <v>0</v>
      </c>
      <c r="BI63" s="142">
        <f>SUMIFS(DETAILS!BN$148:BN$222,DETAILS!$C$148:$C$222,'CF2'!$D$2)/10^6</f>
        <v>0</v>
      </c>
      <c r="BJ63" s="142">
        <f>SUMIFS(DETAILS!BO$148:BO$222,DETAILS!$C$148:$C$222,'CF2'!$D$2)/10^6</f>
        <v>0</v>
      </c>
      <c r="BK63" s="142">
        <f>SUMIFS(DETAILS!BP$148:BP$222,DETAILS!$C$148:$C$222,'CF2'!$D$2)/10^6</f>
        <v>0</v>
      </c>
      <c r="BL63" s="142">
        <f>SUMIFS(DETAILS!BQ$148:BQ$222,DETAILS!$C$148:$C$222,'CF2'!$D$2)/10^6</f>
        <v>0</v>
      </c>
      <c r="BM63" s="142">
        <f>SUMIFS(DETAILS!BR$148:BR$222,DETAILS!$C$148:$C$222,'CF2'!$D$2)/10^6</f>
        <v>0</v>
      </c>
    </row>
    <row r="64" spans="1:65">
      <c r="A64" s="149"/>
      <c r="B64" s="140" t="str">
        <f>'DB2'!B32</f>
        <v>СОГЛАСОВАНИЯ</v>
      </c>
      <c r="C64" s="27"/>
      <c r="D64" s="131" t="s">
        <v>19</v>
      </c>
      <c r="E64" s="141">
        <f t="shared" si="73"/>
        <v>-96.609995999999938</v>
      </c>
      <c r="F64" s="202">
        <f>SUMIFS(DETAILS!K$224:K$263,DETAILS!$C$224:$C$263,'CF2'!$D$2)/10^6</f>
        <v>0</v>
      </c>
      <c r="G64" s="202">
        <f>SUMIFS(DETAILS!L$224:L$263,DETAILS!$C$224:$C$263,'CF2'!$D$2)/10^6</f>
        <v>0</v>
      </c>
      <c r="H64" s="202">
        <f>SUMIFS(DETAILS!M$224:M$263,DETAILS!$C$224:$C$263,'CF2'!$D$2)/10^6</f>
        <v>0</v>
      </c>
      <c r="I64" s="202">
        <f>SUMIFS(DETAILS!N$224:N$263,DETAILS!$C$224:$C$263,'CF2'!$D$2)/10^6</f>
        <v>0</v>
      </c>
      <c r="J64" s="202">
        <f>SUMIFS(DETAILS!O$224:O$263,DETAILS!$C$224:$C$263,'CF2'!$D$2)/10^6</f>
        <v>0</v>
      </c>
      <c r="K64" s="202">
        <f>SUMIFS(DETAILS!P$224:P$263,DETAILS!$C$224:$C$263,'CF2'!$D$2)/10^6</f>
        <v>0</v>
      </c>
      <c r="L64" s="202">
        <f>SUMIFS(DETAILS!Q$224:Q$263,DETAILS!$C$224:$C$263,'CF2'!$D$2)/10^6</f>
        <v>0</v>
      </c>
      <c r="M64" s="202">
        <f>SUMIFS(DETAILS!R$224:R$263,DETAILS!$C$224:$C$263,'CF2'!$D$2)/10^6</f>
        <v>0</v>
      </c>
      <c r="N64" s="142">
        <f>SUMIFS(DETAILS!S$224:S$263,DETAILS!$C$224:$C$263,'CF2'!$D$2)/10^6</f>
        <v>-2.7064998000000005</v>
      </c>
      <c r="O64" s="142">
        <f>SUMIFS(DETAILS!T$224:T$263,DETAILS!$C$224:$C$263,'CF2'!$D$2)/10^6</f>
        <v>-2.7064998000000005</v>
      </c>
      <c r="P64" s="142">
        <f>SUMIFS(DETAILS!U$224:U$263,DETAILS!$C$224:$C$263,'CF2'!$D$2)/10^6</f>
        <v>-2.7064998000000005</v>
      </c>
      <c r="Q64" s="142">
        <f>SUMIFS(DETAILS!V$224:V$263,DETAILS!$C$224:$C$263,'CF2'!$D$2)/10^6</f>
        <v>-2.7064998000000005</v>
      </c>
      <c r="R64" s="142">
        <f>SUMIFS(DETAILS!W$224:W$263,DETAILS!$C$224:$C$263,'CF2'!$D$2)/10^6</f>
        <v>-3.0664998000000003</v>
      </c>
      <c r="S64" s="142">
        <f>SUMIFS(DETAILS!X$224:X$263,DETAILS!$C$224:$C$263,'CF2'!$D$2)/10^6</f>
        <v>-3.0664998000000003</v>
      </c>
      <c r="T64" s="142">
        <f>SUMIFS(DETAILS!Y$224:Y$263,DETAILS!$C$224:$C$263,'CF2'!$D$2)/10^6</f>
        <v>-2.7064998000000005</v>
      </c>
      <c r="U64" s="142">
        <f>SUMIFS(DETAILS!Z$224:Z$263,DETAILS!$C$224:$C$263,'CF2'!$D$2)/10^6</f>
        <v>-3.9064998000000002</v>
      </c>
      <c r="V64" s="142">
        <f>SUMIFS(DETAILS!AA$224:AA$263,DETAILS!$C$224:$C$263,'CF2'!$D$2)/10^6</f>
        <v>-28.8664998</v>
      </c>
      <c r="W64" s="142">
        <f>SUMIFS(DETAILS!AB$224:AB$263,DETAILS!$C$224:$C$263,'CF2'!$D$2)/10^6</f>
        <v>-17.106499800000002</v>
      </c>
      <c r="X64" s="142">
        <f>SUMIFS(DETAILS!AC$224:AC$263,DETAILS!$C$224:$C$263,'CF2'!$D$2)/10^6</f>
        <v>-2.2554164999999999</v>
      </c>
      <c r="Y64" s="142">
        <f>SUMIFS(DETAILS!AD$224:AD$263,DETAILS!$C$224:$C$263,'CF2'!$D$2)/10^6</f>
        <v>-2.2554164999999999</v>
      </c>
      <c r="Z64" s="142">
        <f>SUMIFS(DETAILS!AE$224:AE$263,DETAILS!$C$224:$C$263,'CF2'!$D$2)/10^6</f>
        <v>-2.2554164999999999</v>
      </c>
      <c r="AA64" s="142">
        <f>SUMIFS(DETAILS!AF$224:AF$263,DETAILS!$C$224:$C$263,'CF2'!$D$2)/10^6</f>
        <v>-2.2554164999999999</v>
      </c>
      <c r="AB64" s="142">
        <f>SUMIFS(DETAILS!AG$224:AG$263,DETAILS!$C$224:$C$263,'CF2'!$D$2)/10^6</f>
        <v>-2.2554164999999999</v>
      </c>
      <c r="AC64" s="142">
        <f>SUMIFS(DETAILS!AH$224:AH$263,DETAILS!$C$224:$C$263,'CF2'!$D$2)/10^6</f>
        <v>-2.2554164999999999</v>
      </c>
      <c r="AD64" s="142">
        <f>SUMIFS(DETAILS!AI$224:AI$263,DETAILS!$C$224:$C$263,'CF2'!$D$2)/10^6</f>
        <v>-2.2554164999999999</v>
      </c>
      <c r="AE64" s="142">
        <f>SUMIFS(DETAILS!AJ$224:AJ$263,DETAILS!$C$224:$C$263,'CF2'!$D$2)/10^6</f>
        <v>-2.2554164999999999</v>
      </c>
      <c r="AF64" s="142">
        <f>SUMIFS(DETAILS!AK$224:AK$263,DETAILS!$C$224:$C$263,'CF2'!$D$2)/10^6</f>
        <v>-2.2554164999999999</v>
      </c>
      <c r="AG64" s="142">
        <f>SUMIFS(DETAILS!AL$224:AL$263,DETAILS!$C$224:$C$263,'CF2'!$D$2)/10^6</f>
        <v>-2.2554164999999999</v>
      </c>
      <c r="AH64" s="142">
        <f>SUMIFS(DETAILS!AM$224:AM$263,DETAILS!$C$224:$C$263,'CF2'!$D$2)/10^6</f>
        <v>-2.2554164999999999</v>
      </c>
      <c r="AI64" s="142">
        <f>SUMIFS(DETAILS!AN$224:AN$263,DETAILS!$C$224:$C$263,'CF2'!$D$2)/10^6</f>
        <v>-2.2554164999999999</v>
      </c>
      <c r="AJ64" s="142">
        <f>SUMIFS(DETAILS!AO$224:AO$263,DETAILS!$C$224:$C$263,'CF2'!$D$2)/10^6</f>
        <v>0</v>
      </c>
      <c r="AK64" s="142">
        <f>SUMIFS(DETAILS!AP$224:AP$263,DETAILS!$C$224:$C$263,'CF2'!$D$2)/10^6</f>
        <v>0</v>
      </c>
      <c r="AL64" s="142">
        <f>SUMIFS(DETAILS!AQ$224:AQ$263,DETAILS!$C$224:$C$263,'CF2'!$D$2)/10^6</f>
        <v>0</v>
      </c>
      <c r="AM64" s="142">
        <f>SUMIFS(DETAILS!AR$224:AR$263,DETAILS!$C$224:$C$263,'CF2'!$D$2)/10^6</f>
        <v>0</v>
      </c>
      <c r="AN64" s="142">
        <f>SUMIFS(DETAILS!AS$224:AS$263,DETAILS!$C$224:$C$263,'CF2'!$D$2)/10^6</f>
        <v>0</v>
      </c>
      <c r="AO64" s="142">
        <f>SUMIFS(DETAILS!AT$224:AT$263,DETAILS!$C$224:$C$263,'CF2'!$D$2)/10^6</f>
        <v>0</v>
      </c>
      <c r="AP64" s="142">
        <f>SUMIFS(DETAILS!AU$224:AU$263,DETAILS!$C$224:$C$263,'CF2'!$D$2)/10^6</f>
        <v>0</v>
      </c>
      <c r="AQ64" s="142">
        <f>SUMIFS(DETAILS!AV$224:AV$263,DETAILS!$C$224:$C$263,'CF2'!$D$2)/10^6</f>
        <v>0</v>
      </c>
      <c r="AR64" s="142">
        <f>SUMIFS(DETAILS!AW$224:AW$263,DETAILS!$C$224:$C$263,'CF2'!$D$2)/10^6</f>
        <v>0</v>
      </c>
      <c r="AS64" s="142">
        <f>SUMIFS(DETAILS!AX$224:AX$263,DETAILS!$C$224:$C$263,'CF2'!$D$2)/10^6</f>
        <v>0</v>
      </c>
      <c r="AT64" s="142">
        <f>SUMIFS(DETAILS!AY$224:AY$263,DETAILS!$C$224:$C$263,'CF2'!$D$2)/10^6</f>
        <v>0</v>
      </c>
      <c r="AU64" s="142">
        <f>SUMIFS(DETAILS!AZ$224:AZ$263,DETAILS!$C$224:$C$263,'CF2'!$D$2)/10^6</f>
        <v>0</v>
      </c>
      <c r="AV64" s="142">
        <f>SUMIFS(DETAILS!BA$224:BA$263,DETAILS!$C$224:$C$263,'CF2'!$D$2)/10^6</f>
        <v>0</v>
      </c>
      <c r="AW64" s="142">
        <f>SUMIFS(DETAILS!BB$224:BB$263,DETAILS!$C$224:$C$263,'CF2'!$D$2)/10^6</f>
        <v>0</v>
      </c>
      <c r="AX64" s="142">
        <f>SUMIFS(DETAILS!BC$224:BC$263,DETAILS!$C$224:$C$263,'CF2'!$D$2)/10^6</f>
        <v>0</v>
      </c>
      <c r="AY64" s="142">
        <f>SUMIFS(DETAILS!BD$224:BD$263,DETAILS!$C$224:$C$263,'CF2'!$D$2)/10^6</f>
        <v>0</v>
      </c>
      <c r="AZ64" s="142">
        <f>SUMIFS(DETAILS!BE$224:BE$263,DETAILS!$C$224:$C$263,'CF2'!$D$2)/10^6</f>
        <v>0</v>
      </c>
      <c r="BA64" s="142">
        <f>SUMIFS(DETAILS!BF$224:BF$263,DETAILS!$C$224:$C$263,'CF2'!$D$2)/10^6</f>
        <v>0</v>
      </c>
      <c r="BB64" s="142">
        <f>SUMIFS(DETAILS!BG$224:BG$263,DETAILS!$C$224:$C$263,'CF2'!$D$2)/10^6</f>
        <v>0</v>
      </c>
      <c r="BC64" s="142">
        <f>SUMIFS(DETAILS!BH$224:BH$263,DETAILS!$C$224:$C$263,'CF2'!$D$2)/10^6</f>
        <v>0</v>
      </c>
      <c r="BD64" s="142">
        <f>SUMIFS(DETAILS!BI$224:BI$263,DETAILS!$C$224:$C$263,'CF2'!$D$2)/10^6</f>
        <v>0</v>
      </c>
      <c r="BE64" s="142">
        <f>SUMIFS(DETAILS!BJ$224:BJ$263,DETAILS!$C$224:$C$263,'CF2'!$D$2)/10^6</f>
        <v>0</v>
      </c>
      <c r="BF64" s="142">
        <f>SUMIFS(DETAILS!BK$224:BK$263,DETAILS!$C$224:$C$263,'CF2'!$D$2)/10^6</f>
        <v>0</v>
      </c>
      <c r="BG64" s="142">
        <f>SUMIFS(DETAILS!BL$224:BL$263,DETAILS!$C$224:$C$263,'CF2'!$D$2)/10^6</f>
        <v>0</v>
      </c>
      <c r="BH64" s="142">
        <f>SUMIFS(DETAILS!BM$224:BM$263,DETAILS!$C$224:$C$263,'CF2'!$D$2)/10^6</f>
        <v>0</v>
      </c>
      <c r="BI64" s="142">
        <f>SUMIFS(DETAILS!BN$224:BN$263,DETAILS!$C$224:$C$263,'CF2'!$D$2)/10^6</f>
        <v>0</v>
      </c>
      <c r="BJ64" s="142">
        <f>SUMIFS(DETAILS!BO$224:BO$263,DETAILS!$C$224:$C$263,'CF2'!$D$2)/10^6</f>
        <v>0</v>
      </c>
      <c r="BK64" s="142">
        <f>SUMIFS(DETAILS!BP$224:BP$263,DETAILS!$C$224:$C$263,'CF2'!$D$2)/10^6</f>
        <v>0</v>
      </c>
      <c r="BL64" s="142">
        <f>SUMIFS(DETAILS!BQ$224:BQ$263,DETAILS!$C$224:$C$263,'CF2'!$D$2)/10^6</f>
        <v>0</v>
      </c>
      <c r="BM64" s="142">
        <f>SUMIFS(DETAILS!BR$224:BR$263,DETAILS!$C$224:$C$263,'CF2'!$D$2)/10^6</f>
        <v>0</v>
      </c>
    </row>
    <row r="65" spans="1:65">
      <c r="A65" s="149"/>
      <c r="B65" s="140" t="str">
        <f>'DB2'!B33</f>
        <v>СМР жилье</v>
      </c>
      <c r="C65" s="27"/>
      <c r="D65" s="131" t="s">
        <v>19</v>
      </c>
      <c r="E65" s="141">
        <f t="shared" si="73"/>
        <v>-13235.569452000002</v>
      </c>
      <c r="F65" s="202">
        <f>SUMIFS(DETAILS!K$288:K$317,DETAILS!$C$288:$C$317,'CF2'!$D$2)/10^6</f>
        <v>0</v>
      </c>
      <c r="G65" s="202">
        <f>SUMIFS(DETAILS!L$288:L$317,DETAILS!$C$288:$C$317,'CF2'!$D$2)/10^6</f>
        <v>0</v>
      </c>
      <c r="H65" s="202">
        <f>SUMIFS(DETAILS!M$288:M$317,DETAILS!$C$288:$C$317,'CF2'!$D$2)/10^6</f>
        <v>0</v>
      </c>
      <c r="I65" s="202">
        <f>SUMIFS(DETAILS!N$288:N$317,DETAILS!$C$288:$C$317,'CF2'!$D$2)/10^6</f>
        <v>0</v>
      </c>
      <c r="J65" s="202">
        <f>SUMIFS(DETAILS!O$288:O$317,DETAILS!$C$288:$C$317,'CF2'!$D$2)/10^6</f>
        <v>0</v>
      </c>
      <c r="K65" s="202">
        <f>SUMIFS(DETAILS!P$288:P$317,DETAILS!$C$288:$C$317,'CF2'!$D$2)/10^6</f>
        <v>0</v>
      </c>
      <c r="L65" s="202">
        <f>SUMIFS(DETAILS!Q$288:Q$317,DETAILS!$C$288:$C$317,'CF2'!$D$2)/10^6</f>
        <v>0</v>
      </c>
      <c r="M65" s="202">
        <f>SUMIFS(DETAILS!R$288:R$317,DETAILS!$C$288:$C$317,'CF2'!$D$2)/10^6</f>
        <v>0</v>
      </c>
      <c r="N65" s="142">
        <f>SUMIFS(DETAILS!S$288:S$317,DETAILS!$C$288:$C$317,'CF2'!$D$2)/10^6</f>
        <v>0</v>
      </c>
      <c r="O65" s="142">
        <f>SUMIFS(DETAILS!T$288:T$317,DETAILS!$C$288:$C$317,'CF2'!$D$2)/10^6</f>
        <v>0</v>
      </c>
      <c r="P65" s="142">
        <f>SUMIFS(DETAILS!U$288:U$317,DETAILS!$C$288:$C$317,'CF2'!$D$2)/10^6</f>
        <v>0</v>
      </c>
      <c r="Q65" s="142">
        <f>SUMIFS(DETAILS!V$288:V$317,DETAILS!$C$288:$C$317,'CF2'!$D$2)/10^6</f>
        <v>0</v>
      </c>
      <c r="R65" s="142">
        <f>SUMIFS(DETAILS!W$288:W$317,DETAILS!$C$288:$C$317,'CF2'!$D$2)/10^6</f>
        <v>0</v>
      </c>
      <c r="S65" s="142">
        <f>SUMIFS(DETAILS!X$288:X$317,DETAILS!$C$288:$C$317,'CF2'!$D$2)/10^6</f>
        <v>0</v>
      </c>
      <c r="T65" s="142">
        <f>SUMIFS(DETAILS!Y$288:Y$317,DETAILS!$C$288:$C$317,'CF2'!$D$2)/10^6</f>
        <v>-87</v>
      </c>
      <c r="U65" s="142">
        <f>SUMIFS(DETAILS!Z$288:Z$317,DETAILS!$C$288:$C$317,'CF2'!$D$2)/10^6</f>
        <v>-334</v>
      </c>
      <c r="V65" s="142">
        <f>SUMIFS(DETAILS!AA$288:AA$317,DETAILS!$C$288:$C$317,'CF2'!$D$2)/10^6</f>
        <v>-338</v>
      </c>
      <c r="W65" s="142">
        <f>SUMIFS(DETAILS!AB$288:AB$317,DETAILS!$C$288:$C$317,'CF2'!$D$2)/10^6</f>
        <v>-76</v>
      </c>
      <c r="X65" s="142">
        <f>SUMIFS(DETAILS!AC$288:AC$317,DETAILS!$C$288:$C$317,'CF2'!$D$2)/10^6</f>
        <v>-1033.3807876666667</v>
      </c>
      <c r="Y65" s="142">
        <f>SUMIFS(DETAILS!AD$288:AD$317,DETAILS!$C$288:$C$317,'CF2'!$D$2)/10^6</f>
        <v>-1033.3807876666667</v>
      </c>
      <c r="Z65" s="142">
        <f>SUMIFS(DETAILS!AE$288:AE$317,DETAILS!$C$288:$C$317,'CF2'!$D$2)/10^6</f>
        <v>-1033.3807876666667</v>
      </c>
      <c r="AA65" s="142">
        <f>SUMIFS(DETAILS!AF$288:AF$317,DETAILS!$C$288:$C$317,'CF2'!$D$2)/10^6</f>
        <v>-1033.3807876666667</v>
      </c>
      <c r="AB65" s="142">
        <f>SUMIFS(DETAILS!AG$288:AG$317,DETAILS!$C$288:$C$317,'CF2'!$D$2)/10^6</f>
        <v>-1033.3807876666667</v>
      </c>
      <c r="AC65" s="142">
        <f>SUMIFS(DETAILS!AH$288:AH$317,DETAILS!$C$288:$C$317,'CF2'!$D$2)/10^6</f>
        <v>-1033.3807876666667</v>
      </c>
      <c r="AD65" s="142">
        <f>SUMIFS(DETAILS!AI$288:AI$317,DETAILS!$C$288:$C$317,'CF2'!$D$2)/10^6</f>
        <v>-1033.3807876666667</v>
      </c>
      <c r="AE65" s="142">
        <f>SUMIFS(DETAILS!AJ$288:AJ$317,DETAILS!$C$288:$C$317,'CF2'!$D$2)/10^6</f>
        <v>-1033.3807876666667</v>
      </c>
      <c r="AF65" s="142">
        <f>SUMIFS(DETAILS!AK$288:AK$317,DETAILS!$C$288:$C$317,'CF2'!$D$2)/10^6</f>
        <v>-1033.3807876666667</v>
      </c>
      <c r="AG65" s="142">
        <f>SUMIFS(DETAILS!AL$288:AL$317,DETAILS!$C$288:$C$317,'CF2'!$D$2)/10^6</f>
        <v>-1033.3807876666667</v>
      </c>
      <c r="AH65" s="142">
        <f>SUMIFS(DETAILS!AM$288:AM$317,DETAILS!$C$288:$C$317,'CF2'!$D$2)/10^6</f>
        <v>-1033.3807876666667</v>
      </c>
      <c r="AI65" s="142">
        <f>SUMIFS(DETAILS!AN$288:AN$317,DETAILS!$C$288:$C$317,'CF2'!$D$2)/10^6</f>
        <v>-1033.3807876666667</v>
      </c>
      <c r="AJ65" s="142">
        <f>SUMIFS(DETAILS!AO$288:AO$317,DETAILS!$C$288:$C$317,'CF2'!$D$2)/10^6</f>
        <v>0</v>
      </c>
      <c r="AK65" s="142">
        <f>SUMIFS(DETAILS!AP$288:AP$317,DETAILS!$C$288:$C$317,'CF2'!$D$2)/10^6</f>
        <v>0</v>
      </c>
      <c r="AL65" s="142">
        <f>SUMIFS(DETAILS!AQ$288:AQ$317,DETAILS!$C$288:$C$317,'CF2'!$D$2)/10^6</f>
        <v>0</v>
      </c>
      <c r="AM65" s="142">
        <f>SUMIFS(DETAILS!AR$288:AR$317,DETAILS!$C$288:$C$317,'CF2'!$D$2)/10^6</f>
        <v>0</v>
      </c>
      <c r="AN65" s="142">
        <f>SUMIFS(DETAILS!AS$288:AS$317,DETAILS!$C$288:$C$317,'CF2'!$D$2)/10^6</f>
        <v>0</v>
      </c>
      <c r="AO65" s="142">
        <f>SUMIFS(DETAILS!AT$288:AT$317,DETAILS!$C$288:$C$317,'CF2'!$D$2)/10^6</f>
        <v>0</v>
      </c>
      <c r="AP65" s="142">
        <f>SUMIFS(DETAILS!AU$288:AU$317,DETAILS!$C$288:$C$317,'CF2'!$D$2)/10^6</f>
        <v>0</v>
      </c>
      <c r="AQ65" s="142">
        <f>SUMIFS(DETAILS!AV$288:AV$317,DETAILS!$C$288:$C$317,'CF2'!$D$2)/10^6</f>
        <v>0</v>
      </c>
      <c r="AR65" s="142">
        <f>SUMIFS(DETAILS!AW$288:AW$317,DETAILS!$C$288:$C$317,'CF2'!$D$2)/10^6</f>
        <v>0</v>
      </c>
      <c r="AS65" s="142">
        <f>SUMIFS(DETAILS!AX$288:AX$317,DETAILS!$C$288:$C$317,'CF2'!$D$2)/10^6</f>
        <v>0</v>
      </c>
      <c r="AT65" s="142">
        <f>SUMIFS(DETAILS!AY$288:AY$317,DETAILS!$C$288:$C$317,'CF2'!$D$2)/10^6</f>
        <v>0</v>
      </c>
      <c r="AU65" s="142">
        <f>SUMIFS(DETAILS!AZ$288:AZ$317,DETAILS!$C$288:$C$317,'CF2'!$D$2)/10^6</f>
        <v>0</v>
      </c>
      <c r="AV65" s="142">
        <f>SUMIFS(DETAILS!BA$288:BA$317,DETAILS!$C$288:$C$317,'CF2'!$D$2)/10^6</f>
        <v>0</v>
      </c>
      <c r="AW65" s="142">
        <f>SUMIFS(DETAILS!BB$288:BB$317,DETAILS!$C$288:$C$317,'CF2'!$D$2)/10^6</f>
        <v>0</v>
      </c>
      <c r="AX65" s="142">
        <f>SUMIFS(DETAILS!BC$288:BC$317,DETAILS!$C$288:$C$317,'CF2'!$D$2)/10^6</f>
        <v>0</v>
      </c>
      <c r="AY65" s="142">
        <f>SUMIFS(DETAILS!BD$288:BD$317,DETAILS!$C$288:$C$317,'CF2'!$D$2)/10^6</f>
        <v>0</v>
      </c>
      <c r="AZ65" s="142">
        <f>SUMIFS(DETAILS!BE$288:BE$317,DETAILS!$C$288:$C$317,'CF2'!$D$2)/10^6</f>
        <v>0</v>
      </c>
      <c r="BA65" s="142">
        <f>SUMIFS(DETAILS!BF$288:BF$317,DETAILS!$C$288:$C$317,'CF2'!$D$2)/10^6</f>
        <v>0</v>
      </c>
      <c r="BB65" s="142">
        <f>SUMIFS(DETAILS!BG$288:BG$317,DETAILS!$C$288:$C$317,'CF2'!$D$2)/10^6</f>
        <v>0</v>
      </c>
      <c r="BC65" s="142">
        <f>SUMIFS(DETAILS!BH$288:BH$317,DETAILS!$C$288:$C$317,'CF2'!$D$2)/10^6</f>
        <v>0</v>
      </c>
      <c r="BD65" s="142">
        <f>SUMIFS(DETAILS!BI$288:BI$317,DETAILS!$C$288:$C$317,'CF2'!$D$2)/10^6</f>
        <v>0</v>
      </c>
      <c r="BE65" s="142">
        <f>SUMIFS(DETAILS!BJ$288:BJ$317,DETAILS!$C$288:$C$317,'CF2'!$D$2)/10^6</f>
        <v>0</v>
      </c>
      <c r="BF65" s="142">
        <f>SUMIFS(DETAILS!BK$288:BK$317,DETAILS!$C$288:$C$317,'CF2'!$D$2)/10^6</f>
        <v>0</v>
      </c>
      <c r="BG65" s="142">
        <f>SUMIFS(DETAILS!BL$288:BL$317,DETAILS!$C$288:$C$317,'CF2'!$D$2)/10^6</f>
        <v>0</v>
      </c>
      <c r="BH65" s="142">
        <f>SUMIFS(DETAILS!BM$288:BM$317,DETAILS!$C$288:$C$317,'CF2'!$D$2)/10^6</f>
        <v>0</v>
      </c>
      <c r="BI65" s="142">
        <f>SUMIFS(DETAILS!BN$288:BN$317,DETAILS!$C$288:$C$317,'CF2'!$D$2)/10^6</f>
        <v>0</v>
      </c>
      <c r="BJ65" s="142">
        <f>SUMIFS(DETAILS!BO$288:BO$317,DETAILS!$C$288:$C$317,'CF2'!$D$2)/10^6</f>
        <v>0</v>
      </c>
      <c r="BK65" s="142">
        <f>SUMIFS(DETAILS!BP$288:BP$317,DETAILS!$C$288:$C$317,'CF2'!$D$2)/10^6</f>
        <v>0</v>
      </c>
      <c r="BL65" s="142">
        <f>SUMIFS(DETAILS!BQ$288:BQ$317,DETAILS!$C$288:$C$317,'CF2'!$D$2)/10^6</f>
        <v>0</v>
      </c>
      <c r="BM65" s="142">
        <f>SUMIFS(DETAILS!BR$288:BR$317,DETAILS!$C$288:$C$317,'CF2'!$D$2)/10^6</f>
        <v>0</v>
      </c>
    </row>
    <row r="66" spans="1:65" hidden="1">
      <c r="A66" s="149"/>
      <c r="B66" s="140" t="str">
        <f>'DB2'!B34</f>
        <v>СМР офисы</v>
      </c>
      <c r="C66" s="27"/>
      <c r="D66" s="131" t="s">
        <v>19</v>
      </c>
      <c r="E66" s="141">
        <f t="shared" si="73"/>
        <v>0</v>
      </c>
      <c r="F66" s="202">
        <f>'DB2'!$J$34*-'TS2'!F25</f>
        <v>0</v>
      </c>
      <c r="G66" s="202">
        <f>'DB2'!$J$34*-'TS2'!G25</f>
        <v>0</v>
      </c>
      <c r="H66" s="202">
        <f>'DB2'!$J$34*-'TS2'!H25</f>
        <v>0</v>
      </c>
      <c r="I66" s="202">
        <f>'DB2'!$J$34*-'TS2'!I25</f>
        <v>0</v>
      </c>
      <c r="J66" s="202">
        <f>'DB2'!$J$34*-'TS2'!J25</f>
        <v>0</v>
      </c>
      <c r="K66" s="202">
        <f>'DB2'!$J$34*-'TS2'!K25</f>
        <v>0</v>
      </c>
      <c r="L66" s="202">
        <f>'DB2'!$J$34*-'TS2'!L25</f>
        <v>0</v>
      </c>
      <c r="M66" s="202">
        <f>'DB2'!$J$34*-'TS2'!M25</f>
        <v>0</v>
      </c>
      <c r="N66" s="142">
        <f>'DB2'!$J$34*-'TS2'!N25</f>
        <v>0</v>
      </c>
      <c r="O66" s="142">
        <f>'DB2'!$J$34*-'TS2'!O25</f>
        <v>0</v>
      </c>
      <c r="P66" s="142">
        <f>'DB2'!$J$34*-'TS2'!P25</f>
        <v>0</v>
      </c>
      <c r="Q66" s="142">
        <f>'DB2'!$J$34*-'TS2'!Q25</f>
        <v>0</v>
      </c>
      <c r="R66" s="142">
        <f>'DB2'!$J$34*-'TS2'!R25</f>
        <v>0</v>
      </c>
      <c r="S66" s="142">
        <f>'DB2'!$J$34*-'TS2'!S25</f>
        <v>0</v>
      </c>
      <c r="T66" s="142">
        <f>'DB2'!$J$34*-'TS2'!T25</f>
        <v>0</v>
      </c>
      <c r="U66" s="142">
        <f>'DB2'!$J$34*-'TS2'!U25</f>
        <v>0</v>
      </c>
      <c r="V66" s="142">
        <f>'DB2'!$J$34*-'TS2'!V25</f>
        <v>0</v>
      </c>
      <c r="W66" s="142">
        <f>'DB2'!$J$34*-'TS2'!W25</f>
        <v>0</v>
      </c>
      <c r="X66" s="142">
        <f>'DB2'!$J$34*-'TS2'!X25</f>
        <v>0</v>
      </c>
      <c r="Y66" s="142">
        <f>'DB2'!$J$34*-'TS2'!Y25</f>
        <v>0</v>
      </c>
      <c r="Z66" s="142">
        <f>'DB2'!$J$34*-'TS2'!Z25</f>
        <v>0</v>
      </c>
      <c r="AA66" s="142">
        <f>'DB2'!$J$34*-'TS2'!AA25</f>
        <v>0</v>
      </c>
      <c r="AB66" s="142">
        <f>'DB2'!$J$34*-'TS2'!AB25</f>
        <v>0</v>
      </c>
      <c r="AC66" s="142">
        <f>'DB2'!$J$34*-'TS2'!AC25</f>
        <v>0</v>
      </c>
      <c r="AD66" s="142">
        <f>'DB2'!$J$34*-'TS2'!AD25</f>
        <v>0</v>
      </c>
      <c r="AE66" s="142">
        <f>'DB2'!$J$34*-'TS2'!AE25</f>
        <v>0</v>
      </c>
      <c r="AF66" s="142">
        <f>'DB2'!$J$34*-'TS2'!AF25</f>
        <v>0</v>
      </c>
      <c r="AG66" s="142">
        <f>'DB2'!$J$34*-'TS2'!AG25</f>
        <v>0</v>
      </c>
      <c r="AH66" s="142">
        <f>'DB2'!$J$34*-'TS2'!AH25</f>
        <v>0</v>
      </c>
      <c r="AI66" s="142">
        <f>'DB2'!$J$34*-'TS2'!AI25</f>
        <v>0</v>
      </c>
      <c r="AJ66" s="142">
        <f>'DB2'!$J$34*-'TS2'!AJ25</f>
        <v>0</v>
      </c>
      <c r="AK66" s="142">
        <f>'DB2'!$J$34*-'TS2'!AK25</f>
        <v>0</v>
      </c>
      <c r="AL66" s="142">
        <f>'DB2'!$J$34*-'TS2'!AL25</f>
        <v>0</v>
      </c>
      <c r="AM66" s="142">
        <f>'DB2'!$J$34*-'TS2'!AM25</f>
        <v>0</v>
      </c>
      <c r="AN66" s="142">
        <f>'DB2'!$J$34*-'TS2'!AN25</f>
        <v>0</v>
      </c>
      <c r="AO66" s="142">
        <f>'DB2'!$J$34*-'TS2'!AO25</f>
        <v>0</v>
      </c>
      <c r="AP66" s="142">
        <f>'DB2'!$J$34*-'TS2'!AP25</f>
        <v>0</v>
      </c>
      <c r="AQ66" s="142">
        <f>'DB2'!$J$34*-'TS2'!AQ25</f>
        <v>0</v>
      </c>
      <c r="AR66" s="142">
        <f>'DB2'!$J$34*-'TS2'!AR25</f>
        <v>0</v>
      </c>
      <c r="AS66" s="142">
        <f>'DB2'!$J$34*-'TS2'!AS25</f>
        <v>0</v>
      </c>
      <c r="AT66" s="142">
        <f>'DB2'!$J$34*-'TS2'!AT25</f>
        <v>0</v>
      </c>
      <c r="AU66" s="142">
        <f>'DB2'!$J$34*-'TS2'!AU25</f>
        <v>0</v>
      </c>
      <c r="AV66" s="142">
        <f>'DB2'!$J$34*-'TS2'!AV25</f>
        <v>0</v>
      </c>
      <c r="AW66" s="142">
        <f>'DB2'!$J$34*-'TS2'!AW25</f>
        <v>0</v>
      </c>
      <c r="AX66" s="142">
        <f>'DB2'!$J$34*-'TS2'!AX25</f>
        <v>0</v>
      </c>
      <c r="AY66" s="142">
        <f>'DB2'!$J$34*-'TS2'!AY25</f>
        <v>0</v>
      </c>
      <c r="AZ66" s="142">
        <f>'DB2'!$J$34*-'TS2'!AZ25</f>
        <v>0</v>
      </c>
      <c r="BA66" s="142">
        <f>'DB2'!$J$34*-'TS2'!BA25</f>
        <v>0</v>
      </c>
      <c r="BB66" s="142">
        <f>'DB2'!$J$34*-'TS2'!BB25</f>
        <v>0</v>
      </c>
      <c r="BC66" s="142">
        <f>'DB2'!$J$34*-'TS2'!BC25</f>
        <v>0</v>
      </c>
      <c r="BD66" s="142">
        <f>'DB2'!$J$34*-'TS2'!BD25</f>
        <v>0</v>
      </c>
      <c r="BE66" s="142">
        <f>'DB2'!$J$34*-'TS2'!BE25</f>
        <v>0</v>
      </c>
      <c r="BF66" s="142">
        <f>'DB2'!$J$34*-'TS2'!BF25</f>
        <v>0</v>
      </c>
      <c r="BG66" s="142">
        <f>'DB2'!$J$34*-'TS2'!BG25</f>
        <v>0</v>
      </c>
      <c r="BH66" s="142">
        <f>'DB2'!$J$34*-'TS2'!BH25</f>
        <v>0</v>
      </c>
      <c r="BI66" s="142">
        <f>'DB2'!$J$34*-'TS2'!BI25</f>
        <v>0</v>
      </c>
      <c r="BJ66" s="142">
        <f>'DB2'!$J$34*-'TS2'!BJ25</f>
        <v>0</v>
      </c>
      <c r="BK66" s="142">
        <f>'DB2'!$J$34*-'TS2'!BK25</f>
        <v>0</v>
      </c>
      <c r="BL66" s="142">
        <f>'DB2'!$J$34*-'TS2'!BL25</f>
        <v>0</v>
      </c>
      <c r="BM66" s="142">
        <f>'DB2'!$J$34*-'TS2'!BM25</f>
        <v>0</v>
      </c>
    </row>
    <row r="67" spans="1:65" hidden="1">
      <c r="A67" s="149"/>
      <c r="B67" s="140" t="str">
        <f>'DB2'!B35</f>
        <v>СМР ТЦ</v>
      </c>
      <c r="C67" s="27"/>
      <c r="D67" s="131" t="s">
        <v>19</v>
      </c>
      <c r="E67" s="141">
        <f t="shared" si="73"/>
        <v>0</v>
      </c>
      <c r="F67" s="202">
        <f>'DB2'!$J$35*-'TS2'!F25</f>
        <v>0</v>
      </c>
      <c r="G67" s="202">
        <f>'DB2'!$J$35*-'TS2'!G25</f>
        <v>0</v>
      </c>
      <c r="H67" s="202">
        <f>'DB2'!$J$35*-'TS2'!H25</f>
        <v>0</v>
      </c>
      <c r="I67" s="202">
        <f>'DB2'!$J$35*-'TS2'!I25</f>
        <v>0</v>
      </c>
      <c r="J67" s="202">
        <f>'DB2'!$J$35*-'TS2'!J25</f>
        <v>0</v>
      </c>
      <c r="K67" s="202">
        <f>'DB2'!$J$35*-'TS2'!K25</f>
        <v>0</v>
      </c>
      <c r="L67" s="202">
        <f>'DB2'!$J$35*-'TS2'!L25</f>
        <v>0</v>
      </c>
      <c r="M67" s="202">
        <f>'DB2'!$J$35*-'TS2'!M25</f>
        <v>0</v>
      </c>
      <c r="N67" s="142">
        <f>'DB2'!$J$35*-'TS2'!N25</f>
        <v>0</v>
      </c>
      <c r="O67" s="142">
        <f>'DB2'!$J$35*-'TS2'!O25</f>
        <v>0</v>
      </c>
      <c r="P67" s="142">
        <f>'DB2'!$J$35*-'TS2'!P25</f>
        <v>0</v>
      </c>
      <c r="Q67" s="142">
        <f>'DB2'!$J$35*-'TS2'!Q25</f>
        <v>0</v>
      </c>
      <c r="R67" s="142">
        <f>'DB2'!$J$35*-'TS2'!R25</f>
        <v>0</v>
      </c>
      <c r="S67" s="142">
        <f>'DB2'!$J$35*-'TS2'!S25</f>
        <v>0</v>
      </c>
      <c r="T67" s="142">
        <f>'DB2'!$J$35*-'TS2'!T25</f>
        <v>0</v>
      </c>
      <c r="U67" s="142">
        <f>'DB2'!$J$35*-'TS2'!U25</f>
        <v>0</v>
      </c>
      <c r="V67" s="142">
        <f>'DB2'!$J$35*-'TS2'!V25</f>
        <v>0</v>
      </c>
      <c r="W67" s="142">
        <f>'DB2'!$J$35*-'TS2'!W25</f>
        <v>0</v>
      </c>
      <c r="X67" s="142">
        <f>'DB2'!$J$35*-'TS2'!X25</f>
        <v>0</v>
      </c>
      <c r="Y67" s="142">
        <f>'DB2'!$J$35*-'TS2'!Y25</f>
        <v>0</v>
      </c>
      <c r="Z67" s="142">
        <f>'DB2'!$J$35*-'TS2'!Z25</f>
        <v>0</v>
      </c>
      <c r="AA67" s="142">
        <f>'DB2'!$J$35*-'TS2'!AA25</f>
        <v>0</v>
      </c>
      <c r="AB67" s="142">
        <f>'DB2'!$J$35*-'TS2'!AB25</f>
        <v>0</v>
      </c>
      <c r="AC67" s="142">
        <f>'DB2'!$J$35*-'TS2'!AC25</f>
        <v>0</v>
      </c>
      <c r="AD67" s="142">
        <f>'DB2'!$J$35*-'TS2'!AD25</f>
        <v>0</v>
      </c>
      <c r="AE67" s="142">
        <f>'DB2'!$J$35*-'TS2'!AE25</f>
        <v>0</v>
      </c>
      <c r="AF67" s="142">
        <f>'DB2'!$J$35*-'TS2'!AF25</f>
        <v>0</v>
      </c>
      <c r="AG67" s="142">
        <f>'DB2'!$J$35*-'TS2'!AG25</f>
        <v>0</v>
      </c>
      <c r="AH67" s="142">
        <f>'DB2'!$J$35*-'TS2'!AH25</f>
        <v>0</v>
      </c>
      <c r="AI67" s="142">
        <f>'DB2'!$J$35*-'TS2'!AI25</f>
        <v>0</v>
      </c>
      <c r="AJ67" s="142">
        <f>'DB2'!$J$35*-'TS2'!AJ25</f>
        <v>0</v>
      </c>
      <c r="AK67" s="142">
        <f>'DB2'!$J$35*-'TS2'!AK25</f>
        <v>0</v>
      </c>
      <c r="AL67" s="142">
        <f>'DB2'!$J$35*-'TS2'!AL25</f>
        <v>0</v>
      </c>
      <c r="AM67" s="142">
        <f>'DB2'!$J$35*-'TS2'!AM25</f>
        <v>0</v>
      </c>
      <c r="AN67" s="142">
        <f>'DB2'!$J$35*-'TS2'!AN25</f>
        <v>0</v>
      </c>
      <c r="AO67" s="142">
        <f>'DB2'!$J$35*-'TS2'!AO25</f>
        <v>0</v>
      </c>
      <c r="AP67" s="142">
        <f>'DB2'!$J$35*-'TS2'!AP25</f>
        <v>0</v>
      </c>
      <c r="AQ67" s="142">
        <f>'DB2'!$J$35*-'TS2'!AQ25</f>
        <v>0</v>
      </c>
      <c r="AR67" s="142">
        <f>'DB2'!$J$35*-'TS2'!AR25</f>
        <v>0</v>
      </c>
      <c r="AS67" s="142">
        <f>'DB2'!$J$35*-'TS2'!AS25</f>
        <v>0</v>
      </c>
      <c r="AT67" s="142">
        <f>'DB2'!$J$35*-'TS2'!AT25</f>
        <v>0</v>
      </c>
      <c r="AU67" s="142">
        <f>'DB2'!$J$35*-'TS2'!AU25</f>
        <v>0</v>
      </c>
      <c r="AV67" s="142">
        <f>'DB2'!$J$35*-'TS2'!AV25</f>
        <v>0</v>
      </c>
      <c r="AW67" s="142">
        <f>'DB2'!$J$35*-'TS2'!AW25</f>
        <v>0</v>
      </c>
      <c r="AX67" s="142">
        <f>'DB2'!$J$35*-'TS2'!AX25</f>
        <v>0</v>
      </c>
      <c r="AY67" s="142">
        <f>'DB2'!$J$35*-'TS2'!AY25</f>
        <v>0</v>
      </c>
      <c r="AZ67" s="142">
        <f>'DB2'!$J$35*-'TS2'!AZ25</f>
        <v>0</v>
      </c>
      <c r="BA67" s="142">
        <f>'DB2'!$J$35*-'TS2'!BA25</f>
        <v>0</v>
      </c>
      <c r="BB67" s="142">
        <f>'DB2'!$J$35*-'TS2'!BB25</f>
        <v>0</v>
      </c>
      <c r="BC67" s="142">
        <f>'DB2'!$J$35*-'TS2'!BC25</f>
        <v>0</v>
      </c>
      <c r="BD67" s="142">
        <f>'DB2'!$J$35*-'TS2'!BD25</f>
        <v>0</v>
      </c>
      <c r="BE67" s="142">
        <f>'DB2'!$J$35*-'TS2'!BE25</f>
        <v>0</v>
      </c>
      <c r="BF67" s="142">
        <f>'DB2'!$J$35*-'TS2'!BF25</f>
        <v>0</v>
      </c>
      <c r="BG67" s="142">
        <f>'DB2'!$J$35*-'TS2'!BG25</f>
        <v>0</v>
      </c>
      <c r="BH67" s="142">
        <f>'DB2'!$J$35*-'TS2'!BH25</f>
        <v>0</v>
      </c>
      <c r="BI67" s="142">
        <f>'DB2'!$J$35*-'TS2'!BI25</f>
        <v>0</v>
      </c>
      <c r="BJ67" s="142">
        <f>'DB2'!$J$35*-'TS2'!BJ25</f>
        <v>0</v>
      </c>
      <c r="BK67" s="142">
        <f>'DB2'!$J$35*-'TS2'!BK25</f>
        <v>0</v>
      </c>
      <c r="BL67" s="142">
        <f>'DB2'!$J$35*-'TS2'!BL25</f>
        <v>0</v>
      </c>
      <c r="BM67" s="142">
        <f>'DB2'!$J$35*-'TS2'!BM25</f>
        <v>0</v>
      </c>
    </row>
    <row r="68" spans="1:65">
      <c r="A68" s="149"/>
      <c r="B68" s="140" t="str">
        <f>'DB2'!B36</f>
        <v>СМР соц. объектов (компенсация)</v>
      </c>
      <c r="C68" s="27"/>
      <c r="D68" s="131" t="s">
        <v>19</v>
      </c>
      <c r="E68" s="141">
        <f t="shared" si="73"/>
        <v>-4074.7541172575893</v>
      </c>
      <c r="F68" s="202">
        <f>SUMIFS(DETAILS!K$318:K$324,DETAILS!$C$318:$C$324,'CF2'!$D$2)/10^6</f>
        <v>0</v>
      </c>
      <c r="G68" s="202">
        <f>SUMIFS(DETAILS!L$318:L$324,DETAILS!$C$318:$C$324,'CF2'!$D$2)/10^6</f>
        <v>0</v>
      </c>
      <c r="H68" s="202">
        <f>SUMIFS(DETAILS!M$318:M$324,DETAILS!$C$318:$C$324,'CF2'!$D$2)/10^6</f>
        <v>0</v>
      </c>
      <c r="I68" s="202">
        <f>SUMIFS(DETAILS!N$318:N$324,DETAILS!$C$318:$C$324,'CF2'!$D$2)/10^6</f>
        <v>0</v>
      </c>
      <c r="J68" s="202">
        <f>SUMIFS(DETAILS!O$318:O$324,DETAILS!$C$318:$C$324,'CF2'!$D$2)/10^6</f>
        <v>0</v>
      </c>
      <c r="K68" s="202">
        <f>SUMIFS(DETAILS!P$318:P$324,DETAILS!$C$318:$C$324,'CF2'!$D$2)/10^6</f>
        <v>0</v>
      </c>
      <c r="L68" s="202">
        <f>SUMIFS(DETAILS!Q$318:Q$324,DETAILS!$C$318:$C$324,'CF2'!$D$2)/10^6</f>
        <v>0</v>
      </c>
      <c r="M68" s="202">
        <f>SUMIFS(DETAILS!R$318:R$324,DETAILS!$C$318:$C$324,'CF2'!$D$2)/10^6</f>
        <v>0</v>
      </c>
      <c r="N68" s="142">
        <f>SUMIFS(DETAILS!S$318:S$324,DETAILS!$C$318:$C$324,'CF2'!$D$2)/10^6</f>
        <v>0</v>
      </c>
      <c r="O68" s="142">
        <f>SUMIFS(DETAILS!T$318:T$324,DETAILS!$C$318:$C$324,'CF2'!$D$2)/10^6</f>
        <v>0</v>
      </c>
      <c r="P68" s="142">
        <f>SUMIFS(DETAILS!U$318:U$324,DETAILS!$C$318:$C$324,'CF2'!$D$2)/10^6</f>
        <v>0</v>
      </c>
      <c r="Q68" s="142">
        <f>SUMIFS(DETAILS!V$318:V$324,DETAILS!$C$318:$C$324,'CF2'!$D$2)/10^6</f>
        <v>0</v>
      </c>
      <c r="R68" s="142">
        <f>SUMIFS(DETAILS!W$318:W$324,DETAILS!$C$318:$C$324,'CF2'!$D$2)/10^6</f>
        <v>0</v>
      </c>
      <c r="S68" s="142">
        <f>SUMIFS(DETAILS!X$318:X$324,DETAILS!$C$318:$C$324,'CF2'!$D$2)/10^6</f>
        <v>0</v>
      </c>
      <c r="T68" s="142">
        <f>SUMIFS(DETAILS!Y$318:Y$324,DETAILS!$C$318:$C$324,'CF2'!$D$2)/10^6</f>
        <v>0</v>
      </c>
      <c r="U68" s="142">
        <f>SUMIFS(DETAILS!Z$318:Z$324,DETAILS!$C$318:$C$324,'CF2'!$D$2)/10^6</f>
        <v>0</v>
      </c>
      <c r="V68" s="142">
        <f>SUMIFS(DETAILS!AA$318:AA$324,DETAILS!$C$318:$C$324,'CF2'!$D$2)/10^6</f>
        <v>0</v>
      </c>
      <c r="W68" s="142">
        <f>SUMIFS(DETAILS!AB$318:AB$324,DETAILS!$C$318:$C$324,'CF2'!$D$2)/10^6</f>
        <v>0</v>
      </c>
      <c r="X68" s="142">
        <f>SUMIFS(DETAILS!AC$318:AC$324,DETAILS!$C$318:$C$324,'CF2'!$D$2)/10^6</f>
        <v>-339.56284310479919</v>
      </c>
      <c r="Y68" s="142">
        <f>SUMIFS(DETAILS!AD$318:AD$324,DETAILS!$C$318:$C$324,'CF2'!$D$2)/10^6</f>
        <v>-339.56284310479919</v>
      </c>
      <c r="Z68" s="142">
        <f>SUMIFS(DETAILS!AE$318:AE$324,DETAILS!$C$318:$C$324,'CF2'!$D$2)/10^6</f>
        <v>-339.56284310479919</v>
      </c>
      <c r="AA68" s="142">
        <f>SUMIFS(DETAILS!AF$318:AF$324,DETAILS!$C$318:$C$324,'CF2'!$D$2)/10^6</f>
        <v>-339.56284310479919</v>
      </c>
      <c r="AB68" s="142">
        <f>SUMIFS(DETAILS!AG$318:AG$324,DETAILS!$C$318:$C$324,'CF2'!$D$2)/10^6</f>
        <v>-339.56284310479919</v>
      </c>
      <c r="AC68" s="142">
        <f>SUMIFS(DETAILS!AH$318:AH$324,DETAILS!$C$318:$C$324,'CF2'!$D$2)/10^6</f>
        <v>-339.56284310479919</v>
      </c>
      <c r="AD68" s="142">
        <f>SUMIFS(DETAILS!AI$318:AI$324,DETAILS!$C$318:$C$324,'CF2'!$D$2)/10^6</f>
        <v>-339.56284310479919</v>
      </c>
      <c r="AE68" s="142">
        <f>SUMIFS(DETAILS!AJ$318:AJ$324,DETAILS!$C$318:$C$324,'CF2'!$D$2)/10^6</f>
        <v>-339.56284310479919</v>
      </c>
      <c r="AF68" s="142">
        <f>SUMIFS(DETAILS!AK$318:AK$324,DETAILS!$C$318:$C$324,'CF2'!$D$2)/10^6</f>
        <v>-339.56284310479919</v>
      </c>
      <c r="AG68" s="142">
        <f>SUMIFS(DETAILS!AL$318:AL$324,DETAILS!$C$318:$C$324,'CF2'!$D$2)/10^6</f>
        <v>-339.56284310479919</v>
      </c>
      <c r="AH68" s="142">
        <f>SUMIFS(DETAILS!AM$318:AM$324,DETAILS!$C$318:$C$324,'CF2'!$D$2)/10^6</f>
        <v>-339.56284310479919</v>
      </c>
      <c r="AI68" s="142">
        <f>SUMIFS(DETAILS!AN$318:AN$324,DETAILS!$C$318:$C$324,'CF2'!$D$2)/10^6</f>
        <v>-339.56284310479919</v>
      </c>
      <c r="AJ68" s="142">
        <f>SUMIFS(DETAILS!AO$318:AO$324,DETAILS!$C$318:$C$324,'CF2'!$D$2)/10^6</f>
        <v>0</v>
      </c>
      <c r="AK68" s="142">
        <f>SUMIFS(DETAILS!AP$318:AP$324,DETAILS!$C$318:$C$324,'CF2'!$D$2)/10^6</f>
        <v>0</v>
      </c>
      <c r="AL68" s="142">
        <f>SUMIFS(DETAILS!AQ$318:AQ$324,DETAILS!$C$318:$C$324,'CF2'!$D$2)/10^6</f>
        <v>0</v>
      </c>
      <c r="AM68" s="142">
        <f>SUMIFS(DETAILS!AR$318:AR$324,DETAILS!$C$318:$C$324,'CF2'!$D$2)/10^6</f>
        <v>0</v>
      </c>
      <c r="AN68" s="142">
        <f>SUMIFS(DETAILS!AS$318:AS$324,DETAILS!$C$318:$C$324,'CF2'!$D$2)/10^6</f>
        <v>0</v>
      </c>
      <c r="AO68" s="142">
        <f>SUMIFS(DETAILS!AT$318:AT$324,DETAILS!$C$318:$C$324,'CF2'!$D$2)/10^6</f>
        <v>0</v>
      </c>
      <c r="AP68" s="142">
        <f>SUMIFS(DETAILS!AU$318:AU$324,DETAILS!$C$318:$C$324,'CF2'!$D$2)/10^6</f>
        <v>0</v>
      </c>
      <c r="AQ68" s="142">
        <f>SUMIFS(DETAILS!AV$318:AV$324,DETAILS!$C$318:$C$324,'CF2'!$D$2)/10^6</f>
        <v>0</v>
      </c>
      <c r="AR68" s="142">
        <f>SUMIFS(DETAILS!AW$318:AW$324,DETAILS!$C$318:$C$324,'CF2'!$D$2)/10^6</f>
        <v>0</v>
      </c>
      <c r="AS68" s="142">
        <f>SUMIFS(DETAILS!AX$318:AX$324,DETAILS!$C$318:$C$324,'CF2'!$D$2)/10^6</f>
        <v>0</v>
      </c>
      <c r="AT68" s="142">
        <f>SUMIFS(DETAILS!AY$318:AY$324,DETAILS!$C$318:$C$324,'CF2'!$D$2)/10^6</f>
        <v>0</v>
      </c>
      <c r="AU68" s="142">
        <f>SUMIFS(DETAILS!AZ$318:AZ$324,DETAILS!$C$318:$C$324,'CF2'!$D$2)/10^6</f>
        <v>0</v>
      </c>
      <c r="AV68" s="142">
        <f>SUMIFS(DETAILS!BA$318:BA$324,DETAILS!$C$318:$C$324,'CF2'!$D$2)/10^6</f>
        <v>0</v>
      </c>
      <c r="AW68" s="142">
        <f>SUMIFS(DETAILS!BB$318:BB$324,DETAILS!$C$318:$C$324,'CF2'!$D$2)/10^6</f>
        <v>0</v>
      </c>
      <c r="AX68" s="142">
        <f>SUMIFS(DETAILS!BC$318:BC$324,DETAILS!$C$318:$C$324,'CF2'!$D$2)/10^6</f>
        <v>0</v>
      </c>
      <c r="AY68" s="142">
        <f>SUMIFS(DETAILS!BD$318:BD$324,DETAILS!$C$318:$C$324,'CF2'!$D$2)/10^6</f>
        <v>0</v>
      </c>
      <c r="AZ68" s="142">
        <f>SUMIFS(DETAILS!BE$318:BE$324,DETAILS!$C$318:$C$324,'CF2'!$D$2)/10^6</f>
        <v>0</v>
      </c>
      <c r="BA68" s="142">
        <f>SUMIFS(DETAILS!BF$318:BF$324,DETAILS!$C$318:$C$324,'CF2'!$D$2)/10^6</f>
        <v>0</v>
      </c>
      <c r="BB68" s="142">
        <f>SUMIFS(DETAILS!BG$318:BG$324,DETAILS!$C$318:$C$324,'CF2'!$D$2)/10^6</f>
        <v>0</v>
      </c>
      <c r="BC68" s="142">
        <f>SUMIFS(DETAILS!BH$318:BH$324,DETAILS!$C$318:$C$324,'CF2'!$D$2)/10^6</f>
        <v>0</v>
      </c>
      <c r="BD68" s="142">
        <f>SUMIFS(DETAILS!BI$318:BI$324,DETAILS!$C$318:$C$324,'CF2'!$D$2)/10^6</f>
        <v>0</v>
      </c>
      <c r="BE68" s="142">
        <f>SUMIFS(DETAILS!BJ$318:BJ$324,DETAILS!$C$318:$C$324,'CF2'!$D$2)/10^6</f>
        <v>0</v>
      </c>
      <c r="BF68" s="142">
        <f>SUMIFS(DETAILS!BK$318:BK$324,DETAILS!$C$318:$C$324,'CF2'!$D$2)/10^6</f>
        <v>0</v>
      </c>
      <c r="BG68" s="142">
        <f>SUMIFS(DETAILS!BL$318:BL$324,DETAILS!$C$318:$C$324,'CF2'!$D$2)/10^6</f>
        <v>0</v>
      </c>
      <c r="BH68" s="142">
        <f>SUMIFS(DETAILS!BM$318:BM$324,DETAILS!$C$318:$C$324,'CF2'!$D$2)/10^6</f>
        <v>0</v>
      </c>
      <c r="BI68" s="142">
        <f>SUMIFS(DETAILS!BN$318:BN$324,DETAILS!$C$318:$C$324,'CF2'!$D$2)/10^6</f>
        <v>0</v>
      </c>
      <c r="BJ68" s="142">
        <f>SUMIFS(DETAILS!BO$318:BO$324,DETAILS!$C$318:$C$324,'CF2'!$D$2)/10^6</f>
        <v>0</v>
      </c>
      <c r="BK68" s="142">
        <f>SUMIFS(DETAILS!BP$318:BP$324,DETAILS!$C$318:$C$324,'CF2'!$D$2)/10^6</f>
        <v>0</v>
      </c>
      <c r="BL68" s="142">
        <f>SUMIFS(DETAILS!BQ$318:BQ$324,DETAILS!$C$318:$C$324,'CF2'!$D$2)/10^6</f>
        <v>0</v>
      </c>
      <c r="BM68" s="142">
        <f>SUMIFS(DETAILS!BR$318:BR$324,DETAILS!$C$318:$C$324,'CF2'!$D$2)/10^6</f>
        <v>0</v>
      </c>
    </row>
    <row r="69" spans="1:65" hidden="1">
      <c r="A69" s="149"/>
      <c r="B69" s="140" t="s">
        <v>36</v>
      </c>
      <c r="C69" s="27"/>
      <c r="D69" s="131" t="s">
        <v>19</v>
      </c>
      <c r="E69" s="141">
        <f t="shared" si="73"/>
        <v>0</v>
      </c>
      <c r="F69" s="202"/>
      <c r="G69" s="202"/>
      <c r="H69" s="202"/>
      <c r="I69" s="202"/>
      <c r="J69" s="202"/>
      <c r="K69" s="202"/>
      <c r="L69" s="202"/>
      <c r="M69" s="20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2"/>
      <c r="AU69" s="142"/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</row>
    <row r="70" spans="1:65">
      <c r="A70" s="149"/>
      <c r="B70" s="140" t="s">
        <v>33</v>
      </c>
      <c r="C70" s="27"/>
      <c r="D70" s="131" t="s">
        <v>19</v>
      </c>
      <c r="E70" s="141">
        <f t="shared" si="73"/>
        <v>-531.35497799999996</v>
      </c>
      <c r="F70" s="202">
        <f>SUMIFS(DETAILS!K$326:K$342,DETAILS!$C$326:$C$342,'CF2'!$D$2)/10^6</f>
        <v>0</v>
      </c>
      <c r="G70" s="202">
        <f>SUMIFS(DETAILS!L$326:L$342,DETAILS!$C$326:$C$342,'CF2'!$D$2)/10^6</f>
        <v>0</v>
      </c>
      <c r="H70" s="202">
        <f>SUMIFS(DETAILS!M$326:M$342,DETAILS!$C$326:$C$342,'CF2'!$D$2)/10^6</f>
        <v>0</v>
      </c>
      <c r="I70" s="202">
        <f>SUMIFS(DETAILS!N$326:N$342,DETAILS!$C$326:$C$342,'CF2'!$D$2)/10^6</f>
        <v>0</v>
      </c>
      <c r="J70" s="202">
        <f>SUMIFS(DETAILS!O$326:O$342,DETAILS!$C$326:$C$342,'CF2'!$D$2)/10^6</f>
        <v>0</v>
      </c>
      <c r="K70" s="202">
        <f>SUMIFS(DETAILS!P$326:P$342,DETAILS!$C$326:$C$342,'CF2'!$D$2)/10^6</f>
        <v>0</v>
      </c>
      <c r="L70" s="202">
        <f>SUMIFS(DETAILS!Q$326:Q$342,DETAILS!$C$326:$C$342,'CF2'!$D$2)/10^6</f>
        <v>0</v>
      </c>
      <c r="M70" s="202">
        <f>SUMIFS(DETAILS!R$326:R$342,DETAILS!$C$326:$C$342,'CF2'!$D$2)/10^6</f>
        <v>0</v>
      </c>
      <c r="N70" s="142">
        <f>SUMIFS(DETAILS!S$326:S$342,DETAILS!$C$326:$C$342,'CF2'!$D$2)/10^6</f>
        <v>0</v>
      </c>
      <c r="O70" s="142">
        <f>SUMIFS(DETAILS!T$326:T$342,DETAILS!$C$326:$C$342,'CF2'!$D$2)/10^6</f>
        <v>0</v>
      </c>
      <c r="P70" s="142">
        <f>SUMIFS(DETAILS!U$326:U$342,DETAILS!$C$326:$C$342,'CF2'!$D$2)/10^6</f>
        <v>0</v>
      </c>
      <c r="Q70" s="142">
        <f>SUMIFS(DETAILS!V$326:V$342,DETAILS!$C$326:$C$342,'CF2'!$D$2)/10^6</f>
        <v>0</v>
      </c>
      <c r="R70" s="142">
        <f>SUMIFS(DETAILS!W$326:W$342,DETAILS!$C$326:$C$342,'CF2'!$D$2)/10^6</f>
        <v>0</v>
      </c>
      <c r="S70" s="142">
        <f>SUMIFS(DETAILS!X$326:X$342,DETAILS!$C$326:$C$342,'CF2'!$D$2)/10^6</f>
        <v>0</v>
      </c>
      <c r="T70" s="142">
        <f>SUMIFS(DETAILS!Y$326:Y$342,DETAILS!$C$326:$C$342,'CF2'!$D$2)/10^6</f>
        <v>0</v>
      </c>
      <c r="U70" s="142">
        <f>SUMIFS(DETAILS!Z$326:Z$342,DETAILS!$C$326:$C$342,'CF2'!$D$2)/10^6</f>
        <v>-1.5</v>
      </c>
      <c r="V70" s="142">
        <f>SUMIFS(DETAILS!AA$326:AA$342,DETAILS!$C$326:$C$342,'CF2'!$D$2)/10^6</f>
        <v>-161.40649339999999</v>
      </c>
      <c r="W70" s="142">
        <f>SUMIFS(DETAILS!AB$326:AB$342,DETAILS!$C$326:$C$342,'CF2'!$D$2)/10^6</f>
        <v>-263.17748899999998</v>
      </c>
      <c r="X70" s="142">
        <f>SUMIFS(DETAILS!AC$326:AC$342,DETAILS!$C$326:$C$342,'CF2'!$D$2)/10^6</f>
        <v>0</v>
      </c>
      <c r="Y70" s="142">
        <f>SUMIFS(DETAILS!AD$326:AD$342,DETAILS!$C$326:$C$342,'CF2'!$D$2)/10^6</f>
        <v>0</v>
      </c>
      <c r="Z70" s="142">
        <f>SUMIFS(DETAILS!AE$326:AE$342,DETAILS!$C$326:$C$342,'CF2'!$D$2)/10^6</f>
        <v>0</v>
      </c>
      <c r="AA70" s="142">
        <f>SUMIFS(DETAILS!AF$326:AF$342,DETAILS!$C$326:$C$342,'CF2'!$D$2)/10^6</f>
        <v>0</v>
      </c>
      <c r="AB70" s="142">
        <f>SUMIFS(DETAILS!AG$326:AG$342,DETAILS!$C$326:$C$342,'CF2'!$D$2)/10^6</f>
        <v>0</v>
      </c>
      <c r="AC70" s="142">
        <f>SUMIFS(DETAILS!AH$326:AH$342,DETAILS!$C$326:$C$342,'CF2'!$D$2)/10^6</f>
        <v>0</v>
      </c>
      <c r="AD70" s="142">
        <f>SUMIFS(DETAILS!AI$326:AI$342,DETAILS!$C$326:$C$342,'CF2'!$D$2)/10^6</f>
        <v>0</v>
      </c>
      <c r="AE70" s="142">
        <f>SUMIFS(DETAILS!AJ$326:AJ$342,DETAILS!$C$326:$C$342,'CF2'!$D$2)/10^6</f>
        <v>0</v>
      </c>
      <c r="AF70" s="142">
        <f>SUMIFS(DETAILS!AK$326:AK$342,DETAILS!$C$326:$C$342,'CF2'!$D$2)/10^6</f>
        <v>0</v>
      </c>
      <c r="AG70" s="142">
        <f>SUMIFS(DETAILS!AL$326:AL$342,DETAILS!$C$326:$C$342,'CF2'!$D$2)/10^6</f>
        <v>-52.635497799999996</v>
      </c>
      <c r="AH70" s="142">
        <f>SUMIFS(DETAILS!AM$326:AM$342,DETAILS!$C$326:$C$342,'CF2'!$D$2)/10^6</f>
        <v>-52.635497799999996</v>
      </c>
      <c r="AI70" s="142">
        <f>SUMIFS(DETAILS!AN$326:AN$342,DETAILS!$C$326:$C$342,'CF2'!$D$2)/10^6</f>
        <v>0</v>
      </c>
      <c r="AJ70" s="142">
        <f>SUMIFS(DETAILS!AO$326:AO$342,DETAILS!$C$326:$C$342,'CF2'!$D$2)/10^6</f>
        <v>0</v>
      </c>
      <c r="AK70" s="142">
        <f>SUMIFS(DETAILS!AP$326:AP$342,DETAILS!$C$326:$C$342,'CF2'!$D$2)/10^6</f>
        <v>0</v>
      </c>
      <c r="AL70" s="142">
        <f>SUMIFS(DETAILS!AQ$326:AQ$342,DETAILS!$C$326:$C$342,'CF2'!$D$2)/10^6</f>
        <v>0</v>
      </c>
      <c r="AM70" s="142">
        <f>SUMIFS(DETAILS!AR$326:AR$342,DETAILS!$C$326:$C$342,'CF2'!$D$2)/10^6</f>
        <v>0</v>
      </c>
      <c r="AN70" s="142">
        <f>SUMIFS(DETAILS!AS$326:AS$342,DETAILS!$C$326:$C$342,'CF2'!$D$2)/10^6</f>
        <v>0</v>
      </c>
      <c r="AO70" s="142">
        <f>SUMIFS(DETAILS!AT$326:AT$342,DETAILS!$C$326:$C$342,'CF2'!$D$2)/10^6</f>
        <v>0</v>
      </c>
      <c r="AP70" s="142">
        <f>SUMIFS(DETAILS!AU$326:AU$342,DETAILS!$C$326:$C$342,'CF2'!$D$2)/10^6</f>
        <v>0</v>
      </c>
      <c r="AQ70" s="142">
        <f>SUMIFS(DETAILS!AV$326:AV$342,DETAILS!$C$326:$C$342,'CF2'!$D$2)/10^6</f>
        <v>0</v>
      </c>
      <c r="AR70" s="142">
        <f>SUMIFS(DETAILS!AW$326:AW$342,DETAILS!$C$326:$C$342,'CF2'!$D$2)/10^6</f>
        <v>0</v>
      </c>
      <c r="AS70" s="142">
        <f>SUMIFS(DETAILS!AX$326:AX$342,DETAILS!$C$326:$C$342,'CF2'!$D$2)/10^6</f>
        <v>0</v>
      </c>
      <c r="AT70" s="142">
        <f>SUMIFS(DETAILS!AY$326:AY$342,DETAILS!$C$326:$C$342,'CF2'!$D$2)/10^6</f>
        <v>0</v>
      </c>
      <c r="AU70" s="142">
        <f>SUMIFS(DETAILS!AZ$326:AZ$342,DETAILS!$C$326:$C$342,'CF2'!$D$2)/10^6</f>
        <v>0</v>
      </c>
      <c r="AV70" s="142">
        <f>SUMIFS(DETAILS!BA$326:BA$342,DETAILS!$C$326:$C$342,'CF2'!$D$2)/10^6</f>
        <v>0</v>
      </c>
      <c r="AW70" s="142">
        <f>SUMIFS(DETAILS!BB$326:BB$342,DETAILS!$C$326:$C$342,'CF2'!$D$2)/10^6</f>
        <v>0</v>
      </c>
      <c r="AX70" s="142">
        <f>SUMIFS(DETAILS!BC$326:BC$342,DETAILS!$C$326:$C$342,'CF2'!$D$2)/10^6</f>
        <v>0</v>
      </c>
      <c r="AY70" s="142">
        <f>SUMIFS(DETAILS!BD$326:BD$342,DETAILS!$C$326:$C$342,'CF2'!$D$2)/10^6</f>
        <v>0</v>
      </c>
      <c r="AZ70" s="142">
        <f>SUMIFS(DETAILS!BE$326:BE$342,DETAILS!$C$326:$C$342,'CF2'!$D$2)/10^6</f>
        <v>0</v>
      </c>
      <c r="BA70" s="142">
        <f>SUMIFS(DETAILS!BF$326:BF$342,DETAILS!$C$326:$C$342,'CF2'!$D$2)/10^6</f>
        <v>0</v>
      </c>
      <c r="BB70" s="142">
        <f>SUMIFS(DETAILS!BG$326:BG$342,DETAILS!$C$326:$C$342,'CF2'!$D$2)/10^6</f>
        <v>0</v>
      </c>
      <c r="BC70" s="142">
        <f>SUMIFS(DETAILS!BH$326:BH$342,DETAILS!$C$326:$C$342,'CF2'!$D$2)/10^6</f>
        <v>0</v>
      </c>
      <c r="BD70" s="142">
        <f>SUMIFS(DETAILS!BI$326:BI$342,DETAILS!$C$326:$C$342,'CF2'!$D$2)/10^6</f>
        <v>0</v>
      </c>
      <c r="BE70" s="142">
        <f>SUMIFS(DETAILS!BJ$326:BJ$342,DETAILS!$C$326:$C$342,'CF2'!$D$2)/10^6</f>
        <v>0</v>
      </c>
      <c r="BF70" s="142">
        <f>SUMIFS(DETAILS!BK$326:BK$342,DETAILS!$C$326:$C$342,'CF2'!$D$2)/10^6</f>
        <v>0</v>
      </c>
      <c r="BG70" s="142">
        <f>SUMIFS(DETAILS!BL$326:BL$342,DETAILS!$C$326:$C$342,'CF2'!$D$2)/10^6</f>
        <v>0</v>
      </c>
      <c r="BH70" s="142">
        <f>SUMIFS(DETAILS!BM$326:BM$342,DETAILS!$C$326:$C$342,'CF2'!$D$2)/10^6</f>
        <v>0</v>
      </c>
      <c r="BI70" s="142">
        <f>SUMIFS(DETAILS!BN$326:BN$342,DETAILS!$C$326:$C$342,'CF2'!$D$2)/10^6</f>
        <v>0</v>
      </c>
      <c r="BJ70" s="142">
        <f>SUMIFS(DETAILS!BO$326:BO$342,DETAILS!$C$326:$C$342,'CF2'!$D$2)/10^6</f>
        <v>0</v>
      </c>
      <c r="BK70" s="142">
        <f>SUMIFS(DETAILS!BP$326:BP$342,DETAILS!$C$326:$C$342,'CF2'!$D$2)/10^6</f>
        <v>0</v>
      </c>
      <c r="BL70" s="142">
        <f>SUMIFS(DETAILS!BQ$326:BQ$342,DETAILS!$C$326:$C$342,'CF2'!$D$2)/10^6</f>
        <v>0</v>
      </c>
      <c r="BM70" s="142">
        <f>SUMIFS(DETAILS!BR$326:BR$342,DETAILS!$C$326:$C$342,'CF2'!$D$2)/10^6</f>
        <v>0</v>
      </c>
    </row>
    <row r="71" spans="1:65">
      <c r="A71" s="149"/>
      <c r="B71" s="140" t="str">
        <f>'DB2'!B39</f>
        <v>СОДЕРЖАНИЕ ПЛОЩАДКИ</v>
      </c>
      <c r="C71" s="27"/>
      <c r="D71" s="131" t="s">
        <v>19</v>
      </c>
      <c r="E71" s="141">
        <f>SUM(F71:BM71)</f>
        <v>-48.304998000000012</v>
      </c>
      <c r="F71" s="202">
        <f>SUMIFS(DETAILS!K$344:K$359,DETAILS!$C$344:$C$359,'CF2'!$D$2)/10^6</f>
        <v>0</v>
      </c>
      <c r="G71" s="202">
        <f>SUMIFS(DETAILS!L$344:L$359,DETAILS!$C$344:$C$359,'CF2'!$D$2)/10^6</f>
        <v>0</v>
      </c>
      <c r="H71" s="202">
        <f>SUMIFS(DETAILS!M$344:M$359,DETAILS!$C$344:$C$359,'CF2'!$D$2)/10^6</f>
        <v>0</v>
      </c>
      <c r="I71" s="202">
        <f>SUMIFS(DETAILS!N$344:N$359,DETAILS!$C$344:$C$359,'CF2'!$D$2)/10^6</f>
        <v>0</v>
      </c>
      <c r="J71" s="202">
        <f>SUMIFS(DETAILS!O$344:O$359,DETAILS!$C$344:$C$359,'CF2'!$D$2)/10^6</f>
        <v>0</v>
      </c>
      <c r="K71" s="202">
        <f>SUMIFS(DETAILS!P$344:P$359,DETAILS!$C$344:$C$359,'CF2'!$D$2)/10^6</f>
        <v>0</v>
      </c>
      <c r="L71" s="202">
        <f>SUMIFS(DETAILS!Q$344:Q$359,DETAILS!$C$344:$C$359,'CF2'!$D$2)/10^6</f>
        <v>0</v>
      </c>
      <c r="M71" s="202">
        <f>SUMIFS(DETAILS!R$344:R$359,DETAILS!$C$344:$C$359,'CF2'!$D$2)/10^6</f>
        <v>0</v>
      </c>
      <c r="N71" s="142">
        <f>SUMIFS(DETAILS!S$344:S$359,DETAILS!$C$344:$C$359,'CF2'!$D$2)/10^6</f>
        <v>0</v>
      </c>
      <c r="O71" s="142">
        <f>SUMIFS(DETAILS!T$344:T$359,DETAILS!$C$344:$C$359,'CF2'!$D$2)/10^6</f>
        <v>0</v>
      </c>
      <c r="P71" s="142">
        <f>SUMIFS(DETAILS!U$344:U$359,DETAILS!$C$344:$C$359,'CF2'!$D$2)/10^6</f>
        <v>0</v>
      </c>
      <c r="Q71" s="142">
        <f>SUMIFS(DETAILS!V$344:V$359,DETAILS!$C$344:$C$359,'CF2'!$D$2)/10^6</f>
        <v>0</v>
      </c>
      <c r="R71" s="142">
        <f>SUMIFS(DETAILS!W$344:W$359,DETAILS!$C$344:$C$359,'CF2'!$D$2)/10^6</f>
        <v>0</v>
      </c>
      <c r="S71" s="142">
        <f>SUMIFS(DETAILS!X$344:X$359,DETAILS!$C$344:$C$359,'CF2'!$D$2)/10^6</f>
        <v>0</v>
      </c>
      <c r="T71" s="142">
        <f>SUMIFS(DETAILS!Y$344:Y$359,DETAILS!$C$344:$C$359,'CF2'!$D$2)/10^6</f>
        <v>-5.6</v>
      </c>
      <c r="U71" s="142">
        <f>SUMIFS(DETAILS!Z$344:Z$359,DETAILS!$C$344:$C$359,'CF2'!$D$2)/10^6</f>
        <v>-0.6</v>
      </c>
      <c r="V71" s="142">
        <f>SUMIFS(DETAILS!AA$344:AA$359,DETAILS!$C$344:$C$359,'CF2'!$D$2)/10^6</f>
        <v>-5.2</v>
      </c>
      <c r="W71" s="142">
        <f>SUMIFS(DETAILS!AB$344:AB$359,DETAILS!$C$344:$C$359,'CF2'!$D$2)/10^6</f>
        <v>-4.4000000000000004</v>
      </c>
      <c r="X71" s="142">
        <f>SUMIFS(DETAILS!AC$344:AC$359,DETAILS!$C$344:$C$359,'CF2'!$D$2)/10^6</f>
        <v>0</v>
      </c>
      <c r="Y71" s="142">
        <f>SUMIFS(DETAILS!AD$344:AD$359,DETAILS!$C$344:$C$359,'CF2'!$D$2)/10^6</f>
        <v>-2.7087498333333331</v>
      </c>
      <c r="Z71" s="142">
        <f>SUMIFS(DETAILS!AE$344:AE$359,DETAILS!$C$344:$C$359,'CF2'!$D$2)/10^6</f>
        <v>-2.7087498333333331</v>
      </c>
      <c r="AA71" s="142">
        <f>SUMIFS(DETAILS!AF$344:AF$359,DETAILS!$C$344:$C$359,'CF2'!$D$2)/10^6</f>
        <v>-2.7087498333333331</v>
      </c>
      <c r="AB71" s="142">
        <f>SUMIFS(DETAILS!AG$344:AG$359,DETAILS!$C$344:$C$359,'CF2'!$D$2)/10^6</f>
        <v>-2.7087498333333331</v>
      </c>
      <c r="AC71" s="142">
        <f>SUMIFS(DETAILS!AH$344:AH$359,DETAILS!$C$344:$C$359,'CF2'!$D$2)/10^6</f>
        <v>-2.7087498333333331</v>
      </c>
      <c r="AD71" s="142">
        <f>SUMIFS(DETAILS!AI$344:AI$359,DETAILS!$C$344:$C$359,'CF2'!$D$2)/10^6</f>
        <v>-2.7087498333333331</v>
      </c>
      <c r="AE71" s="142">
        <f>SUMIFS(DETAILS!AJ$344:AJ$359,DETAILS!$C$344:$C$359,'CF2'!$D$2)/10^6</f>
        <v>-2.7087498333333331</v>
      </c>
      <c r="AF71" s="142">
        <f>SUMIFS(DETAILS!AK$344:AK$359,DETAILS!$C$344:$C$359,'CF2'!$D$2)/10^6</f>
        <v>-2.7087498333333331</v>
      </c>
      <c r="AG71" s="142">
        <f>SUMIFS(DETAILS!AL$344:AL$359,DETAILS!$C$344:$C$359,'CF2'!$D$2)/10^6</f>
        <v>-2.7087498333333331</v>
      </c>
      <c r="AH71" s="142">
        <f>SUMIFS(DETAILS!AM$344:AM$359,DETAILS!$C$344:$C$359,'CF2'!$D$2)/10^6</f>
        <v>-2.7087498333333331</v>
      </c>
      <c r="AI71" s="142">
        <f>SUMIFS(DETAILS!AN$344:AN$359,DETAILS!$C$344:$C$359,'CF2'!$D$2)/10^6</f>
        <v>-2.7087498333333331</v>
      </c>
      <c r="AJ71" s="142">
        <f>SUMIFS(DETAILS!AO$344:AO$359,DETAILS!$C$344:$C$359,'CF2'!$D$2)/10^6</f>
        <v>-2.7087498333333331</v>
      </c>
      <c r="AK71" s="142">
        <f>SUMIFS(DETAILS!AP$344:AP$359,DETAILS!$C$344:$C$359,'CF2'!$D$2)/10^6</f>
        <v>0</v>
      </c>
      <c r="AL71" s="142">
        <f>SUMIFS(DETAILS!AQ$344:AQ$359,DETAILS!$C$344:$C$359,'CF2'!$D$2)/10^6</f>
        <v>0</v>
      </c>
      <c r="AM71" s="142">
        <f>SUMIFS(DETAILS!AR$344:AR$359,DETAILS!$C$344:$C$359,'CF2'!$D$2)/10^6</f>
        <v>0</v>
      </c>
      <c r="AN71" s="142">
        <f>SUMIFS(DETAILS!AS$344:AS$359,DETAILS!$C$344:$C$359,'CF2'!$D$2)/10^6</f>
        <v>0</v>
      </c>
      <c r="AO71" s="142">
        <f>SUMIFS(DETAILS!AT$344:AT$359,DETAILS!$C$344:$C$359,'CF2'!$D$2)/10^6</f>
        <v>0</v>
      </c>
      <c r="AP71" s="142">
        <f>SUMIFS(DETAILS!AU$344:AU$359,DETAILS!$C$344:$C$359,'CF2'!$D$2)/10^6</f>
        <v>0</v>
      </c>
      <c r="AQ71" s="142">
        <f>SUMIFS(DETAILS!AV$344:AV$359,DETAILS!$C$344:$C$359,'CF2'!$D$2)/10^6</f>
        <v>0</v>
      </c>
      <c r="AR71" s="142">
        <f>SUMIFS(DETAILS!AW$344:AW$359,DETAILS!$C$344:$C$359,'CF2'!$D$2)/10^6</f>
        <v>0</v>
      </c>
      <c r="AS71" s="142">
        <f>SUMIFS(DETAILS!AX$344:AX$359,DETAILS!$C$344:$C$359,'CF2'!$D$2)/10^6</f>
        <v>0</v>
      </c>
      <c r="AT71" s="142">
        <f>SUMIFS(DETAILS!AY$344:AY$359,DETAILS!$C$344:$C$359,'CF2'!$D$2)/10^6</f>
        <v>0</v>
      </c>
      <c r="AU71" s="142">
        <f>SUMIFS(DETAILS!AZ$344:AZ$359,DETAILS!$C$344:$C$359,'CF2'!$D$2)/10^6</f>
        <v>0</v>
      </c>
      <c r="AV71" s="142">
        <f>SUMIFS(DETAILS!BA$344:BA$359,DETAILS!$C$344:$C$359,'CF2'!$D$2)/10^6</f>
        <v>0</v>
      </c>
      <c r="AW71" s="142">
        <f>SUMIFS(DETAILS!BB$344:BB$359,DETAILS!$C$344:$C$359,'CF2'!$D$2)/10^6</f>
        <v>0</v>
      </c>
      <c r="AX71" s="142">
        <f>SUMIFS(DETAILS!BC$344:BC$359,DETAILS!$C$344:$C$359,'CF2'!$D$2)/10^6</f>
        <v>0</v>
      </c>
      <c r="AY71" s="142">
        <f>SUMIFS(DETAILS!BD$344:BD$359,DETAILS!$C$344:$C$359,'CF2'!$D$2)/10^6</f>
        <v>0</v>
      </c>
      <c r="AZ71" s="142">
        <f>SUMIFS(DETAILS!BE$344:BE$359,DETAILS!$C$344:$C$359,'CF2'!$D$2)/10^6</f>
        <v>0</v>
      </c>
      <c r="BA71" s="142">
        <f>SUMIFS(DETAILS!BF$344:BF$359,DETAILS!$C$344:$C$359,'CF2'!$D$2)/10^6</f>
        <v>0</v>
      </c>
      <c r="BB71" s="142">
        <f>SUMIFS(DETAILS!BG$344:BG$359,DETAILS!$C$344:$C$359,'CF2'!$D$2)/10^6</f>
        <v>0</v>
      </c>
      <c r="BC71" s="142">
        <f>SUMIFS(DETAILS!BH$344:BH$359,DETAILS!$C$344:$C$359,'CF2'!$D$2)/10^6</f>
        <v>0</v>
      </c>
      <c r="BD71" s="142">
        <f>SUMIFS(DETAILS!BI$344:BI$359,DETAILS!$C$344:$C$359,'CF2'!$D$2)/10^6</f>
        <v>0</v>
      </c>
      <c r="BE71" s="142">
        <f>SUMIFS(DETAILS!BJ$344:BJ$359,DETAILS!$C$344:$C$359,'CF2'!$D$2)/10^6</f>
        <v>0</v>
      </c>
      <c r="BF71" s="142">
        <f>SUMIFS(DETAILS!BK$344:BK$359,DETAILS!$C$344:$C$359,'CF2'!$D$2)/10^6</f>
        <v>0</v>
      </c>
      <c r="BG71" s="142">
        <f>SUMIFS(DETAILS!BL$344:BL$359,DETAILS!$C$344:$C$359,'CF2'!$D$2)/10^6</f>
        <v>0</v>
      </c>
      <c r="BH71" s="142">
        <f>SUMIFS(DETAILS!BM$344:BM$359,DETAILS!$C$344:$C$359,'CF2'!$D$2)/10^6</f>
        <v>0</v>
      </c>
      <c r="BI71" s="142">
        <f>SUMIFS(DETAILS!BN$344:BN$359,DETAILS!$C$344:$C$359,'CF2'!$D$2)/10^6</f>
        <v>0</v>
      </c>
      <c r="BJ71" s="142">
        <f>SUMIFS(DETAILS!BO$344:BO$359,DETAILS!$C$344:$C$359,'CF2'!$D$2)/10^6</f>
        <v>0</v>
      </c>
      <c r="BK71" s="142">
        <f>SUMIFS(DETAILS!BP$344:BP$359,DETAILS!$C$344:$C$359,'CF2'!$D$2)/10^6</f>
        <v>0</v>
      </c>
      <c r="BL71" s="142">
        <f>SUMIFS(DETAILS!BQ$344:BQ$359,DETAILS!$C$344:$C$359,'CF2'!$D$2)/10^6</f>
        <v>0</v>
      </c>
      <c r="BM71" s="142">
        <f>SUMIFS(DETAILS!BR$344:BR$359,DETAILS!$C$344:$C$359,'CF2'!$D$2)/10^6</f>
        <v>0</v>
      </c>
    </row>
    <row r="72" spans="1:65">
      <c r="A72" s="149"/>
      <c r="B72" s="140" t="s">
        <v>45</v>
      </c>
      <c r="C72" s="27"/>
      <c r="D72" s="131" t="s">
        <v>19</v>
      </c>
      <c r="E72" s="141">
        <f t="shared" si="73"/>
        <v>-241.52499000000006</v>
      </c>
      <c r="F72" s="202">
        <f>SUMIFS(DETAILS!K$373:K$393,DETAILS!$C$373:$C$393,'CF2'!$D$2)/10^6</f>
        <v>0</v>
      </c>
      <c r="G72" s="202">
        <f>SUMIFS(DETAILS!L$373:L$393,DETAILS!$C$373:$C$393,'CF2'!$D$2)/10^6</f>
        <v>0</v>
      </c>
      <c r="H72" s="202">
        <f>SUMIFS(DETAILS!M$373:M$393,DETAILS!$C$373:$C$393,'CF2'!$D$2)/10^6</f>
        <v>0</v>
      </c>
      <c r="I72" s="202">
        <f>SUMIFS(DETAILS!N$373:N$393,DETAILS!$C$373:$C$393,'CF2'!$D$2)/10^6</f>
        <v>0</v>
      </c>
      <c r="J72" s="202">
        <f>SUMIFS(DETAILS!O$373:O$393,DETAILS!$C$373:$C$393,'CF2'!$D$2)/10^6</f>
        <v>0</v>
      </c>
      <c r="K72" s="202">
        <f>SUMIFS(DETAILS!P$373:P$393,DETAILS!$C$373:$C$393,'CF2'!$D$2)/10^6</f>
        <v>0</v>
      </c>
      <c r="L72" s="202">
        <f>SUMIFS(DETAILS!Q$373:Q$393,DETAILS!$C$373:$C$393,'CF2'!$D$2)/10^6</f>
        <v>0</v>
      </c>
      <c r="M72" s="202">
        <f>SUMIFS(DETAILS!R$373:R$393,DETAILS!$C$373:$C$393,'CF2'!$D$2)/10^6</f>
        <v>0</v>
      </c>
      <c r="N72" s="142">
        <f>SUMIFS(DETAILS!S$373:S$393,DETAILS!$C$373:$C$393,'CF2'!$D$2)/10^6</f>
        <v>0</v>
      </c>
      <c r="O72" s="142">
        <f>SUMIFS(DETAILS!T$373:T$393,DETAILS!$C$373:$C$393,'CF2'!$D$2)/10^6</f>
        <v>0</v>
      </c>
      <c r="P72" s="142">
        <f>SUMIFS(DETAILS!U$373:U$393,DETAILS!$C$373:$C$393,'CF2'!$D$2)/10^6</f>
        <v>0</v>
      </c>
      <c r="Q72" s="142">
        <f>SUMIFS(DETAILS!V$373:V$393,DETAILS!$C$373:$C$393,'CF2'!$D$2)/10^6</f>
        <v>0</v>
      </c>
      <c r="R72" s="142">
        <f>SUMIFS(DETAILS!W$373:W$393,DETAILS!$C$373:$C$393,'CF2'!$D$2)/10^6</f>
        <v>0</v>
      </c>
      <c r="S72" s="142">
        <f>SUMIFS(DETAILS!X$373:X$393,DETAILS!$C$373:$C$393,'CF2'!$D$2)/10^6</f>
        <v>0</v>
      </c>
      <c r="T72" s="142">
        <f>SUMIFS(DETAILS!Y$373:Y$393,DETAILS!$C$373:$C$393,'CF2'!$D$2)/10^6</f>
        <v>-10</v>
      </c>
      <c r="U72" s="142">
        <f>SUMIFS(DETAILS!Z$373:Z$393,DETAILS!$C$373:$C$393,'CF2'!$D$2)/10^6</f>
        <v>-15</v>
      </c>
      <c r="V72" s="142">
        <f>SUMIFS(DETAILS!AA$373:AA$393,DETAILS!$C$373:$C$393,'CF2'!$D$2)/10^6</f>
        <v>-12</v>
      </c>
      <c r="W72" s="142">
        <f>SUMIFS(DETAILS!AB$373:AB$393,DETAILS!$C$373:$C$393,'CF2'!$D$2)/10^6</f>
        <v>-15.732691538461538</v>
      </c>
      <c r="X72" s="142">
        <f>SUMIFS(DETAILS!AC$373:AC$393,DETAILS!$C$373:$C$393,'CF2'!$D$2)/10^6</f>
        <v>-15.732691538461538</v>
      </c>
      <c r="Y72" s="142">
        <f>SUMIFS(DETAILS!AD$373:AD$393,DETAILS!$C$373:$C$393,'CF2'!$D$2)/10^6</f>
        <v>-15.732691538461538</v>
      </c>
      <c r="Z72" s="142">
        <f>SUMIFS(DETAILS!AE$373:AE$393,DETAILS!$C$373:$C$393,'CF2'!$D$2)/10^6</f>
        <v>-15.732691538461538</v>
      </c>
      <c r="AA72" s="142">
        <f>SUMIFS(DETAILS!AF$373:AF$393,DETAILS!$C$373:$C$393,'CF2'!$D$2)/10^6</f>
        <v>-15.732691538461538</v>
      </c>
      <c r="AB72" s="142">
        <f>SUMIFS(DETAILS!AG$373:AG$393,DETAILS!$C$373:$C$393,'CF2'!$D$2)/10^6</f>
        <v>-15.732691538461538</v>
      </c>
      <c r="AC72" s="142">
        <f>SUMIFS(DETAILS!AH$373:AH$393,DETAILS!$C$373:$C$393,'CF2'!$D$2)/10^6</f>
        <v>-15.732691538461538</v>
      </c>
      <c r="AD72" s="142">
        <f>SUMIFS(DETAILS!AI$373:AI$393,DETAILS!$C$373:$C$393,'CF2'!$D$2)/10^6</f>
        <v>-15.732691538461538</v>
      </c>
      <c r="AE72" s="142">
        <f>SUMIFS(DETAILS!AJ$373:AJ$393,DETAILS!$C$373:$C$393,'CF2'!$D$2)/10^6</f>
        <v>-15.732691538461538</v>
      </c>
      <c r="AF72" s="142">
        <f>SUMIFS(DETAILS!AK$373:AK$393,DETAILS!$C$373:$C$393,'CF2'!$D$2)/10^6</f>
        <v>-15.732691538461538</v>
      </c>
      <c r="AG72" s="142">
        <f>SUMIFS(DETAILS!AL$373:AL$393,DETAILS!$C$373:$C$393,'CF2'!$D$2)/10^6</f>
        <v>-15.732691538461538</v>
      </c>
      <c r="AH72" s="142">
        <f>SUMIFS(DETAILS!AM$373:AM$393,DETAILS!$C$373:$C$393,'CF2'!$D$2)/10^6</f>
        <v>-15.732691538461538</v>
      </c>
      <c r="AI72" s="142">
        <f>SUMIFS(DETAILS!AN$373:AN$393,DETAILS!$C$373:$C$393,'CF2'!$D$2)/10^6</f>
        <v>-15.732691538461538</v>
      </c>
      <c r="AJ72" s="142">
        <f>SUMIFS(DETAILS!AO$373:AO$393,DETAILS!$C$373:$C$393,'CF2'!$D$2)/10^6</f>
        <v>0</v>
      </c>
      <c r="AK72" s="142">
        <f>SUMIFS(DETAILS!AP$373:AP$393,DETAILS!$C$373:$C$393,'CF2'!$D$2)/10^6</f>
        <v>0</v>
      </c>
      <c r="AL72" s="142">
        <f>SUMIFS(DETAILS!AQ$373:AQ$393,DETAILS!$C$373:$C$393,'CF2'!$D$2)/10^6</f>
        <v>0</v>
      </c>
      <c r="AM72" s="142">
        <f>SUMIFS(DETAILS!AR$373:AR$393,DETAILS!$C$373:$C$393,'CF2'!$D$2)/10^6</f>
        <v>0</v>
      </c>
      <c r="AN72" s="142">
        <f>SUMIFS(DETAILS!AS$373:AS$393,DETAILS!$C$373:$C$393,'CF2'!$D$2)/10^6</f>
        <v>0</v>
      </c>
      <c r="AO72" s="142">
        <f>SUMIFS(DETAILS!AT$373:AT$393,DETAILS!$C$373:$C$393,'CF2'!$D$2)/10^6</f>
        <v>0</v>
      </c>
      <c r="AP72" s="142">
        <f>SUMIFS(DETAILS!AU$373:AU$393,DETAILS!$C$373:$C$393,'CF2'!$D$2)/10^6</f>
        <v>0</v>
      </c>
      <c r="AQ72" s="142">
        <f>SUMIFS(DETAILS!AV$373:AV$393,DETAILS!$C$373:$C$393,'CF2'!$D$2)/10^6</f>
        <v>0</v>
      </c>
      <c r="AR72" s="142">
        <f>SUMIFS(DETAILS!AW$373:AW$393,DETAILS!$C$373:$C$393,'CF2'!$D$2)/10^6</f>
        <v>0</v>
      </c>
      <c r="AS72" s="142">
        <f>SUMIFS(DETAILS!AX$373:AX$393,DETAILS!$C$373:$C$393,'CF2'!$D$2)/10^6</f>
        <v>0</v>
      </c>
      <c r="AT72" s="142">
        <f>SUMIFS(DETAILS!AY$373:AY$393,DETAILS!$C$373:$C$393,'CF2'!$D$2)/10^6</f>
        <v>0</v>
      </c>
      <c r="AU72" s="142">
        <f>SUMIFS(DETAILS!AZ$373:AZ$393,DETAILS!$C$373:$C$393,'CF2'!$D$2)/10^6</f>
        <v>0</v>
      </c>
      <c r="AV72" s="142">
        <f>SUMIFS(DETAILS!BA$373:BA$393,DETAILS!$C$373:$C$393,'CF2'!$D$2)/10^6</f>
        <v>0</v>
      </c>
      <c r="AW72" s="142">
        <f>SUMIFS(DETAILS!BB$373:BB$393,DETAILS!$C$373:$C$393,'CF2'!$D$2)/10^6</f>
        <v>0</v>
      </c>
      <c r="AX72" s="142">
        <f>SUMIFS(DETAILS!BC$373:BC$393,DETAILS!$C$373:$C$393,'CF2'!$D$2)/10^6</f>
        <v>0</v>
      </c>
      <c r="AY72" s="142">
        <f>SUMIFS(DETAILS!BD$373:BD$393,DETAILS!$C$373:$C$393,'CF2'!$D$2)/10^6</f>
        <v>0</v>
      </c>
      <c r="AZ72" s="142">
        <f>SUMIFS(DETAILS!BE$373:BE$393,DETAILS!$C$373:$C$393,'CF2'!$D$2)/10^6</f>
        <v>0</v>
      </c>
      <c r="BA72" s="142">
        <f>SUMIFS(DETAILS!BF$373:BF$393,DETAILS!$C$373:$C$393,'CF2'!$D$2)/10^6</f>
        <v>0</v>
      </c>
      <c r="BB72" s="142">
        <f>SUMIFS(DETAILS!BG$373:BG$393,DETAILS!$C$373:$C$393,'CF2'!$D$2)/10^6</f>
        <v>0</v>
      </c>
      <c r="BC72" s="142">
        <f>SUMIFS(DETAILS!BH$373:BH$393,DETAILS!$C$373:$C$393,'CF2'!$D$2)/10^6</f>
        <v>0</v>
      </c>
      <c r="BD72" s="142">
        <f>SUMIFS(DETAILS!BI$373:BI$393,DETAILS!$C$373:$C$393,'CF2'!$D$2)/10^6</f>
        <v>0</v>
      </c>
      <c r="BE72" s="142">
        <f>SUMIFS(DETAILS!BJ$373:BJ$393,DETAILS!$C$373:$C$393,'CF2'!$D$2)/10^6</f>
        <v>0</v>
      </c>
      <c r="BF72" s="142">
        <f>SUMIFS(DETAILS!BK$373:BK$393,DETAILS!$C$373:$C$393,'CF2'!$D$2)/10^6</f>
        <v>0</v>
      </c>
      <c r="BG72" s="142">
        <f>SUMIFS(DETAILS!BL$373:BL$393,DETAILS!$C$373:$C$393,'CF2'!$D$2)/10^6</f>
        <v>0</v>
      </c>
      <c r="BH72" s="142">
        <f>SUMIFS(DETAILS!BM$373:BM$393,DETAILS!$C$373:$C$393,'CF2'!$D$2)/10^6</f>
        <v>0</v>
      </c>
      <c r="BI72" s="142">
        <f>SUMIFS(DETAILS!BN$373:BN$393,DETAILS!$C$373:$C$393,'CF2'!$D$2)/10^6</f>
        <v>0</v>
      </c>
      <c r="BJ72" s="142">
        <f>SUMIFS(DETAILS!BO$373:BO$393,DETAILS!$C$373:$C$393,'CF2'!$D$2)/10^6</f>
        <v>0</v>
      </c>
      <c r="BK72" s="142">
        <f>SUMIFS(DETAILS!BP$373:BP$393,DETAILS!$C$373:$C$393,'CF2'!$D$2)/10^6</f>
        <v>0</v>
      </c>
      <c r="BL72" s="142">
        <f>SUMIFS(DETAILS!BQ$373:BQ$393,DETAILS!$C$373:$C$393,'CF2'!$D$2)/10^6</f>
        <v>0</v>
      </c>
      <c r="BM72" s="142">
        <f>SUMIFS(DETAILS!BR$373:BR$393,DETAILS!$C$373:$C$393,'CF2'!$D$2)/10^6</f>
        <v>0</v>
      </c>
    </row>
    <row r="73" spans="1:65">
      <c r="A73" s="149"/>
      <c r="B73" s="140" t="s">
        <v>140</v>
      </c>
      <c r="C73" s="27"/>
      <c r="D73" s="131" t="s">
        <v>19</v>
      </c>
      <c r="E73" s="141">
        <f t="shared" si="73"/>
        <v>-769.32820701450976</v>
      </c>
      <c r="F73" s="202">
        <f>SUMIFS(DETAILS!K$362:K$371,DETAILS!$C$362:$C$371,'CF2'!$D$2)/10^6</f>
        <v>0</v>
      </c>
      <c r="G73" s="202">
        <f>SUMIFS(DETAILS!L$362:L$371,DETAILS!$C$362:$C$371,'CF2'!$D$2)/10^6</f>
        <v>0</v>
      </c>
      <c r="H73" s="202">
        <f>SUMIFS(DETAILS!M$362:M$371,DETAILS!$C$362:$C$371,'CF2'!$D$2)/10^6</f>
        <v>0</v>
      </c>
      <c r="I73" s="202">
        <f>SUMIFS(DETAILS!N$362:N$371,DETAILS!$C$362:$C$371,'CF2'!$D$2)/10^6</f>
        <v>0</v>
      </c>
      <c r="J73" s="202">
        <f>SUMIFS(DETAILS!O$362:O$371,DETAILS!$C$362:$C$371,'CF2'!$D$2)/10^6</f>
        <v>0</v>
      </c>
      <c r="K73" s="202">
        <f>SUMIFS(DETAILS!P$362:P$371,DETAILS!$C$362:$C$371,'CF2'!$D$2)/10^6</f>
        <v>0</v>
      </c>
      <c r="L73" s="202">
        <f>SUMIFS(DETAILS!Q$362:Q$371,DETAILS!$C$362:$C$371,'CF2'!$D$2)/10^6</f>
        <v>0</v>
      </c>
      <c r="M73" s="202">
        <f>SUMIFS(DETAILS!R$362:R$371,DETAILS!$C$362:$C$371,'CF2'!$D$2)/10^6</f>
        <v>0</v>
      </c>
      <c r="N73" s="142">
        <f>SUMIFS(DETAILS!S$362:S$371,DETAILS!$C$362:$C$371,'CF2'!$D$2)/10^6</f>
        <v>-32.055341958937916</v>
      </c>
      <c r="O73" s="142">
        <f>SUMIFS(DETAILS!T$362:T$371,DETAILS!$C$362:$C$371,'CF2'!$D$2)/10^6</f>
        <v>-32.055341958937916</v>
      </c>
      <c r="P73" s="142">
        <f>SUMIFS(DETAILS!U$362:U$371,DETAILS!$C$362:$C$371,'CF2'!$D$2)/10^6</f>
        <v>-32.055341958937916</v>
      </c>
      <c r="Q73" s="142">
        <f>SUMIFS(DETAILS!V$362:V$371,DETAILS!$C$362:$C$371,'CF2'!$D$2)/10^6</f>
        <v>-32.055341958937916</v>
      </c>
      <c r="R73" s="142">
        <f>SUMIFS(DETAILS!W$362:W$371,DETAILS!$C$362:$C$371,'CF2'!$D$2)/10^6</f>
        <v>-32.055341958937916</v>
      </c>
      <c r="S73" s="142">
        <f>SUMIFS(DETAILS!X$362:X$371,DETAILS!$C$362:$C$371,'CF2'!$D$2)/10^6</f>
        <v>-32.055341958937916</v>
      </c>
      <c r="T73" s="142">
        <f>SUMIFS(DETAILS!Y$362:Y$371,DETAILS!$C$362:$C$371,'CF2'!$D$2)/10^6</f>
        <v>-32.055341958937916</v>
      </c>
      <c r="U73" s="142">
        <f>SUMIFS(DETAILS!Z$362:Z$371,DETAILS!$C$362:$C$371,'CF2'!$D$2)/10^6</f>
        <v>-32.055341958937916</v>
      </c>
      <c r="V73" s="142">
        <f>SUMIFS(DETAILS!AA$362:AA$371,DETAILS!$C$362:$C$371,'CF2'!$D$2)/10^6</f>
        <v>-32.055341958937916</v>
      </c>
      <c r="W73" s="142">
        <f>SUMIFS(DETAILS!AB$362:AB$371,DETAILS!$C$362:$C$371,'CF2'!$D$2)/10^6</f>
        <v>-32.055341958937916</v>
      </c>
      <c r="X73" s="142">
        <f>SUMIFS(DETAILS!AC$362:AC$371,DETAILS!$C$362:$C$371,'CF2'!$D$2)/10^6</f>
        <v>-32.055341958937916</v>
      </c>
      <c r="Y73" s="142">
        <f>SUMIFS(DETAILS!AD$362:AD$371,DETAILS!$C$362:$C$371,'CF2'!$D$2)/10^6</f>
        <v>-32.055341958937916</v>
      </c>
      <c r="Z73" s="142">
        <f>SUMIFS(DETAILS!AE$362:AE$371,DETAILS!$C$362:$C$371,'CF2'!$D$2)/10^6</f>
        <v>-32.055341958937916</v>
      </c>
      <c r="AA73" s="142">
        <f>SUMIFS(DETAILS!AF$362:AF$371,DETAILS!$C$362:$C$371,'CF2'!$D$2)/10^6</f>
        <v>-32.055341958937916</v>
      </c>
      <c r="AB73" s="142">
        <f>SUMIFS(DETAILS!AG$362:AG$371,DETAILS!$C$362:$C$371,'CF2'!$D$2)/10^6</f>
        <v>-32.055341958937916</v>
      </c>
      <c r="AC73" s="142">
        <f>SUMIFS(DETAILS!AH$362:AH$371,DETAILS!$C$362:$C$371,'CF2'!$D$2)/10^6</f>
        <v>-32.055341958937916</v>
      </c>
      <c r="AD73" s="142">
        <f>SUMIFS(DETAILS!AI$362:AI$371,DETAILS!$C$362:$C$371,'CF2'!$D$2)/10^6</f>
        <v>-32.055341958937916</v>
      </c>
      <c r="AE73" s="142">
        <f>SUMIFS(DETAILS!AJ$362:AJ$371,DETAILS!$C$362:$C$371,'CF2'!$D$2)/10^6</f>
        <v>-32.055341958937916</v>
      </c>
      <c r="AF73" s="142">
        <f>SUMIFS(DETAILS!AK$362:AK$371,DETAILS!$C$362:$C$371,'CF2'!$D$2)/10^6</f>
        <v>-32.055341958937916</v>
      </c>
      <c r="AG73" s="142">
        <f>SUMIFS(DETAILS!AL$362:AL$371,DETAILS!$C$362:$C$371,'CF2'!$D$2)/10^6</f>
        <v>-32.055341958937916</v>
      </c>
      <c r="AH73" s="142">
        <f>SUMIFS(DETAILS!AM$362:AM$371,DETAILS!$C$362:$C$371,'CF2'!$D$2)/10^6</f>
        <v>-32.055341958937916</v>
      </c>
      <c r="AI73" s="142">
        <f>SUMIFS(DETAILS!AN$362:AN$371,DETAILS!$C$362:$C$371,'CF2'!$D$2)/10^6</f>
        <v>-32.055341958937916</v>
      </c>
      <c r="AJ73" s="142">
        <f>SUMIFS(DETAILS!AO$362:AO$371,DETAILS!$C$362:$C$371,'CF2'!$D$2)/10^6</f>
        <v>-32.055341958937916</v>
      </c>
      <c r="AK73" s="142">
        <f>SUMIFS(DETAILS!AP$362:AP$371,DETAILS!$C$362:$C$371,'CF2'!$D$2)/10^6</f>
        <v>-32.055341958937916</v>
      </c>
      <c r="AL73" s="142">
        <f>SUMIFS(DETAILS!AQ$362:AQ$371,DETAILS!$C$362:$C$371,'CF2'!$D$2)/10^6</f>
        <v>0</v>
      </c>
      <c r="AM73" s="142">
        <f>SUMIFS(DETAILS!AR$362:AR$371,DETAILS!$C$362:$C$371,'CF2'!$D$2)/10^6</f>
        <v>0</v>
      </c>
      <c r="AN73" s="142">
        <f>SUMIFS(DETAILS!AS$362:AS$371,DETAILS!$C$362:$C$371,'CF2'!$D$2)/10^6</f>
        <v>0</v>
      </c>
      <c r="AO73" s="142">
        <f>SUMIFS(DETAILS!AT$362:AT$371,DETAILS!$C$362:$C$371,'CF2'!$D$2)/10^6</f>
        <v>0</v>
      </c>
      <c r="AP73" s="142">
        <f>SUMIFS(DETAILS!AU$362:AU$371,DETAILS!$C$362:$C$371,'CF2'!$D$2)/10^6</f>
        <v>0</v>
      </c>
      <c r="AQ73" s="142">
        <f>SUMIFS(DETAILS!AV$362:AV$371,DETAILS!$C$362:$C$371,'CF2'!$D$2)/10^6</f>
        <v>0</v>
      </c>
      <c r="AR73" s="142">
        <f>SUMIFS(DETAILS!AW$362:AW$371,DETAILS!$C$362:$C$371,'CF2'!$D$2)/10^6</f>
        <v>0</v>
      </c>
      <c r="AS73" s="142">
        <f>SUMIFS(DETAILS!AX$362:AX$371,DETAILS!$C$362:$C$371,'CF2'!$D$2)/10^6</f>
        <v>0</v>
      </c>
      <c r="AT73" s="142">
        <f>SUMIFS(DETAILS!AY$362:AY$371,DETAILS!$C$362:$C$371,'CF2'!$D$2)/10^6</f>
        <v>0</v>
      </c>
      <c r="AU73" s="142">
        <f>SUMIFS(DETAILS!AZ$362:AZ$371,DETAILS!$C$362:$C$371,'CF2'!$D$2)/10^6</f>
        <v>0</v>
      </c>
      <c r="AV73" s="142">
        <f>SUMIFS(DETAILS!BA$362:BA$371,DETAILS!$C$362:$C$371,'CF2'!$D$2)/10^6</f>
        <v>0</v>
      </c>
      <c r="AW73" s="142">
        <f>SUMIFS(DETAILS!BB$362:BB$371,DETAILS!$C$362:$C$371,'CF2'!$D$2)/10^6</f>
        <v>0</v>
      </c>
      <c r="AX73" s="142">
        <f>SUMIFS(DETAILS!BC$362:BC$371,DETAILS!$C$362:$C$371,'CF2'!$D$2)/10^6</f>
        <v>0</v>
      </c>
      <c r="AY73" s="142">
        <f>SUMIFS(DETAILS!BD$362:BD$371,DETAILS!$C$362:$C$371,'CF2'!$D$2)/10^6</f>
        <v>0</v>
      </c>
      <c r="AZ73" s="142">
        <f>SUMIFS(DETAILS!BE$362:BE$371,DETAILS!$C$362:$C$371,'CF2'!$D$2)/10^6</f>
        <v>0</v>
      </c>
      <c r="BA73" s="142">
        <f>SUMIFS(DETAILS!BF$362:BF$371,DETAILS!$C$362:$C$371,'CF2'!$D$2)/10^6</f>
        <v>0</v>
      </c>
      <c r="BB73" s="142">
        <f>SUMIFS(DETAILS!BG$362:BG$371,DETAILS!$C$362:$C$371,'CF2'!$D$2)/10^6</f>
        <v>0</v>
      </c>
      <c r="BC73" s="142">
        <f>SUMIFS(DETAILS!BH$362:BH$371,DETAILS!$C$362:$C$371,'CF2'!$D$2)/10^6</f>
        <v>0</v>
      </c>
      <c r="BD73" s="142">
        <f>SUMIFS(DETAILS!BI$362:BI$371,DETAILS!$C$362:$C$371,'CF2'!$D$2)/10^6</f>
        <v>0</v>
      </c>
      <c r="BE73" s="142">
        <f>SUMIFS(DETAILS!BJ$362:BJ$371,DETAILS!$C$362:$C$371,'CF2'!$D$2)/10^6</f>
        <v>0</v>
      </c>
      <c r="BF73" s="142">
        <f>SUMIFS(DETAILS!BK$362:BK$371,DETAILS!$C$362:$C$371,'CF2'!$D$2)/10^6</f>
        <v>0</v>
      </c>
      <c r="BG73" s="142">
        <f>SUMIFS(DETAILS!BL$362:BL$371,DETAILS!$C$362:$C$371,'CF2'!$D$2)/10^6</f>
        <v>0</v>
      </c>
      <c r="BH73" s="142">
        <f>SUMIFS(DETAILS!BM$362:BM$371,DETAILS!$C$362:$C$371,'CF2'!$D$2)/10^6</f>
        <v>0</v>
      </c>
      <c r="BI73" s="142">
        <f>SUMIFS(DETAILS!BN$362:BN$371,DETAILS!$C$362:$C$371,'CF2'!$D$2)/10^6</f>
        <v>0</v>
      </c>
      <c r="BJ73" s="142">
        <f>SUMIFS(DETAILS!BO$362:BO$371,DETAILS!$C$362:$C$371,'CF2'!$D$2)/10^6</f>
        <v>0</v>
      </c>
      <c r="BK73" s="142">
        <f>SUMIFS(DETAILS!BP$362:BP$371,DETAILS!$C$362:$C$371,'CF2'!$D$2)/10^6</f>
        <v>0</v>
      </c>
      <c r="BL73" s="142">
        <f>SUMIFS(DETAILS!BQ$362:BQ$371,DETAILS!$C$362:$C$371,'CF2'!$D$2)/10^6</f>
        <v>0</v>
      </c>
      <c r="BM73" s="142">
        <f>SUMIFS(DETAILS!BR$362:BR$371,DETAILS!$C$362:$C$371,'CF2'!$D$2)/10^6</f>
        <v>0</v>
      </c>
    </row>
    <row r="74" spans="1:65">
      <c r="A74" s="149"/>
      <c r="B74" s="140" t="s">
        <v>35</v>
      </c>
      <c r="C74" s="27"/>
      <c r="D74" s="131" t="s">
        <v>19</v>
      </c>
      <c r="E74" s="141">
        <f t="shared" si="73"/>
        <v>-377.12167010515179</v>
      </c>
      <c r="F74" s="202">
        <f>SUM(F63:F72)*'DB2'!$F$42</f>
        <v>0</v>
      </c>
      <c r="G74" s="202">
        <f>SUM(G63:G72)*'DB2'!$F$42</f>
        <v>0</v>
      </c>
      <c r="H74" s="202">
        <f>SUM(H63:H72)*'DB2'!$F$42</f>
        <v>0</v>
      </c>
      <c r="I74" s="202">
        <f>SUM(I63:I72)*'DB2'!$F$42</f>
        <v>0</v>
      </c>
      <c r="J74" s="202">
        <f>SUM(J63:J72)*'DB2'!$F$42</f>
        <v>0</v>
      </c>
      <c r="K74" s="202">
        <f>SUM(K63:K72)*'DB2'!$F$42</f>
        <v>0</v>
      </c>
      <c r="L74" s="202">
        <f>SUM(L63:L72)*'DB2'!$F$42</f>
        <v>0</v>
      </c>
      <c r="M74" s="202">
        <f>SUM(M63:M72)*'DB2'!$F$42</f>
        <v>0</v>
      </c>
      <c r="N74" s="142">
        <f>SUM(N63:N72)*'DB2'!$F$42</f>
        <v>-3.6391338000000009E-2</v>
      </c>
      <c r="O74" s="142">
        <f>SUM(O63:O72)*'DB2'!$F$42</f>
        <v>-3.6391338000000009E-2</v>
      </c>
      <c r="P74" s="142">
        <f>SUM(P63:P72)*'DB2'!$F$42</f>
        <v>-3.6391338000000009E-2</v>
      </c>
      <c r="Q74" s="142">
        <f>SUM(Q63:Q72)*'DB2'!$F$42</f>
        <v>-3.6391338000000009E-2</v>
      </c>
      <c r="R74" s="142">
        <f>SUM(R63:R72)*'DB2'!$F$42</f>
        <v>-4.3591338000000007E-2</v>
      </c>
      <c r="S74" s="142">
        <f>SUM(S63:S72)*'DB2'!$F$42</f>
        <v>-0.50532999599999995</v>
      </c>
      <c r="T74" s="142">
        <f>SUM(T63:T72)*'DB2'!$F$42</f>
        <v>-3.0221299959999999</v>
      </c>
      <c r="U74" s="142">
        <f>SUM(U63:U72)*'DB2'!$F$42</f>
        <v>-8.3337299960000006</v>
      </c>
      <c r="V74" s="142">
        <f>SUM(V63:V72)*'DB2'!$F$42</f>
        <v>-15.131859864000003</v>
      </c>
      <c r="W74" s="142">
        <f>SUM(W63:W72)*'DB2'!$F$42</f>
        <v>-7.6483336067692305</v>
      </c>
      <c r="X74" s="142">
        <f>SUM(X63:X72)*'DB2'!$F$42</f>
        <v>-28.216807496198548</v>
      </c>
      <c r="Y74" s="142">
        <f>SUM(Y63:Y72)*'DB2'!$F$42</f>
        <v>-28.270982492865215</v>
      </c>
      <c r="Z74" s="142">
        <f>SUM(Z63:Z72)*'DB2'!$F$42</f>
        <v>-28.270982492865215</v>
      </c>
      <c r="AA74" s="142">
        <f>SUM(AA63:AA72)*'DB2'!$F$42</f>
        <v>-28.270982492865215</v>
      </c>
      <c r="AB74" s="142">
        <f>SUM(AB63:AB72)*'DB2'!$F$42</f>
        <v>-28.270982492865215</v>
      </c>
      <c r="AC74" s="142">
        <f>SUM(AC63:AC72)*'DB2'!$F$42</f>
        <v>-28.004902622865217</v>
      </c>
      <c r="AD74" s="142">
        <f>SUM(AD63:AD72)*'DB2'!$F$42</f>
        <v>-28.270982492865215</v>
      </c>
      <c r="AE74" s="142">
        <f>SUM(AE63:AE72)*'DB2'!$F$42</f>
        <v>-28.270982492865215</v>
      </c>
      <c r="AF74" s="142">
        <f>SUM(AF63:AF72)*'DB2'!$F$42</f>
        <v>-29.470982492865215</v>
      </c>
      <c r="AG74" s="142">
        <f>SUM(AG63:AG72)*'DB2'!$F$42</f>
        <v>-29.323692448865213</v>
      </c>
      <c r="AH74" s="142">
        <f>SUM(AH63:AH72)*'DB2'!$F$42</f>
        <v>-29.323692448865213</v>
      </c>
      <c r="AI74" s="142">
        <f>SUM(AI63:AI72)*'DB2'!$F$42</f>
        <v>-28.270982492865215</v>
      </c>
      <c r="AJ74" s="142">
        <f>SUM(AJ63:AJ72)*'DB2'!$F$42</f>
        <v>-5.4174996666666662E-2</v>
      </c>
      <c r="AK74" s="142">
        <f>SUM(AK63:AK72)*'DB2'!$F$42</f>
        <v>0</v>
      </c>
      <c r="AL74" s="142">
        <f>SUM(AL63:AL72)*'DB2'!$F$42</f>
        <v>0</v>
      </c>
      <c r="AM74" s="142">
        <f>SUM(AM63:AM72)*'DB2'!$F$42</f>
        <v>0</v>
      </c>
      <c r="AN74" s="142">
        <f>SUM(AN63:AN72)*'DB2'!$F$42</f>
        <v>0</v>
      </c>
      <c r="AO74" s="142">
        <f>SUM(AO63:AO72)*'DB2'!$F$42</f>
        <v>0</v>
      </c>
      <c r="AP74" s="142">
        <f>SUM(AP63:AP72)*'DB2'!$F$42</f>
        <v>0</v>
      </c>
      <c r="AQ74" s="142">
        <f>SUM(AQ63:AQ72)*'DB2'!$F$42</f>
        <v>0</v>
      </c>
      <c r="AR74" s="142">
        <f>SUM(AR63:AR72)*'DB2'!$F$42</f>
        <v>0</v>
      </c>
      <c r="AS74" s="142">
        <f>SUM(AS63:AS72)*'DB2'!$F$42</f>
        <v>0</v>
      </c>
      <c r="AT74" s="142">
        <f>SUM(AT63:AT72)*'DB2'!$F$42</f>
        <v>0</v>
      </c>
      <c r="AU74" s="142">
        <f>SUM(AU63:AU72)*'DB2'!$F$42</f>
        <v>0</v>
      </c>
      <c r="AV74" s="142">
        <f>SUM(AV63:AV72)*'DB2'!$F$42</f>
        <v>0</v>
      </c>
      <c r="AW74" s="142">
        <f>SUM(AW63:AW72)*'DB2'!$F$42</f>
        <v>0</v>
      </c>
      <c r="AX74" s="142">
        <f>SUM(AX63:AX72)*'DB2'!$F$42</f>
        <v>0</v>
      </c>
      <c r="AY74" s="142">
        <f>SUM(AY63:AY72)*'DB2'!$F$42</f>
        <v>0</v>
      </c>
      <c r="AZ74" s="142">
        <f>SUM(AZ63:AZ72)*'DB2'!$F$42</f>
        <v>0</v>
      </c>
      <c r="BA74" s="142">
        <f>SUM(BA63:BA72)*'DB2'!$F$42</f>
        <v>0</v>
      </c>
      <c r="BB74" s="142">
        <f>SUM(BB63:BB72)*'DB2'!$F$42</f>
        <v>0</v>
      </c>
      <c r="BC74" s="142">
        <f>SUM(BC63:BC72)*'DB2'!$F$42</f>
        <v>0</v>
      </c>
      <c r="BD74" s="142">
        <f>SUM(BD63:BD72)*'DB2'!$F$42</f>
        <v>0</v>
      </c>
      <c r="BE74" s="142">
        <f>SUM(BE63:BE72)*'DB2'!$F$42</f>
        <v>0</v>
      </c>
      <c r="BF74" s="142">
        <f>SUM(BF63:BF72)*'DB2'!$F$42</f>
        <v>0</v>
      </c>
      <c r="BG74" s="142">
        <f>SUM(BG63:BG72)*'DB2'!$F$42</f>
        <v>0</v>
      </c>
      <c r="BH74" s="142">
        <f>SUM(BH63:BH72)*'DB2'!$F$42</f>
        <v>0</v>
      </c>
      <c r="BI74" s="142">
        <f>SUM(BI63:BI72)*'DB2'!$F$42</f>
        <v>0</v>
      </c>
      <c r="BJ74" s="142">
        <f>SUM(BJ63:BJ72)*'DB2'!$F$42</f>
        <v>0</v>
      </c>
      <c r="BK74" s="142">
        <f>SUM(BK63:BK72)*'DB2'!$F$42</f>
        <v>0</v>
      </c>
      <c r="BL74" s="142">
        <f>SUM(BL63:BL72)*'DB2'!$F$42</f>
        <v>0</v>
      </c>
      <c r="BM74" s="142">
        <f>SUM(BM63:BM72)*'DB2'!$F$42</f>
        <v>0</v>
      </c>
    </row>
    <row r="75" spans="1:65">
      <c r="E75" s="143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44"/>
      <c r="AH75" s="144"/>
      <c r="AI75" s="144"/>
      <c r="AJ75" s="144"/>
      <c r="AK75" s="144"/>
      <c r="AL75" s="144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  <c r="AY75" s="144"/>
      <c r="AZ75" s="144"/>
      <c r="BA75" s="144"/>
      <c r="BB75" s="144"/>
      <c r="BC75" s="144"/>
      <c r="BD75" s="144"/>
      <c r="BE75" s="144"/>
      <c r="BF75" s="144"/>
      <c r="BG75" s="144"/>
      <c r="BH75" s="144"/>
      <c r="BI75" s="144"/>
      <c r="BJ75" s="144"/>
      <c r="BK75" s="144"/>
      <c r="BL75" s="144"/>
      <c r="BM75" s="144"/>
    </row>
    <row r="76" spans="1:65">
      <c r="A76" s="124"/>
      <c r="B76" s="177" t="s">
        <v>55</v>
      </c>
      <c r="C76" s="177"/>
      <c r="D76" s="178" t="s">
        <v>19</v>
      </c>
      <c r="E76" s="180">
        <f>SUM(F76:BM76)</f>
        <v>10791.697770248267</v>
      </c>
      <c r="F76" s="180">
        <f t="shared" ref="F76:AK76" si="76">F34+F50+F59</f>
        <v>0</v>
      </c>
      <c r="G76" s="180">
        <f t="shared" si="76"/>
        <v>0</v>
      </c>
      <c r="H76" s="180">
        <f t="shared" si="76"/>
        <v>0</v>
      </c>
      <c r="I76" s="180">
        <f t="shared" si="76"/>
        <v>0</v>
      </c>
      <c r="J76" s="180">
        <f t="shared" si="76"/>
        <v>0</v>
      </c>
      <c r="K76" s="180">
        <f t="shared" si="76"/>
        <v>0</v>
      </c>
      <c r="L76" s="180">
        <f t="shared" si="76"/>
        <v>0</v>
      </c>
      <c r="M76" s="180">
        <f t="shared" si="76"/>
        <v>0</v>
      </c>
      <c r="N76" s="180">
        <f t="shared" si="76"/>
        <v>-38.707316270437914</v>
      </c>
      <c r="O76" s="180">
        <f t="shared" si="76"/>
        <v>-38.707316270437914</v>
      </c>
      <c r="P76" s="180">
        <f t="shared" si="76"/>
        <v>-570.20731627043801</v>
      </c>
      <c r="Q76" s="180">
        <f t="shared" si="76"/>
        <v>-38.707316270437914</v>
      </c>
      <c r="R76" s="180">
        <f t="shared" si="76"/>
        <v>-39.074516270437911</v>
      </c>
      <c r="S76" s="180">
        <f t="shared" si="76"/>
        <v>-62.623187828437914</v>
      </c>
      <c r="T76" s="180">
        <f t="shared" si="76"/>
        <v>-190.97998782843791</v>
      </c>
      <c r="U76" s="180">
        <f t="shared" si="76"/>
        <v>-461.8715878284379</v>
      </c>
      <c r="V76" s="180">
        <f t="shared" si="76"/>
        <v>-808.57621109643799</v>
      </c>
      <c r="W76" s="180">
        <f t="shared" si="76"/>
        <v>-842.58954340317382</v>
      </c>
      <c r="X76" s="180">
        <f t="shared" si="76"/>
        <v>-1956.1787502887046</v>
      </c>
      <c r="Y76" s="180">
        <f t="shared" si="76"/>
        <v>-2012.0252460277954</v>
      </c>
      <c r="Z76" s="180">
        <f t="shared" si="76"/>
        <v>-2021.0931385458061</v>
      </c>
      <c r="AA76" s="180">
        <f t="shared" si="76"/>
        <v>-1632.7577808375977</v>
      </c>
      <c r="AB76" s="180">
        <f t="shared" si="76"/>
        <v>-1643.5482859268407</v>
      </c>
      <c r="AC76" s="180">
        <f t="shared" si="76"/>
        <v>-1633.4934949235358</v>
      </c>
      <c r="AD76" s="180">
        <f t="shared" si="76"/>
        <v>-1655.3377718475431</v>
      </c>
      <c r="AE76" s="180">
        <f t="shared" si="76"/>
        <v>-1658.9208097914579</v>
      </c>
      <c r="AF76" s="180">
        <f t="shared" si="76"/>
        <v>-1731.8872876105161</v>
      </c>
      <c r="AG76" s="180">
        <f t="shared" si="76"/>
        <v>-1729.5355925521467</v>
      </c>
      <c r="AH76" s="180">
        <f t="shared" si="76"/>
        <v>-1742.3442597360954</v>
      </c>
      <c r="AI76" s="180">
        <f t="shared" si="76"/>
        <v>-1706.7230215602599</v>
      </c>
      <c r="AJ76" s="180">
        <f t="shared" si="76"/>
        <v>25101.356471995525</v>
      </c>
      <c r="AK76" s="180">
        <f t="shared" si="76"/>
        <v>2932.2807085825416</v>
      </c>
      <c r="AL76" s="180">
        <f t="shared" ref="AL76:BM76" si="77">AL34+AL50+AL59</f>
        <v>2934.3540332509801</v>
      </c>
      <c r="AM76" s="180">
        <f t="shared" si="77"/>
        <v>2064.5027338200516</v>
      </c>
      <c r="AN76" s="180">
        <f t="shared" si="77"/>
        <v>2024.3511896974662</v>
      </c>
      <c r="AO76" s="180">
        <f t="shared" si="77"/>
        <v>-47.386528112880853</v>
      </c>
      <c r="AP76" s="180">
        <f t="shared" si="77"/>
        <v>-1.8711000000000075</v>
      </c>
      <c r="AQ76" s="180">
        <f t="shared" si="77"/>
        <v>0</v>
      </c>
      <c r="AR76" s="180">
        <f t="shared" si="77"/>
        <v>0</v>
      </c>
      <c r="AS76" s="180">
        <f t="shared" si="77"/>
        <v>0</v>
      </c>
      <c r="AT76" s="180">
        <f t="shared" si="77"/>
        <v>0</v>
      </c>
      <c r="AU76" s="180">
        <f t="shared" si="77"/>
        <v>0</v>
      </c>
      <c r="AV76" s="180">
        <f t="shared" si="77"/>
        <v>0</v>
      </c>
      <c r="AW76" s="180">
        <f t="shared" si="77"/>
        <v>0</v>
      </c>
      <c r="AX76" s="180">
        <f t="shared" si="77"/>
        <v>0</v>
      </c>
      <c r="AY76" s="180">
        <f t="shared" si="77"/>
        <v>0</v>
      </c>
      <c r="AZ76" s="180">
        <f t="shared" si="77"/>
        <v>0</v>
      </c>
      <c r="BA76" s="180">
        <f t="shared" si="77"/>
        <v>0</v>
      </c>
      <c r="BB76" s="180">
        <f t="shared" si="77"/>
        <v>0</v>
      </c>
      <c r="BC76" s="180">
        <f t="shared" si="77"/>
        <v>0</v>
      </c>
      <c r="BD76" s="180">
        <f t="shared" si="77"/>
        <v>0</v>
      </c>
      <c r="BE76" s="180">
        <f t="shared" si="77"/>
        <v>0</v>
      </c>
      <c r="BF76" s="180">
        <f t="shared" si="77"/>
        <v>0</v>
      </c>
      <c r="BG76" s="180">
        <f t="shared" si="77"/>
        <v>0</v>
      </c>
      <c r="BH76" s="180">
        <f t="shared" si="77"/>
        <v>0</v>
      </c>
      <c r="BI76" s="180">
        <f t="shared" si="77"/>
        <v>0</v>
      </c>
      <c r="BJ76" s="180">
        <f t="shared" si="77"/>
        <v>0</v>
      </c>
      <c r="BK76" s="180">
        <f t="shared" si="77"/>
        <v>0</v>
      </c>
      <c r="BL76" s="180">
        <f t="shared" si="77"/>
        <v>0</v>
      </c>
      <c r="BM76" s="180">
        <f t="shared" si="77"/>
        <v>0</v>
      </c>
    </row>
    <row r="77" spans="1:65">
      <c r="E77" s="143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  <c r="AK77" s="144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  <c r="AY77" s="144"/>
      <c r="AZ77" s="144"/>
      <c r="BA77" s="144"/>
      <c r="BB77" s="144"/>
      <c r="BC77" s="144"/>
      <c r="BD77" s="144"/>
      <c r="BE77" s="144"/>
      <c r="BF77" s="144"/>
      <c r="BG77" s="144"/>
      <c r="BH77" s="144"/>
      <c r="BI77" s="144"/>
      <c r="BJ77" s="144"/>
      <c r="BK77" s="144"/>
      <c r="BL77" s="144"/>
      <c r="BM77" s="144"/>
    </row>
    <row r="78" spans="1:65">
      <c r="E78" s="143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  <c r="AX78" s="144"/>
      <c r="AY78" s="144"/>
      <c r="AZ78" s="144"/>
      <c r="BA78" s="144"/>
      <c r="BB78" s="144"/>
      <c r="BC78" s="144"/>
      <c r="BD78" s="144"/>
      <c r="BE78" s="144"/>
      <c r="BF78" s="144"/>
      <c r="BG78" s="144"/>
      <c r="BH78" s="144"/>
      <c r="BI78" s="144"/>
      <c r="BJ78" s="144"/>
      <c r="BK78" s="144"/>
      <c r="BL78" s="144"/>
      <c r="BM78" s="144"/>
    </row>
    <row r="79" spans="1:65">
      <c r="A79" s="124"/>
      <c r="B79" s="177" t="s">
        <v>56</v>
      </c>
      <c r="C79" s="177"/>
      <c r="D79" s="178" t="s">
        <v>19</v>
      </c>
      <c r="E79" s="179">
        <f t="shared" ref="E79:E107" si="78">SUM(F79:BM79)</f>
        <v>-3780.1862353919323</v>
      </c>
      <c r="F79" s="180">
        <f t="shared" ref="F79:BM79" si="79">SUM(F81:F82,F85,F87:F88,F95:F96,F91,F93,F101,F99,F104,F106:F107)</f>
        <v>0</v>
      </c>
      <c r="G79" s="180">
        <f t="shared" si="79"/>
        <v>0</v>
      </c>
      <c r="H79" s="180">
        <f t="shared" si="79"/>
        <v>0</v>
      </c>
      <c r="I79" s="180">
        <f t="shared" si="79"/>
        <v>0</v>
      </c>
      <c r="J79" s="180">
        <f t="shared" si="79"/>
        <v>0</v>
      </c>
      <c r="K79" s="180">
        <f t="shared" si="79"/>
        <v>0</v>
      </c>
      <c r="L79" s="180">
        <f t="shared" si="79"/>
        <v>0</v>
      </c>
      <c r="M79" s="180">
        <f t="shared" si="79"/>
        <v>0</v>
      </c>
      <c r="N79" s="180">
        <f t="shared" si="79"/>
        <v>38.707316270437914</v>
      </c>
      <c r="O79" s="180">
        <f t="shared" si="79"/>
        <v>38.707316270437914</v>
      </c>
      <c r="P79" s="180">
        <f t="shared" si="79"/>
        <v>570.20731627043801</v>
      </c>
      <c r="Q79" s="180">
        <f t="shared" si="79"/>
        <v>38.707316270437914</v>
      </c>
      <c r="R79" s="180">
        <f t="shared" si="79"/>
        <v>39.074516270437911</v>
      </c>
      <c r="S79" s="180">
        <f t="shared" si="79"/>
        <v>62.623187828437914</v>
      </c>
      <c r="T79" s="180">
        <f t="shared" si="79"/>
        <v>190.97998782843791</v>
      </c>
      <c r="U79" s="180">
        <f t="shared" si="79"/>
        <v>461.8715878284379</v>
      </c>
      <c r="V79" s="180">
        <f t="shared" si="79"/>
        <v>808.57621109643799</v>
      </c>
      <c r="W79" s="180">
        <f t="shared" si="79"/>
        <v>842.58954340317382</v>
      </c>
      <c r="X79" s="180">
        <f t="shared" si="79"/>
        <v>1956.1787502887039</v>
      </c>
      <c r="Y79" s="180">
        <f t="shared" si="79"/>
        <v>2012.0252460277961</v>
      </c>
      <c r="Z79" s="180">
        <f t="shared" si="79"/>
        <v>2021.0931385458061</v>
      </c>
      <c r="AA79" s="180">
        <f t="shared" si="79"/>
        <v>1632.7577808375977</v>
      </c>
      <c r="AB79" s="180">
        <f t="shared" si="79"/>
        <v>1643.5482859268407</v>
      </c>
      <c r="AC79" s="180">
        <f t="shared" si="79"/>
        <v>1633.4934949235358</v>
      </c>
      <c r="AD79" s="180">
        <f t="shared" si="79"/>
        <v>1655.3377718475431</v>
      </c>
      <c r="AE79" s="180">
        <f t="shared" si="79"/>
        <v>1658.9208097914579</v>
      </c>
      <c r="AF79" s="180">
        <f t="shared" si="79"/>
        <v>1731.8872876105161</v>
      </c>
      <c r="AG79" s="180">
        <f t="shared" si="79"/>
        <v>1729.5355925521467</v>
      </c>
      <c r="AH79" s="180">
        <f t="shared" si="79"/>
        <v>1742.3442597360954</v>
      </c>
      <c r="AI79" s="180">
        <f t="shared" si="79"/>
        <v>1706.7230215602599</v>
      </c>
      <c r="AJ79" s="180">
        <f t="shared" si="79"/>
        <v>-23748.108786328743</v>
      </c>
      <c r="AK79" s="180">
        <f t="shared" si="79"/>
        <v>-2615.0722451042607</v>
      </c>
      <c r="AL79" s="180">
        <f t="shared" si="79"/>
        <v>-1632.8949429443458</v>
      </c>
      <c r="AM79" s="180">
        <f t="shared" si="79"/>
        <v>0</v>
      </c>
      <c r="AN79" s="180">
        <f t="shared" si="79"/>
        <v>0</v>
      </c>
      <c r="AO79" s="180">
        <f t="shared" si="79"/>
        <v>0</v>
      </c>
      <c r="AP79" s="180">
        <f t="shared" si="79"/>
        <v>0</v>
      </c>
      <c r="AQ79" s="180">
        <f t="shared" si="79"/>
        <v>0</v>
      </c>
      <c r="AR79" s="180">
        <f t="shared" si="79"/>
        <v>0</v>
      </c>
      <c r="AS79" s="180">
        <f t="shared" si="79"/>
        <v>0</v>
      </c>
      <c r="AT79" s="180">
        <f t="shared" si="79"/>
        <v>0</v>
      </c>
      <c r="AU79" s="180">
        <f t="shared" si="79"/>
        <v>0</v>
      </c>
      <c r="AV79" s="180">
        <f t="shared" si="79"/>
        <v>0</v>
      </c>
      <c r="AW79" s="180">
        <f t="shared" si="79"/>
        <v>0</v>
      </c>
      <c r="AX79" s="180">
        <f t="shared" si="79"/>
        <v>0</v>
      </c>
      <c r="AY79" s="180">
        <f t="shared" si="79"/>
        <v>0</v>
      </c>
      <c r="AZ79" s="180">
        <f t="shared" si="79"/>
        <v>0</v>
      </c>
      <c r="BA79" s="180">
        <f t="shared" si="79"/>
        <v>0</v>
      </c>
      <c r="BB79" s="180">
        <f t="shared" si="79"/>
        <v>0</v>
      </c>
      <c r="BC79" s="180">
        <f t="shared" si="79"/>
        <v>0</v>
      </c>
      <c r="BD79" s="180">
        <f t="shared" si="79"/>
        <v>0</v>
      </c>
      <c r="BE79" s="180">
        <f t="shared" si="79"/>
        <v>0</v>
      </c>
      <c r="BF79" s="180">
        <f t="shared" si="79"/>
        <v>0</v>
      </c>
      <c r="BG79" s="180">
        <f t="shared" si="79"/>
        <v>0</v>
      </c>
      <c r="BH79" s="180">
        <f t="shared" si="79"/>
        <v>0</v>
      </c>
      <c r="BI79" s="180">
        <f t="shared" si="79"/>
        <v>0</v>
      </c>
      <c r="BJ79" s="180">
        <f t="shared" si="79"/>
        <v>0</v>
      </c>
      <c r="BK79" s="180">
        <f t="shared" si="79"/>
        <v>0</v>
      </c>
      <c r="BL79" s="180">
        <f t="shared" si="79"/>
        <v>0</v>
      </c>
      <c r="BM79" s="180">
        <f t="shared" si="79"/>
        <v>0</v>
      </c>
    </row>
    <row r="80" spans="1:65">
      <c r="B80" s="145" t="s">
        <v>75</v>
      </c>
      <c r="C80" s="27"/>
      <c r="D80" s="131" t="s">
        <v>19</v>
      </c>
      <c r="E80" s="141">
        <f t="shared" si="78"/>
        <v>0</v>
      </c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2"/>
      <c r="AU80" s="142"/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</row>
    <row r="81" spans="2:65">
      <c r="B81" s="27"/>
      <c r="C81" s="28" t="s">
        <v>57</v>
      </c>
      <c r="D81" s="131" t="s">
        <v>19</v>
      </c>
      <c r="E81" s="141">
        <f t="shared" si="78"/>
        <v>213.95430273248849</v>
      </c>
      <c r="F81" s="202"/>
      <c r="G81" s="202"/>
      <c r="H81" s="202"/>
      <c r="I81" s="202"/>
      <c r="J81" s="202"/>
      <c r="K81" s="202"/>
      <c r="L81" s="202"/>
      <c r="M81" s="202"/>
      <c r="N81" s="142">
        <f>-N76</f>
        <v>38.707316270437914</v>
      </c>
      <c r="O81" s="142">
        <f>-O76</f>
        <v>38.707316270437914</v>
      </c>
      <c r="P81" s="142">
        <f>IF(P60&lt;&gt;0,'DB2'!$O$27,0)</f>
        <v>136.53967019161266</v>
      </c>
      <c r="Q81" s="142">
        <f>IF(Q60&lt;&gt;0,'DB2'!$O$27,0)</f>
        <v>0</v>
      </c>
      <c r="R81" s="142">
        <f>IF(R60&lt;&gt;0,'DB2'!$O$27,0)</f>
        <v>0</v>
      </c>
      <c r="S81" s="142">
        <f>IF(S60&lt;&gt;0,'DB2'!$O$27,0)</f>
        <v>0</v>
      </c>
      <c r="T81" s="142">
        <f>IF(T60&lt;&gt;0,'DB2'!$O$27,0)</f>
        <v>0</v>
      </c>
      <c r="U81" s="142">
        <f>IF(U60&lt;&gt;0,'DB2'!$O$27,0)</f>
        <v>0</v>
      </c>
      <c r="V81" s="142">
        <f>IF(V60&lt;&gt;0,'DB2'!$O$27,0)</f>
        <v>0</v>
      </c>
      <c r="W81" s="142">
        <f>IF(W60&lt;&gt;0,'DB2'!$O$27,0)</f>
        <v>0</v>
      </c>
      <c r="X81" s="142">
        <f>IF(X60&lt;&gt;0,'DB2'!$O$27,0)</f>
        <v>0</v>
      </c>
      <c r="Y81" s="142">
        <f>IF(Y60&lt;&gt;0,'DB2'!$O$27,0)</f>
        <v>0</v>
      </c>
      <c r="Z81" s="142">
        <f>IF(Z60&lt;&gt;0,'DB2'!$O$27,0)</f>
        <v>0</v>
      </c>
      <c r="AA81" s="142">
        <f>IF(AA60&lt;&gt;0,'DB2'!$O$27,0)</f>
        <v>0</v>
      </c>
      <c r="AB81" s="142">
        <f>IF(AB60&lt;&gt;0,'DB2'!$O$27,0)</f>
        <v>0</v>
      </c>
      <c r="AC81" s="142">
        <f>IF(AC60&lt;&gt;0,'DB2'!$O$27,0)</f>
        <v>0</v>
      </c>
      <c r="AD81" s="142">
        <f>IF(AD60&lt;&gt;0,'DB2'!$O$27,0)</f>
        <v>0</v>
      </c>
      <c r="AE81" s="142">
        <f>IF(AE60&lt;&gt;0,'DB2'!$O$27,0)</f>
        <v>0</v>
      </c>
      <c r="AF81" s="142">
        <f>IF(AF60&lt;&gt;0,'DB2'!$O$27,0)</f>
        <v>0</v>
      </c>
      <c r="AG81" s="142">
        <f>IF(AG60&lt;&gt;0,'DB2'!$O$27,0)</f>
        <v>0</v>
      </c>
      <c r="AH81" s="142">
        <f>IF(AH60&lt;&gt;0,'DB2'!$O$27,0)</f>
        <v>0</v>
      </c>
      <c r="AI81" s="142">
        <f>IF(AI60&lt;&gt;0,'DB2'!$O$27,0)</f>
        <v>0</v>
      </c>
      <c r="AJ81" s="142">
        <f>IF(AJ60&lt;&gt;0,'DB2'!$O$27,0)</f>
        <v>0</v>
      </c>
      <c r="AK81" s="142">
        <f>IF(AK60&lt;&gt;0,'DB2'!$O$27,0)</f>
        <v>0</v>
      </c>
      <c r="AL81" s="142">
        <f>IF(AL60&lt;&gt;0,'DB2'!$O$27,0)</f>
        <v>0</v>
      </c>
      <c r="AM81" s="142">
        <f>IF(AM60&lt;&gt;0,'DB2'!$O$27,0)</f>
        <v>0</v>
      </c>
      <c r="AN81" s="142">
        <f>IF(AN60&lt;&gt;0,'DB2'!$O$27,0)</f>
        <v>0</v>
      </c>
      <c r="AO81" s="142">
        <f>IF(AO60&lt;&gt;0,'DB2'!$O$27,0)</f>
        <v>0</v>
      </c>
      <c r="AP81" s="142">
        <f>IF(AP60&lt;&gt;0,'DB2'!$O$27,0)</f>
        <v>0</v>
      </c>
      <c r="AQ81" s="142">
        <f>IF(AQ60&lt;&gt;0,'DB2'!$O$27,0)</f>
        <v>0</v>
      </c>
      <c r="AR81" s="142">
        <f>IF(AR60&lt;&gt;0,'DB2'!$O$27,0)</f>
        <v>0</v>
      </c>
      <c r="AS81" s="142">
        <f>IF(AS60&lt;&gt;0,'DB2'!$O$27,0)</f>
        <v>0</v>
      </c>
      <c r="AT81" s="142">
        <f>IF(AT60&lt;&gt;0,'DB2'!$O$27,0)</f>
        <v>0</v>
      </c>
      <c r="AU81" s="142">
        <f>IF(AU60&lt;&gt;0,'DB2'!$O$27,0)</f>
        <v>0</v>
      </c>
      <c r="AV81" s="142">
        <f>IF(AV60&lt;&gt;0,'DB2'!$O$27,0)</f>
        <v>0</v>
      </c>
      <c r="AW81" s="142">
        <f>IF(AW60&lt;&gt;0,'DB2'!$O$27,0)</f>
        <v>0</v>
      </c>
      <c r="AX81" s="142">
        <f>IF(AX60&lt;&gt;0,'DB2'!$O$27,0)</f>
        <v>0</v>
      </c>
      <c r="AY81" s="142">
        <f>IF(AY60&lt;&gt;0,'DB2'!$O$27,0)</f>
        <v>0</v>
      </c>
      <c r="AZ81" s="142">
        <f>IF(AZ60&lt;&gt;0,'DB2'!$O$27,0)</f>
        <v>0</v>
      </c>
      <c r="BA81" s="142">
        <f>IF(BA60&lt;&gt;0,'DB2'!$O$27,0)</f>
        <v>0</v>
      </c>
      <c r="BB81" s="142">
        <f>IF(BB60&lt;&gt;0,'DB2'!$O$27,0)</f>
        <v>0</v>
      </c>
      <c r="BC81" s="142">
        <f>IF(BC60&lt;&gt;0,'DB2'!$O$27,0)</f>
        <v>0</v>
      </c>
      <c r="BD81" s="142">
        <f>IF(BD60&lt;&gt;0,'DB2'!$O$27,0)</f>
        <v>0</v>
      </c>
      <c r="BE81" s="142">
        <f>IF(BE60&lt;&gt;0,'DB2'!$O$27,0)</f>
        <v>0</v>
      </c>
      <c r="BF81" s="142">
        <f>IF(BF60&lt;&gt;0,'DB2'!$O$27,0)</f>
        <v>0</v>
      </c>
      <c r="BG81" s="142">
        <f>IF(BG60&lt;&gt;0,'DB2'!$O$27,0)</f>
        <v>0</v>
      </c>
      <c r="BH81" s="142">
        <f>IF(BH60&lt;&gt;0,'DB2'!$O$27,0)</f>
        <v>0</v>
      </c>
      <c r="BI81" s="142">
        <f>IF(BI60&lt;&gt;0,'DB2'!$O$27,0)</f>
        <v>0</v>
      </c>
      <c r="BJ81" s="142">
        <f>IF(BJ60&lt;&gt;0,'DB2'!$O$27,0)</f>
        <v>0</v>
      </c>
      <c r="BK81" s="142">
        <f>IF(BK60&lt;&gt;0,'DB2'!$O$27,0)</f>
        <v>0</v>
      </c>
      <c r="BL81" s="142">
        <f>IF(BL60&lt;&gt;0,'DB2'!$O$27,0)</f>
        <v>0</v>
      </c>
      <c r="BM81" s="142">
        <f>IF(BM60&lt;&gt;0,'DB2'!$O$27,0)</f>
        <v>0</v>
      </c>
    </row>
    <row r="82" spans="2:65">
      <c r="B82" s="27"/>
      <c r="C82" s="28" t="s">
        <v>58</v>
      </c>
      <c r="D82" s="131" t="s">
        <v>19</v>
      </c>
      <c r="E82" s="141">
        <f t="shared" si="78"/>
        <v>-213.95430273248849</v>
      </c>
      <c r="F82" s="202"/>
      <c r="G82" s="202"/>
      <c r="H82" s="202"/>
      <c r="I82" s="202"/>
      <c r="J82" s="202"/>
      <c r="K82" s="202"/>
      <c r="L82" s="202"/>
      <c r="M82" s="202"/>
      <c r="N82" s="142">
        <f>IF(N185&gt;0,IF((SUM($F81:M$82)-N185)&gt;0,-N185,-SUM($F81:M$82)),0)</f>
        <v>0</v>
      </c>
      <c r="O82" s="142">
        <f>IF(O185&gt;0,IF((SUM($F81:N$82)-O185)&gt;0,-O185,-SUM($F81:N$82)),0)</f>
        <v>0</v>
      </c>
      <c r="P82" s="142">
        <f>IF(P185&gt;0,IF((SUM($F81:O$82)-P185)&gt;0,-P185,-SUM($F81:O$82)),0)</f>
        <v>0</v>
      </c>
      <c r="Q82" s="142">
        <f>IF(Q185&gt;0,IF((SUM($F81:P$82)-Q185)&gt;0,-Q185,-SUM($F81:P$82)),0)</f>
        <v>0</v>
      </c>
      <c r="R82" s="142">
        <f>IF(R185&gt;0,IF((SUM($F81:Q$82)-R185)&gt;0,-R185,-SUM($F81:Q$82)),0)</f>
        <v>0</v>
      </c>
      <c r="S82" s="142">
        <f>IF(S185&gt;0,IF((SUM($F81:R$82)-S185)&gt;0,-S185,-SUM($F81:R$82)),0)</f>
        <v>0</v>
      </c>
      <c r="T82" s="142">
        <f>IF(T185&gt;0,IF((SUM($F81:S$82)-T185)&gt;0,-T185,-SUM($F81:S$82)),0)</f>
        <v>0</v>
      </c>
      <c r="U82" s="142">
        <f>IF(U185&gt;0,IF((SUM($F81:T$82)-U185)&gt;0,-U185,-SUM($F81:T$82)),0)</f>
        <v>0</v>
      </c>
      <c r="V82" s="142">
        <f>IF(V185&gt;0,IF((SUM($F81:U$82)-V185)&gt;0,-V185,-SUM($F81:U$82)),0)</f>
        <v>0</v>
      </c>
      <c r="W82" s="142">
        <f>IF(W185&gt;0,IF((SUM($F81:V$82)-W185)&gt;0,-W185,-SUM($F81:V$82)),0)</f>
        <v>0</v>
      </c>
      <c r="X82" s="142">
        <f>IF(X185&gt;0,IF((SUM($F81:W$82)-X185)&gt;0,-X185,-SUM($F81:W$82)),0)</f>
        <v>0</v>
      </c>
      <c r="Y82" s="142">
        <f>IF(Y185&gt;0,IF((SUM($F81:X$82)-Y185)&gt;0,-Y185,-SUM($F81:X$82)),0)</f>
        <v>0</v>
      </c>
      <c r="Z82" s="142">
        <f>IF(Z185&gt;0,IF((SUM($F81:Y$82)-Z185)&gt;0,-Z185,-SUM($F81:Y$82)),0)</f>
        <v>0</v>
      </c>
      <c r="AA82" s="142">
        <f>IF(AA185&gt;0,IF((SUM($F81:Z$82)-AA185)&gt;0,-AA185,-SUM($F81:Z$82)),0)</f>
        <v>0</v>
      </c>
      <c r="AB82" s="142">
        <f>IF(AB185&gt;0,IF((SUM($F81:AA$82)-AB185)&gt;0,-AB185,-SUM($F81:AA$82)),0)</f>
        <v>0</v>
      </c>
      <c r="AC82" s="142">
        <f>IF(AC185&gt;0,IF((SUM($F81:AB$82)-AC185)&gt;0,-AC185,-SUM($F81:AB$82)),0)</f>
        <v>0</v>
      </c>
      <c r="AD82" s="142">
        <f>IF(AD185&gt;0,IF((SUM($F81:AC$82)-AD185)&gt;0,-AD185,-SUM($F81:AC$82)),0)</f>
        <v>0</v>
      </c>
      <c r="AE82" s="142">
        <f>IF(AE185&gt;0,IF((SUM($F81:AD$82)-AE185)&gt;0,-AE185,-SUM($F81:AD$82)),0)</f>
        <v>0</v>
      </c>
      <c r="AF82" s="142">
        <f>IF(AF185&gt;0,IF((SUM($F81:AE$82)-AF185)&gt;0,-AF185,-SUM($F81:AE$82)),0)</f>
        <v>0</v>
      </c>
      <c r="AG82" s="142">
        <f>IF(AG185&gt;0,IF((SUM($F81:AF$82)-AG185)&gt;0,-AG185,-SUM($F81:AF$82)),0)</f>
        <v>0</v>
      </c>
      <c r="AH82" s="142">
        <f>IF(AH185&gt;0,IF((SUM($F81:AG$82)-AH185)&gt;0,-AH185,-SUM($F81:AG$82)),0)</f>
        <v>0</v>
      </c>
      <c r="AI82" s="142">
        <f>IF(AI185&gt;0,IF((SUM($F81:AH$82)-AI185)&gt;0,-AI185,-SUM($F81:AH$82)),0)</f>
        <v>0</v>
      </c>
      <c r="AJ82" s="142">
        <f>IF(AJ185&gt;0,IF((SUM($F81:AI$82)-AJ185)&gt;0,-AJ185,-SUM($F81:AI$82)),0)</f>
        <v>0</v>
      </c>
      <c r="AK82" s="142">
        <f>IF(AK185&gt;0,IF((SUM($F81:AJ$82)-AK185)&gt;0,-AK185,-SUM($F81:AJ$82)),0)</f>
        <v>0</v>
      </c>
      <c r="AL82" s="142">
        <f>IF(AL185&gt;0,IF((SUM($F81:AK$82)-AL185)&gt;0,-AL185,-SUM($F81:AK$82)),0)</f>
        <v>-213.95430273248849</v>
      </c>
      <c r="AM82" s="142">
        <f>IF(AM185&gt;0,IF((SUM($F81:AL$82)-AM185)&gt;0,-AM185,-SUM($F81:AL$82)),0)</f>
        <v>0</v>
      </c>
      <c r="AN82" s="142">
        <f>IF(AN185&gt;0,IF((SUM($F81:AM$82)-AN185)&gt;0,-AN185,-SUM($F81:AM$82)),0)</f>
        <v>0</v>
      </c>
      <c r="AO82" s="142">
        <f>IF(AO185&gt;0,IF((SUM($F81:AN$82)-AO185)&gt;0,-AO185,-SUM($F81:AN$82)),0)</f>
        <v>0</v>
      </c>
      <c r="AP82" s="142">
        <f>IF(AP185&gt;0,IF((SUM($F81:AO$82)-AP185)&gt;0,-AP185,-SUM($F81:AO$82)),0)</f>
        <v>0</v>
      </c>
      <c r="AQ82" s="142">
        <f>IF(AQ185&gt;0,IF((SUM($F81:AP$82)-AQ185)&gt;0,-AQ185,-SUM($F81:AP$82)),0)</f>
        <v>0</v>
      </c>
      <c r="AR82" s="142">
        <f>IF(AR185&gt;0,IF((SUM($F81:AQ$82)-AR185)&gt;0,-AR185,-SUM($F81:AQ$82)),0)</f>
        <v>0</v>
      </c>
      <c r="AS82" s="142">
        <f>IF(AS185&gt;0,IF((SUM($F81:AR$82)-AS185)&gt;0,-AS185,-SUM($F81:AR$82)),0)</f>
        <v>0</v>
      </c>
      <c r="AT82" s="142">
        <f>IF(AT185&gt;0,IF((SUM($F81:AS$82)-AT185)&gt;0,-AT185,-SUM($F81:AS$82)),0)</f>
        <v>0</v>
      </c>
      <c r="AU82" s="142">
        <f>IF(AU185&gt;0,IF((SUM($F81:AT$82)-AU185)&gt;0,-AU185,-SUM($F81:AT$82)),0)</f>
        <v>0</v>
      </c>
      <c r="AV82" s="142">
        <f>IF(AV185&gt;0,IF((SUM($F81:AU$82)-AV185)&gt;0,-AV185,-SUM($F81:AU$82)),0)</f>
        <v>0</v>
      </c>
      <c r="AW82" s="142">
        <f>IF(AW185&gt;0,IF((SUM($F81:AV$82)-AW185)&gt;0,-AW185,-SUM($F81:AV$82)),0)</f>
        <v>0</v>
      </c>
      <c r="AX82" s="142">
        <f>IF(AX185&gt;0,IF((SUM($F81:AW$82)-AX185)&gt;0,-AX185,-SUM($F81:AW$82)),0)</f>
        <v>0</v>
      </c>
      <c r="AY82" s="142">
        <f>IF(AY185&gt;0,IF((SUM($F81:AX$82)-AY185)&gt;0,-AY185,-SUM($F81:AX$82)),0)</f>
        <v>0</v>
      </c>
      <c r="AZ82" s="142">
        <f>IF(AZ185&gt;0,IF((SUM($F81:AY$82)-AZ185)&gt;0,-AZ185,-SUM($F81:AY$82)),0)</f>
        <v>0</v>
      </c>
      <c r="BA82" s="142">
        <f>IF(BA185&gt;0,IF((SUM($F81:AZ$82)-BA185)&gt;0,-BA185,-SUM($F81:AZ$82)),0)</f>
        <v>0</v>
      </c>
      <c r="BB82" s="142">
        <f>IF(BB185&gt;0,IF((SUM($F81:BA$82)-BB185)&gt;0,-BB185,-SUM($F81:BA$82)),0)</f>
        <v>0</v>
      </c>
      <c r="BC82" s="142">
        <f>IF(BC185&gt;0,IF((SUM($F81:BB$82)-BC185)&gt;0,-BC185,-SUM($F81:BB$82)),0)</f>
        <v>0</v>
      </c>
      <c r="BD82" s="142">
        <f>IF(BD185&gt;0,IF((SUM($F81:BC$82)-BD185)&gt;0,-BD185,-SUM($F81:BC$82)),0)</f>
        <v>0</v>
      </c>
      <c r="BE82" s="142">
        <f>IF(BE185&gt;0,IF((SUM($F81:BD$82)-BE185)&gt;0,-BE185,-SUM($F81:BD$82)),0)</f>
        <v>0</v>
      </c>
      <c r="BF82" s="142">
        <f>IF(BF185&gt;0,IF((SUM($F81:BE$82)-BF185)&gt;0,-BF185,-SUM($F81:BE$82)),0)</f>
        <v>0</v>
      </c>
      <c r="BG82" s="142">
        <f>IF(BG185&gt;0,IF((SUM($F81:BF$82)-BG185)&gt;0,-BG185,-SUM($F81:BF$82)),0)</f>
        <v>0</v>
      </c>
      <c r="BH82" s="142">
        <f>IF(BH185&gt;0,IF((SUM($F81:BG$82)-BH185)&gt;0,-BH185,-SUM($F81:BG$82)),0)</f>
        <v>0</v>
      </c>
      <c r="BI82" s="142">
        <f>IF(BI185&gt;0,IF((SUM($F81:BH$82)-BI185)&gt;0,-BI185,-SUM($F81:BH$82)),0)</f>
        <v>0</v>
      </c>
      <c r="BJ82" s="142">
        <f>IF(BJ185&gt;0,IF((SUM($F81:BI$82)-BJ185)&gt;0,-BJ185,-SUM($F81:BI$82)),0)</f>
        <v>0</v>
      </c>
      <c r="BK82" s="142">
        <f>IF(BK185&gt;0,IF((SUM($F81:BJ$82)-BK185)&gt;0,-BK185,-SUM($F81:BJ$82)),0)</f>
        <v>0</v>
      </c>
      <c r="BL82" s="142">
        <f>IF(BL185&gt;0,IF((SUM($F81:BK$82)-BL185)&gt;0,-BL185,-SUM($F81:BK$82)),0)</f>
        <v>0</v>
      </c>
      <c r="BM82" s="142">
        <f>IF(BM185&gt;0,IF((SUM($F81:BL$82)-BM185)&gt;0,-BM185,-SUM($F81:BL$82)),0)</f>
        <v>0</v>
      </c>
    </row>
    <row r="83" spans="2:65">
      <c r="B83" s="145" t="s">
        <v>197</v>
      </c>
      <c r="C83" s="27"/>
      <c r="D83" s="131" t="s">
        <v>19</v>
      </c>
      <c r="E83" s="141">
        <f t="shared" si="78"/>
        <v>0</v>
      </c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2"/>
      <c r="BC83" s="142"/>
      <c r="BD83" s="142"/>
      <c r="BE83" s="142"/>
      <c r="BF83" s="142"/>
      <c r="BG83" s="142"/>
      <c r="BH83" s="142"/>
      <c r="BI83" s="142"/>
      <c r="BJ83" s="142"/>
      <c r="BK83" s="142"/>
      <c r="BL83" s="142"/>
      <c r="BM83" s="142"/>
    </row>
    <row r="84" spans="2:65">
      <c r="B84" s="146"/>
      <c r="C84" s="28" t="s">
        <v>59</v>
      </c>
      <c r="D84" s="131" t="s">
        <v>19</v>
      </c>
      <c r="E84" s="141">
        <f t="shared" si="78"/>
        <v>142.20063535347074</v>
      </c>
      <c r="F84" s="202"/>
      <c r="G84" s="202"/>
      <c r="H84" s="202"/>
      <c r="I84" s="202"/>
      <c r="J84" s="202"/>
      <c r="K84" s="202"/>
      <c r="L84" s="202"/>
      <c r="M84" s="202"/>
      <c r="N84" s="142">
        <f>SUM($F81:N$82)*N$197/4</f>
        <v>2.1047103222050616</v>
      </c>
      <c r="O84" s="142">
        <f>SUM($F81:O$82)*O$197/4</f>
        <v>3.9674999177198864</v>
      </c>
      <c r="P84" s="142">
        <f>SUM($F81:P$82)*P$197/4</f>
        <v>10.697715136624424</v>
      </c>
      <c r="Q84" s="142">
        <f>SUM($F81:Q$82)*Q$197/4</f>
        <v>9.6279436229619826</v>
      </c>
      <c r="R84" s="142">
        <f>SUM($F81:R$82)*R$197/4</f>
        <v>8.5581721092995391</v>
      </c>
      <c r="S84" s="142">
        <f>SUM($F81:S$82)*S$197/4</f>
        <v>7.4884005956370974</v>
      </c>
      <c r="T84" s="142">
        <f>SUM($F81:T$82)*T$197/4</f>
        <v>6.9535148388058756</v>
      </c>
      <c r="U84" s="142">
        <f>SUM($F81:U$82)*U$197/4</f>
        <v>6.4186290819746548</v>
      </c>
      <c r="V84" s="142">
        <f>SUM($F81:V$82)*V$197/4</f>
        <v>5.883743325143433</v>
      </c>
      <c r="W84" s="142">
        <f>SUM($F81:W$82)*W$197/4</f>
        <v>5.6163004467278226</v>
      </c>
      <c r="X84" s="142">
        <f>SUM($F81:X$82)*X$197/4</f>
        <v>5.3488575683122113</v>
      </c>
      <c r="Y84" s="142">
        <f>SUM($F81:Y$82)*Y$197/4</f>
        <v>5.3488575683122113</v>
      </c>
      <c r="Z84" s="142">
        <f>SUM($F81:Z$82)*Z$197/4</f>
        <v>5.3488575683122113</v>
      </c>
      <c r="AA84" s="142">
        <f>SUM($F81:AA$82)*AA$197/4</f>
        <v>5.3488575683122113</v>
      </c>
      <c r="AB84" s="142">
        <f>SUM($F81:AB$82)*AB$197/4</f>
        <v>5.3488575683122113</v>
      </c>
      <c r="AC84" s="142">
        <f>SUM($F81:AC$82)*AC$197/4</f>
        <v>5.3488575683122113</v>
      </c>
      <c r="AD84" s="142">
        <f>SUM($F81:AD$82)*AD$197/4</f>
        <v>5.3488575683122113</v>
      </c>
      <c r="AE84" s="142">
        <f>SUM($F81:AE$82)*AE$197/4</f>
        <v>5.3488575683122113</v>
      </c>
      <c r="AF84" s="142">
        <f>SUM($F81:AF$82)*AF$197/4</f>
        <v>5.3488575683122113</v>
      </c>
      <c r="AG84" s="142">
        <f>SUM($F81:AG$82)*AG$197/4</f>
        <v>5.3488575683122113</v>
      </c>
      <c r="AH84" s="142">
        <f>SUM($F81:AH$82)*AH$197/4</f>
        <v>5.3488575683122113</v>
      </c>
      <c r="AI84" s="142">
        <f>SUM($F81:AI$82)*AI$197/4</f>
        <v>5.3488575683122113</v>
      </c>
      <c r="AJ84" s="142">
        <f>SUM($F81:AJ$82)*AJ$197/4</f>
        <v>5.3488575683122113</v>
      </c>
      <c r="AK84" s="142">
        <f>SUM($F81:AK$82)*AK$197/4</f>
        <v>5.3488575683122113</v>
      </c>
      <c r="AL84" s="142">
        <f>SUM($F81:AL$82)*AL$197/4</f>
        <v>0</v>
      </c>
      <c r="AM84" s="142">
        <f>SUM($F81:AM$82)*AM$197/4</f>
        <v>0</v>
      </c>
      <c r="AN84" s="142">
        <f>SUM($F81:AN$82)*AN$197/4</f>
        <v>0</v>
      </c>
      <c r="AO84" s="142">
        <f>SUM($F81:AO$82)*AO$197/4</f>
        <v>0</v>
      </c>
      <c r="AP84" s="142">
        <f>SUM($F81:AP$82)*AP$197/4</f>
        <v>0</v>
      </c>
      <c r="AQ84" s="142">
        <f>SUM($F81:AQ$82)*AQ$197/4</f>
        <v>0</v>
      </c>
      <c r="AR84" s="142">
        <f>SUM($F81:AR$82)*AR$197/4</f>
        <v>0</v>
      </c>
      <c r="AS84" s="142">
        <f>SUM($F81:AS$82)*AS$197/4</f>
        <v>0</v>
      </c>
      <c r="AT84" s="142">
        <f>SUM($F81:AT$82)*AT$197/4</f>
        <v>0</v>
      </c>
      <c r="AU84" s="142">
        <f>SUM($F81:AU$82)*AU$197/4</f>
        <v>0</v>
      </c>
      <c r="AV84" s="142">
        <f>SUM($F81:AV$82)*AV$197/4</f>
        <v>0</v>
      </c>
      <c r="AW84" s="142">
        <f>SUM($F81:AW$82)*AW$197/4</f>
        <v>0</v>
      </c>
      <c r="AX84" s="142">
        <f>SUM($F81:AX$82)*AX$197/4</f>
        <v>0</v>
      </c>
      <c r="AY84" s="142">
        <f>SUM($F81:AY$82)*AY$197/4</f>
        <v>0</v>
      </c>
      <c r="AZ84" s="142">
        <f>SUM($F81:AZ$82)*AZ$197/4</f>
        <v>0</v>
      </c>
      <c r="BA84" s="142">
        <f>SUM($F81:BA$82)*BA$197/4</f>
        <v>0</v>
      </c>
      <c r="BB84" s="142">
        <f>SUM($F81:BB$82)*BB$197/4</f>
        <v>0</v>
      </c>
      <c r="BC84" s="142">
        <f>SUM($F81:BC$82)*BC$197/4</f>
        <v>0</v>
      </c>
      <c r="BD84" s="142">
        <f>SUM($F81:BD$82)*BD$197/4</f>
        <v>0</v>
      </c>
      <c r="BE84" s="142">
        <f>SUM($F81:BE$82)*BE$197/4</f>
        <v>0</v>
      </c>
      <c r="BF84" s="142">
        <f>SUM($F81:BF$82)*BF$197/4</f>
        <v>0</v>
      </c>
      <c r="BG84" s="142">
        <f>SUM($F81:BG$82)*BG$197/4</f>
        <v>0</v>
      </c>
      <c r="BH84" s="142">
        <f>SUM($F81:BH$82)*BH$197/4</f>
        <v>0</v>
      </c>
      <c r="BI84" s="142">
        <f>SUM($F81:BI$82)*BI$197/4</f>
        <v>0</v>
      </c>
      <c r="BJ84" s="142">
        <f>SUM($F81:BJ$82)*BJ$197/4</f>
        <v>0</v>
      </c>
      <c r="BK84" s="142">
        <f>SUM($F81:BK$82)*BK$197/4</f>
        <v>0</v>
      </c>
      <c r="BL84" s="142">
        <f>SUM($F81:BL$82)*BL$197/4</f>
        <v>0</v>
      </c>
      <c r="BM84" s="142">
        <f>SUM($F81:BM$82)*BM$197/4</f>
        <v>0</v>
      </c>
    </row>
    <row r="85" spans="2:65">
      <c r="B85" s="27"/>
      <c r="C85" s="28" t="s">
        <v>73</v>
      </c>
      <c r="D85" s="131" t="s">
        <v>19</v>
      </c>
      <c r="E85" s="141">
        <f t="shared" si="78"/>
        <v>-142.20063535347074</v>
      </c>
      <c r="F85" s="202"/>
      <c r="G85" s="202"/>
      <c r="H85" s="202"/>
      <c r="I85" s="202"/>
      <c r="J85" s="202"/>
      <c r="K85" s="202"/>
      <c r="L85" s="202"/>
      <c r="M85" s="202"/>
      <c r="N85" s="142">
        <f>IF(N186&gt;0,IF((SUM($F$84:M85)-N186)&gt;0,-N186,-SUM($F$84:M85)),0)</f>
        <v>0</v>
      </c>
      <c r="O85" s="142">
        <f>IF(O186&gt;0,IF((SUM($F$84:N85)-O186)&gt;0,-O186,-SUM($F$84:N85)),0)</f>
        <v>0</v>
      </c>
      <c r="P85" s="142">
        <f>IF(P186&gt;0,IF((SUM($F$84:O85)-P186)&gt;0,-P186,-SUM($F$84:O85)),0)</f>
        <v>0</v>
      </c>
      <c r="Q85" s="142">
        <f>IF(Q186&gt;0,IF((SUM($F$84:P85)-Q186)&gt;0,-Q186,-SUM($F$84:P85)),0)</f>
        <v>0</v>
      </c>
      <c r="R85" s="142">
        <f>IF(R186&gt;0,IF((SUM($F$84:Q85)-R186)&gt;0,-R186,-SUM($F$84:Q85)),0)</f>
        <v>0</v>
      </c>
      <c r="S85" s="142">
        <f>IF(S186&gt;0,IF((SUM($F$84:R85)-S186)&gt;0,-S186,-SUM($F$84:R85)),0)</f>
        <v>0</v>
      </c>
      <c r="T85" s="142">
        <f>IF(T186&gt;0,IF((SUM($F$84:S85)-T186)&gt;0,-T186,-SUM($F$84:S85)),0)</f>
        <v>0</v>
      </c>
      <c r="U85" s="142">
        <f>IF(U186&gt;0,IF((SUM($F$84:T85)-U186)&gt;0,-U186,-SUM($F$84:T85)),0)</f>
        <v>0</v>
      </c>
      <c r="V85" s="142">
        <f>IF(V186&gt;0,IF((SUM($F$84:U85)-V186)&gt;0,-V186,-SUM($F$84:U85)),0)</f>
        <v>0</v>
      </c>
      <c r="W85" s="142">
        <f>IF(W186&gt;0,IF((SUM($F$84:V85)-W186)&gt;0,-W186,-SUM($F$84:V85)),0)</f>
        <v>0</v>
      </c>
      <c r="X85" s="142">
        <f>IF(X186&gt;0,IF((SUM($F$84:W85)-X186)&gt;0,-X186,-SUM($F$84:W85)),0)</f>
        <v>0</v>
      </c>
      <c r="Y85" s="142">
        <f>IF(Y186&gt;0,IF((SUM($F$84:X85)-Y186)&gt;0,-Y186,-SUM($F$84:X85)),0)</f>
        <v>0</v>
      </c>
      <c r="Z85" s="142">
        <f>IF(Z186&gt;0,IF((SUM($F$84:Y85)-Z186)&gt;0,-Z186,-SUM($F$84:Y85)),0)</f>
        <v>0</v>
      </c>
      <c r="AA85" s="142">
        <f>IF(AA186&gt;0,IF((SUM($F$84:Z85)-AA186)&gt;0,-AA186,-SUM($F$84:Z85)),0)</f>
        <v>0</v>
      </c>
      <c r="AB85" s="142">
        <f>IF(AB186&gt;0,IF((SUM($F$84:AA85)-AB186)&gt;0,-AB186,-SUM($F$84:AA85)),0)</f>
        <v>0</v>
      </c>
      <c r="AC85" s="142">
        <f>IF(AC186&gt;0,IF((SUM($F$84:AB85)-AC186)&gt;0,-AC186,-SUM($F$84:AB85)),0)</f>
        <v>0</v>
      </c>
      <c r="AD85" s="142">
        <f>IF(AD186&gt;0,IF((SUM($F$84:AC85)-AD186)&gt;0,-AD186,-SUM($F$84:AC85)),0)</f>
        <v>0</v>
      </c>
      <c r="AE85" s="142">
        <f>IF(AE186&gt;0,IF((SUM($F$84:AD85)-AE186)&gt;0,-AE186,-SUM($F$84:AD85)),0)</f>
        <v>0</v>
      </c>
      <c r="AF85" s="142">
        <f>IF(AF186&gt;0,IF((SUM($F$84:AE85)-AF186)&gt;0,-AF186,-SUM($F$84:AE85)),0)</f>
        <v>0</v>
      </c>
      <c r="AG85" s="142">
        <f>IF(AG186&gt;0,IF((SUM($F$84:AF85)-AG186)&gt;0,-AG186,-SUM($F$84:AF85)),0)</f>
        <v>0</v>
      </c>
      <c r="AH85" s="142">
        <f>IF(AH186&gt;0,IF((SUM($F$84:AG85)-AH186)&gt;0,-AH186,-SUM($F$84:AG85)),0)</f>
        <v>0</v>
      </c>
      <c r="AI85" s="142">
        <f>IF(AI186&gt;0,IF((SUM($F$84:AH85)-AI186)&gt;0,-AI186,-SUM($F$84:AH85)),0)</f>
        <v>0</v>
      </c>
      <c r="AJ85" s="142">
        <f>IF(AJ186&gt;0,IF((SUM($F$84:AI85)-AJ186)&gt;0,-AJ186,-SUM($F$84:AI85)),0)</f>
        <v>0</v>
      </c>
      <c r="AK85" s="142">
        <f>IF(AK186&gt;0,IF((SUM($F$84:AJ85)-AK186)&gt;0,-AK186,-SUM($F$84:AJ85)),0)</f>
        <v>0</v>
      </c>
      <c r="AL85" s="142">
        <f>IF(AL186&gt;0,IF((SUM($F$84:AK85)-AL186)&gt;0,-AL186,-SUM($F$84:AK85)),0)</f>
        <v>-142.20063535347074</v>
      </c>
      <c r="AM85" s="142">
        <f>IF(AM186&gt;0,IF((SUM($F$84:AL85)-AM186)&gt;0,-AM186,-SUM($F$84:AL85)),0)</f>
        <v>0</v>
      </c>
      <c r="AN85" s="142">
        <f>IF(AN186&gt;0,IF((SUM($F$84:AM85)-AN186)&gt;0,-AN186,-SUM($F$84:AM85)),0)</f>
        <v>0</v>
      </c>
      <c r="AO85" s="142">
        <f>IF(AO186&gt;0,IF((SUM($F$84:AN85)-AO186)&gt;0,-AO186,-SUM($F$84:AN85)),0)</f>
        <v>0</v>
      </c>
      <c r="AP85" s="142">
        <f>IF(AP186&gt;0,IF((SUM($F$84:AO85)-AP186)&gt;0,-AP186,-SUM($F$84:AO85)),0)</f>
        <v>0</v>
      </c>
      <c r="AQ85" s="142">
        <f>IF(AQ186&gt;0,IF((SUM($F$84:AP85)-AQ186)&gt;0,-AQ186,-SUM($F$84:AP85)),0)</f>
        <v>0</v>
      </c>
      <c r="AR85" s="142">
        <f>IF(AR186&gt;0,IF((SUM($F$84:AQ85)-AR186)&gt;0,-AR186,-SUM($F$84:AQ85)),0)</f>
        <v>0</v>
      </c>
      <c r="AS85" s="142">
        <f>IF(AS186&gt;0,IF((SUM($F$84:AR85)-AS186)&gt;0,-AS186,-SUM($F$84:AR85)),0)</f>
        <v>0</v>
      </c>
      <c r="AT85" s="142">
        <f>IF(AT186&gt;0,IF((SUM($F$84:AS85)-AT186)&gt;0,-AT186,-SUM($F$84:AS85)),0)</f>
        <v>0</v>
      </c>
      <c r="AU85" s="142">
        <f>IF(AU186&gt;0,IF((SUM($F$84:AT85)-AU186)&gt;0,-AU186,-SUM($F$84:AT85)),0)</f>
        <v>0</v>
      </c>
      <c r="AV85" s="142">
        <f>IF(AV186&gt;0,IF((SUM($F$84:AU85)-AV186)&gt;0,-AV186,-SUM($F$84:AU85)),0)</f>
        <v>0</v>
      </c>
      <c r="AW85" s="142">
        <f>IF(AW186&gt;0,IF((SUM($F$84:AV85)-AW186)&gt;0,-AW186,-SUM($F$84:AV85)),0)</f>
        <v>0</v>
      </c>
      <c r="AX85" s="142">
        <f>IF(AX186&gt;0,IF((SUM($F$84:AW85)-AX186)&gt;0,-AX186,-SUM($F$84:AW85)),0)</f>
        <v>0</v>
      </c>
      <c r="AY85" s="142">
        <f>IF(AY186&gt;0,IF((SUM($F$84:AX85)-AY186)&gt;0,-AY186,-SUM($F$84:AX85)),0)</f>
        <v>0</v>
      </c>
      <c r="AZ85" s="142">
        <f>IF(AZ186&gt;0,IF((SUM($F$84:AY85)-AZ186)&gt;0,-AZ186,-SUM($F$84:AY85)),0)</f>
        <v>0</v>
      </c>
      <c r="BA85" s="142">
        <f>IF(BA186&gt;0,IF((SUM($F$84:AZ85)-BA186)&gt;0,-BA186,-SUM($F$84:AZ85)),0)</f>
        <v>0</v>
      </c>
      <c r="BB85" s="142">
        <f>IF(BB186&gt;0,IF((SUM($F$84:BA85)-BB186)&gt;0,-BB186,-SUM($F$84:BA85)),0)</f>
        <v>0</v>
      </c>
      <c r="BC85" s="142">
        <f>IF(BC186&gt;0,IF((SUM($F$84:BB85)-BC186)&gt;0,-BC186,-SUM($F$84:BB85)),0)</f>
        <v>0</v>
      </c>
      <c r="BD85" s="142">
        <f>IF(BD186&gt;0,IF((SUM($F$84:BC85)-BD186)&gt;0,-BD186,-SUM($F$84:BC85)),0)</f>
        <v>0</v>
      </c>
      <c r="BE85" s="142">
        <f>IF(BE186&gt;0,IF((SUM($F$84:BD85)-BE186)&gt;0,-BE186,-SUM($F$84:BD85)),0)</f>
        <v>0</v>
      </c>
      <c r="BF85" s="142">
        <f>IF(BF186&gt;0,IF((SUM($F$84:BE85)-BF186)&gt;0,-BF186,-SUM($F$84:BE85)),0)</f>
        <v>0</v>
      </c>
      <c r="BG85" s="142">
        <f>IF(BG186&gt;0,IF((SUM($F$84:BF85)-BG186)&gt;0,-BG186,-SUM($F$84:BF85)),0)</f>
        <v>0</v>
      </c>
      <c r="BH85" s="142">
        <f>IF(BH186&gt;0,IF((SUM($F$84:BG85)-BH186)&gt;0,-BH186,-SUM($F$84:BG85)),0)</f>
        <v>0</v>
      </c>
      <c r="BI85" s="142">
        <f>IF(BI186&gt;0,IF((SUM($F$84:BH85)-BI186)&gt;0,-BI186,-SUM($F$84:BH85)),0)</f>
        <v>0</v>
      </c>
      <c r="BJ85" s="142">
        <f>IF(BJ186&gt;0,IF((SUM($F$84:BI85)-BJ186)&gt;0,-BJ186,-SUM($F$84:BI85)),0)</f>
        <v>0</v>
      </c>
      <c r="BK85" s="142">
        <f>IF(BK186&gt;0,IF((SUM($F$84:BJ85)-BK186)&gt;0,-BK186,-SUM($F$84:BJ85)),0)</f>
        <v>0</v>
      </c>
      <c r="BL85" s="142">
        <f>IF(BL186&gt;0,IF((SUM($F$84:BK85)-BL186)&gt;0,-BL186,-SUM($F$84:BK85)),0)</f>
        <v>0</v>
      </c>
      <c r="BM85" s="142">
        <f>IF(BM186&gt;0,IF((SUM($F$84:BL85)-BM186)&gt;0,-BM186,-SUM($F$84:BL85)),0)</f>
        <v>0</v>
      </c>
    </row>
    <row r="86" spans="2:65">
      <c r="B86" s="145" t="s">
        <v>198</v>
      </c>
      <c r="C86" s="205" t="s">
        <v>251</v>
      </c>
      <c r="D86" s="131" t="s">
        <v>19</v>
      </c>
      <c r="E86" s="141">
        <f t="shared" si="78"/>
        <v>0</v>
      </c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2"/>
      <c r="AL86" s="142"/>
      <c r="AM86" s="142"/>
      <c r="AN86" s="142"/>
      <c r="AO86" s="142"/>
      <c r="AP86" s="142"/>
      <c r="AQ86" s="142"/>
      <c r="AR86" s="142"/>
      <c r="AS86" s="142"/>
      <c r="AT86" s="142"/>
      <c r="AU86" s="142"/>
      <c r="AV86" s="142"/>
      <c r="AW86" s="142"/>
      <c r="AX86" s="142"/>
      <c r="AY86" s="142"/>
      <c r="AZ86" s="142"/>
      <c r="BA86" s="142"/>
      <c r="BB86" s="142"/>
      <c r="BC86" s="142"/>
      <c r="BD86" s="142"/>
      <c r="BE86" s="142"/>
      <c r="BF86" s="142"/>
      <c r="BG86" s="142"/>
      <c r="BH86" s="142"/>
      <c r="BI86" s="142"/>
      <c r="BJ86" s="142"/>
      <c r="BK86" s="142"/>
      <c r="BL86" s="142"/>
      <c r="BM86" s="142"/>
    </row>
    <row r="87" spans="2:65">
      <c r="B87" s="27"/>
      <c r="C87" s="28" t="s">
        <v>57</v>
      </c>
      <c r="D87" s="131" t="s">
        <v>19</v>
      </c>
      <c r="E87" s="141">
        <f t="shared" si="78"/>
        <v>3014.6296667962397</v>
      </c>
      <c r="F87" s="202"/>
      <c r="G87" s="202"/>
      <c r="H87" s="202"/>
      <c r="I87" s="202"/>
      <c r="J87" s="202"/>
      <c r="K87" s="202"/>
      <c r="L87" s="202"/>
      <c r="M87" s="202"/>
      <c r="N87" s="142">
        <f>IF(N5&lt;'DB2'!$U$25,IF(-(N178)&gt;0,-N178,0),0)</f>
        <v>0</v>
      </c>
      <c r="O87" s="142">
        <f>IF(O5&lt;'DB2'!$U$25,IF(-(O178)&gt;0,-O178,0),0)</f>
        <v>0</v>
      </c>
      <c r="P87" s="142">
        <f>IF(P5&lt;'DB2'!$U$25,IF(-(P178)&gt;0,-P178,0),0)</f>
        <v>570.20731627043801</v>
      </c>
      <c r="Q87" s="142">
        <f>IF(Q5&lt;'DB2'!$U$25,IF(-(Q178)&gt;0,-Q178,0),0)</f>
        <v>38.707316270437914</v>
      </c>
      <c r="R87" s="142">
        <f>IF(R5&lt;'DB2'!$U$25,IF(-(R178)&gt;0,-R178,0),0)</f>
        <v>39.074516270437911</v>
      </c>
      <c r="S87" s="142">
        <f>IF(S5&lt;'DB2'!$U$25,IF(-(S178)&gt;0,-S178,0),0)</f>
        <v>62.623187828437914</v>
      </c>
      <c r="T87" s="142">
        <f>IF(T5&lt;'DB2'!$U$25,IF(-(T178)&gt;0,-T178,0),0)</f>
        <v>190.97998782843791</v>
      </c>
      <c r="U87" s="142">
        <f>IF(U5&lt;'DB2'!$U$25,IF(-(U178)&gt;0,-U178,0),0)</f>
        <v>461.8715878284379</v>
      </c>
      <c r="V87" s="142">
        <f>IF(V5&lt;'DB2'!$U$25,IF(-(V178)&gt;0,-V178,0),0)</f>
        <v>808.57621109643799</v>
      </c>
      <c r="W87" s="142">
        <f>IF(W5&lt;'DB2'!$U$25,IF(-(W178)&gt;0,-W178,0),0)</f>
        <v>842.58954340317382</v>
      </c>
      <c r="X87" s="142">
        <f>IF(X5&lt;'DB2'!$U$25,IF(-(X178)&gt;0,-X178,0),0)</f>
        <v>0</v>
      </c>
      <c r="Y87" s="142">
        <f>IF(Y5&lt;'DB2'!$U$25,IF(-(Y178)&gt;0,-Y178,0),0)</f>
        <v>0</v>
      </c>
      <c r="Z87" s="142">
        <f>IF(Z5&lt;'DB2'!$U$25,IF(-(Z178)&gt;0,-Z178,0),0)</f>
        <v>0</v>
      </c>
      <c r="AA87" s="142">
        <f>IF(AA5&lt;'DB2'!$U$25,IF(-(AA178)&gt;0,-AA178,0),0)</f>
        <v>0</v>
      </c>
      <c r="AB87" s="142">
        <f>IF(AB5&lt;'DB2'!$U$25,IF(-(AB178)&gt;0,-AB178,0),0)</f>
        <v>0</v>
      </c>
      <c r="AC87" s="142">
        <f>IF(AC5&lt;'DB2'!$U$25,IF(-(AC178)&gt;0,-AC178,0),0)</f>
        <v>0</v>
      </c>
      <c r="AD87" s="142">
        <f>IF(AD5&lt;'DB2'!$U$25,IF(-(AD178)&gt;0,-AD178,0),0)</f>
        <v>0</v>
      </c>
      <c r="AE87" s="142">
        <f>IF(AE5&lt;'DB2'!$U$25,IF(-(AE178)&gt;0,-AE178,0),0)</f>
        <v>0</v>
      </c>
      <c r="AF87" s="142">
        <f>IF(AF5&lt;'DB2'!$U$25,IF(-(AF178)&gt;0,-AF178,0),0)</f>
        <v>0</v>
      </c>
      <c r="AG87" s="142">
        <f>IF(AG5&lt;'DB2'!$U$25,IF(-(AG178)&gt;0,-AG178,0),0)</f>
        <v>0</v>
      </c>
      <c r="AH87" s="142">
        <f>IF(AH5&lt;'DB2'!$U$25,IF(-(AH178)&gt;0,-AH178,0),0)</f>
        <v>0</v>
      </c>
      <c r="AI87" s="142">
        <f>IF(AI5&lt;'DB2'!$U$25,IF(-(AI178)&gt;0,-AI178,0),0)</f>
        <v>0</v>
      </c>
      <c r="AJ87" s="142">
        <f>IF(AJ5&lt;'DB2'!$U$25,IF(-(AJ178)&gt;0,-AJ178,0),0)</f>
        <v>0</v>
      </c>
      <c r="AK87" s="142">
        <f>IF(AK5&lt;'DB2'!$U$25,IF(-(AK178)&gt;0,-AK178,0),0)</f>
        <v>0</v>
      </c>
      <c r="AL87" s="142">
        <f>IF(AL5&lt;'DB2'!$U$25,IF(-(AL178)&gt;0,-AL178,0),0)</f>
        <v>0</v>
      </c>
      <c r="AM87" s="142">
        <f>IF(AM5&lt;'DB2'!$U$25,IF(-(AM178)&gt;0,-AM178,0),0)</f>
        <v>0</v>
      </c>
      <c r="AN87" s="142">
        <f>IF(AN5&lt;'DB2'!$U$25,IF(-(AN178)&gt;0,-AN178,0),0)</f>
        <v>0</v>
      </c>
      <c r="AO87" s="142">
        <f>IF(AO5&lt;'DB2'!$U$25,IF(-(AO178)&gt;0,-AO178,0),0)</f>
        <v>0</v>
      </c>
      <c r="AP87" s="142">
        <f>IF(AP5&lt;'DB2'!$U$25,IF(-(AP178)&gt;0,-AP178,0),0)</f>
        <v>0</v>
      </c>
      <c r="AQ87" s="142">
        <f>IF(AQ5&lt;'DB2'!$U$25,IF(-(AQ178)&gt;0,-AQ178,0),0)</f>
        <v>0</v>
      </c>
      <c r="AR87" s="142">
        <f>IF(AR5&lt;'DB2'!$U$25,IF(-(AR178)&gt;0,-AR178,0),0)</f>
        <v>0</v>
      </c>
      <c r="AS87" s="142">
        <f>IF(AS5&lt;'DB2'!$U$25,IF(-(AS178)&gt;0,-AS178,0),0)</f>
        <v>0</v>
      </c>
      <c r="AT87" s="142">
        <f>IF(AT5&lt;'DB2'!$U$25,IF(-(AT178)&gt;0,-AT178,0),0)</f>
        <v>0</v>
      </c>
      <c r="AU87" s="142">
        <f>IF(AU5&lt;'DB2'!$U$25,IF(-(AU178)&gt;0,-AU178,0),0)</f>
        <v>0</v>
      </c>
      <c r="AV87" s="142">
        <f>IF(AV5&lt;'DB2'!$U$25,IF(-(AV178)&gt;0,-AV178,0),0)</f>
        <v>0</v>
      </c>
      <c r="AW87" s="142">
        <f>IF(AW5&lt;'DB2'!$U$25,IF(-(AW178)&gt;0,-AW178,0),0)</f>
        <v>0</v>
      </c>
      <c r="AX87" s="142">
        <f>IF(AX5&lt;'DB2'!$U$25,IF(-(AX178)&gt;0,-AX178,0),0)</f>
        <v>0</v>
      </c>
      <c r="AY87" s="142">
        <f>IF(AY5&lt;'DB2'!$U$25,IF(-(AY178)&gt;0,-AY178,0),0)</f>
        <v>0</v>
      </c>
      <c r="AZ87" s="142">
        <f>IF(AZ5&lt;'DB2'!$U$25,IF(-(AZ178)&gt;0,-AZ178,0),0)</f>
        <v>0</v>
      </c>
      <c r="BA87" s="142">
        <f>IF(BA5&lt;'DB2'!$U$25,IF(-(BA178)&gt;0,-BA178,0),0)</f>
        <v>0</v>
      </c>
      <c r="BB87" s="142">
        <f>IF(BB5&lt;'DB2'!$U$25,IF(-(BB178)&gt;0,-BB178,0),0)</f>
        <v>0</v>
      </c>
      <c r="BC87" s="142">
        <f>IF(BC5&lt;'DB2'!$U$25,IF(-(BC178)&gt;0,-BC178,0),0)</f>
        <v>0</v>
      </c>
      <c r="BD87" s="142">
        <f>IF(BD5&lt;'DB2'!$U$25,IF(-(BD178)&gt;0,-BD178,0),0)</f>
        <v>0</v>
      </c>
      <c r="BE87" s="142">
        <f>IF(BE5&lt;'DB2'!$U$25,IF(-(BE178)&gt;0,-BE178,0),0)</f>
        <v>0</v>
      </c>
      <c r="BF87" s="142">
        <f>IF(BF5&lt;'DB2'!$U$25,IF(-(BF178)&gt;0,-BF178,0),0)</f>
        <v>0</v>
      </c>
      <c r="BG87" s="142">
        <f>IF(BG5&lt;'DB2'!$U$25,IF(-(BG178)&gt;0,-BG178,0),0)</f>
        <v>0</v>
      </c>
      <c r="BH87" s="142">
        <f>IF(BH5&lt;'DB2'!$U$25,IF(-(BH178)&gt;0,-BH178,0),0)</f>
        <v>0</v>
      </c>
      <c r="BI87" s="142">
        <f>IF(BI5&lt;'DB2'!$U$25,IF(-(BI178)&gt;0,-BI178,0),0)</f>
        <v>0</v>
      </c>
      <c r="BJ87" s="142">
        <f>IF(BJ5&lt;'DB2'!$U$25,IF(-(BJ178)&gt;0,-BJ178,0),0)</f>
        <v>0</v>
      </c>
      <c r="BK87" s="142">
        <f>IF(BK5&lt;'DB2'!$U$25,IF(-(BK178)&gt;0,-BK178,0),0)</f>
        <v>0</v>
      </c>
      <c r="BL87" s="142">
        <f>IF(BL5&lt;'DB2'!$U$25,IF(-(BL178)&gt;0,-BL178,0),0)</f>
        <v>0</v>
      </c>
      <c r="BM87" s="142">
        <f>IF(BM5&lt;'DB2'!$U$25,IF(-(BM178)&gt;0,-BM178,0),0)</f>
        <v>0</v>
      </c>
    </row>
    <row r="88" spans="2:65">
      <c r="B88" s="27"/>
      <c r="C88" s="28" t="s">
        <v>58</v>
      </c>
      <c r="D88" s="131" t="s">
        <v>19</v>
      </c>
      <c r="E88" s="141">
        <f t="shared" si="78"/>
        <v>-3014.6296667962397</v>
      </c>
      <c r="F88" s="202"/>
      <c r="G88" s="202"/>
      <c r="H88" s="202"/>
      <c r="I88" s="202"/>
      <c r="J88" s="202"/>
      <c r="K88" s="202"/>
      <c r="L88" s="202"/>
      <c r="M88" s="202"/>
      <c r="N88" s="142">
        <f>IF(AND($C$86="реф",N$3="РнС"),-SUM($F87:M$88),IF(N178&gt;0,IF((SUM($F87:M$88)-N178)&gt;0,-N178,-SUM($F87:M$88)),0))</f>
        <v>0</v>
      </c>
      <c r="O88" s="142">
        <f>IF(AND($C$86="реф",O$3="РнС"),-SUM($F87:N$88),IF(O178&gt;0,IF((SUM($F87:N$88)-O178)&gt;0,-O178,-SUM($F87:N$88)),0))</f>
        <v>0</v>
      </c>
      <c r="P88" s="142">
        <f>IF(AND($C$86="реф",P$3="РнС"),-SUM($F87:O$88),IF(P178&gt;0,IF((SUM($F87:O$88)-P178)&gt;0,-P178,-SUM($F87:O$88)),0))</f>
        <v>0</v>
      </c>
      <c r="Q88" s="142">
        <f>IF(AND($C$86="реф",Q$3="РнС"),-SUM($F87:P$88),IF(Q178&gt;0,IF((SUM($F87:P$88)-Q178)&gt;0,-Q178,-SUM($F87:P$88)),0))</f>
        <v>0</v>
      </c>
      <c r="R88" s="142">
        <f>IF(AND($C$86="реф",R$3="РнС"),-SUM($F87:Q$88),IF(R178&gt;0,IF((SUM($F87:Q$88)-R178)&gt;0,-R178,-SUM($F87:Q$88)),0))</f>
        <v>0</v>
      </c>
      <c r="S88" s="142">
        <f>IF(AND($C$86="реф",S$3="РнС"),-SUM($F87:R$88),IF(S178&gt;0,IF((SUM($F87:R$88)-S178)&gt;0,-S178,-SUM($F87:R$88)),0))</f>
        <v>0</v>
      </c>
      <c r="T88" s="142">
        <f>IF(AND($C$86="реф",T$3="РнС"),-SUM($F87:S$88),IF(T178&gt;0,IF((SUM($F87:S$88)-T178)&gt;0,-T178,-SUM($F87:S$88)),0))</f>
        <v>0</v>
      </c>
      <c r="U88" s="142">
        <f>IF(AND($C$86="реф",U$3="РнС"),-SUM($F87:T$88),IF(U178&gt;0,IF((SUM($F87:T$88)-U178)&gt;0,-U178,-SUM($F87:T$88)),0))</f>
        <v>0</v>
      </c>
      <c r="V88" s="142">
        <f>IF(AND($C$86="реф",V$3="РнС"),-SUM($F87:U$88),IF(V178&gt;0,IF((SUM($F87:U$88)-V178)&gt;0,-V178,-SUM($F87:U$88)),0))</f>
        <v>0</v>
      </c>
      <c r="W88" s="142">
        <f>IF(AND($C$86="реф",W$3="РнС"),-SUM($F87:V$88),IF(W178&gt;0,IF((SUM($F87:V$88)-W178)&gt;0,-W178,-SUM($F87:V$88)),0))</f>
        <v>0</v>
      </c>
      <c r="X88" s="142">
        <f>IF(AND($C$86="реф",X$3="РнС"),-SUM($F87:W$88),IF(X178&gt;0,IF((SUM($F87:W$88)-X178)&gt;0,-X178,-SUM($F87:W$88)),0))</f>
        <v>-3014.6296667962397</v>
      </c>
      <c r="Y88" s="142">
        <f>IF(AND($C$86="реф",Y$3="РнС"),-SUM($F87:X$88),IF(Y178&gt;0,IF((SUM($F87:X$88)-Y178)&gt;0,-Y178,-SUM($F87:X$88)),0))</f>
        <v>0</v>
      </c>
      <c r="Z88" s="142">
        <f>IF(AND($C$86="реф",Z$3="РнС"),-SUM($F87:Y$88),IF(Z178&gt;0,IF((SUM($F87:Y$88)-Z178)&gt;0,-Z178,-SUM($F87:Y$88)),0))</f>
        <v>0</v>
      </c>
      <c r="AA88" s="142">
        <f>IF(AND($C$86="реф",AA$3="РнС"),-SUM($F87:Z$88),IF(AA178&gt;0,IF((SUM($F87:Z$88)-AA178)&gt;0,-AA178,-SUM($F87:Z$88)),0))</f>
        <v>0</v>
      </c>
      <c r="AB88" s="142">
        <f>IF(AND($C$86="реф",AB$3="РнС"),-SUM($F87:AA$88),IF(AB178&gt;0,IF((SUM($F87:AA$88)-AB178)&gt;0,-AB178,-SUM($F87:AA$88)),0))</f>
        <v>0</v>
      </c>
      <c r="AC88" s="142">
        <f>IF(AND($C$86="реф",AC$3="РнС"),-SUM($F87:AB$88),IF(AC178&gt;0,IF((SUM($F87:AB$88)-AC178)&gt;0,-AC178,-SUM($F87:AB$88)),0))</f>
        <v>0</v>
      </c>
      <c r="AD88" s="142">
        <f>IF(AND($C$86="реф",AD$3="РнС"),-SUM($F87:AC$88),IF(AD178&gt;0,IF((SUM($F87:AC$88)-AD178)&gt;0,-AD178,-SUM($F87:AC$88)),0))</f>
        <v>0</v>
      </c>
      <c r="AE88" s="142">
        <f>IF(AND($C$86="реф",AE$3="РнС"),-SUM($F87:AD$88),IF(AE178&gt;0,IF((SUM($F87:AD$88)-AE178)&gt;0,-AE178,-SUM($F87:AD$88)),0))</f>
        <v>0</v>
      </c>
      <c r="AF88" s="142">
        <f>IF(AND($C$86="реф",AF$3="РнС"),-SUM($F87:AE$88),IF(AF178&gt;0,IF((SUM($F87:AE$88)-AF178)&gt;0,-AF178,-SUM($F87:AE$88)),0))</f>
        <v>0</v>
      </c>
      <c r="AG88" s="142">
        <f>IF(AND($C$86="реф",AG$3="РнС"),-SUM($F87:AF$88),IF(AG178&gt;0,IF((SUM($F87:AF$88)-AG178)&gt;0,-AG178,-SUM($F87:AF$88)),0))</f>
        <v>0</v>
      </c>
      <c r="AH88" s="142">
        <f>IF(AND($C$86="реф",AH$3="РнС"),-SUM($F87:AG$88),IF(AH178&gt;0,IF((SUM($F87:AG$88)-AH178)&gt;0,-AH178,-SUM($F87:AG$88)),0))</f>
        <v>0</v>
      </c>
      <c r="AI88" s="142">
        <f>IF(AND($C$86="реф",AI$3="РнС"),-SUM($F87:AH$88),IF(AI178&gt;0,IF((SUM($F87:AH$88)-AI178)&gt;0,-AI178,-SUM($F87:AH$88)),0))</f>
        <v>0</v>
      </c>
      <c r="AJ88" s="142">
        <f>IF(AND($C$86="реф",AJ$3="РнС"),-SUM($F87:AI$88),IF(AJ178&gt;0,IF((SUM($F87:AI$88)-AJ178)&gt;0,-AJ178,-SUM($F87:AI$88)),0))</f>
        <v>0</v>
      </c>
      <c r="AK88" s="142">
        <f>IF(AND($C$86="реф",AK$3="РнС"),-SUM($F87:AJ$88),IF(AK178&gt;0,IF((SUM($F87:AJ$88)-AK178)&gt;0,-AK178,-SUM($F87:AJ$88)),0))</f>
        <v>0</v>
      </c>
      <c r="AL88" s="142">
        <f>IF(AND($C$86="реф",AL$3="РнС"),-SUM($F87:AK$88),IF(AL178&gt;0,IF((SUM($F87:AK$88)-AL178)&gt;0,-AL178,-SUM($F87:AK$88)),0))</f>
        <v>0</v>
      </c>
      <c r="AM88" s="142">
        <f>IF(AND($C$86="реф",AM$3="РнС"),-SUM($F87:AL$88),IF(AM178&gt;0,IF((SUM($F87:AL$88)-AM178)&gt;0,-AM178,-SUM($F87:AL$88)),0))</f>
        <v>0</v>
      </c>
      <c r="AN88" s="142">
        <f>IF(AND($C$86="реф",AN$3="РнС"),-SUM($F87:AM$88),IF(AN178&gt;0,IF((SUM($F87:AM$88)-AN178)&gt;0,-AN178,-SUM($F87:AM$88)),0))</f>
        <v>0</v>
      </c>
      <c r="AO88" s="142">
        <f>IF(AND($C$86="реф",AO$3="РнС"),-SUM($F87:AN$88),IF(AO178&gt;0,IF((SUM($F87:AN$88)-AO178)&gt;0,-AO178,-SUM($F87:AN$88)),0))</f>
        <v>0</v>
      </c>
      <c r="AP88" s="142">
        <f>IF(AND($C$86="реф",AP$3="РнС"),-SUM($F87:AO$88),IF(AP178&gt;0,IF((SUM($F87:AO$88)-AP178)&gt;0,-AP178,-SUM($F87:AO$88)),0))</f>
        <v>0</v>
      </c>
      <c r="AQ88" s="142">
        <f>IF(AND($C$86="реф",AQ$3="РнС"),-SUM($F87:AP$88),IF(AQ178&gt;0,IF((SUM($F87:AP$88)-AQ178)&gt;0,-AQ178,-SUM($F87:AP$88)),0))</f>
        <v>0</v>
      </c>
      <c r="AR88" s="142">
        <f>IF(AND($C$86="реф",AR$3="РнС"),-SUM($F87:AQ$88),IF(AR178&gt;0,IF((SUM($F87:AQ$88)-AR178)&gt;0,-AR178,-SUM($F87:AQ$88)),0))</f>
        <v>0</v>
      </c>
      <c r="AS88" s="142">
        <f>IF(AND($C$86="реф",AS$3="РнС"),-SUM($F87:AR$88),IF(AS178&gt;0,IF((SUM($F87:AR$88)-AS178)&gt;0,-AS178,-SUM($F87:AR$88)),0))</f>
        <v>0</v>
      </c>
      <c r="AT88" s="142">
        <f>IF(AND($C$86="реф",AT$3="РнС"),-SUM($F87:AS$88),IF(AT178&gt;0,IF((SUM($F87:AS$88)-AT178)&gt;0,-AT178,-SUM($F87:AS$88)),0))</f>
        <v>0</v>
      </c>
      <c r="AU88" s="142">
        <f>IF(AND($C$86="реф",AU$3="РнС"),-SUM($F87:AT$88),IF(AU178&gt;0,IF((SUM($F87:AT$88)-AU178)&gt;0,-AU178,-SUM($F87:AT$88)),0))</f>
        <v>0</v>
      </c>
      <c r="AV88" s="142">
        <f>IF(AND($C$86="реф",AV$3="РнС"),-SUM($F87:AU$88),IF(AV178&gt;0,IF((SUM($F87:AU$88)-AV178)&gt;0,-AV178,-SUM($F87:AU$88)),0))</f>
        <v>0</v>
      </c>
      <c r="AW88" s="142">
        <f>IF(AND($C$86="реф",AW$3="РнС"),-SUM($F87:AV$88),IF(AW178&gt;0,IF((SUM($F87:AV$88)-AW178)&gt;0,-AW178,-SUM($F87:AV$88)),0))</f>
        <v>0</v>
      </c>
      <c r="AX88" s="142">
        <f>IF(AND($C$86="реф",AX$3="РнС"),-SUM($F87:AW$88),IF(AX178&gt;0,IF((SUM($F87:AW$88)-AX178)&gt;0,-AX178,-SUM($F87:AW$88)),0))</f>
        <v>0</v>
      </c>
      <c r="AY88" s="142">
        <f>IF(AND($C$86="реф",AY$3="РнС"),-SUM($F87:AX$88),IF(AY178&gt;0,IF((SUM($F87:AX$88)-AY178)&gt;0,-AY178,-SUM($F87:AX$88)),0))</f>
        <v>0</v>
      </c>
      <c r="AZ88" s="142">
        <f>IF(AND($C$86="реф",AZ$3="РнС"),-SUM($F87:AY$88),IF(AZ178&gt;0,IF((SUM($F87:AY$88)-AZ178)&gt;0,-AZ178,-SUM($F87:AY$88)),0))</f>
        <v>0</v>
      </c>
      <c r="BA88" s="142">
        <f>IF(AND($C$86="реф",BA$3="РнС"),-SUM($F87:AZ$88),IF(BA178&gt;0,IF((SUM($F87:AZ$88)-BA178)&gt;0,-BA178,-SUM($F87:AZ$88)),0))</f>
        <v>0</v>
      </c>
      <c r="BB88" s="142">
        <f>IF(AND($C$86="реф",BB$3="РнС"),-SUM($F87:BA$88),IF(BB178&gt;0,IF((SUM($F87:BA$88)-BB178)&gt;0,-BB178,-SUM($F87:BA$88)),0))</f>
        <v>0</v>
      </c>
      <c r="BC88" s="142">
        <f>IF(AND($C$86="реф",BC$3="РнС"),-SUM($F87:BB$88),IF(BC178&gt;0,IF((SUM($F87:BB$88)-BC178)&gt;0,-BC178,-SUM($F87:BB$88)),0))</f>
        <v>0</v>
      </c>
      <c r="BD88" s="142">
        <f>IF(AND($C$86="реф",BD$3="РнС"),-SUM($F87:BC$88),IF(BD178&gt;0,IF((SUM($F87:BC$88)-BD178)&gt;0,-BD178,-SUM($F87:BC$88)),0))</f>
        <v>0</v>
      </c>
      <c r="BE88" s="142">
        <f>IF(AND($C$86="реф",BE$3="РнС"),-SUM($F87:BD$88),IF(BE178&gt;0,IF((SUM($F87:BD$88)-BE178)&gt;0,-BE178,-SUM($F87:BD$88)),0))</f>
        <v>0</v>
      </c>
      <c r="BF88" s="142">
        <f>IF(AND($C$86="реф",BF$3="РнС"),-SUM($F87:BE$88),IF(BF178&gt;0,IF((SUM($F87:BE$88)-BF178)&gt;0,-BF178,-SUM($F87:BE$88)),0))</f>
        <v>0</v>
      </c>
      <c r="BG88" s="142">
        <f>IF(AND($C$86="реф",BG$3="РнС"),-SUM($F87:BF$88),IF(BG178&gt;0,IF((SUM($F87:BF$88)-BG178)&gt;0,-BG178,-SUM($F87:BF$88)),0))</f>
        <v>0</v>
      </c>
      <c r="BH88" s="142">
        <f>IF(AND($C$86="реф",BH$3="РнС"),-SUM($F87:BG$88),IF(BH178&gt;0,IF((SUM($F87:BG$88)-BH178)&gt;0,-BH178,-SUM($F87:BG$88)),0))</f>
        <v>0</v>
      </c>
      <c r="BI88" s="142">
        <f>IF(AND($C$86="реф",BI$3="РнС"),-SUM($F87:BH$88),IF(BI178&gt;0,IF((SUM($F87:BH$88)-BI178)&gt;0,-BI178,-SUM($F87:BH$88)),0))</f>
        <v>0</v>
      </c>
      <c r="BJ88" s="142">
        <f>IF(AND($C$86="реф",BJ$3="РнС"),-SUM($F87:BI$88),IF(BJ178&gt;0,IF((SUM($F87:BI$88)-BJ178)&gt;0,-BJ178,-SUM($F87:BI$88)),0))</f>
        <v>0</v>
      </c>
      <c r="BK88" s="142">
        <f>IF(AND($C$86="реф",BK$3="РнС"),-SUM($F87:BJ$88),IF(BK178&gt;0,IF((SUM($F87:BJ$88)-BK178)&gt;0,-BK178,-SUM($F87:BJ$88)),0))</f>
        <v>0</v>
      </c>
      <c r="BL88" s="142">
        <f>IF(AND($C$86="реф",BL$3="РнС"),-SUM($F87:BK$88),IF(BL178&gt;0,IF((SUM($F87:BK$88)-BL178)&gt;0,-BL178,-SUM($F87:BK$88)),0))</f>
        <v>0</v>
      </c>
      <c r="BM88" s="142">
        <f>IF(AND($C$86="реф",BM$3="РнС"),-SUM($F87:BL$88),IF(BM178&gt;0,IF((SUM($F87:BL$88)-BM178)&gt;0,-BM178,-SUM($F87:BL$88)),0))</f>
        <v>0</v>
      </c>
    </row>
    <row r="89" spans="2:65">
      <c r="B89" s="145" t="s">
        <v>199</v>
      </c>
      <c r="C89" s="27"/>
      <c r="D89" s="131" t="s">
        <v>19</v>
      </c>
      <c r="E89" s="141">
        <f t="shared" si="78"/>
        <v>0</v>
      </c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2"/>
      <c r="AL89" s="142"/>
      <c r="AM89" s="142"/>
      <c r="AN89" s="142"/>
      <c r="AO89" s="142"/>
      <c r="AP89" s="142"/>
      <c r="AQ89" s="142"/>
      <c r="AR89" s="142"/>
      <c r="AS89" s="142"/>
      <c r="AT89" s="142"/>
      <c r="AU89" s="142"/>
      <c r="AV89" s="142"/>
      <c r="AW89" s="142"/>
      <c r="AX89" s="142"/>
      <c r="AY89" s="142"/>
      <c r="AZ89" s="142"/>
      <c r="BA89" s="142"/>
      <c r="BB89" s="142"/>
      <c r="BC89" s="142"/>
      <c r="BD89" s="142"/>
      <c r="BE89" s="142"/>
      <c r="BF89" s="142"/>
      <c r="BG89" s="142"/>
      <c r="BH89" s="142"/>
      <c r="BI89" s="142"/>
      <c r="BJ89" s="142"/>
      <c r="BK89" s="142"/>
      <c r="BL89" s="142"/>
      <c r="BM89" s="142"/>
    </row>
    <row r="90" spans="2:65">
      <c r="B90" s="146"/>
      <c r="C90" s="28" t="s">
        <v>59</v>
      </c>
      <c r="D90" s="131" t="s">
        <v>19</v>
      </c>
      <c r="E90" s="141">
        <f t="shared" si="78"/>
        <v>340.20395462812178</v>
      </c>
      <c r="F90" s="202"/>
      <c r="G90" s="202"/>
      <c r="H90" s="202"/>
      <c r="I90" s="202"/>
      <c r="J90" s="202"/>
      <c r="K90" s="202"/>
      <c r="L90" s="202"/>
      <c r="M90" s="202"/>
      <c r="N90" s="142">
        <f>SUM($F$87:N88)*N$195/4</f>
        <v>0</v>
      </c>
      <c r="O90" s="142">
        <f>SUM($F$87:O88)*O$195/4</f>
        <v>0</v>
      </c>
      <c r="P90" s="142">
        <f>SUM($F$87:P88)*P$195/4</f>
        <v>32.501817027414965</v>
      </c>
      <c r="Q90" s="142">
        <f>SUM($F$87:Q88)*Q$195/4</f>
        <v>31.663560892125549</v>
      </c>
      <c r="R90" s="142">
        <f>SUM($F$87:R88)*R$195/4</f>
        <v>30.455489994131749</v>
      </c>
      <c r="S90" s="142">
        <f>SUM($F$87:S88)*S$195/4</f>
        <v>29.845718138869579</v>
      </c>
      <c r="T90" s="142">
        <f>SUM($F$87:T88)*T$195/4</f>
        <v>32.662476639398008</v>
      </c>
      <c r="U90" s="142">
        <f>SUM($F$87:U88)*U$195/4</f>
        <v>43.189594251732764</v>
      </c>
      <c r="V90" s="142">
        <f>SUM($F$87:V88)*V$195/4</f>
        <v>61.341978026072503</v>
      </c>
      <c r="W90" s="142">
        <f>SUM($F$87:W88)*W$195/4</f>
        <v>78.543319658376674</v>
      </c>
      <c r="X90" s="142">
        <f>SUM($F$87:X88)*X$195/4</f>
        <v>0</v>
      </c>
      <c r="Y90" s="142">
        <f>SUM($F$87:Y88)*Y$195/4</f>
        <v>0</v>
      </c>
      <c r="Z90" s="142">
        <f>SUM($F$87:Z88)*Z$195/4</f>
        <v>0</v>
      </c>
      <c r="AA90" s="142">
        <f>SUM($F$87:AA88)*AA$195/4</f>
        <v>0</v>
      </c>
      <c r="AB90" s="142">
        <f>SUM($F$87:AB88)*AB$195/4</f>
        <v>0</v>
      </c>
      <c r="AC90" s="142">
        <f>SUM($F$87:AC88)*AC$195/4</f>
        <v>0</v>
      </c>
      <c r="AD90" s="142">
        <f>SUM($F$87:AD88)*AD$195/4</f>
        <v>0</v>
      </c>
      <c r="AE90" s="142">
        <f>SUM($F$87:AE88)*AE$195/4</f>
        <v>0</v>
      </c>
      <c r="AF90" s="142">
        <f>SUM($F$87:AF88)*AF$195/4</f>
        <v>0</v>
      </c>
      <c r="AG90" s="142">
        <f>SUM($F$87:AG88)*AG$195/4</f>
        <v>0</v>
      </c>
      <c r="AH90" s="142">
        <f>SUM($F$87:AH88)*AH$195/4</f>
        <v>0</v>
      </c>
      <c r="AI90" s="142">
        <f>SUM($F$87:AI88)*AI$195/4</f>
        <v>0</v>
      </c>
      <c r="AJ90" s="142">
        <f>SUM($F$87:AJ88)*AJ$195/4</f>
        <v>0</v>
      </c>
      <c r="AK90" s="142">
        <f>SUM($F$87:AK88)*AK$195/4</f>
        <v>0</v>
      </c>
      <c r="AL90" s="142">
        <f>SUM($F$87:AL88)*AL$195/4</f>
        <v>0</v>
      </c>
      <c r="AM90" s="142">
        <f>SUM($F$87:AM88)*AM$195/4</f>
        <v>0</v>
      </c>
      <c r="AN90" s="142">
        <f>SUM($F$87:AN88)*AN$195/4</f>
        <v>0</v>
      </c>
      <c r="AO90" s="142">
        <f>SUM($F$87:AO88)*AO$195/4</f>
        <v>0</v>
      </c>
      <c r="AP90" s="142">
        <f>SUM($F$87:AP88)*AP$195/4</f>
        <v>0</v>
      </c>
      <c r="AQ90" s="142">
        <f>SUM($F$87:AQ88)*AQ$195/4</f>
        <v>0</v>
      </c>
      <c r="AR90" s="142">
        <f>SUM($F$87:AR88)*AR$195/4</f>
        <v>0</v>
      </c>
      <c r="AS90" s="142">
        <f>SUM($F$87:AS88)*AS$195/4</f>
        <v>0</v>
      </c>
      <c r="AT90" s="142">
        <f>SUM($F$87:AT88)*AT$195/4</f>
        <v>0</v>
      </c>
      <c r="AU90" s="142">
        <f>SUM($F$87:AU88)*AU$195/4</f>
        <v>0</v>
      </c>
      <c r="AV90" s="142">
        <f>SUM($F$87:AV88)*AV$195/4</f>
        <v>0</v>
      </c>
      <c r="AW90" s="142">
        <f>SUM($F$87:AW88)*AW$195/4</f>
        <v>0</v>
      </c>
      <c r="AX90" s="142">
        <f>SUM($F$87:AX88)*AX$195/4</f>
        <v>0</v>
      </c>
      <c r="AY90" s="142">
        <f>SUM($F$87:AY88)*AY$195/4</f>
        <v>0</v>
      </c>
      <c r="AZ90" s="142">
        <f>SUM($F$87:AZ88)*AZ$195/4</f>
        <v>0</v>
      </c>
      <c r="BA90" s="142">
        <f>SUM($F$87:BA88)*BA$195/4</f>
        <v>0</v>
      </c>
      <c r="BB90" s="142">
        <f>SUM($F$87:BB88)*BB$195/4</f>
        <v>0</v>
      </c>
      <c r="BC90" s="142">
        <f>SUM($F$87:BC88)*BC$195/4</f>
        <v>0</v>
      </c>
      <c r="BD90" s="142">
        <f>SUM($F$87:BD88)*BD$195/4</f>
        <v>0</v>
      </c>
      <c r="BE90" s="142">
        <f>SUM($F$87:BE88)*BE$195/4</f>
        <v>0</v>
      </c>
      <c r="BF90" s="142">
        <f>SUM($F$87:BF88)*BF$195/4</f>
        <v>0</v>
      </c>
      <c r="BG90" s="142">
        <f>SUM($F$87:BG88)*BG$195/4</f>
        <v>0</v>
      </c>
      <c r="BH90" s="142">
        <f>SUM($F$87:BH88)*BH$195/4</f>
        <v>0</v>
      </c>
      <c r="BI90" s="142">
        <f>SUM($F$87:BI88)*BI$195/4</f>
        <v>0</v>
      </c>
      <c r="BJ90" s="142">
        <f>SUM($F$87:BJ88)*BJ$195/4</f>
        <v>0</v>
      </c>
      <c r="BK90" s="142">
        <f>SUM($F$87:BK88)*BK$195/4</f>
        <v>0</v>
      </c>
      <c r="BL90" s="142">
        <f>SUM($F$87:BL88)*BL$195/4</f>
        <v>0</v>
      </c>
      <c r="BM90" s="142">
        <f>SUM($F$87:BM88)*BM$195/4</f>
        <v>0</v>
      </c>
    </row>
    <row r="91" spans="2:65">
      <c r="B91" s="27"/>
      <c r="C91" s="28" t="s">
        <v>73</v>
      </c>
      <c r="D91" s="131" t="s">
        <v>19</v>
      </c>
      <c r="E91" s="141">
        <f t="shared" si="78"/>
        <v>-340.20395462812178</v>
      </c>
      <c r="F91" s="202"/>
      <c r="G91" s="202"/>
      <c r="H91" s="202"/>
      <c r="I91" s="202"/>
      <c r="J91" s="202"/>
      <c r="K91" s="202"/>
      <c r="L91" s="202"/>
      <c r="M91" s="202"/>
      <c r="N91" s="142">
        <f>IF(AND($C$86="реф",N$3="РнС"),-SUM($F90:M$91),IF(N179&gt;0,IF((SUM($F90:M$91,N90)-N179)&gt;0,-N179,-SUM($F90:M$91)),0))</f>
        <v>0</v>
      </c>
      <c r="O91" s="142">
        <f>IF(AND($C$86="реф",O$3="РнС"),-SUM($F90:N$91),IF(O179&gt;0,IF((SUM($F90:N$91,O90)-O179)&gt;0,-O179,-SUM($F90:N$91)),0))</f>
        <v>0</v>
      </c>
      <c r="P91" s="142">
        <f>IF(AND($C$86="реф",P$3="РнС"),-SUM($F90:O$91),IF(P179&gt;0,IF((SUM($F90:O$91,P90)-P179)&gt;0,-P179,-SUM($F90:O$91)),0))</f>
        <v>0</v>
      </c>
      <c r="Q91" s="142">
        <f>IF(AND($C$86="реф",Q$3="РнС"),-SUM($F90:P$91),IF(Q179&gt;0,IF((SUM($F90:P$91,Q90)-Q179)&gt;0,-Q179,-SUM($F90:P$91)),0))</f>
        <v>0</v>
      </c>
      <c r="R91" s="142">
        <f>IF(AND($C$86="реф",R$3="РнС"),-SUM($F90:Q$91),IF(R179&gt;0,IF((SUM($F90:Q$91,R90)-R179)&gt;0,-R179,-SUM($F90:Q$91)),0))</f>
        <v>0</v>
      </c>
      <c r="S91" s="142">
        <f>IF(AND($C$86="реф",S$3="РнС"),-SUM($F90:R$91),IF(S179&gt;0,IF((SUM($F90:R$91,S90)-S179)&gt;0,-S179,-SUM($F90:R$91)),0))</f>
        <v>0</v>
      </c>
      <c r="T91" s="142">
        <f>IF(AND($C$86="реф",T$3="РнС"),-SUM($F90:S$91),IF(T179&gt;0,IF((SUM($F90:S$91,T90)-T179)&gt;0,-T179,-SUM($F90:S$91)),0))</f>
        <v>0</v>
      </c>
      <c r="U91" s="142">
        <f>IF(AND($C$86="реф",U$3="РнС"),-SUM($F90:T$91),IF(U179&gt;0,IF((SUM($F90:T$91,U90)-U179)&gt;0,-U179,-SUM($F90:T$91)),0))</f>
        <v>0</v>
      </c>
      <c r="V91" s="142">
        <f>IF(AND($C$86="реф",V$3="РнС"),-SUM($F90:U$91),IF(V179&gt;0,IF((SUM($F90:U$91,V90)-V179)&gt;0,-V179,-SUM($F90:U$91)),0))</f>
        <v>0</v>
      </c>
      <c r="W91" s="142">
        <f>IF(AND($C$86="реф",W$3="РнС"),-SUM($F90:V$91),IF(W179&gt;0,IF((SUM($F90:V$91,W90)-W179)&gt;0,-W179,-SUM($F90:V$91)),0))</f>
        <v>0</v>
      </c>
      <c r="X91" s="142">
        <f>IF(AND($C$86="реф",X$3="РнС"),-SUM($F90:W$91),IF(X179&gt;0,IF((SUM($F90:W$91,X90)-X179)&gt;0,-X179,-SUM($F90:W$91)),0))</f>
        <v>-340.20395462812178</v>
      </c>
      <c r="Y91" s="142">
        <f>IF(AND($C$86="реф",Y$3="РнС"),-SUM($F90:X$91),IF(Y179&gt;0,IF((SUM($F90:X$91,Y90)-Y179)&gt;0,-Y179,-SUM($F90:X$91)),0))</f>
        <v>0</v>
      </c>
      <c r="Z91" s="142">
        <f>IF(AND($C$86="реф",Z$3="РнС"),-SUM($F90:Y$91),IF(Z179&gt;0,IF((SUM($F90:Y$91,Z90)-Z179)&gt;0,-Z179,-SUM($F90:Y$91)),0))</f>
        <v>0</v>
      </c>
      <c r="AA91" s="142">
        <f>IF(AND($C$86="реф",AA$3="РнС"),-SUM($F90:Z$91),IF(AA179&gt;0,IF((SUM($F90:Z$91,AA90)-AA179)&gt;0,-AA179,-SUM($F90:Z$91)),0))</f>
        <v>0</v>
      </c>
      <c r="AB91" s="142">
        <f>IF(AND($C$86="реф",AB$3="РнС"),-SUM($F90:AA$91),IF(AB179&gt;0,IF((SUM($F90:AA$91,AB90)-AB179)&gt;0,-AB179,-SUM($F90:AA$91)),0))</f>
        <v>0</v>
      </c>
      <c r="AC91" s="142">
        <f>IF(AND($C$86="реф",AC$3="РнС"),-SUM($F90:AB$91),IF(AC179&gt;0,IF((SUM($F90:AB$91,AC90)-AC179)&gt;0,-AC179,-SUM($F90:AB$91)),0))</f>
        <v>0</v>
      </c>
      <c r="AD91" s="142">
        <f>IF(AND($C$86="реф",AD$3="РнС"),-SUM($F90:AC$91),IF(AD179&gt;0,IF((SUM($F90:AC$91,AD90)-AD179)&gt;0,-AD179,-SUM($F90:AC$91)),0))</f>
        <v>0</v>
      </c>
      <c r="AE91" s="142">
        <f>IF(AND($C$86="реф",AE$3="РнС"),-SUM($F90:AD$91),IF(AE179&gt;0,IF((SUM($F90:AD$91,AE90)-AE179)&gt;0,-AE179,-SUM($F90:AD$91)),0))</f>
        <v>0</v>
      </c>
      <c r="AF91" s="142">
        <f>IF(AND($C$86="реф",AF$3="РнС"),-SUM($F90:AE$91),IF(AF179&gt;0,IF((SUM($F90:AE$91,AF90)-AF179)&gt;0,-AF179,-SUM($F90:AE$91)),0))</f>
        <v>0</v>
      </c>
      <c r="AG91" s="142">
        <f>IF(AND($C$86="реф",AG$3="РнС"),-SUM($F90:AF$91),IF(AG179&gt;0,IF((SUM($F90:AF$91,AG90)-AG179)&gt;0,-AG179,-SUM($F90:AF$91)),0))</f>
        <v>0</v>
      </c>
      <c r="AH91" s="142">
        <f>IF(AND($C$86="реф",AH$3="РнС"),-SUM($F90:AG$91),IF(AH179&gt;0,IF((SUM($F90:AG$91,AH90)-AH179)&gt;0,-AH179,-SUM($F90:AG$91)),0))</f>
        <v>0</v>
      </c>
      <c r="AI91" s="142">
        <f>IF(AND($C$86="реф",AI$3="РнС"),-SUM($F90:AH$91),IF(AI179&gt;0,IF((SUM($F90:AH$91,AI90)-AI179)&gt;0,-AI179,-SUM($F90:AH$91)),0))</f>
        <v>0</v>
      </c>
      <c r="AJ91" s="142">
        <f>IF(AND($C$86="реф",AJ$3="РнС"),-SUM($F90:AI$91),IF(AJ179&gt;0,IF((SUM($F90:AI$91,AJ90)-AJ179)&gt;0,-AJ179,-SUM($F90:AI$91)),0))</f>
        <v>0</v>
      </c>
      <c r="AK91" s="142">
        <f>IF(AND($C$86="реф",AK$3="РнС"),-SUM($F90:AJ$91),IF(AK179&gt;0,IF((SUM($F90:AJ$91,AK90)-AK179)&gt;0,-AK179,-SUM($F90:AJ$91)),0))</f>
        <v>0</v>
      </c>
      <c r="AL91" s="142">
        <f>IF(AND($C$86="реф",AL$3="РнС"),-SUM($F90:AK$91),IF(AL179&gt;0,IF((SUM($F90:AK$91,AL90)-AL179)&gt;0,-AL179,-SUM($F90:AK$91)),0))</f>
        <v>0</v>
      </c>
      <c r="AM91" s="142">
        <f>IF(AND($C$86="реф",AM$3="РнС"),-SUM($F90:AL$91),IF(AM179&gt;0,IF((SUM($F90:AL$91,AM90)-AM179)&gt;0,-AM179,-SUM($F90:AL$91)),0))</f>
        <v>0</v>
      </c>
      <c r="AN91" s="142">
        <f>IF(AND($C$86="реф",AN$3="РнС"),-SUM($F90:AM$91),IF(AN179&gt;0,IF((SUM($F90:AM$91,AN90)-AN179)&gt;0,-AN179,-SUM($F90:AM$91)),0))</f>
        <v>0</v>
      </c>
      <c r="AO91" s="142">
        <f>IF(AND($C$86="реф",AO$3="РнС"),-SUM($F90:AN$91),IF(AO179&gt;0,IF((SUM($F90:AN$91,AO90)-AO179)&gt;0,-AO179,-SUM($F90:AN$91)),0))</f>
        <v>0</v>
      </c>
      <c r="AP91" s="142">
        <f>IF(AND($C$86="реф",AP$3="РнС"),-SUM($F90:AO$91),IF(AP179&gt;0,IF((SUM($F90:AO$91,AP90)-AP179)&gt;0,-AP179,-SUM($F90:AO$91)),0))</f>
        <v>0</v>
      </c>
      <c r="AQ91" s="142">
        <f>IF(AND($C$86="реф",AQ$3="РнС"),-SUM($F90:AP$91),IF(AQ179&gt;0,IF((SUM($F90:AP$91,AQ90)-AQ179)&gt;0,-AQ179,-SUM($F90:AP$91)),0))</f>
        <v>0</v>
      </c>
      <c r="AR91" s="142">
        <f>IF(AND($C$86="реф",AR$3="РнС"),-SUM($F90:AQ$91),IF(AR179&gt;0,IF((SUM($F90:AQ$91,AR90)-AR179)&gt;0,-AR179,-SUM($F90:AQ$91)),0))</f>
        <v>0</v>
      </c>
      <c r="AS91" s="142">
        <f>IF(AND($C$86="реф",AS$3="РнС"),-SUM($F90:AR$91),IF(AS179&gt;0,IF((SUM($F90:AR$91,AS90)-AS179)&gt;0,-AS179,-SUM($F90:AR$91)),0))</f>
        <v>0</v>
      </c>
      <c r="AT91" s="142">
        <f>IF(AND($C$86="реф",AT$3="РнС"),-SUM($F90:AS$91),IF(AT179&gt;0,IF((SUM($F90:AS$91,AT90)-AT179)&gt;0,-AT179,-SUM($F90:AS$91)),0))</f>
        <v>0</v>
      </c>
      <c r="AU91" s="142">
        <f>IF(AND($C$86="реф",AU$3="РнС"),-SUM($F90:AT$91),IF(AU179&gt;0,IF((SUM($F90:AT$91,AU90)-AU179)&gt;0,-AU179,-SUM($F90:AT$91)),0))</f>
        <v>0</v>
      </c>
      <c r="AV91" s="142">
        <f>IF(AND($C$86="реф",AV$3="РнС"),-SUM($F90:AU$91),IF(AV179&gt;0,IF((SUM($F90:AU$91,AV90)-AV179)&gt;0,-AV179,-SUM($F90:AU$91)),0))</f>
        <v>0</v>
      </c>
      <c r="AW91" s="142">
        <f>IF(AND($C$86="реф",AW$3="РнС"),-SUM($F90:AV$91),IF(AW179&gt;0,IF((SUM($F90:AV$91,AW90)-AW179)&gt;0,-AW179,-SUM($F90:AV$91)),0))</f>
        <v>0</v>
      </c>
      <c r="AX91" s="142">
        <f>IF(AND($C$86="реф",AX$3="РнС"),-SUM($F90:AW$91),IF(AX179&gt;0,IF((SUM($F90:AW$91,AX90)-AX179)&gt;0,-AX179,-SUM($F90:AW$91)),0))</f>
        <v>0</v>
      </c>
      <c r="AY91" s="142">
        <f>IF(AND($C$86="реф",AY$3="РнС"),-SUM($F90:AX$91),IF(AY179&gt;0,IF((SUM($F90:AX$91,AY90)-AY179)&gt;0,-AY179,-SUM($F90:AX$91)),0))</f>
        <v>0</v>
      </c>
      <c r="AZ91" s="142">
        <f>IF(AND($C$86="реф",AZ$3="РнС"),-SUM($F90:AY$91),IF(AZ179&gt;0,IF((SUM($F90:AY$91,AZ90)-AZ179)&gt;0,-AZ179,-SUM($F90:AY$91)),0))</f>
        <v>0</v>
      </c>
      <c r="BA91" s="142">
        <f>IF(AND($C$86="реф",BA$3="РнС"),-SUM($F90:AZ$91),IF(BA179&gt;0,IF((SUM($F90:AZ$91,BA90)-BA179)&gt;0,-BA179,-SUM($F90:AZ$91)),0))</f>
        <v>0</v>
      </c>
      <c r="BB91" s="142">
        <f>IF(AND($C$86="реф",BB$3="РнС"),-SUM($F90:BA$91),IF(BB179&gt;0,IF((SUM($F90:BA$91,BB90)-BB179)&gt;0,-BB179,-SUM($F90:BA$91)),0))</f>
        <v>0</v>
      </c>
      <c r="BC91" s="142">
        <f>IF(AND($C$86="реф",BC$3="РнС"),-SUM($F90:BB$91),IF(BC179&gt;0,IF((SUM($F90:BB$91,BC90)-BC179)&gt;0,-BC179,-SUM($F90:BB$91)),0))</f>
        <v>0</v>
      </c>
      <c r="BD91" s="142">
        <f>IF(AND($C$86="реф",BD$3="РнС"),-SUM($F90:BC$91),IF(BD179&gt;0,IF((SUM($F90:BC$91,BD90)-BD179)&gt;0,-BD179,-SUM($F90:BC$91)),0))</f>
        <v>0</v>
      </c>
      <c r="BE91" s="142">
        <f>IF(AND($C$86="реф",BE$3="РнС"),-SUM($F90:BD$91),IF(BE179&gt;0,IF((SUM($F90:BD$91,BE90)-BE179)&gt;0,-BE179,-SUM($F90:BD$91)),0))</f>
        <v>0</v>
      </c>
      <c r="BF91" s="142">
        <f>IF(AND($C$86="реф",BF$3="РнС"),-SUM($F90:BE$91),IF(BF179&gt;0,IF((SUM($F90:BE$91,BF90)-BF179)&gt;0,-BF179,-SUM($F90:BE$91)),0))</f>
        <v>0</v>
      </c>
      <c r="BG91" s="142">
        <f>IF(AND($C$86="реф",BG$3="РнС"),-SUM($F90:BF$91),IF(BG179&gt;0,IF((SUM($F90:BF$91,BG90)-BG179)&gt;0,-BG179,-SUM($F90:BF$91)),0))</f>
        <v>0</v>
      </c>
      <c r="BH91" s="142">
        <f>IF(AND($C$86="реф",BH$3="РнС"),-SUM($F90:BG$91),IF(BH179&gt;0,IF((SUM($F90:BG$91,BH90)-BH179)&gt;0,-BH179,-SUM($F90:BG$91)),0))</f>
        <v>0</v>
      </c>
      <c r="BI91" s="142">
        <f>IF(AND($C$86="реф",BI$3="РнС"),-SUM($F90:BH$91),IF(BI179&gt;0,IF((SUM($F90:BH$91,BI90)-BI179)&gt;0,-BI179,-SUM($F90:BH$91)),0))</f>
        <v>0</v>
      </c>
      <c r="BJ91" s="142">
        <f>IF(AND($C$86="реф",BJ$3="РнС"),-SUM($F90:BI$91),IF(BJ179&gt;0,IF((SUM($F90:BI$91,BJ90)-BJ179)&gt;0,-BJ179,-SUM($F90:BI$91)),0))</f>
        <v>0</v>
      </c>
      <c r="BK91" s="142">
        <f>IF(AND($C$86="реф",BK$3="РнС"),-SUM($F90:BJ$91),IF(BK179&gt;0,IF((SUM($F90:BJ$91,BK90)-BK179)&gt;0,-BK179,-SUM($F90:BJ$91)),0))</f>
        <v>0</v>
      </c>
      <c r="BL91" s="142">
        <f>IF(AND($C$86="реф",BL$3="РнС"),-SUM($F90:BK$91),IF(BL179&gt;0,IF((SUM($F90:BK$91,BL90)-BL179)&gt;0,-BL179,-SUM($F90:BK$91)),0))</f>
        <v>0</v>
      </c>
      <c r="BM91" s="142">
        <f>IF(AND($C$86="реф",BM$3="РнС"),-SUM($F90:BL$91),IF(BM179&gt;0,IF((SUM($F90:BL$91,BM90)-BM179)&gt;0,-BM179,-SUM($F90:BL$91)),0))</f>
        <v>0</v>
      </c>
    </row>
    <row r="92" spans="2:65">
      <c r="B92" s="146"/>
      <c r="C92" s="28" t="s">
        <v>94</v>
      </c>
      <c r="D92" s="131" t="s">
        <v>19</v>
      </c>
      <c r="E92" s="141">
        <f t="shared" si="78"/>
        <v>43.155167240052066</v>
      </c>
      <c r="F92" s="202"/>
      <c r="G92" s="202"/>
      <c r="H92" s="202"/>
      <c r="I92" s="202"/>
      <c r="J92" s="202"/>
      <c r="K92" s="202"/>
      <c r="L92" s="202"/>
      <c r="M92" s="202"/>
      <c r="N92" s="142">
        <f>SUM($F$90:N91)*N$195/4</f>
        <v>0</v>
      </c>
      <c r="O92" s="142">
        <f>SUM($F$90:O91)*O$195/4</f>
        <v>0</v>
      </c>
      <c r="P92" s="142">
        <f>SUM($F$90:P91)*P$195/4</f>
        <v>1.8526035705626531</v>
      </c>
      <c r="Q92" s="142">
        <f>SUM($F$90:Q91)*Q$195/4</f>
        <v>3.3365996518161074</v>
      </c>
      <c r="R92" s="142">
        <f>SUM($F$90:R91)*R$195/4</f>
        <v>4.4471807919425963</v>
      </c>
      <c r="S92" s="142">
        <f>SUM($F$90:S91)*S$195/4</f>
        <v>5.2275966142067585</v>
      </c>
      <c r="T92" s="142">
        <f>SUM($F$90:T91)*T$195/4</f>
        <v>5.6924002126718065</v>
      </c>
      <c r="U92" s="142">
        <f>SUM($F$90:U91)*U$195/4</f>
        <v>6.3453689066667858</v>
      </c>
      <c r="V92" s="142">
        <f>SUM($F$90:V91)*V$195/4</f>
        <v>7.3897257917724186</v>
      </c>
      <c r="W92" s="142">
        <f>SUM($F$90:W91)*W$195/4</f>
        <v>8.8636917004129359</v>
      </c>
      <c r="X92" s="142">
        <f>SUM($F$90:X91)*X$195/4</f>
        <v>0</v>
      </c>
      <c r="Y92" s="142">
        <f>SUM($F$90:Y91)*Y$195/4</f>
        <v>0</v>
      </c>
      <c r="Z92" s="142">
        <f>SUM($F$90:Z91)*Z$195/4</f>
        <v>0</v>
      </c>
      <c r="AA92" s="142">
        <f>SUM($F$90:AA91)*AA$195/4</f>
        <v>0</v>
      </c>
      <c r="AB92" s="142">
        <f>SUM($F$90:AB91)*AB$195/4</f>
        <v>0</v>
      </c>
      <c r="AC92" s="142">
        <f>SUM($F$90:AC91)*AC$195/4</f>
        <v>0</v>
      </c>
      <c r="AD92" s="142">
        <f>SUM($F$90:AD91)*AD$195/4</f>
        <v>0</v>
      </c>
      <c r="AE92" s="142">
        <f>SUM($F$90:AE91)*AE$195/4</f>
        <v>0</v>
      </c>
      <c r="AF92" s="142">
        <f>SUM($F$90:AF91)*AF$195/4</f>
        <v>0</v>
      </c>
      <c r="AG92" s="142">
        <f>SUM($F$90:AG91)*AG$195/4</f>
        <v>0</v>
      </c>
      <c r="AH92" s="142">
        <f>SUM($F$90:AH91)*AH$195/4</f>
        <v>0</v>
      </c>
      <c r="AI92" s="142">
        <f>SUM($F$90:AI91)*AI$195/4</f>
        <v>0</v>
      </c>
      <c r="AJ92" s="142">
        <f>SUM($F$90:AJ91)*AJ$195/4</f>
        <v>0</v>
      </c>
      <c r="AK92" s="142">
        <f>SUM($F$90:AK91)*AK$195/4</f>
        <v>0</v>
      </c>
      <c r="AL92" s="142">
        <f>SUM($F$90:AL91)*AL$195/4</f>
        <v>0</v>
      </c>
      <c r="AM92" s="142">
        <f>SUM($F$90:AM91)*AM$195/4</f>
        <v>0</v>
      </c>
      <c r="AN92" s="142">
        <f>SUM($F$90:AN91)*AN$195/4</f>
        <v>0</v>
      </c>
      <c r="AO92" s="142">
        <f>SUM($F$90:AO91)*AO$195/4</f>
        <v>0</v>
      </c>
      <c r="AP92" s="142">
        <f>SUM($F$90:AP91)*AP$195/4</f>
        <v>0</v>
      </c>
      <c r="AQ92" s="142">
        <f>SUM($F$90:AQ91)*AQ$195/4</f>
        <v>0</v>
      </c>
      <c r="AR92" s="142">
        <f>SUM($F$90:AR91)*AR$195/4</f>
        <v>0</v>
      </c>
      <c r="AS92" s="142">
        <f>SUM($F$90:AS91)*AS$195/4</f>
        <v>0</v>
      </c>
      <c r="AT92" s="142">
        <f>SUM($F$90:AT91)*AT$195/4</f>
        <v>0</v>
      </c>
      <c r="AU92" s="142">
        <f>SUM($F$90:AU91)*AU$195/4</f>
        <v>0</v>
      </c>
      <c r="AV92" s="142">
        <f>SUM($F$90:AV91)*AV$195/4</f>
        <v>0</v>
      </c>
      <c r="AW92" s="142">
        <f>SUM($F$90:AW91)*AW$195/4</f>
        <v>0</v>
      </c>
      <c r="AX92" s="142">
        <f>SUM($F$90:AX91)*AX$195/4</f>
        <v>0</v>
      </c>
      <c r="AY92" s="142">
        <f>SUM($F$90:AY91)*AY$195/4</f>
        <v>0</v>
      </c>
      <c r="AZ92" s="142">
        <f>SUM($F$90:AZ91)*AZ$195/4</f>
        <v>0</v>
      </c>
      <c r="BA92" s="142">
        <f>SUM($F$90:BA91)*BA$195/4</f>
        <v>0</v>
      </c>
      <c r="BB92" s="142">
        <f>SUM($F$90:BB91)*BB$195/4</f>
        <v>0</v>
      </c>
      <c r="BC92" s="142">
        <f>SUM($F$90:BC91)*BC$195/4</f>
        <v>0</v>
      </c>
      <c r="BD92" s="142">
        <f>SUM($F$90:BD91)*BD$195/4</f>
        <v>0</v>
      </c>
      <c r="BE92" s="142">
        <f>SUM($F$90:BE91)*BE$195/4</f>
        <v>0</v>
      </c>
      <c r="BF92" s="142">
        <f>SUM($F$90:BF91)*BF$195/4</f>
        <v>0</v>
      </c>
      <c r="BG92" s="142">
        <f>SUM($F$90:BG91)*BG$195/4</f>
        <v>0</v>
      </c>
      <c r="BH92" s="142">
        <f>SUM($F$90:BH91)*BH$195/4</f>
        <v>0</v>
      </c>
      <c r="BI92" s="142">
        <f>SUM($F$90:BI91)*BI$195/4</f>
        <v>0</v>
      </c>
      <c r="BJ92" s="142">
        <f>SUM($F$90:BJ91)*BJ$195/4</f>
        <v>0</v>
      </c>
      <c r="BK92" s="142">
        <f>SUM($F$90:BK91)*BK$195/4</f>
        <v>0</v>
      </c>
      <c r="BL92" s="142">
        <f>SUM($F$90:BL91)*BL$195/4</f>
        <v>0</v>
      </c>
      <c r="BM92" s="142">
        <f>SUM($F$90:BM91)*BM$195/4</f>
        <v>0</v>
      </c>
    </row>
    <row r="93" spans="2:65">
      <c r="B93" s="27"/>
      <c r="C93" s="28" t="s">
        <v>95</v>
      </c>
      <c r="D93" s="131" t="s">
        <v>19</v>
      </c>
      <c r="E93" s="141">
        <f t="shared" si="78"/>
        <v>-43.155167240052066</v>
      </c>
      <c r="F93" s="202"/>
      <c r="G93" s="202"/>
      <c r="H93" s="202"/>
      <c r="I93" s="202"/>
      <c r="J93" s="202"/>
      <c r="K93" s="202"/>
      <c r="L93" s="202"/>
      <c r="M93" s="202"/>
      <c r="N93" s="142">
        <f>IF(AND($C$86="реф",N$3="РнС"),-SUM($F92:M$93),IF(N180&gt;0,IF((SUM($F$92:M93,N92)-N180)&gt;0,-N180,-SUM($F$92:M93)),0))</f>
        <v>0</v>
      </c>
      <c r="O93" s="142">
        <f>IF(AND($C$86="реф",O$3="РнС"),-SUM($F92:N$93),IF(O180&gt;0,IF((SUM($F$92:N93,O92)-O180)&gt;0,-O180,-SUM($F$92:N93)),0))</f>
        <v>0</v>
      </c>
      <c r="P93" s="142">
        <f>IF(AND($C$86="реф",P$3="РнС"),-SUM($F92:O$93),IF(P180&gt;0,IF((SUM($F$92:O93,P92)-P180)&gt;0,-P180,-SUM($F$92:O93)),0))</f>
        <v>0</v>
      </c>
      <c r="Q93" s="142">
        <f>IF(AND($C$86="реф",Q$3="РнС"),-SUM($F92:P$93),IF(Q180&gt;0,IF((SUM($F$92:P93,Q92)-Q180)&gt;0,-Q180,-SUM($F$92:P93)),0))</f>
        <v>0</v>
      </c>
      <c r="R93" s="142">
        <f>IF(AND($C$86="реф",R$3="РнС"),-SUM($F92:Q$93),IF(R180&gt;0,IF((SUM($F$92:Q93,R92)-R180)&gt;0,-R180,-SUM($F$92:Q93)),0))</f>
        <v>0</v>
      </c>
      <c r="S93" s="142">
        <f>IF(AND($C$86="реф",S$3="РнС"),-SUM($F92:R$93),IF(S180&gt;0,IF((SUM($F$92:R93,S92)-S180)&gt;0,-S180,-SUM($F$92:R93)),0))</f>
        <v>0</v>
      </c>
      <c r="T93" s="142">
        <f>IF(AND($C$86="реф",T$3="РнС"),-SUM($F92:S$93),IF(T180&gt;0,IF((SUM($F$92:S93,T92)-T180)&gt;0,-T180,-SUM($F$92:S93)),0))</f>
        <v>0</v>
      </c>
      <c r="U93" s="142">
        <f>IF(AND($C$86="реф",U$3="РнС"),-SUM($F92:T$93),IF(U180&gt;0,IF((SUM($F$92:T93,U92)-U180)&gt;0,-U180,-SUM($F$92:T93)),0))</f>
        <v>0</v>
      </c>
      <c r="V93" s="142">
        <f>IF(AND($C$86="реф",V$3="РнС"),-SUM($F92:U$93),IF(V180&gt;0,IF((SUM($F$92:U93,V92)-V180)&gt;0,-V180,-SUM($F$92:U93)),0))</f>
        <v>0</v>
      </c>
      <c r="W93" s="142">
        <f>IF(AND($C$86="реф",W$3="РнС"),-SUM($F92:V$93),IF(W180&gt;0,IF((SUM($F$92:V93,W92)-W180)&gt;0,-W180,-SUM($F$92:V93)),0))</f>
        <v>0</v>
      </c>
      <c r="X93" s="142">
        <f>IF(AND($C$86="реф",X$3="РнС"),-SUM($F92:W$93),IF(X180&gt;0,IF((SUM($F$92:W93,X92)-X180)&gt;0,-X180,-SUM($F$92:W93)),0))</f>
        <v>-43.155167240052066</v>
      </c>
      <c r="Y93" s="142">
        <f>IF(AND($C$86="реф",Y$3="РнС"),-SUM($F92:X$93),IF(Y180&gt;0,IF((SUM($F$92:X93,Y92)-Y180)&gt;0,-Y180,-SUM($F$92:X93)),0))</f>
        <v>0</v>
      </c>
      <c r="Z93" s="142">
        <f>IF(AND($C$86="реф",Z$3="РнС"),-SUM($F92:Y$93),IF(Z180&gt;0,IF((SUM($F$92:Y93,Z92)-Z180)&gt;0,-Z180,-SUM($F$92:Y93)),0))</f>
        <v>0</v>
      </c>
      <c r="AA93" s="142">
        <f>IF(AND($C$86="реф",AA$3="РнС"),-SUM($F92:Z$93),IF(AA180&gt;0,IF((SUM($F$92:Z93,AA92)-AA180)&gt;0,-AA180,-SUM($F$92:Z93)),0))</f>
        <v>0</v>
      </c>
      <c r="AB93" s="142">
        <f>IF(AND($C$86="реф",AB$3="РнС"),-SUM($F92:AA$93),IF(AB180&gt;0,IF((SUM($F$92:AA93,AB92)-AB180)&gt;0,-AB180,-SUM($F$92:AA93)),0))</f>
        <v>0</v>
      </c>
      <c r="AC93" s="142">
        <f>IF(AND($C$86="реф",AC$3="РнС"),-SUM($F92:AB$93),IF(AC180&gt;0,IF((SUM($F$92:AB93,AC92)-AC180)&gt;0,-AC180,-SUM($F$92:AB93)),0))</f>
        <v>0</v>
      </c>
      <c r="AD93" s="142">
        <f>IF(AND($C$86="реф",AD$3="РнС"),-SUM($F92:AC$93),IF(AD180&gt;0,IF((SUM($F$92:AC93,AD92)-AD180)&gt;0,-AD180,-SUM($F$92:AC93)),0))</f>
        <v>0</v>
      </c>
      <c r="AE93" s="142">
        <f>IF(AND($C$86="реф",AE$3="РнС"),-SUM($F92:AD$93),IF(AE180&gt;0,IF((SUM($F$92:AD93,AE92)-AE180)&gt;0,-AE180,-SUM($F$92:AD93)),0))</f>
        <v>0</v>
      </c>
      <c r="AF93" s="142">
        <f>IF(AND($C$86="реф",AF$3="РнС"),-SUM($F92:AE$93),IF(AF180&gt;0,IF((SUM($F$92:AE93,AF92)-AF180)&gt;0,-AF180,-SUM($F$92:AE93)),0))</f>
        <v>0</v>
      </c>
      <c r="AG93" s="142">
        <f>IF(AND($C$86="реф",AG$3="РнС"),-SUM($F92:AF$93),IF(AG180&gt;0,IF((SUM($F$92:AF93,AG92)-AG180)&gt;0,-AG180,-SUM($F$92:AF93)),0))</f>
        <v>0</v>
      </c>
      <c r="AH93" s="142">
        <f>IF(AND($C$86="реф",AH$3="РнС"),-SUM($F92:AG$93),IF(AH180&gt;0,IF((SUM($F$92:AG93,AH92)-AH180)&gt;0,-AH180,-SUM($F$92:AG93)),0))</f>
        <v>0</v>
      </c>
      <c r="AI93" s="142">
        <f>IF(AND($C$86="реф",AI$3="РнС"),-SUM($F92:AH$93),IF(AI180&gt;0,IF((SUM($F$92:AH93,AI92)-AI180)&gt;0,-AI180,-SUM($F$92:AH93)),0))</f>
        <v>0</v>
      </c>
      <c r="AJ93" s="142">
        <f>IF(AND($C$86="реф",AJ$3="РнС"),-SUM($F92:AI$93),IF(AJ180&gt;0,IF((SUM($F$92:AI93,AJ92)-AJ180)&gt;0,-AJ180,-SUM($F$92:AI93)),0))</f>
        <v>0</v>
      </c>
      <c r="AK93" s="142">
        <f>IF(AND($C$86="реф",AK$3="РнС"),-SUM($F92:AJ$93),IF(AK180&gt;0,IF((SUM($F$92:AJ93,AK92)-AK180)&gt;0,-AK180,-SUM($F$92:AJ93)),0))</f>
        <v>0</v>
      </c>
      <c r="AL93" s="142">
        <f>IF(AND($C$86="реф",AL$3="РнС"),-SUM($F92:AK$93),IF(AL180&gt;0,IF((SUM($F$92:AK93,AL92)-AL180)&gt;0,-AL180,-SUM($F$92:AK93)),0))</f>
        <v>0</v>
      </c>
      <c r="AM93" s="142">
        <f>IF(AND($C$86="реф",AM$3="РнС"),-SUM($F92:AL$93),IF(AM180&gt;0,IF((SUM($F$92:AL93,AM92)-AM180)&gt;0,-AM180,-SUM($F$92:AL93)),0))</f>
        <v>0</v>
      </c>
      <c r="AN93" s="142">
        <f>IF(AND($C$86="реф",AN$3="РнС"),-SUM($F92:AM$93),IF(AN180&gt;0,IF((SUM($F$92:AM93,AN92)-AN180)&gt;0,-AN180,-SUM($F$92:AM93)),0))</f>
        <v>0</v>
      </c>
      <c r="AO93" s="142">
        <f>IF(AND($C$86="реф",AO$3="РнС"),-SUM($F92:AN$93),IF(AO180&gt;0,IF((SUM($F$92:AN93,AO92)-AO180)&gt;0,-AO180,-SUM($F$92:AN93)),0))</f>
        <v>0</v>
      </c>
      <c r="AP93" s="142">
        <f>IF(AND($C$86="реф",AP$3="РнС"),-SUM($F92:AO$93),IF(AP180&gt;0,IF((SUM($F$92:AO93,AP92)-AP180)&gt;0,-AP180,-SUM($F$92:AO93)),0))</f>
        <v>0</v>
      </c>
      <c r="AQ93" s="142">
        <f>IF(AND($C$86="реф",AQ$3="РнС"),-SUM($F92:AP$93),IF(AQ180&gt;0,IF((SUM($F$92:AP93,AQ92)-AQ180)&gt;0,-AQ180,-SUM($F$92:AP93)),0))</f>
        <v>0</v>
      </c>
      <c r="AR93" s="142">
        <f>IF(AND($C$86="реф",AR$3="РнС"),-SUM($F92:AQ$93),IF(AR180&gt;0,IF((SUM($F$92:AQ93,AR92)-AR180)&gt;0,-AR180,-SUM($F$92:AQ93)),0))</f>
        <v>0</v>
      </c>
      <c r="AS93" s="142">
        <f>IF(AND($C$86="реф",AS$3="РнС"),-SUM($F92:AR$93),IF(AS180&gt;0,IF((SUM($F$92:AR93,AS92)-AS180)&gt;0,-AS180,-SUM($F$92:AR93)),0))</f>
        <v>0</v>
      </c>
      <c r="AT93" s="142">
        <f>IF(AND($C$86="реф",AT$3="РнС"),-SUM($F92:AS$93),IF(AT180&gt;0,IF((SUM($F$92:AS93,AT92)-AT180)&gt;0,-AT180,-SUM($F$92:AS93)),0))</f>
        <v>0</v>
      </c>
      <c r="AU93" s="142">
        <f>IF(AND($C$86="реф",AU$3="РнС"),-SUM($F92:AT$93),IF(AU180&gt;0,IF((SUM($F$92:AT93,AU92)-AU180)&gt;0,-AU180,-SUM($F$92:AT93)),0))</f>
        <v>0</v>
      </c>
      <c r="AV93" s="142">
        <f>IF(AND($C$86="реф",AV$3="РнС"),-SUM($F92:AU$93),IF(AV180&gt;0,IF((SUM($F$92:AU93,AV92)-AV180)&gt;0,-AV180,-SUM($F$92:AU93)),0))</f>
        <v>0</v>
      </c>
      <c r="AW93" s="142">
        <f>IF(AND($C$86="реф",AW$3="РнС"),-SUM($F92:AV$93),IF(AW180&gt;0,IF((SUM($F$92:AV93,AW92)-AW180)&gt;0,-AW180,-SUM($F$92:AV93)),0))</f>
        <v>0</v>
      </c>
      <c r="AX93" s="142">
        <f>IF(AND($C$86="реф",AX$3="РнС"),-SUM($F92:AW$93),IF(AX180&gt;0,IF((SUM($F$92:AW93,AX92)-AX180)&gt;0,-AX180,-SUM($F$92:AW93)),0))</f>
        <v>0</v>
      </c>
      <c r="AY93" s="142">
        <f>IF(AND($C$86="реф",AY$3="РнС"),-SUM($F92:AX$93),IF(AY180&gt;0,IF((SUM($F$92:AX93,AY92)-AY180)&gt;0,-AY180,-SUM($F$92:AX93)),0))</f>
        <v>0</v>
      </c>
      <c r="AZ93" s="142">
        <f>IF(AND($C$86="реф",AZ$3="РнС"),-SUM($F92:AY$93),IF(AZ180&gt;0,IF((SUM($F$92:AY93,AZ92)-AZ180)&gt;0,-AZ180,-SUM($F$92:AY93)),0))</f>
        <v>0</v>
      </c>
      <c r="BA93" s="142">
        <f>IF(AND($C$86="реф",BA$3="РнС"),-SUM($F92:AZ$93),IF(BA180&gt;0,IF((SUM($F$92:AZ93,BA92)-BA180)&gt;0,-BA180,-SUM($F$92:AZ93)),0))</f>
        <v>0</v>
      </c>
      <c r="BB93" s="142">
        <f>IF(AND($C$86="реф",BB$3="РнС"),-SUM($F92:BA$93),IF(BB180&gt;0,IF((SUM($F$92:BA93,BB92)-BB180)&gt;0,-BB180,-SUM($F$92:BA93)),0))</f>
        <v>0</v>
      </c>
      <c r="BC93" s="142">
        <f>IF(AND($C$86="реф",BC$3="РнС"),-SUM($F92:BB$93),IF(BC180&gt;0,IF((SUM($F$92:BB93,BC92)-BC180)&gt;0,-BC180,-SUM($F$92:BB93)),0))</f>
        <v>0</v>
      </c>
      <c r="BD93" s="142">
        <f>IF(AND($C$86="реф",BD$3="РнС"),-SUM($F92:BC$93),IF(BD180&gt;0,IF((SUM($F$92:BC93,BD92)-BD180)&gt;0,-BD180,-SUM($F$92:BC93)),0))</f>
        <v>0</v>
      </c>
      <c r="BE93" s="142">
        <f>IF(AND($C$86="реф",BE$3="РнС"),-SUM($F92:BD$93),IF(BE180&gt;0,IF((SUM($F$92:BD93,BE92)-BE180)&gt;0,-BE180,-SUM($F$92:BD93)),0))</f>
        <v>0</v>
      </c>
      <c r="BF93" s="142">
        <f>IF(AND($C$86="реф",BF$3="РнС"),-SUM($F92:BE$93),IF(BF180&gt;0,IF((SUM($F$92:BE93,BF92)-BF180)&gt;0,-BF180,-SUM($F$92:BE93)),0))</f>
        <v>0</v>
      </c>
      <c r="BG93" s="142">
        <f>IF(AND($C$86="реф",BG$3="РнС"),-SUM($F92:BF$93),IF(BG180&gt;0,IF((SUM($F$92:BF93,BG92)-BG180)&gt;0,-BG180,-SUM($F$92:BF93)),0))</f>
        <v>0</v>
      </c>
      <c r="BH93" s="142">
        <f>IF(AND($C$86="реф",BH$3="РнС"),-SUM($F92:BG$93),IF(BH180&gt;0,IF((SUM($F$92:BG93,BH92)-BH180)&gt;0,-BH180,-SUM($F$92:BG93)),0))</f>
        <v>0</v>
      </c>
      <c r="BI93" s="142">
        <f>IF(AND($C$86="реф",BI$3="РнС"),-SUM($F92:BH$93),IF(BI180&gt;0,IF((SUM($F$92:BH93,BI92)-BI180)&gt;0,-BI180,-SUM($F$92:BH93)),0))</f>
        <v>0</v>
      </c>
      <c r="BJ93" s="142">
        <f>IF(AND($C$86="реф",BJ$3="РнС"),-SUM($F92:BI$93),IF(BJ180&gt;0,IF((SUM($F$92:BI93,BJ92)-BJ180)&gt;0,-BJ180,-SUM($F$92:BI93)),0))</f>
        <v>0</v>
      </c>
      <c r="BK93" s="142">
        <f>IF(AND($C$86="реф",BK$3="РнС"),-SUM($F92:BJ$93),IF(BK180&gt;0,IF((SUM($F$92:BJ93,BK92)-BK180)&gt;0,-BK180,-SUM($F$92:BJ93)),0))</f>
        <v>0</v>
      </c>
      <c r="BL93" s="142">
        <f>IF(AND($C$86="реф",BL$3="РнС"),-SUM($F92:BK$93),IF(BL180&gt;0,IF((SUM($F$92:BK93,BL92)-BL180)&gt;0,-BL180,-SUM($F$92:BK93)),0))</f>
        <v>0</v>
      </c>
      <c r="BM93" s="142">
        <f>IF(AND($C$86="реф",BM$3="РнС"),-SUM($F92:BL$93),IF(BM180&gt;0,IF((SUM($F$92:BL93,BM92)-BM180)&gt;0,-BM180,-SUM($F$92:BL93)),0))</f>
        <v>0</v>
      </c>
    </row>
    <row r="94" spans="2:65">
      <c r="B94" s="145" t="s">
        <v>194</v>
      </c>
      <c r="C94" s="27"/>
      <c r="D94" s="131" t="s">
        <v>19</v>
      </c>
      <c r="E94" s="141">
        <f t="shared" si="78"/>
        <v>0</v>
      </c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2"/>
      <c r="AL94" s="142"/>
      <c r="AM94" s="142"/>
      <c r="AN94" s="142"/>
      <c r="AO94" s="142"/>
      <c r="AP94" s="142"/>
      <c r="AQ94" s="142"/>
      <c r="AR94" s="142"/>
      <c r="AS94" s="142"/>
      <c r="AT94" s="142"/>
      <c r="AU94" s="142"/>
      <c r="AV94" s="142"/>
      <c r="AW94" s="142"/>
      <c r="AX94" s="142"/>
      <c r="AY94" s="142"/>
      <c r="AZ94" s="142"/>
      <c r="BA94" s="142"/>
      <c r="BB94" s="142"/>
      <c r="BC94" s="142"/>
      <c r="BD94" s="142"/>
      <c r="BE94" s="142"/>
      <c r="BF94" s="142"/>
      <c r="BG94" s="142"/>
      <c r="BH94" s="142"/>
      <c r="BI94" s="142"/>
      <c r="BJ94" s="142"/>
      <c r="BK94" s="142"/>
      <c r="BL94" s="142"/>
      <c r="BM94" s="142"/>
    </row>
    <row r="95" spans="2:65">
      <c r="B95" s="27"/>
      <c r="C95" s="28" t="s">
        <v>57</v>
      </c>
      <c r="D95" s="131" t="s">
        <v>19</v>
      </c>
      <c r="E95" s="141">
        <f t="shared" si="78"/>
        <v>24521.834228312713</v>
      </c>
      <c r="F95" s="202"/>
      <c r="G95" s="202"/>
      <c r="H95" s="202"/>
      <c r="I95" s="202"/>
      <c r="J95" s="202"/>
      <c r="K95" s="202"/>
      <c r="L95" s="202"/>
      <c r="M95" s="202"/>
      <c r="N95" s="142">
        <f>IF(N15&lt;'DB2'!$U$25,IF(-(N181)&gt;0,-N181,0),0)+IF(AND($C$86="реф",N$3="РнС"),-SUM(N88,N91,N93),0)</f>
        <v>0</v>
      </c>
      <c r="O95" s="142">
        <f>IF(O15&lt;'DB2'!$U$25,IF(-(O181)&gt;0,-O181,0),0)+IF(AND($C$86="реф",O$3="РнС"),-SUM(O88,O91,O93),0)</f>
        <v>0</v>
      </c>
      <c r="P95" s="142">
        <f>IF(P15&lt;'DB2'!$U$25,IF(-(P181)&gt;0,-P181,0),0)+IF(AND($C$86="реф",P$3="РнС"),-SUM(P88,P91,P93),0)</f>
        <v>0</v>
      </c>
      <c r="Q95" s="142">
        <f>IF(Q15&lt;'DB2'!$U$25,IF(-(Q181)&gt;0,-Q181,0),0)+IF(AND($C$86="реф",Q$3="РнС"),-SUM(Q88,Q91,Q93),0)</f>
        <v>0</v>
      </c>
      <c r="R95" s="142">
        <f>IF(R15&lt;'DB2'!$U$25,IF(-(R181)&gt;0,-R181,0),0)+IF(AND($C$86="реф",R$3="РнС"),-SUM(R88,R91,R93),0)</f>
        <v>0</v>
      </c>
      <c r="S95" s="142">
        <f>IF(S15&lt;'DB2'!$U$25,IF(-(S181)&gt;0,-S181,0),0)+IF(AND($C$86="реф",S$3="РнС"),-SUM(S88,S91,S93),0)</f>
        <v>0</v>
      </c>
      <c r="T95" s="142">
        <f>IF(T15&lt;'DB2'!$U$25,IF(-(T181)&gt;0,-T181,0),0)+IF(AND($C$86="реф",T$3="РнС"),-SUM(T88,T91,T93),0)</f>
        <v>0</v>
      </c>
      <c r="U95" s="142">
        <f>IF(U15&lt;'DB2'!$U$25,IF(-(U181)&gt;0,-U181,0),0)+IF(AND($C$86="реф",U$3="РнС"),-SUM(U88,U91,U93),0)</f>
        <v>0</v>
      </c>
      <c r="V95" s="142">
        <f>IF(V15&lt;'DB2'!$U$25,IF(-(V181)&gt;0,-V181,0),0)+IF(AND($C$86="реф",V$3="РнС"),-SUM(V88,V91,V93),0)</f>
        <v>0</v>
      </c>
      <c r="W95" s="142">
        <f>IF(W15&lt;'DB2'!$U$25,IF(-(W181)&gt;0,-W181,0),0)+IF(AND($C$86="реф",W$3="РнС"),-SUM(W88,W91,W93),0)</f>
        <v>0</v>
      </c>
      <c r="X95" s="142">
        <f>IF(X15&lt;'DB2'!$U$25,IF(-(X181)&gt;0,-X181,0),0)+IF(AND($C$86="реф",X$3="РнС"),-SUM(X88,X91,X93),0)</f>
        <v>5354.1675389531174</v>
      </c>
      <c r="Y95" s="142">
        <f>IF(Y15&lt;'DB2'!$U$25,IF(-(Y181)&gt;0,-Y181,0),0)+IF(AND($C$86="реф",Y$3="РнС"),-SUM(Y88,Y91,Y93),0)</f>
        <v>2012.0252460277961</v>
      </c>
      <c r="Z95" s="142">
        <f>IF(Z15&lt;'DB2'!$U$25,IF(-(Z181)&gt;0,-Z181,0),0)+IF(AND($C$86="реф",Z$3="РнС"),-SUM(Z88,Z91,Z93),0)</f>
        <v>2021.0931385458061</v>
      </c>
      <c r="AA95" s="142">
        <f>IF(AA15&lt;'DB2'!$U$25,IF(-(AA181)&gt;0,-AA181,0),0)+IF(AND($C$86="реф",AA$3="РнС"),-SUM(AA88,AA91,AA93),0)</f>
        <v>1632.7577808375977</v>
      </c>
      <c r="AB95" s="142">
        <f>IF(AB15&lt;'DB2'!$U$25,IF(-(AB181)&gt;0,-AB181,0),0)+IF(AND($C$86="реф",AB$3="РнС"),-SUM(AB88,AB91,AB93),0)</f>
        <v>1643.5482859268407</v>
      </c>
      <c r="AC95" s="142">
        <f>IF(AC15&lt;'DB2'!$U$25,IF(-(AC181)&gt;0,-AC181,0),0)+IF(AND($C$86="реф",AC$3="РнС"),-SUM(AC88,AC91,AC93),0)</f>
        <v>1633.4934949235358</v>
      </c>
      <c r="AD95" s="142">
        <f>IF(AD15&lt;'DB2'!$U$25,IF(-(AD181)&gt;0,-AD181,0),0)+IF(AND($C$86="реф",AD$3="РнС"),-SUM(AD88,AD91,AD93),0)</f>
        <v>1655.3377718475431</v>
      </c>
      <c r="AE95" s="142">
        <f>IF(AE15&lt;'DB2'!$U$25,IF(-(AE181)&gt;0,-AE181,0),0)+IF(AND($C$86="реф",AE$3="РнС"),-SUM(AE88,AE91,AE93),0)</f>
        <v>1658.9208097914579</v>
      </c>
      <c r="AF95" s="142">
        <f>IF(AF15&lt;'DB2'!$U$25,IF(-(AF181)&gt;0,-AF181,0),0)+IF(AND($C$86="реф",AF$3="РнС"),-SUM(AF88,AF91,AF93),0)</f>
        <v>1731.8872876105161</v>
      </c>
      <c r="AG95" s="142">
        <f>IF(AG15&lt;'DB2'!$U$25,IF(-(AG181)&gt;0,-AG181,0),0)+IF(AND($C$86="реф",AG$3="РнС"),-SUM(AG88,AG91,AG93),0)</f>
        <v>1729.5355925521467</v>
      </c>
      <c r="AH95" s="142">
        <f>IF(AH15&lt;'DB2'!$U$25,IF(-(AH181)&gt;0,-AH181,0),0)+IF(AND($C$86="реф",AH$3="РнС"),-SUM(AH88,AH91,AH93),0)</f>
        <v>1742.3442597360954</v>
      </c>
      <c r="AI95" s="142">
        <f>IF(AI15&lt;'DB2'!$U$25,IF(-(AI181)&gt;0,-AI181,0),0)+IF(AND($C$86="реф",AI$3="РнС"),-SUM(AI88,AI91,AI93),0)</f>
        <v>1706.7230215602599</v>
      </c>
      <c r="AJ95" s="142">
        <f>IF(AJ15&lt;'DB2'!$U$25,IF(-(AJ181)&gt;0,-AJ181,0),0)+IF(AND($C$86="реф",AJ$3="РнС"),-SUM(AJ88,AJ91,AJ93),0)</f>
        <v>0</v>
      </c>
      <c r="AK95" s="142">
        <f>IF(AK15&lt;'DB2'!$U$25,IF(-(AK181)&gt;0,-AK181,0),0)+IF(AND($C$86="реф",AK$3="РнС"),-SUM(AK88,AK91,AK93),0)</f>
        <v>0</v>
      </c>
      <c r="AL95" s="142">
        <f>IF(AL15&lt;'DB2'!$U$25,IF(-(AL181)&gt;0,-AL181,0),0)+IF(AND($C$86="реф",AL$3="РнС"),-SUM(AL88,AL91,AL93),0)</f>
        <v>0</v>
      </c>
      <c r="AM95" s="142">
        <f>IF(AM15&lt;'DB2'!$U$25,IF(-(AM181)&gt;0,-AM181,0),0)+IF(AND($C$86="реф",AM$3="РнС"),-SUM(AM88,AM91,AM93),0)</f>
        <v>0</v>
      </c>
      <c r="AN95" s="142">
        <f>IF(AN15&lt;'DB2'!$U$25,IF(-(AN181)&gt;0,-AN181,0),0)+IF(AND($C$86="реф",AN$3="РнС"),-SUM(AN88,AN91,AN93),0)</f>
        <v>0</v>
      </c>
      <c r="AO95" s="142">
        <f>IF(AO15&lt;'DB2'!$U$25,IF(-(AO181)&gt;0,-AO181,0),0)+IF(AND($C$86="реф",AO$3="РнС"),-SUM(AO88,AO91,AO93),0)</f>
        <v>0</v>
      </c>
      <c r="AP95" s="142">
        <f>IF(AP15&lt;'DB2'!$U$25,IF(-(AP181)&gt;0,-AP181,0),0)+IF(AND($C$86="реф",AP$3="РнС"),-SUM(AP88,AP91,AP93),0)</f>
        <v>0</v>
      </c>
      <c r="AQ95" s="142">
        <f>IF(AQ15&lt;'DB2'!$U$25,IF(-(AQ181)&gt;0,-AQ181,0),0)+IF(AND($C$86="реф",AQ$3="РнС"),-SUM(AQ88,AQ91,AQ93),0)</f>
        <v>0</v>
      </c>
      <c r="AR95" s="142">
        <f>IF(AR15&lt;'DB2'!$U$25,IF(-(AR181)&gt;0,-AR181,0),0)+IF(AND($C$86="реф",AR$3="РнС"),-SUM(AR88,AR91,AR93),0)</f>
        <v>0</v>
      </c>
      <c r="AS95" s="142">
        <f>IF(AS15&lt;'DB2'!$U$25,IF(-(AS181)&gt;0,-AS181,0),0)+IF(AND($C$86="реф",AS$3="РнС"),-SUM(AS88,AS91,AS93),0)</f>
        <v>0</v>
      </c>
      <c r="AT95" s="142">
        <f>IF(AT15&lt;'DB2'!$U$25,IF(-(AT181)&gt;0,-AT181,0),0)+IF(AND($C$86="реф",AT$3="РнС"),-SUM(AT88,AT91,AT93),0)</f>
        <v>0</v>
      </c>
      <c r="AU95" s="142">
        <f>IF(AU15&lt;'DB2'!$U$25,IF(-(AU181)&gt;0,-AU181,0),0)+IF(AND($C$86="реф",AU$3="РнС"),-SUM(AU88,AU91,AU93),0)</f>
        <v>0</v>
      </c>
      <c r="AV95" s="142">
        <f>IF(AV15&lt;'DB2'!$U$25,IF(-(AV181)&gt;0,-AV181,0),0)+IF(AND($C$86="реф",AV$3="РнС"),-SUM(AV88,AV91,AV93),0)</f>
        <v>0</v>
      </c>
      <c r="AW95" s="142">
        <f>IF(AW15&lt;'DB2'!$U$25,IF(-(AW181)&gt;0,-AW181,0),0)+IF(AND($C$86="реф",AW$3="РнС"),-SUM(AW88,AW91,AW93),0)</f>
        <v>0</v>
      </c>
      <c r="AX95" s="142">
        <f>IF(AX15&lt;'DB2'!$U$25,IF(-(AX181)&gt;0,-AX181,0),0)+IF(AND($C$86="реф",AX$3="РнС"),-SUM(AX88,AX91,AX93),0)</f>
        <v>0</v>
      </c>
      <c r="AY95" s="142">
        <f>IF(AY15&lt;'DB2'!$U$25,IF(-(AY181)&gt;0,-AY181,0),0)+IF(AND($C$86="реф",AY$3="РнС"),-SUM(AY88,AY91,AY93),0)</f>
        <v>0</v>
      </c>
      <c r="AZ95" s="142">
        <f>IF(AZ15&lt;'DB2'!$U$25,IF(-(AZ181)&gt;0,-AZ181,0),0)+IF(AND($C$86="реф",AZ$3="РнС"),-SUM(AZ88,AZ91,AZ93),0)</f>
        <v>0</v>
      </c>
      <c r="BA95" s="142">
        <f>IF(BA15&lt;'DB2'!$U$25,IF(-(BA181)&gt;0,-BA181,0),0)+IF(AND($C$86="реф",BA$3="РнС"),-SUM(BA88,BA91,BA93),0)</f>
        <v>0</v>
      </c>
      <c r="BB95" s="142">
        <f>IF(BB15&lt;'DB2'!$U$25,IF(-(BB181)&gt;0,-BB181,0),0)+IF(AND($C$86="реф",BB$3="РнС"),-SUM(BB88,BB91,BB93),0)</f>
        <v>0</v>
      </c>
      <c r="BC95" s="142">
        <f>IF(BC15&lt;'DB2'!$U$25,IF(-(BC181)&gt;0,-BC181,0),0)+IF(AND($C$86="реф",BC$3="РнС"),-SUM(BC88,BC91,BC93),0)</f>
        <v>0</v>
      </c>
      <c r="BD95" s="142">
        <f>IF(BD15&lt;'DB2'!$U$25,IF(-(BD181)&gt;0,-BD181,0),0)+IF(AND($C$86="реф",BD$3="РнС"),-SUM(BD88,BD91,BD93),0)</f>
        <v>0</v>
      </c>
      <c r="BE95" s="142">
        <f>IF(BE15&lt;'DB2'!$U$25,IF(-(BE181)&gt;0,-BE181,0),0)+IF(AND($C$86="реф",BE$3="РнС"),-SUM(BE88,BE91,BE93),0)</f>
        <v>0</v>
      </c>
      <c r="BF95" s="142">
        <f>IF(BF15&lt;'DB2'!$U$25,IF(-(BF181)&gt;0,-BF181,0),0)+IF(AND($C$86="реф",BF$3="РнС"),-SUM(BF88,BF91,BF93),0)</f>
        <v>0</v>
      </c>
      <c r="BG95" s="142">
        <f>IF(BG15&lt;'DB2'!$U$25,IF(-(BG181)&gt;0,-BG181,0),0)+IF(AND($C$86="реф",BG$3="РнС"),-SUM(BG88,BG91,BG93),0)</f>
        <v>0</v>
      </c>
      <c r="BH95" s="142">
        <f>IF(BH15&lt;'DB2'!$U$25,IF(-(BH181)&gt;0,-BH181,0),0)+IF(AND($C$86="реф",BH$3="РнС"),-SUM(BH88,BH91,BH93),0)</f>
        <v>0</v>
      </c>
      <c r="BI95" s="142">
        <f>IF(BI15&lt;'DB2'!$U$25,IF(-(BI181)&gt;0,-BI181,0),0)+IF(AND($C$86="реф",BI$3="РнС"),-SUM(BI88,BI91,BI93),0)</f>
        <v>0</v>
      </c>
      <c r="BJ95" s="142">
        <f>IF(BJ15&lt;'DB2'!$U$25,IF(-(BJ181)&gt;0,-BJ181,0),0)+IF(AND($C$86="реф",BJ$3="РнС"),-SUM(BJ88,BJ91,BJ93),0)</f>
        <v>0</v>
      </c>
      <c r="BK95" s="142">
        <f>IF(BK15&lt;'DB2'!$U$25,IF(-(BK181)&gt;0,-BK181,0),0)+IF(AND($C$86="реф",BK$3="РнС"),-SUM(BK88,BK91,BK93),0)</f>
        <v>0</v>
      </c>
      <c r="BL95" s="142">
        <f>IF(BL15&lt;'DB2'!$U$25,IF(-(BL181)&gt;0,-BL181,0),0)+IF(AND($C$86="реф",BL$3="РнС"),-SUM(BL88,BL91,BL93),0)</f>
        <v>0</v>
      </c>
      <c r="BM95" s="142">
        <f>IF(BM15&lt;'DB2'!$U$25,IF(-(BM181)&gt;0,-BM181,0),0)+IF(AND($C$86="реф",BM$3="РнС"),-SUM(BM88,BM91,BM93),0)</f>
        <v>0</v>
      </c>
    </row>
    <row r="96" spans="2:65">
      <c r="B96" s="27"/>
      <c r="C96" s="28" t="s">
        <v>58</v>
      </c>
      <c r="D96" s="131" t="s">
        <v>19</v>
      </c>
      <c r="E96" s="141">
        <f t="shared" si="78"/>
        <v>-24521.834228312713</v>
      </c>
      <c r="F96" s="202"/>
      <c r="G96" s="202"/>
      <c r="H96" s="202"/>
      <c r="I96" s="202"/>
      <c r="J96" s="202"/>
      <c r="K96" s="202"/>
      <c r="L96" s="202"/>
      <c r="M96" s="202"/>
      <c r="N96" s="142">
        <f>IF(N182&gt;0,IF((SUM($F$95:M96)-N182)&gt;0,-N182,-SUM($F$95:M96)),0)</f>
        <v>0</v>
      </c>
      <c r="O96" s="142">
        <f>IF(O182&gt;0,IF((SUM($F$95:N96)-O182)&gt;0,-O182,-SUM($F$95:N96)),0)</f>
        <v>0</v>
      </c>
      <c r="P96" s="142">
        <f>IF(P182&gt;0,IF((SUM($F$95:O96)-P182)&gt;0,-P182,-SUM($F$95:O96)),0)</f>
        <v>0</v>
      </c>
      <c r="Q96" s="142">
        <f>IF(Q182&gt;0,IF((SUM($F$95:P96)-Q182)&gt;0,-Q182,-SUM($F$95:P96)),0)</f>
        <v>0</v>
      </c>
      <c r="R96" s="142">
        <f>IF(R182&gt;0,IF((SUM($F$95:Q96)-R182)&gt;0,-R182,-SUM($F$95:Q96)),0)</f>
        <v>0</v>
      </c>
      <c r="S96" s="142">
        <f>IF(S182&gt;0,IF((SUM($F$95:R96)-S182)&gt;0,-S182,-SUM($F$95:R96)),0)</f>
        <v>0</v>
      </c>
      <c r="T96" s="142">
        <f>IF(T182&gt;0,IF((SUM($F$95:S96)-T182)&gt;0,-T182,-SUM($F$95:S96)),0)</f>
        <v>0</v>
      </c>
      <c r="U96" s="142">
        <f>IF(U182&gt;0,IF((SUM($F$95:T96)-U182)&gt;0,-U182,-SUM($F$95:T96)),0)</f>
        <v>0</v>
      </c>
      <c r="V96" s="142">
        <f>IF(V182&gt;0,IF((SUM($F$95:U96)-V182)&gt;0,-V182,-SUM($F$95:U96)),0)</f>
        <v>0</v>
      </c>
      <c r="W96" s="142">
        <f>IF(W182&gt;0,IF((SUM($F$95:V96)-W182)&gt;0,-W182,-SUM($F$95:V96)),0)</f>
        <v>0</v>
      </c>
      <c r="X96" s="142">
        <f>IF(X182&gt;0,IF((SUM($F$95:W96)-X182)&gt;0,-X182,-SUM($F$95:W96)),0)</f>
        <v>0</v>
      </c>
      <c r="Y96" s="142">
        <f>IF(Y182&gt;0,IF((SUM($F$95:X96)-Y182)&gt;0,-Y182,-SUM($F$95:X96)),0)</f>
        <v>0</v>
      </c>
      <c r="Z96" s="142">
        <f>IF(Z182&gt;0,IF((SUM($F$95:Y96)-Z182)&gt;0,-Z182,-SUM($F$95:Y96)),0)</f>
        <v>0</v>
      </c>
      <c r="AA96" s="142">
        <f>IF(AA182&gt;0,IF((SUM($F$95:Z96)-AA182)&gt;0,-AA182,-SUM($F$95:Z96)),0)</f>
        <v>0</v>
      </c>
      <c r="AB96" s="142">
        <f>IF(AB182&gt;0,IF((SUM($F$95:AA96)-AB182)&gt;0,-AB182,-SUM($F$95:AA96)),0)</f>
        <v>0</v>
      </c>
      <c r="AC96" s="142">
        <f>IF(AC182&gt;0,IF((SUM($F$95:AB96)-AC182)&gt;0,-AC182,-SUM($F$95:AB96)),0)</f>
        <v>0</v>
      </c>
      <c r="AD96" s="142">
        <f>IF(AD182&gt;0,IF((SUM($F$95:AC96)-AD182)&gt;0,-AD182,-SUM($F$95:AC96)),0)</f>
        <v>0</v>
      </c>
      <c r="AE96" s="142">
        <f>IF(AE182&gt;0,IF((SUM($F$95:AD96)-AE182)&gt;0,-AE182,-SUM($F$95:AD96)),0)</f>
        <v>0</v>
      </c>
      <c r="AF96" s="142">
        <f>IF(AF182&gt;0,IF((SUM($F$95:AE96)-AF182)&gt;0,-AF182,-SUM($F$95:AE96)),0)</f>
        <v>0</v>
      </c>
      <c r="AG96" s="142">
        <f>IF(AG182&gt;0,IF((SUM($F$95:AF96)-AG182)&gt;0,-AG182,-SUM($F$95:AF96)),0)</f>
        <v>0</v>
      </c>
      <c r="AH96" s="142">
        <f>IF(AH182&gt;0,IF((SUM($F$95:AG96)-AH182)&gt;0,-AH182,-SUM($F$95:AG96)),0)</f>
        <v>0</v>
      </c>
      <c r="AI96" s="142">
        <f>IF(AI182&gt;0,IF((SUM($F$95:AH96)-AI182)&gt;0,-AI182,-SUM($F$95:AH96)),0)</f>
        <v>0</v>
      </c>
      <c r="AJ96" s="142">
        <f>IF(AJ182&gt;0,IF((SUM($F$95:AI96)-AJ182)&gt;0,-AJ182,-SUM($F$95:AI96)),0)</f>
        <v>-23748.108786328743</v>
      </c>
      <c r="AK96" s="142">
        <f>IF(AK182&gt;0,IF((SUM($F$95:AJ96)-AK182)&gt;0,-AK182,-SUM($F$95:AJ96)),0)</f>
        <v>-773.72544198397009</v>
      </c>
      <c r="AL96" s="142">
        <f>IF(AL182&gt;0,IF((SUM($F$95:AK96)-AL182)&gt;0,-AL182,-SUM($F$95:AK96)),0)</f>
        <v>0</v>
      </c>
      <c r="AM96" s="142">
        <f>IF(AM182&gt;0,IF((SUM($F$95:AL96)-AM182)&gt;0,-AM182,-SUM($F$95:AL96)),0)</f>
        <v>0</v>
      </c>
      <c r="AN96" s="142">
        <f>IF(AN182&gt;0,IF((SUM($F$95:AM96)-AN182)&gt;0,-AN182,-SUM($F$95:AM96)),0)</f>
        <v>0</v>
      </c>
      <c r="AO96" s="142">
        <f>IF(AO182&gt;0,IF((SUM($F$95:AN96)-AO182)&gt;0,-AO182,-SUM($F$95:AN96)),0)</f>
        <v>0</v>
      </c>
      <c r="AP96" s="142">
        <f>IF(AP182&gt;0,IF((SUM($F$95:AO96)-AP182)&gt;0,-AP182,-SUM($F$95:AO96)),0)</f>
        <v>0</v>
      </c>
      <c r="AQ96" s="142">
        <f>IF(AQ182&gt;0,IF((SUM($F$95:AP96)-AQ182)&gt;0,-AQ182,-SUM($F$95:AP96)),0)</f>
        <v>0</v>
      </c>
      <c r="AR96" s="142">
        <f>IF(AR182&gt;0,IF((SUM($F$95:AQ96)-AR182)&gt;0,-AR182,-SUM($F$95:AQ96)),0)</f>
        <v>0</v>
      </c>
      <c r="AS96" s="142">
        <f>IF(AS182&gt;0,IF((SUM($F$95:AR96)-AS182)&gt;0,-AS182,-SUM($F$95:AR96)),0)</f>
        <v>0</v>
      </c>
      <c r="AT96" s="142">
        <f>IF(AT182&gt;0,IF((SUM($F$95:AS96)-AT182)&gt;0,-AT182,-SUM($F$95:AS96)),0)</f>
        <v>0</v>
      </c>
      <c r="AU96" s="142">
        <f>IF(AU182&gt;0,IF((SUM($F$95:AT96)-AU182)&gt;0,-AU182,-SUM($F$95:AT96)),0)</f>
        <v>0</v>
      </c>
      <c r="AV96" s="142">
        <f>IF(AV182&gt;0,IF((SUM($F$95:AU96)-AV182)&gt;0,-AV182,-SUM($F$95:AU96)),0)</f>
        <v>0</v>
      </c>
      <c r="AW96" s="142">
        <f>IF(AW182&gt;0,IF((SUM($F$95:AV96)-AW182)&gt;0,-AW182,-SUM($F$95:AV96)),0)</f>
        <v>0</v>
      </c>
      <c r="AX96" s="142">
        <f>IF(AX182&gt;0,IF((SUM($F$95:AW96)-AX182)&gt;0,-AX182,-SUM($F$95:AW96)),0)</f>
        <v>0</v>
      </c>
      <c r="AY96" s="142">
        <f>IF(AY182&gt;0,IF((SUM($F$95:AX96)-AY182)&gt;0,-AY182,-SUM($F$95:AX96)),0)</f>
        <v>0</v>
      </c>
      <c r="AZ96" s="142">
        <f>IF(AZ182&gt;0,IF((SUM($F$95:AY96)-AZ182)&gt;0,-AZ182,-SUM($F$95:AY96)),0)</f>
        <v>0</v>
      </c>
      <c r="BA96" s="142">
        <f>IF(BA182&gt;0,IF((SUM($F$95:AZ96)-BA182)&gt;0,-BA182,-SUM($F$95:AZ96)),0)</f>
        <v>0</v>
      </c>
      <c r="BB96" s="142">
        <f>IF(BB182&gt;0,IF((SUM($F$95:BA96)-BB182)&gt;0,-BB182,-SUM($F$95:BA96)),0)</f>
        <v>0</v>
      </c>
      <c r="BC96" s="142">
        <f>IF(BC182&gt;0,IF((SUM($F$95:BB96)-BC182)&gt;0,-BC182,-SUM($F$95:BB96)),0)</f>
        <v>0</v>
      </c>
      <c r="BD96" s="142">
        <f>IF(BD182&gt;0,IF((SUM($F$95:BC96)-BD182)&gt;0,-BD182,-SUM($F$95:BC96)),0)</f>
        <v>0</v>
      </c>
      <c r="BE96" s="142">
        <f>IF(BE182&gt;0,IF((SUM($F$95:BD96)-BE182)&gt;0,-BE182,-SUM($F$95:BD96)),0)</f>
        <v>0</v>
      </c>
      <c r="BF96" s="142">
        <f>IF(BF182&gt;0,IF((SUM($F$95:BE96)-BF182)&gt;0,-BF182,-SUM($F$95:BE96)),0)</f>
        <v>0</v>
      </c>
      <c r="BG96" s="142">
        <f>IF(BG182&gt;0,IF((SUM($F$95:BF96)-BG182)&gt;0,-BG182,-SUM($F$95:BF96)),0)</f>
        <v>0</v>
      </c>
      <c r="BH96" s="142">
        <f>IF(BH182&gt;0,IF((SUM($F$95:BG96)-BH182)&gt;0,-BH182,-SUM($F$95:BG96)),0)</f>
        <v>0</v>
      </c>
      <c r="BI96" s="142">
        <f>IF(BI182&gt;0,IF((SUM($F$95:BH96)-BI182)&gt;0,-BI182,-SUM($F$95:BH96)),0)</f>
        <v>0</v>
      </c>
      <c r="BJ96" s="142">
        <f>IF(BJ182&gt;0,IF((SUM($F$95:BI96)-BJ182)&gt;0,-BJ182,-SUM($F$95:BI96)),0)</f>
        <v>0</v>
      </c>
      <c r="BK96" s="142">
        <f>IF(BK182&gt;0,IF((SUM($F$95:BJ96)-BK182)&gt;0,-BK182,-SUM($F$95:BJ96)),0)</f>
        <v>0</v>
      </c>
      <c r="BL96" s="142">
        <f>IF(BL182&gt;0,IF((SUM($F$95:BK96)-BL182)&gt;0,-BL182,-SUM($F$95:BK96)),0)</f>
        <v>0</v>
      </c>
      <c r="BM96" s="142">
        <f>IF(BM182&gt;0,IF((SUM($F$95:BL96)-BM182)&gt;0,-BM182,-SUM($F$95:BL96)),0)</f>
        <v>0</v>
      </c>
    </row>
    <row r="97" spans="1:65">
      <c r="B97" s="145" t="s">
        <v>195</v>
      </c>
      <c r="C97" s="27"/>
      <c r="D97" s="131" t="s">
        <v>19</v>
      </c>
      <c r="E97" s="141">
        <f t="shared" si="78"/>
        <v>0</v>
      </c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  <c r="BA97" s="142"/>
      <c r="BB97" s="142"/>
      <c r="BC97" s="142"/>
      <c r="BD97" s="142"/>
      <c r="BE97" s="142"/>
      <c r="BF97" s="142"/>
      <c r="BG97" s="142"/>
      <c r="BH97" s="142"/>
      <c r="BI97" s="142"/>
      <c r="BJ97" s="142"/>
      <c r="BK97" s="142"/>
      <c r="BL97" s="142"/>
      <c r="BM97" s="142"/>
    </row>
    <row r="98" spans="1:65">
      <c r="B98" s="147"/>
      <c r="C98" s="28" t="s">
        <v>59</v>
      </c>
      <c r="D98" s="131" t="s">
        <v>19</v>
      </c>
      <c r="E98" s="141">
        <f t="shared" si="78"/>
        <v>2771.0825559741193</v>
      </c>
      <c r="F98" s="202"/>
      <c r="G98" s="202"/>
      <c r="H98" s="202"/>
      <c r="I98" s="202"/>
      <c r="J98" s="202"/>
      <c r="K98" s="202"/>
      <c r="L98" s="202"/>
      <c r="M98" s="202"/>
      <c r="N98" s="142">
        <f>SUM($F$95:N96)*N$198/4</f>
        <v>0</v>
      </c>
      <c r="O98" s="142">
        <f>SUM($F$95:O96)*O$198/4</f>
        <v>0</v>
      </c>
      <c r="P98" s="142">
        <f>SUM($F$95:P96)*P$198/4</f>
        <v>0</v>
      </c>
      <c r="Q98" s="142">
        <f>SUM($F$95:Q96)*Q$198/4</f>
        <v>0</v>
      </c>
      <c r="R98" s="142">
        <f>SUM($F$95:R96)*R$198/4</f>
        <v>0</v>
      </c>
      <c r="S98" s="142">
        <f>SUM($F$95:S96)*S$198/4</f>
        <v>0</v>
      </c>
      <c r="T98" s="142">
        <f>SUM($F$95:T96)*T$198/4</f>
        <v>0</v>
      </c>
      <c r="U98" s="142">
        <f>SUM($F$95:U96)*U$198/4</f>
        <v>0</v>
      </c>
      <c r="V98" s="142">
        <f>SUM($F$95:V96)*V$198/4</f>
        <v>0</v>
      </c>
      <c r="W98" s="142">
        <f>SUM($F$95:W96)*W$198/4</f>
        <v>0</v>
      </c>
      <c r="X98" s="142">
        <f>SUM($F$95:X96)*X$198/4</f>
        <v>125.34553097167945</v>
      </c>
      <c r="Y98" s="142">
        <f>SUM($F$95:Y96)*Y$198/4</f>
        <v>159.58281004403224</v>
      </c>
      <c r="Z98" s="142">
        <f>SUM($F$95:Z96)*Z$198/4</f>
        <v>189.72678923482482</v>
      </c>
      <c r="AA98" s="142">
        <f>SUM($F$95:AA96)*AA$198/4</f>
        <v>206.93760417821088</v>
      </c>
      <c r="AB98" s="142">
        <f>SUM($F$95:AB96)*AB$198/4</f>
        <v>221.0611764805455</v>
      </c>
      <c r="AC98" s="142">
        <f>SUM($F$95:AC96)*AC$198/4</f>
        <v>230.76655808078311</v>
      </c>
      <c r="AD98" s="142">
        <f>SUM($F$95:AD96)*AD$198/4</f>
        <v>235.99536795466679</v>
      </c>
      <c r="AE98" s="142">
        <f>SUM($F$95:AE96)*AE$198/4</f>
        <v>250.68090151207073</v>
      </c>
      <c r="AF98" s="142">
        <f>SUM($F$95:AF96)*AF$198/4</f>
        <v>321.89347770611772</v>
      </c>
      <c r="AG98" s="142">
        <f>SUM($F$95:AG96)*AG$198/4</f>
        <v>278.99977266992568</v>
      </c>
      <c r="AH98" s="142">
        <f>SUM($F$95:AH96)*AH$198/4</f>
        <v>259.50785365048313</v>
      </c>
      <c r="AI98" s="142">
        <f>SUM($F$95:AI96)*AI$198/4</f>
        <v>265.82549934729252</v>
      </c>
      <c r="AJ98" s="142">
        <f>SUM($F$95:AJ96)*AJ$198/4</f>
        <v>24.759214143487043</v>
      </c>
      <c r="AK98" s="142">
        <f>SUM($F$95:AK96)*AK$198/4</f>
        <v>0</v>
      </c>
      <c r="AL98" s="142">
        <f>SUM($F$95:AL96)*AL$198/4</f>
        <v>0</v>
      </c>
      <c r="AM98" s="142">
        <f>SUM($F$95:AM96)*AM$198/4</f>
        <v>0</v>
      </c>
      <c r="AN98" s="142">
        <f>SUM($F$95:AN96)*AN$198/4</f>
        <v>0</v>
      </c>
      <c r="AO98" s="142">
        <f>SUM($F$95:AO96)*AO$198/4</f>
        <v>0</v>
      </c>
      <c r="AP98" s="142">
        <f>SUM($F$95:AP96)*AP$198/4</f>
        <v>0</v>
      </c>
      <c r="AQ98" s="142">
        <f>SUM($F$95:AQ96)*AQ$198/4</f>
        <v>0</v>
      </c>
      <c r="AR98" s="142">
        <f>SUM($F$95:AR96)*AR$198/4</f>
        <v>0</v>
      </c>
      <c r="AS98" s="142">
        <f>SUM($F$95:AS96)*AS$198/4</f>
        <v>0</v>
      </c>
      <c r="AT98" s="142">
        <f>SUM($F$95:AT96)*AT$198/4</f>
        <v>0</v>
      </c>
      <c r="AU98" s="142">
        <f>SUM($F$95:AU96)*AU$198/4</f>
        <v>0</v>
      </c>
      <c r="AV98" s="142">
        <f>SUM($F$95:AV96)*AV$198/4</f>
        <v>0</v>
      </c>
      <c r="AW98" s="142">
        <f>SUM($F$95:AW96)*AW$198/4</f>
        <v>0</v>
      </c>
      <c r="AX98" s="142">
        <f>SUM($F$95:AX96)*AX$198/4</f>
        <v>0</v>
      </c>
      <c r="AY98" s="142">
        <f>SUM($F$95:AY96)*AY$198/4</f>
        <v>0</v>
      </c>
      <c r="AZ98" s="142">
        <f>SUM($F$95:AZ96)*AZ$198/4</f>
        <v>0</v>
      </c>
      <c r="BA98" s="142">
        <f>SUM($F$95:BA96)*BA$198/4</f>
        <v>0</v>
      </c>
      <c r="BB98" s="142">
        <f>SUM($F$95:BB96)*BB$198/4</f>
        <v>0</v>
      </c>
      <c r="BC98" s="142">
        <f>SUM($F$95:BC96)*BC$198/4</f>
        <v>0</v>
      </c>
      <c r="BD98" s="142">
        <f>SUM($F$95:BD96)*BD$198/4</f>
        <v>0</v>
      </c>
      <c r="BE98" s="142">
        <f>SUM($F$95:BE96)*BE$198/4</f>
        <v>0</v>
      </c>
      <c r="BF98" s="142">
        <f>SUM($F$95:BF96)*BF$198/4</f>
        <v>0</v>
      </c>
      <c r="BG98" s="142">
        <f>SUM($F$95:BG96)*BG$198/4</f>
        <v>0</v>
      </c>
      <c r="BH98" s="142">
        <f>SUM($F$95:BH96)*BH$198/4</f>
        <v>0</v>
      </c>
      <c r="BI98" s="142">
        <f>SUM($F$95:BI96)*BI$198/4</f>
        <v>0</v>
      </c>
      <c r="BJ98" s="142">
        <f>SUM($F$95:BJ96)*BJ$198/4</f>
        <v>0</v>
      </c>
      <c r="BK98" s="142">
        <f>SUM($F$95:BK96)*BK$198/4</f>
        <v>0</v>
      </c>
      <c r="BL98" s="142">
        <f>SUM($F$95:BL96)*BL$198/4</f>
        <v>0</v>
      </c>
      <c r="BM98" s="142">
        <f>SUM($F$95:BM96)*BM$198/4</f>
        <v>0</v>
      </c>
    </row>
    <row r="99" spans="1:65">
      <c r="B99" s="27"/>
      <c r="C99" s="28" t="s">
        <v>73</v>
      </c>
      <c r="D99" s="131" t="s">
        <v>19</v>
      </c>
      <c r="E99" s="141">
        <f t="shared" si="78"/>
        <v>-2771.0825559741193</v>
      </c>
      <c r="F99" s="202"/>
      <c r="G99" s="202"/>
      <c r="H99" s="202"/>
      <c r="I99" s="202"/>
      <c r="J99" s="202"/>
      <c r="K99" s="202"/>
      <c r="L99" s="202"/>
      <c r="M99" s="202"/>
      <c r="N99" s="142">
        <f>IF(N183&gt;0,IF((SUM($F$98:M99,N98)-N183)&gt;0,-N183,-SUM($F$98:M99)),0)</f>
        <v>0</v>
      </c>
      <c r="O99" s="142">
        <f>IF(O183&gt;0,IF((SUM($F$98:N99,O98)-O183)&gt;0,-O183,-SUM($F$98:N99)),0)</f>
        <v>0</v>
      </c>
      <c r="P99" s="142">
        <f>IF(P183&gt;0,IF((SUM($F$98:O99,P98)-P183)&gt;0,-P183,-SUM($F$98:O99)),0)</f>
        <v>0</v>
      </c>
      <c r="Q99" s="142">
        <f>IF(Q183&gt;0,IF((SUM($F$98:P99,Q98)-Q183)&gt;0,-Q183,-SUM($F$98:P99)),0)</f>
        <v>0</v>
      </c>
      <c r="R99" s="142">
        <f>IF(R183&gt;0,IF((SUM($F$98:Q99,R98)-R183)&gt;0,-R183,-SUM($F$98:Q99)),0)</f>
        <v>0</v>
      </c>
      <c r="S99" s="142">
        <f>IF(S183&gt;0,IF((SUM($F$98:R99,S98)-S183)&gt;0,-S183,-SUM($F$98:R99)),0)</f>
        <v>0</v>
      </c>
      <c r="T99" s="142">
        <f>IF(T183&gt;0,IF((SUM($F$98:S99,T98)-T183)&gt;0,-T183,-SUM($F$98:S99)),0)</f>
        <v>0</v>
      </c>
      <c r="U99" s="142">
        <f>IF(U183&gt;0,IF((SUM($F$98:T99,U98)-U183)&gt;0,-U183,-SUM($F$98:T99)),0)</f>
        <v>0</v>
      </c>
      <c r="V99" s="142">
        <f>IF(V183&gt;0,IF((SUM($F$98:U99,V98)-V183)&gt;0,-V183,-SUM($F$98:U99)),0)</f>
        <v>0</v>
      </c>
      <c r="W99" s="142">
        <f>IF(W183&gt;0,IF((SUM($F$98:V99,W98)-W183)&gt;0,-W183,-SUM($F$98:V99)),0)</f>
        <v>0</v>
      </c>
      <c r="X99" s="142">
        <f>IF(X183&gt;0,IF((SUM($F$98:W99,X98)-X183)&gt;0,-X183,-SUM($F$98:W99)),0)</f>
        <v>0</v>
      </c>
      <c r="Y99" s="142">
        <f>IF(Y183&gt;0,IF((SUM($F$98:X99,Y98)-Y183)&gt;0,-Y183,-SUM($F$98:X99)),0)</f>
        <v>0</v>
      </c>
      <c r="Z99" s="142">
        <f>IF(Z183&gt;0,IF((SUM($F$98:Y99,Z98)-Z183)&gt;0,-Z183,-SUM($F$98:Y99)),0)</f>
        <v>0</v>
      </c>
      <c r="AA99" s="142">
        <f>IF(AA183&gt;0,IF((SUM($F$98:Z99,AA98)-AA183)&gt;0,-AA183,-SUM($F$98:Z99)),0)</f>
        <v>0</v>
      </c>
      <c r="AB99" s="142">
        <f>IF(AB183&gt;0,IF((SUM($F$98:AA99,AB98)-AB183)&gt;0,-AB183,-SUM($F$98:AA99)),0)</f>
        <v>0</v>
      </c>
      <c r="AC99" s="142">
        <f>IF(AC183&gt;0,IF((SUM($F$98:AB99,AC98)-AC183)&gt;0,-AC183,-SUM($F$98:AB99)),0)</f>
        <v>0</v>
      </c>
      <c r="AD99" s="142">
        <f>IF(AD183&gt;0,IF((SUM($F$98:AC99,AD98)-AD183)&gt;0,-AD183,-SUM($F$98:AC99)),0)</f>
        <v>0</v>
      </c>
      <c r="AE99" s="142">
        <f>IF(AE183&gt;0,IF((SUM($F$98:AD99,AE98)-AE183)&gt;0,-AE183,-SUM($F$98:AD99)),0)</f>
        <v>0</v>
      </c>
      <c r="AF99" s="142">
        <f>IF(AF183&gt;0,IF((SUM($F$98:AE99,AF98)-AF183)&gt;0,-AF183,-SUM($F$98:AE99)),0)</f>
        <v>0</v>
      </c>
      <c r="AG99" s="142">
        <f>IF(AG183&gt;0,IF((SUM($F$98:AF99,AG98)-AG183)&gt;0,-AG183,-SUM($F$98:AF99)),0)</f>
        <v>0</v>
      </c>
      <c r="AH99" s="142">
        <f>IF(AH183&gt;0,IF((SUM($F$98:AG99,AH98)-AH183)&gt;0,-AH183,-SUM($F$98:AG99)),0)</f>
        <v>0</v>
      </c>
      <c r="AI99" s="142">
        <f>IF(AI183&gt;0,IF((SUM($F$98:AH99,AI98)-AI183)&gt;0,-AI183,-SUM($F$98:AH99)),0)</f>
        <v>0</v>
      </c>
      <c r="AJ99" s="142">
        <f>IF(AJ183&gt;0,IF((SUM($F$98:AI99,AJ98)-AJ183)&gt;0,-AJ183,-SUM($F$98:AI99)),0)</f>
        <v>0</v>
      </c>
      <c r="AK99" s="142">
        <f>IF(AK183&gt;0,IF((SUM($F$98:AJ99,AK98)-AK183)&gt;0,-AK183,-SUM($F$98:AJ99)),0)</f>
        <v>-1841.3468031202906</v>
      </c>
      <c r="AL99" s="142">
        <f>IF(AL183&gt;0,IF((SUM($F$98:AK99,AL98)-AL183)&gt;0,-AL183,-SUM($F$98:AK99)),0)</f>
        <v>-929.73575285382867</v>
      </c>
      <c r="AM99" s="142">
        <f>IF(AM183&gt;0,IF((SUM($F$98:AL99,AM98)-AM183)&gt;0,-AM183,-SUM($F$98:AL99)),0)</f>
        <v>0</v>
      </c>
      <c r="AN99" s="142">
        <f>IF(AN183&gt;0,IF((SUM($F$98:AM99,AN98)-AN183)&gt;0,-AN183,-SUM($F$98:AM99)),0)</f>
        <v>0</v>
      </c>
      <c r="AO99" s="142">
        <f>IF(AO183&gt;0,IF((SUM($F$98:AN99,AO98)-AO183)&gt;0,-AO183,-SUM($F$98:AN99)),0)</f>
        <v>0</v>
      </c>
      <c r="AP99" s="142">
        <f>IF(AP183&gt;0,IF((SUM($F$98:AO99,AP98)-AP183)&gt;0,-AP183,-SUM($F$98:AO99)),0)</f>
        <v>0</v>
      </c>
      <c r="AQ99" s="142">
        <f>IF(AQ183&gt;0,IF((SUM($F$98:AP99,AQ98)-AQ183)&gt;0,-AQ183,-SUM($F$98:AP99)),0)</f>
        <v>0</v>
      </c>
      <c r="AR99" s="142">
        <f>IF(AR183&gt;0,IF((SUM($F$98:AQ99,AR98)-AR183)&gt;0,-AR183,-SUM($F$98:AQ99)),0)</f>
        <v>0</v>
      </c>
      <c r="AS99" s="142">
        <f>IF(AS183&gt;0,IF((SUM($F$98:AR99,AS98)-AS183)&gt;0,-AS183,-SUM($F$98:AR99)),0)</f>
        <v>0</v>
      </c>
      <c r="AT99" s="142">
        <f>IF(AT183&gt;0,IF((SUM($F$98:AS99,AT98)-AT183)&gt;0,-AT183,-SUM($F$98:AS99)),0)</f>
        <v>0</v>
      </c>
      <c r="AU99" s="142">
        <f>IF(AU183&gt;0,IF((SUM($F$98:AT99,AU98)-AU183)&gt;0,-AU183,-SUM($F$98:AT99)),0)</f>
        <v>0</v>
      </c>
      <c r="AV99" s="142">
        <f>IF(AV183&gt;0,IF((SUM($F$98:AU99,AV98)-AV183)&gt;0,-AV183,-SUM($F$98:AU99)),0)</f>
        <v>0</v>
      </c>
      <c r="AW99" s="142">
        <f>IF(AW183&gt;0,IF((SUM($F$98:AV99,AW98)-AW183)&gt;0,-AW183,-SUM($F$98:AV99)),0)</f>
        <v>0</v>
      </c>
      <c r="AX99" s="142">
        <f>IF(AX183&gt;0,IF((SUM($F$98:AW99,AX98)-AX183)&gt;0,-AX183,-SUM($F$98:AW99)),0)</f>
        <v>0</v>
      </c>
      <c r="AY99" s="142">
        <f>IF(AY183&gt;0,IF((SUM($F$98:AX99,AY98)-AY183)&gt;0,-AY183,-SUM($F$98:AX99)),0)</f>
        <v>0</v>
      </c>
      <c r="AZ99" s="142">
        <f>IF(AZ183&gt;0,IF((SUM($F$98:AY99,AZ98)-AZ183)&gt;0,-AZ183,-SUM($F$98:AY99)),0)</f>
        <v>0</v>
      </c>
      <c r="BA99" s="142">
        <f>IF(BA183&gt;0,IF((SUM($F$98:AZ99,BA98)-BA183)&gt;0,-BA183,-SUM($F$98:AZ99)),0)</f>
        <v>0</v>
      </c>
      <c r="BB99" s="142">
        <f>IF(BB183&gt;0,IF((SUM($F$98:BA99,BB98)-BB183)&gt;0,-BB183,-SUM($F$98:BA99)),0)</f>
        <v>0</v>
      </c>
      <c r="BC99" s="142">
        <f>IF(BC183&gt;0,IF((SUM($F$98:BB99,BC98)-BC183)&gt;0,-BC183,-SUM($F$98:BB99)),0)</f>
        <v>0</v>
      </c>
      <c r="BD99" s="142">
        <f>IF(BD183&gt;0,IF((SUM($F$98:BC99,BD98)-BD183)&gt;0,-BD183,-SUM($F$98:BC99)),0)</f>
        <v>0</v>
      </c>
      <c r="BE99" s="142">
        <f>IF(BE183&gt;0,IF((SUM($F$98:BD99,BE98)-BE183)&gt;0,-BE183,-SUM($F$98:BD99)),0)</f>
        <v>0</v>
      </c>
      <c r="BF99" s="142">
        <f>IF(BF183&gt;0,IF((SUM($F$98:BE99,BF98)-BF183)&gt;0,-BF183,-SUM($F$98:BE99)),0)</f>
        <v>0</v>
      </c>
      <c r="BG99" s="142">
        <f>IF(BG183&gt;0,IF((SUM($F$98:BF99,BG98)-BG183)&gt;0,-BG183,-SUM($F$98:BF99)),0)</f>
        <v>0</v>
      </c>
      <c r="BH99" s="142">
        <f>IF(BH183&gt;0,IF((SUM($F$98:BG99,BH98)-BH183)&gt;0,-BH183,-SUM($F$98:BG99)),0)</f>
        <v>0</v>
      </c>
      <c r="BI99" s="142">
        <f>IF(BI183&gt;0,IF((SUM($F$98:BH99,BI98)-BI183)&gt;0,-BI183,-SUM($F$98:BH99)),0)</f>
        <v>0</v>
      </c>
      <c r="BJ99" s="142">
        <f>IF(BJ183&gt;0,IF((SUM($F$98:BI99,BJ98)-BJ183)&gt;0,-BJ183,-SUM($F$98:BI99)),0)</f>
        <v>0</v>
      </c>
      <c r="BK99" s="142">
        <f>IF(BK183&gt;0,IF((SUM($F$98:BJ99,BK98)-BK183)&gt;0,-BK183,-SUM($F$98:BJ99)),0)</f>
        <v>0</v>
      </c>
      <c r="BL99" s="142">
        <f>IF(BL183&gt;0,IF((SUM($F$98:BK99,BL98)-BL183)&gt;0,-BL183,-SUM($F$98:BK99)),0)</f>
        <v>0</v>
      </c>
      <c r="BM99" s="142">
        <f>IF(BM183&gt;0,IF((SUM($F$98:BL99,BM98)-BM183)&gt;0,-BM183,-SUM($F$98:BL99)),0)</f>
        <v>0</v>
      </c>
    </row>
    <row r="100" spans="1:65">
      <c r="B100" s="147"/>
      <c r="C100" s="28" t="s">
        <v>94</v>
      </c>
      <c r="D100" s="131" t="s">
        <v>19</v>
      </c>
      <c r="E100" s="141">
        <f t="shared" si="78"/>
        <v>347.00425200455794</v>
      </c>
      <c r="F100" s="202"/>
      <c r="G100" s="202"/>
      <c r="H100" s="202"/>
      <c r="I100" s="202"/>
      <c r="J100" s="202"/>
      <c r="K100" s="202"/>
      <c r="L100" s="202"/>
      <c r="M100" s="202"/>
      <c r="N100" s="142">
        <f>SUM($F$98:N99)*N$198/4</f>
        <v>0</v>
      </c>
      <c r="O100" s="142">
        <f>SUM($F$98:O99)*O$198/4</f>
        <v>0</v>
      </c>
      <c r="P100" s="142">
        <f>SUM($F$98:P99)*P$198/4</f>
        <v>0</v>
      </c>
      <c r="Q100" s="142">
        <f>SUM($F$98:Q99)*Q$198/4</f>
        <v>0</v>
      </c>
      <c r="R100" s="142">
        <f>SUM($F$98:R99)*R$198/4</f>
        <v>0</v>
      </c>
      <c r="S100" s="142">
        <f>SUM($F$98:S99)*S$198/4</f>
        <v>0</v>
      </c>
      <c r="T100" s="142">
        <f>SUM($F$98:T99)*T$198/4</f>
        <v>0</v>
      </c>
      <c r="U100" s="142">
        <f>SUM($F$98:U99)*U$198/4</f>
        <v>0</v>
      </c>
      <c r="V100" s="142">
        <f>SUM($F$98:V99)*V$198/4</f>
        <v>0</v>
      </c>
      <c r="W100" s="142">
        <f>SUM($F$98:W99)*W$198/4</f>
        <v>0</v>
      </c>
      <c r="X100" s="142">
        <f>SUM($F$98:X99)*X$198/4</f>
        <v>2.9344435003698579</v>
      </c>
      <c r="Y100" s="142">
        <f>SUM($F$98:Y99)*Y$198/4</f>
        <v>6.1727498380412493</v>
      </c>
      <c r="Z100" s="142">
        <f>SUM($F$98:Z99)*Z$198/4</f>
        <v>9.5932727084165634</v>
      </c>
      <c r="AA100" s="142">
        <f>SUM($F$98:AA99)*AA$198/4</f>
        <v>12.799147741319844</v>
      </c>
      <c r="AB100" s="142">
        <f>SUM($F$98:AB99)*AB$198/4</f>
        <v>15.757119753491516</v>
      </c>
      <c r="AC100" s="142">
        <f>SUM($F$98:AC99)*AC$198/4</f>
        <v>18.294325844077381</v>
      </c>
      <c r="AD100" s="142">
        <f>SUM($F$98:AD99)*AD$198/4</f>
        <v>20.258727411815041</v>
      </c>
      <c r="AE100" s="142">
        <f>SUM($F$98:AE99)*AE$198/4</f>
        <v>23.060551732533103</v>
      </c>
      <c r="AF100" s="142">
        <f>SUM($F$98:AF99)*AF$198/4</f>
        <v>32.316936756674401</v>
      </c>
      <c r="AG100" s="142">
        <f>SUM($F$98:AG99)*AG$198/4</f>
        <v>29.40552152190358</v>
      </c>
      <c r="AH100" s="142">
        <f>SUM($F$98:AH99)*AH$198/4</f>
        <v>28.214136904885699</v>
      </c>
      <c r="AI100" s="142">
        <f>SUM($F$98:AI99)*AI$198/4</f>
        <v>29.771132408535387</v>
      </c>
      <c r="AJ100" s="142">
        <f>SUM($F$98:AJ99)*AJ$198/4</f>
        <v>88.674641791171823</v>
      </c>
      <c r="AK100" s="142">
        <f>SUM($F$98:AK99)*AK$198/4</f>
        <v>29.751544091322518</v>
      </c>
      <c r="AL100" s="142">
        <f>SUM($F$98:AL99)*AL$198/4</f>
        <v>0</v>
      </c>
      <c r="AM100" s="142">
        <f>SUM($F$98:AM99)*AM$198/4</f>
        <v>0</v>
      </c>
      <c r="AN100" s="142">
        <f>SUM($F$98:AN99)*AN$198/4</f>
        <v>0</v>
      </c>
      <c r="AO100" s="142">
        <f>SUM($F$98:AO99)*AO$198/4</f>
        <v>0</v>
      </c>
      <c r="AP100" s="142">
        <f>SUM($F$98:AP99)*AP$198/4</f>
        <v>0</v>
      </c>
      <c r="AQ100" s="142">
        <f>SUM($F$98:AQ99)*AQ$198/4</f>
        <v>0</v>
      </c>
      <c r="AR100" s="142">
        <f>SUM($F$98:AR99)*AR$198/4</f>
        <v>0</v>
      </c>
      <c r="AS100" s="142">
        <f>SUM($F$98:AS99)*AS$198/4</f>
        <v>0</v>
      </c>
      <c r="AT100" s="142">
        <f>SUM($F$98:AT99)*AT$198/4</f>
        <v>0</v>
      </c>
      <c r="AU100" s="142">
        <f>SUM($F$98:AU99)*AU$198/4</f>
        <v>0</v>
      </c>
      <c r="AV100" s="142">
        <f>SUM($F$98:AV99)*AV$198/4</f>
        <v>0</v>
      </c>
      <c r="AW100" s="142">
        <f>SUM($F$98:AW99)*AW$198/4</f>
        <v>0</v>
      </c>
      <c r="AX100" s="142">
        <f>SUM($F$98:AX99)*AX$198/4</f>
        <v>0</v>
      </c>
      <c r="AY100" s="142">
        <f>SUM($F$98:AY99)*AY$198/4</f>
        <v>0</v>
      </c>
      <c r="AZ100" s="142">
        <f>SUM($F$98:AZ99)*AZ$198/4</f>
        <v>0</v>
      </c>
      <c r="BA100" s="142">
        <f>SUM($F$98:BA99)*BA$198/4</f>
        <v>0</v>
      </c>
      <c r="BB100" s="142">
        <f>SUM($F$98:BB99)*BB$198/4</f>
        <v>0</v>
      </c>
      <c r="BC100" s="142">
        <f>SUM($F$98:BC99)*BC$198/4</f>
        <v>0</v>
      </c>
      <c r="BD100" s="142">
        <f>SUM($F$98:BD99)*BD$198/4</f>
        <v>0</v>
      </c>
      <c r="BE100" s="142">
        <f>SUM($F$98:BE99)*BE$198/4</f>
        <v>0</v>
      </c>
      <c r="BF100" s="142">
        <f>SUM($F$98:BF99)*BF$198/4</f>
        <v>0</v>
      </c>
      <c r="BG100" s="142">
        <f>SUM($F$98:BG99)*BG$198/4</f>
        <v>0</v>
      </c>
      <c r="BH100" s="142">
        <f>SUM($F$98:BH99)*BH$198/4</f>
        <v>0</v>
      </c>
      <c r="BI100" s="142">
        <f>SUM($F$98:BI99)*BI$198/4</f>
        <v>0</v>
      </c>
      <c r="BJ100" s="142">
        <f>SUM($F$98:BJ99)*BJ$198/4</f>
        <v>0</v>
      </c>
      <c r="BK100" s="142">
        <f>SUM($F$98:BK99)*BK$198/4</f>
        <v>0</v>
      </c>
      <c r="BL100" s="142">
        <f>SUM($F$98:BL99)*BL$198/4</f>
        <v>0</v>
      </c>
      <c r="BM100" s="142">
        <f>SUM($F$98:BM99)*BM$198/4</f>
        <v>0</v>
      </c>
    </row>
    <row r="101" spans="1:65">
      <c r="B101" s="27"/>
      <c r="C101" s="28" t="s">
        <v>95</v>
      </c>
      <c r="D101" s="131" t="s">
        <v>19</v>
      </c>
      <c r="E101" s="141">
        <f t="shared" si="78"/>
        <v>-347.00425200455794</v>
      </c>
      <c r="F101" s="202"/>
      <c r="G101" s="202"/>
      <c r="H101" s="202"/>
      <c r="I101" s="202"/>
      <c r="J101" s="202"/>
      <c r="K101" s="202"/>
      <c r="L101" s="202"/>
      <c r="M101" s="202"/>
      <c r="N101" s="142">
        <f>IF(N184&gt;0,IF((SUM($F$100:M101,N100)-N184)&gt;0,-N184,-SUM($F$100:M101)),0)</f>
        <v>0</v>
      </c>
      <c r="O101" s="142">
        <f>IF(O184&gt;0,IF((SUM($F$100:N101,O100)-O184)&gt;0,-O184,-SUM($F$100:N101)),0)</f>
        <v>0</v>
      </c>
      <c r="P101" s="142">
        <f>IF(P184&gt;0,IF((SUM($F$100:O101,P100)-P184)&gt;0,-P184,-SUM($F$100:O101)),0)</f>
        <v>0</v>
      </c>
      <c r="Q101" s="142">
        <f>IF(Q184&gt;0,IF((SUM($F$100:P101,Q100)-Q184)&gt;0,-Q184,-SUM($F$100:P101)),0)</f>
        <v>0</v>
      </c>
      <c r="R101" s="142">
        <f>IF(R184&gt;0,IF((SUM($F$100:Q101,R100)-R184)&gt;0,-R184,-SUM($F$100:Q101)),0)</f>
        <v>0</v>
      </c>
      <c r="S101" s="142">
        <f>IF(S184&gt;0,IF((SUM($F$100:R101,S100)-S184)&gt;0,-S184,-SUM($F$100:R101)),0)</f>
        <v>0</v>
      </c>
      <c r="T101" s="142">
        <f>IF(T184&gt;0,IF((SUM($F$100:S101,T100)-T184)&gt;0,-T184,-SUM($F$100:S101)),0)</f>
        <v>0</v>
      </c>
      <c r="U101" s="142">
        <f>IF(U184&gt;0,IF((SUM($F$100:T101,U100)-U184)&gt;0,-U184,-SUM($F$100:T101)),0)</f>
        <v>0</v>
      </c>
      <c r="V101" s="142">
        <f>IF(V184&gt;0,IF((SUM($F$100:U101,V100)-V184)&gt;0,-V184,-SUM($F$100:U101)),0)</f>
        <v>0</v>
      </c>
      <c r="W101" s="142">
        <f>IF(W184&gt;0,IF((SUM($F$100:V101,W100)-W184)&gt;0,-W184,-SUM($F$100:V101)),0)</f>
        <v>0</v>
      </c>
      <c r="X101" s="142">
        <f>IF(X184&gt;0,IF((SUM($F$100:W101,X100)-X184)&gt;0,-X184,-SUM($F$100:W101)),0)</f>
        <v>0</v>
      </c>
      <c r="Y101" s="142">
        <f>IF(Y184&gt;0,IF((SUM($F$100:X101,Y100)-Y184)&gt;0,-Y184,-SUM($F$100:X101)),0)</f>
        <v>0</v>
      </c>
      <c r="Z101" s="142">
        <f>IF(Z184&gt;0,IF((SUM($F$100:Y101,Z100)-Z184)&gt;0,-Z184,-SUM($F$100:Y101)),0)</f>
        <v>0</v>
      </c>
      <c r="AA101" s="142">
        <f>IF(AA184&gt;0,IF((SUM($F$100:Z101,AA100)-AA184)&gt;0,-AA184,-SUM($F$100:Z101)),0)</f>
        <v>0</v>
      </c>
      <c r="AB101" s="142">
        <f>IF(AB184&gt;0,IF((SUM($F$100:AA101,AB100)-AB184)&gt;0,-AB184,-SUM($F$100:AA101)),0)</f>
        <v>0</v>
      </c>
      <c r="AC101" s="142">
        <f>IF(AC184&gt;0,IF((SUM($F$100:AB101,AC100)-AC184)&gt;0,-AC184,-SUM($F$100:AB101)),0)</f>
        <v>0</v>
      </c>
      <c r="AD101" s="142">
        <f>IF(AD184&gt;0,IF((SUM($F$100:AC101,AD100)-AD184)&gt;0,-AD184,-SUM($F$100:AC101)),0)</f>
        <v>0</v>
      </c>
      <c r="AE101" s="142">
        <f>IF(AE184&gt;0,IF((SUM($F$100:AD101,AE100)-AE184)&gt;0,-AE184,-SUM($F$100:AD101)),0)</f>
        <v>0</v>
      </c>
      <c r="AF101" s="142">
        <f>IF(AF184&gt;0,IF((SUM($F$100:AE101,AF100)-AF184)&gt;0,-AF184,-SUM($F$100:AE101)),0)</f>
        <v>0</v>
      </c>
      <c r="AG101" s="142">
        <f>IF(AG184&gt;0,IF((SUM($F$100:AF101,AG100)-AG184)&gt;0,-AG184,-SUM($F$100:AF101)),0)</f>
        <v>0</v>
      </c>
      <c r="AH101" s="142">
        <f>IF(AH184&gt;0,IF((SUM($F$100:AG101,AH100)-AH184)&gt;0,-AH184,-SUM($F$100:AG101)),0)</f>
        <v>0</v>
      </c>
      <c r="AI101" s="142">
        <f>IF(AI184&gt;0,IF((SUM($F$100:AH101,AI100)-AI184)&gt;0,-AI184,-SUM($F$100:AH101)),0)</f>
        <v>0</v>
      </c>
      <c r="AJ101" s="142">
        <f>IF(AJ184&gt;0,IF((SUM($F$100:AI101,AJ100)-AJ184)&gt;0,-AJ184,-SUM($F$100:AI101)),0)</f>
        <v>0</v>
      </c>
      <c r="AK101" s="142">
        <f>IF(AK184&gt;0,IF((SUM($F$100:AJ101,AK100)-AK184)&gt;0,-AK184,-SUM($F$100:AJ101)),0)</f>
        <v>0</v>
      </c>
      <c r="AL101" s="142">
        <f>IF(AL184&gt;0,IF((SUM($F$100:AK101,AL100)-AL184)&gt;0,-AL184,-SUM($F$100:AK101)),0)</f>
        <v>-347.00425200455794</v>
      </c>
      <c r="AM101" s="142">
        <f>IF(AM184&gt;0,IF((SUM($F$100:AL101,AM100)-AM184)&gt;0,-AM184,-SUM($F$100:AL101)),0)</f>
        <v>0</v>
      </c>
      <c r="AN101" s="142">
        <f>IF(AN184&gt;0,IF((SUM($F$100:AM101,AN100)-AN184)&gt;0,-AN184,-SUM($F$100:AM101)),0)</f>
        <v>0</v>
      </c>
      <c r="AO101" s="142">
        <f>IF(AO184&gt;0,IF((SUM($F$100:AN101,AO100)-AO184)&gt;0,-AO184,-SUM($F$100:AN101)),0)</f>
        <v>0</v>
      </c>
      <c r="AP101" s="142">
        <f>IF(AP184&gt;0,IF((SUM($F$100:AO101,AP100)-AP184)&gt;0,-AP184,-SUM($F$100:AO101)),0)</f>
        <v>0</v>
      </c>
      <c r="AQ101" s="142">
        <f>IF(AQ184&gt;0,IF((SUM($F$100:AP101,AQ100)-AQ184)&gt;0,-AQ184,-SUM($F$100:AP101)),0)</f>
        <v>0</v>
      </c>
      <c r="AR101" s="142">
        <f>IF(AR184&gt;0,IF((SUM($F$100:AQ101,AR100)-AR184)&gt;0,-AR184,-SUM($F$100:AQ101)),0)</f>
        <v>0</v>
      </c>
      <c r="AS101" s="142">
        <f>IF(AS184&gt;0,IF((SUM($F$100:AR101,AS100)-AS184)&gt;0,-AS184,-SUM($F$100:AR101)),0)</f>
        <v>0</v>
      </c>
      <c r="AT101" s="142">
        <f>IF(AT184&gt;0,IF((SUM($F$100:AS101,AT100)-AT184)&gt;0,-AT184,-SUM($F$100:AS101)),0)</f>
        <v>0</v>
      </c>
      <c r="AU101" s="142">
        <f>IF(AU184&gt;0,IF((SUM($F$100:AT101,AU100)-AU184)&gt;0,-AU184,-SUM($F$100:AT101)),0)</f>
        <v>0</v>
      </c>
      <c r="AV101" s="142">
        <f>IF(AV184&gt;0,IF((SUM($F$100:AU101,AV100)-AV184)&gt;0,-AV184,-SUM($F$100:AU101)),0)</f>
        <v>0</v>
      </c>
      <c r="AW101" s="142">
        <f>IF(AW184&gt;0,IF((SUM($F$100:AV101,AW100)-AW184)&gt;0,-AW184,-SUM($F$100:AV101)),0)</f>
        <v>0</v>
      </c>
      <c r="AX101" s="142">
        <f>IF(AX184&gt;0,IF((SUM($F$100:AW101,AX100)-AX184)&gt;0,-AX184,-SUM($F$100:AW101)),0)</f>
        <v>0</v>
      </c>
      <c r="AY101" s="142">
        <f>IF(AY184&gt;0,IF((SUM($F$100:AX101,AY100)-AY184)&gt;0,-AY184,-SUM($F$100:AX101)),0)</f>
        <v>0</v>
      </c>
      <c r="AZ101" s="142">
        <f>IF(AZ184&gt;0,IF((SUM($F$100:AY101,AZ100)-AZ184)&gt;0,-AZ184,-SUM($F$100:AY101)),0)</f>
        <v>0</v>
      </c>
      <c r="BA101" s="142">
        <f>IF(BA184&gt;0,IF((SUM($F$100:AZ101,BA100)-BA184)&gt;0,-BA184,-SUM($F$100:AZ101)),0)</f>
        <v>0</v>
      </c>
      <c r="BB101" s="142">
        <f>IF(BB184&gt;0,IF((SUM($F$100:BA101,BB100)-BB184)&gt;0,-BB184,-SUM($F$100:BA101)),0)</f>
        <v>0</v>
      </c>
      <c r="BC101" s="142">
        <f>IF(BC184&gt;0,IF((SUM($F$100:BB101,BC100)-BC184)&gt;0,-BC184,-SUM($F$100:BB101)),0)</f>
        <v>0</v>
      </c>
      <c r="BD101" s="142">
        <f>IF(BD184&gt;0,IF((SUM($F$100:BC101,BD100)-BD184)&gt;0,-BD184,-SUM($F$100:BC101)),0)</f>
        <v>0</v>
      </c>
      <c r="BE101" s="142">
        <f>IF(BE184&gt;0,IF((SUM($F$100:BD101,BE100)-BE184)&gt;0,-BE184,-SUM($F$100:BD101)),0)</f>
        <v>0</v>
      </c>
      <c r="BF101" s="142">
        <f>IF(BF184&gt;0,IF((SUM($F$100:BE101,BF100)-BF184)&gt;0,-BF184,-SUM($F$100:BE101)),0)</f>
        <v>0</v>
      </c>
      <c r="BG101" s="142">
        <f>IF(BG184&gt;0,IF((SUM($F$100:BF101,BG100)-BG184)&gt;0,-BG184,-SUM($F$100:BF101)),0)</f>
        <v>0</v>
      </c>
      <c r="BH101" s="142">
        <f>IF(BH184&gt;0,IF((SUM($F$100:BG101,BH100)-BH184)&gt;0,-BH184,-SUM($F$100:BG101)),0)</f>
        <v>0</v>
      </c>
      <c r="BI101" s="142">
        <f>IF(BI184&gt;0,IF((SUM($F$100:BH101,BI100)-BI184)&gt;0,-BI184,-SUM($F$100:BH101)),0)</f>
        <v>0</v>
      </c>
      <c r="BJ101" s="142">
        <f>IF(BJ184&gt;0,IF((SUM($F$100:BI101,BJ100)-BJ184)&gt;0,-BJ184,-SUM($F$100:BI101)),0)</f>
        <v>0</v>
      </c>
      <c r="BK101" s="142">
        <f>IF(BK184&gt;0,IF((SUM($F$100:BJ101,BK100)-BK184)&gt;0,-BK184,-SUM($F$100:BJ101)),0)</f>
        <v>0</v>
      </c>
      <c r="BL101" s="142">
        <f>IF(BL184&gt;0,IF((SUM($F$100:BK101,BL100)-BL184)&gt;0,-BL184,-SUM($F$100:BK101)),0)</f>
        <v>0</v>
      </c>
      <c r="BM101" s="142">
        <f>IF(BM184&gt;0,IF((SUM($F$100:BL101,BM100)-BM184)&gt;0,-BM184,-SUM($F$100:BL101)),0)</f>
        <v>0</v>
      </c>
    </row>
    <row r="102" spans="1:65">
      <c r="B102" s="145" t="s">
        <v>196</v>
      </c>
      <c r="C102" s="27"/>
      <c r="D102" s="131" t="s">
        <v>19</v>
      </c>
      <c r="E102" s="141">
        <f t="shared" si="78"/>
        <v>0</v>
      </c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  <c r="BA102" s="142"/>
      <c r="BB102" s="142"/>
      <c r="BC102" s="142"/>
      <c r="BD102" s="142"/>
      <c r="BE102" s="142"/>
      <c r="BF102" s="142"/>
      <c r="BG102" s="142"/>
      <c r="BH102" s="142"/>
      <c r="BI102" s="142"/>
      <c r="BJ102" s="142"/>
      <c r="BK102" s="142"/>
      <c r="BL102" s="142"/>
      <c r="BM102" s="142"/>
    </row>
    <row r="103" spans="1:65">
      <c r="B103" s="27"/>
      <c r="C103" s="28" t="s">
        <v>59</v>
      </c>
      <c r="D103" s="131" t="s">
        <v>19</v>
      </c>
      <c r="E103" s="141">
        <f t="shared" si="78"/>
        <v>136.53967019161266</v>
      </c>
      <c r="F103" s="202"/>
      <c r="G103" s="202"/>
      <c r="H103" s="202"/>
      <c r="I103" s="202"/>
      <c r="J103" s="202"/>
      <c r="K103" s="202"/>
      <c r="L103" s="202"/>
      <c r="M103" s="202"/>
      <c r="N103" s="142">
        <f>IF(N60&lt;&gt;0,'DB2'!$O$27+'DB2'!$O$28)+IF(N$5=EOMONTH('DB2'!$U$25,2),'DB2'!$O$29,0)</f>
        <v>0</v>
      </c>
      <c r="O103" s="142">
        <f>IF(O60&lt;&gt;0,'DB2'!$O$27+'DB2'!$O$28)+IF(O$5=EOMONTH('DB2'!$U$25,2),'DB2'!$O$29,0)</f>
        <v>0</v>
      </c>
      <c r="P103" s="142">
        <f>IF(P60&lt;&gt;0,'DB2'!$O$27+'DB2'!$O$28)+IF(P$5=EOMONTH('DB2'!$U$25,2),'DB2'!$O$29,0)</f>
        <v>136.53967019161266</v>
      </c>
      <c r="Q103" s="142">
        <f>IF(Q60&lt;&gt;0,'DB2'!$O$27+'DB2'!$O$28)+IF(Q$5=EOMONTH('DB2'!$U$25,2),'DB2'!$O$29,0)</f>
        <v>0</v>
      </c>
      <c r="R103" s="142">
        <f>IF(R60&lt;&gt;0,'DB2'!$O$27+'DB2'!$O$28)+IF(R$5=EOMONTH('DB2'!$U$25,2),'DB2'!$O$29,0)</f>
        <v>0</v>
      </c>
      <c r="S103" s="142">
        <f>IF(S60&lt;&gt;0,'DB2'!$O$27+'DB2'!$O$28)+IF(S$5=EOMONTH('DB2'!$U$25,2),'DB2'!$O$29,0)</f>
        <v>0</v>
      </c>
      <c r="T103" s="142">
        <f>IF(T60&lt;&gt;0,'DB2'!$O$27+'DB2'!$O$28)+IF(T$5=EOMONTH('DB2'!$U$25,2),'DB2'!$O$29,0)</f>
        <v>0</v>
      </c>
      <c r="U103" s="142">
        <f>IF(U60&lt;&gt;0,'DB2'!$O$27+'DB2'!$O$28)+IF(U$5=EOMONTH('DB2'!$U$25,2),'DB2'!$O$29,0)</f>
        <v>0</v>
      </c>
      <c r="V103" s="142">
        <f>IF(V60&lt;&gt;0,'DB2'!$O$27+'DB2'!$O$28)+IF(V$5=EOMONTH('DB2'!$U$25,2),'DB2'!$O$29,0)</f>
        <v>0</v>
      </c>
      <c r="W103" s="142">
        <f>IF(W60&lt;&gt;0,'DB2'!$O$27+'DB2'!$O$28)+IF(W$5=EOMONTH('DB2'!$U$25,2),'DB2'!$O$29,0)</f>
        <v>0</v>
      </c>
      <c r="X103" s="142">
        <f>IF(X60&lt;&gt;0,'DB2'!$O$27+'DB2'!$O$28)+IF(X$5=EOMONTH('DB2'!$U$25,2),'DB2'!$O$29,0)</f>
        <v>0</v>
      </c>
      <c r="Y103" s="142">
        <f>IF(Y60&lt;&gt;0,'DB2'!$O$27+'DB2'!$O$28)+IF(Y$5=EOMONTH('DB2'!$U$25,2),'DB2'!$O$29,0)</f>
        <v>0</v>
      </c>
      <c r="Z103" s="142">
        <f>IF(Z60&lt;&gt;0,'DB2'!$O$27+'DB2'!$O$28)+IF(Z$5=EOMONTH('DB2'!$U$25,2),'DB2'!$O$29,0)</f>
        <v>0</v>
      </c>
      <c r="AA103" s="142">
        <f>IF(AA60&lt;&gt;0,'DB2'!$O$27+'DB2'!$O$28)+IF(AA$5=EOMONTH('DB2'!$U$25,2),'DB2'!$O$29,0)</f>
        <v>0</v>
      </c>
      <c r="AB103" s="142">
        <f>IF(AB60&lt;&gt;0,'DB2'!$O$27+'DB2'!$O$28)+IF(AB$5=EOMONTH('DB2'!$U$25,2),'DB2'!$O$29,0)</f>
        <v>0</v>
      </c>
      <c r="AC103" s="142">
        <f>IF(AC60&lt;&gt;0,'DB2'!$O$27+'DB2'!$O$28)+IF(AC$5=EOMONTH('DB2'!$U$25,2),'DB2'!$O$29,0)</f>
        <v>0</v>
      </c>
      <c r="AD103" s="142">
        <f>IF(AD60&lt;&gt;0,'DB2'!$O$27+'DB2'!$O$28)+IF(AD$5=EOMONTH('DB2'!$U$25,2),'DB2'!$O$29,0)</f>
        <v>0</v>
      </c>
      <c r="AE103" s="142">
        <f>IF(AE60&lt;&gt;0,'DB2'!$O$27+'DB2'!$O$28)+IF(AE$5=EOMONTH('DB2'!$U$25,2),'DB2'!$O$29,0)</f>
        <v>0</v>
      </c>
      <c r="AF103" s="142">
        <f>IF(AF60&lt;&gt;0,'DB2'!$O$27+'DB2'!$O$28)+IF(AF$5=EOMONTH('DB2'!$U$25,2),'DB2'!$O$29,0)</f>
        <v>0</v>
      </c>
      <c r="AG103" s="142">
        <f>IF(AG60&lt;&gt;0,'DB2'!$O$27+'DB2'!$O$28)+IF(AG$5=EOMONTH('DB2'!$U$25,2),'DB2'!$O$29,0)</f>
        <v>0</v>
      </c>
      <c r="AH103" s="142">
        <f>IF(AH60&lt;&gt;0,'DB2'!$O$27+'DB2'!$O$28)+IF(AH$5=EOMONTH('DB2'!$U$25,2),'DB2'!$O$29,0)</f>
        <v>0</v>
      </c>
      <c r="AI103" s="142">
        <f>IF(AI60&lt;&gt;0,'DB2'!$O$27+'DB2'!$O$28)+IF(AI$5=EOMONTH('DB2'!$U$25,2),'DB2'!$O$29,0)</f>
        <v>0</v>
      </c>
      <c r="AJ103" s="142">
        <f>IF(AJ60&lt;&gt;0,'DB2'!$O$27+'DB2'!$O$28)+IF(AJ$5=EOMONTH('DB2'!$U$25,2),'DB2'!$O$29,0)</f>
        <v>0</v>
      </c>
      <c r="AK103" s="142">
        <f>IF(AK60&lt;&gt;0,'DB2'!$O$27+'DB2'!$O$28)+IF(AK$5=EOMONTH('DB2'!$U$25,2),'DB2'!$O$29,0)</f>
        <v>0</v>
      </c>
      <c r="AL103" s="142">
        <f>IF(AL60&lt;&gt;0,'DB2'!$O$27+'DB2'!$O$28)+IF(AL$5=EOMONTH('DB2'!$U$25,2),'DB2'!$O$29,0)</f>
        <v>0</v>
      </c>
      <c r="AM103" s="142">
        <f>IF(AM60&lt;&gt;0,'DB2'!$O$27+'DB2'!$O$28)+IF(AM$5=EOMONTH('DB2'!$U$25,2),'DB2'!$O$29,0)</f>
        <v>0</v>
      </c>
      <c r="AN103" s="142">
        <f>IF(AN60&lt;&gt;0,'DB2'!$O$27+'DB2'!$O$28)+IF(AN$5=EOMONTH('DB2'!$U$25,2),'DB2'!$O$29,0)</f>
        <v>0</v>
      </c>
      <c r="AO103" s="142">
        <f>IF(AO60&lt;&gt;0,'DB2'!$O$27+'DB2'!$O$28)+IF(AO$5=EOMONTH('DB2'!$U$25,2),'DB2'!$O$29,0)</f>
        <v>0</v>
      </c>
      <c r="AP103" s="142">
        <f>IF(AP60&lt;&gt;0,'DB2'!$O$27+'DB2'!$O$28)+IF(AP$5=EOMONTH('DB2'!$U$25,2),'DB2'!$O$29,0)</f>
        <v>0</v>
      </c>
      <c r="AQ103" s="142">
        <f>IF(AQ60&lt;&gt;0,'DB2'!$O$27+'DB2'!$O$28)+IF(AQ$5=EOMONTH('DB2'!$U$25,2),'DB2'!$O$29,0)</f>
        <v>0</v>
      </c>
      <c r="AR103" s="142">
        <f>IF(AR60&lt;&gt;0,'DB2'!$O$27+'DB2'!$O$28)+IF(AR$5=EOMONTH('DB2'!$U$25,2),'DB2'!$O$29,0)</f>
        <v>0</v>
      </c>
      <c r="AS103" s="142">
        <f>IF(AS60&lt;&gt;0,'DB2'!$O$27+'DB2'!$O$28)+IF(AS$5=EOMONTH('DB2'!$U$25,2),'DB2'!$O$29,0)</f>
        <v>0</v>
      </c>
      <c r="AT103" s="142">
        <f>IF(AT60&lt;&gt;0,'DB2'!$O$27+'DB2'!$O$28)+IF(AT$5=EOMONTH('DB2'!$U$25,2),'DB2'!$O$29,0)</f>
        <v>0</v>
      </c>
      <c r="AU103" s="142">
        <f>IF(AU60&lt;&gt;0,'DB2'!$O$27+'DB2'!$O$28)+IF(AU$5=EOMONTH('DB2'!$U$25,2),'DB2'!$O$29,0)</f>
        <v>0</v>
      </c>
      <c r="AV103" s="142">
        <f>IF(AV60&lt;&gt;0,'DB2'!$O$27+'DB2'!$O$28)+IF(AV$5=EOMONTH('DB2'!$U$25,2),'DB2'!$O$29,0)</f>
        <v>0</v>
      </c>
      <c r="AW103" s="142">
        <f>IF(AW60&lt;&gt;0,'DB2'!$O$27+'DB2'!$O$28)+IF(AW$5=EOMONTH('DB2'!$U$25,2),'DB2'!$O$29,0)</f>
        <v>0</v>
      </c>
      <c r="AX103" s="142">
        <f>IF(AX60&lt;&gt;0,'DB2'!$O$27+'DB2'!$O$28)+IF(AX$5=EOMONTH('DB2'!$U$25,2),'DB2'!$O$29,0)</f>
        <v>0</v>
      </c>
      <c r="AY103" s="142">
        <f>IF(AY60&lt;&gt;0,'DB2'!$O$27+'DB2'!$O$28)+IF(AY$5=EOMONTH('DB2'!$U$25,2),'DB2'!$O$29,0)</f>
        <v>0</v>
      </c>
      <c r="AZ103" s="142">
        <f>IF(AZ60&lt;&gt;0,'DB2'!$O$27+'DB2'!$O$28)+IF(AZ$5=EOMONTH('DB2'!$U$25,2),'DB2'!$O$29,0)</f>
        <v>0</v>
      </c>
      <c r="BA103" s="142">
        <f>IF(BA60&lt;&gt;0,'DB2'!$O$27+'DB2'!$O$28)+IF(BA$5=EOMONTH('DB2'!$U$25,2),'DB2'!$O$29,0)</f>
        <v>0</v>
      </c>
      <c r="BB103" s="142">
        <f>IF(BB60&lt;&gt;0,'DB2'!$O$27+'DB2'!$O$28)+IF(BB$5=EOMONTH('DB2'!$U$25,2),'DB2'!$O$29,0)</f>
        <v>0</v>
      </c>
      <c r="BC103" s="142">
        <f>IF(BC60&lt;&gt;0,'DB2'!$O$27+'DB2'!$O$28)+IF(BC$5=EOMONTH('DB2'!$U$25,2),'DB2'!$O$29,0)</f>
        <v>0</v>
      </c>
      <c r="BD103" s="142">
        <f>IF(BD60&lt;&gt;0,'DB2'!$O$27+'DB2'!$O$28)+IF(BD$5=EOMONTH('DB2'!$U$25,2),'DB2'!$O$29,0)</f>
        <v>0</v>
      </c>
      <c r="BE103" s="142">
        <f>IF(BE60&lt;&gt;0,'DB2'!$O$27+'DB2'!$O$28)+IF(BE$5=EOMONTH('DB2'!$U$25,2),'DB2'!$O$29,0)</f>
        <v>0</v>
      </c>
      <c r="BF103" s="142">
        <f>IF(BF60&lt;&gt;0,'DB2'!$O$27+'DB2'!$O$28)+IF(BF$5=EOMONTH('DB2'!$U$25,2),'DB2'!$O$29,0)</f>
        <v>0</v>
      </c>
      <c r="BG103" s="142">
        <f>IF(BG60&lt;&gt;0,'DB2'!$O$27+'DB2'!$O$28)+IF(BG$5=EOMONTH('DB2'!$U$25,2),'DB2'!$O$29,0)</f>
        <v>0</v>
      </c>
      <c r="BH103" s="142">
        <f>IF(BH60&lt;&gt;0,'DB2'!$O$27+'DB2'!$O$28)+IF(BH$5=EOMONTH('DB2'!$U$25,2),'DB2'!$O$29,0)</f>
        <v>0</v>
      </c>
      <c r="BI103" s="142">
        <f>IF(BI60&lt;&gt;0,'DB2'!$O$27+'DB2'!$O$28)+IF(BI$5=EOMONTH('DB2'!$U$25,2),'DB2'!$O$29,0)</f>
        <v>0</v>
      </c>
      <c r="BJ103" s="142">
        <f>IF(BJ60&lt;&gt;0,'DB2'!$O$27+'DB2'!$O$28)+IF(BJ$5=EOMONTH('DB2'!$U$25,2),'DB2'!$O$29,0)</f>
        <v>0</v>
      </c>
      <c r="BK103" s="142">
        <f>IF(BK60&lt;&gt;0,'DB2'!$O$27+'DB2'!$O$28)+IF(BK$5=EOMONTH('DB2'!$U$25,2),'DB2'!$O$29,0)</f>
        <v>0</v>
      </c>
      <c r="BL103" s="142">
        <f>IF(BL60&lt;&gt;0,'DB2'!$O$27+'DB2'!$O$28)+IF(BL$5=EOMONTH('DB2'!$U$25,2),'DB2'!$O$29,0)</f>
        <v>0</v>
      </c>
      <c r="BM103" s="142">
        <f>IF(BM60&lt;&gt;0,'DB2'!$O$27+'DB2'!$O$28)+IF(BM$5=EOMONTH('DB2'!$U$25,2),'DB2'!$O$29,0)</f>
        <v>0</v>
      </c>
    </row>
    <row r="104" spans="1:65">
      <c r="B104" s="27"/>
      <c r="C104" s="28" t="s">
        <v>73</v>
      </c>
      <c r="D104" s="131" t="s">
        <v>19</v>
      </c>
      <c r="E104" s="141">
        <f t="shared" si="78"/>
        <v>-136.53967019161266</v>
      </c>
      <c r="F104" s="202"/>
      <c r="G104" s="202"/>
      <c r="H104" s="202"/>
      <c r="I104" s="202"/>
      <c r="J104" s="202"/>
      <c r="K104" s="202"/>
      <c r="L104" s="202"/>
      <c r="M104" s="202"/>
      <c r="N104" s="142">
        <f t="shared" ref="N104:BM104" si="80">-N103</f>
        <v>0</v>
      </c>
      <c r="O104" s="142">
        <f t="shared" si="80"/>
        <v>0</v>
      </c>
      <c r="P104" s="142">
        <f t="shared" si="80"/>
        <v>-136.53967019161266</v>
      </c>
      <c r="Q104" s="142">
        <f t="shared" si="80"/>
        <v>0</v>
      </c>
      <c r="R104" s="142">
        <f t="shared" si="80"/>
        <v>0</v>
      </c>
      <c r="S104" s="142">
        <f t="shared" si="80"/>
        <v>0</v>
      </c>
      <c r="T104" s="142">
        <f t="shared" si="80"/>
        <v>0</v>
      </c>
      <c r="U104" s="142">
        <f t="shared" si="80"/>
        <v>0</v>
      </c>
      <c r="V104" s="142">
        <f t="shared" si="80"/>
        <v>0</v>
      </c>
      <c r="W104" s="142">
        <f t="shared" si="80"/>
        <v>0</v>
      </c>
      <c r="X104" s="142">
        <f t="shared" si="80"/>
        <v>0</v>
      </c>
      <c r="Y104" s="142">
        <f t="shared" si="80"/>
        <v>0</v>
      </c>
      <c r="Z104" s="142">
        <f t="shared" si="80"/>
        <v>0</v>
      </c>
      <c r="AA104" s="142">
        <f t="shared" si="80"/>
        <v>0</v>
      </c>
      <c r="AB104" s="142">
        <f t="shared" si="80"/>
        <v>0</v>
      </c>
      <c r="AC104" s="142">
        <f t="shared" si="80"/>
        <v>0</v>
      </c>
      <c r="AD104" s="142">
        <f t="shared" si="80"/>
        <v>0</v>
      </c>
      <c r="AE104" s="142">
        <f t="shared" si="80"/>
        <v>0</v>
      </c>
      <c r="AF104" s="142">
        <f t="shared" si="80"/>
        <v>0</v>
      </c>
      <c r="AG104" s="142">
        <f t="shared" si="80"/>
        <v>0</v>
      </c>
      <c r="AH104" s="142">
        <f t="shared" si="80"/>
        <v>0</v>
      </c>
      <c r="AI104" s="142">
        <f t="shared" si="80"/>
        <v>0</v>
      </c>
      <c r="AJ104" s="142">
        <f t="shared" si="80"/>
        <v>0</v>
      </c>
      <c r="AK104" s="142">
        <f t="shared" si="80"/>
        <v>0</v>
      </c>
      <c r="AL104" s="142">
        <f t="shared" si="80"/>
        <v>0</v>
      </c>
      <c r="AM104" s="142">
        <f t="shared" si="80"/>
        <v>0</v>
      </c>
      <c r="AN104" s="142">
        <f t="shared" si="80"/>
        <v>0</v>
      </c>
      <c r="AO104" s="142">
        <f t="shared" si="80"/>
        <v>0</v>
      </c>
      <c r="AP104" s="142">
        <f t="shared" si="80"/>
        <v>0</v>
      </c>
      <c r="AQ104" s="142">
        <f t="shared" si="80"/>
        <v>0</v>
      </c>
      <c r="AR104" s="142">
        <f t="shared" si="80"/>
        <v>0</v>
      </c>
      <c r="AS104" s="142">
        <f t="shared" si="80"/>
        <v>0</v>
      </c>
      <c r="AT104" s="142">
        <f t="shared" si="80"/>
        <v>0</v>
      </c>
      <c r="AU104" s="142">
        <f t="shared" si="80"/>
        <v>0</v>
      </c>
      <c r="AV104" s="142">
        <f t="shared" si="80"/>
        <v>0</v>
      </c>
      <c r="AW104" s="142">
        <f t="shared" si="80"/>
        <v>0</v>
      </c>
      <c r="AX104" s="142">
        <f t="shared" si="80"/>
        <v>0</v>
      </c>
      <c r="AY104" s="142">
        <f t="shared" si="80"/>
        <v>0</v>
      </c>
      <c r="AZ104" s="142">
        <f t="shared" si="80"/>
        <v>0</v>
      </c>
      <c r="BA104" s="142">
        <f t="shared" si="80"/>
        <v>0</v>
      </c>
      <c r="BB104" s="142">
        <f t="shared" si="80"/>
        <v>0</v>
      </c>
      <c r="BC104" s="142">
        <f t="shared" si="80"/>
        <v>0</v>
      </c>
      <c r="BD104" s="142">
        <f t="shared" si="80"/>
        <v>0</v>
      </c>
      <c r="BE104" s="142">
        <f t="shared" si="80"/>
        <v>0</v>
      </c>
      <c r="BF104" s="142">
        <f t="shared" si="80"/>
        <v>0</v>
      </c>
      <c r="BG104" s="142">
        <f t="shared" si="80"/>
        <v>0</v>
      </c>
      <c r="BH104" s="142">
        <f t="shared" si="80"/>
        <v>0</v>
      </c>
      <c r="BI104" s="142">
        <f t="shared" si="80"/>
        <v>0</v>
      </c>
      <c r="BJ104" s="142">
        <f t="shared" si="80"/>
        <v>0</v>
      </c>
      <c r="BK104" s="142">
        <f t="shared" si="80"/>
        <v>0</v>
      </c>
      <c r="BL104" s="142">
        <f t="shared" si="80"/>
        <v>0</v>
      </c>
      <c r="BM104" s="142">
        <f t="shared" si="80"/>
        <v>0</v>
      </c>
    </row>
    <row r="105" spans="1:65">
      <c r="B105" s="145" t="s">
        <v>138</v>
      </c>
      <c r="C105" s="27"/>
      <c r="D105" s="131" t="s">
        <v>19</v>
      </c>
      <c r="E105" s="141">
        <f t="shared" si="78"/>
        <v>0</v>
      </c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  <c r="BA105" s="142"/>
      <c r="BB105" s="142"/>
      <c r="BC105" s="142"/>
      <c r="BD105" s="142"/>
      <c r="BE105" s="142"/>
      <c r="BF105" s="142"/>
      <c r="BG105" s="142"/>
      <c r="BH105" s="142"/>
      <c r="BI105" s="142"/>
      <c r="BJ105" s="142"/>
      <c r="BK105" s="142"/>
      <c r="BL105" s="142"/>
      <c r="BM105" s="142"/>
    </row>
    <row r="106" spans="1:65">
      <c r="B106" s="27"/>
      <c r="C106" s="28" t="s">
        <v>29</v>
      </c>
      <c r="D106" s="131" t="s">
        <v>19</v>
      </c>
      <c r="E106" s="141">
        <f t="shared" si="78"/>
        <v>0</v>
      </c>
      <c r="F106" s="202"/>
      <c r="G106" s="202"/>
      <c r="H106" s="202"/>
      <c r="I106" s="202"/>
      <c r="J106" s="202"/>
      <c r="K106" s="202"/>
      <c r="L106" s="202"/>
      <c r="M106" s="20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  <c r="BA106" s="142"/>
      <c r="BB106" s="142"/>
      <c r="BC106" s="142"/>
      <c r="BD106" s="142"/>
      <c r="BE106" s="142"/>
      <c r="BF106" s="142"/>
      <c r="BG106" s="142"/>
      <c r="BH106" s="142"/>
      <c r="BI106" s="142"/>
      <c r="BJ106" s="142"/>
      <c r="BK106" s="142"/>
      <c r="BL106" s="142"/>
      <c r="BM106" s="142"/>
    </row>
    <row r="107" spans="1:65">
      <c r="B107" s="27"/>
      <c r="C107" s="28" t="s">
        <v>139</v>
      </c>
      <c r="D107" s="131" t="s">
        <v>19</v>
      </c>
      <c r="E107" s="141">
        <f t="shared" si="78"/>
        <v>0</v>
      </c>
      <c r="F107" s="202"/>
      <c r="G107" s="202"/>
      <c r="H107" s="202"/>
      <c r="I107" s="202"/>
      <c r="J107" s="202"/>
      <c r="K107" s="202"/>
      <c r="L107" s="202"/>
      <c r="M107" s="20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A107" s="142"/>
      <c r="BB107" s="142"/>
      <c r="BC107" s="142"/>
      <c r="BD107" s="142"/>
      <c r="BE107" s="142"/>
      <c r="BF107" s="142"/>
      <c r="BG107" s="142"/>
      <c r="BH107" s="142"/>
      <c r="BI107" s="142"/>
      <c r="BJ107" s="142"/>
      <c r="BK107" s="142"/>
      <c r="BL107" s="142"/>
      <c r="BM107" s="142"/>
    </row>
    <row r="108" spans="1:65">
      <c r="E108" s="148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49"/>
      <c r="AD108" s="149"/>
      <c r="AE108" s="149"/>
      <c r="AF108" s="149"/>
      <c r="AG108" s="149"/>
      <c r="AH108" s="149"/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  <c r="BI108" s="149"/>
      <c r="BJ108" s="149"/>
      <c r="BK108" s="149"/>
      <c r="BL108" s="149"/>
      <c r="BM108" s="149"/>
    </row>
    <row r="109" spans="1:65">
      <c r="A109" s="124"/>
      <c r="B109" s="181" t="s">
        <v>185</v>
      </c>
      <c r="C109" s="181"/>
      <c r="D109" s="175"/>
      <c r="E109" s="180"/>
      <c r="F109" s="180">
        <f>SUM($F87:F88,$F$95:F96)</f>
        <v>0</v>
      </c>
      <c r="G109" s="180">
        <f>SUM($F87:G88,$F$95:G96)</f>
        <v>0</v>
      </c>
      <c r="H109" s="180">
        <f>SUM($F87:H88,$F$95:H96)</f>
        <v>0</v>
      </c>
      <c r="I109" s="180">
        <f>SUM($F87:I88,$F$95:I96)</f>
        <v>0</v>
      </c>
      <c r="J109" s="180">
        <f>SUM($F87:J88,$F$95:J96)</f>
        <v>0</v>
      </c>
      <c r="K109" s="180">
        <f>SUM($F87:K88,$F$95:K96)</f>
        <v>0</v>
      </c>
      <c r="L109" s="180">
        <f>SUM($F87:L88,$F$95:L96)</f>
        <v>0</v>
      </c>
      <c r="M109" s="180">
        <f>SUM($F87:M88,$F$95:M96)</f>
        <v>0</v>
      </c>
      <c r="N109" s="180">
        <f>SUM($F87:N88,$F$95:N96)</f>
        <v>0</v>
      </c>
      <c r="O109" s="180">
        <f>SUM($F87:O88,$F$95:O96)</f>
        <v>0</v>
      </c>
      <c r="P109" s="180">
        <f>SUM($F87:P88,$F$95:P96)</f>
        <v>570.20731627043801</v>
      </c>
      <c r="Q109" s="180">
        <f>SUM($F87:Q88,$F$95:Q96)</f>
        <v>608.91463254087591</v>
      </c>
      <c r="R109" s="180">
        <f>SUM($F87:R88,$F$95:R96)</f>
        <v>647.98914881131384</v>
      </c>
      <c r="S109" s="180">
        <f>SUM($F87:S88,$F$95:S96)</f>
        <v>710.61233663975179</v>
      </c>
      <c r="T109" s="180">
        <f>SUM($F87:T88,$F$95:T96)</f>
        <v>901.59232446818964</v>
      </c>
      <c r="U109" s="180">
        <f>SUM($F87:U88,$F$95:U96)</f>
        <v>1363.4639122966275</v>
      </c>
      <c r="V109" s="180">
        <f>SUM($F87:V88,$F$95:V96)</f>
        <v>2172.0401233930656</v>
      </c>
      <c r="W109" s="180">
        <f>SUM($F87:W88,$F$95:W96)</f>
        <v>3014.6296667962397</v>
      </c>
      <c r="X109" s="180">
        <f>SUM($F87:X88,$F$95:X96)</f>
        <v>5354.1675389531174</v>
      </c>
      <c r="Y109" s="180">
        <f>SUM($F87:Y88,$F$95:Y96)</f>
        <v>7366.1927849809135</v>
      </c>
      <c r="Z109" s="180">
        <f>SUM($F87:Z88,$F$95:Z96)</f>
        <v>9387.2859235267206</v>
      </c>
      <c r="AA109" s="180">
        <f>SUM($F87:AA88,$F$95:AA96)</f>
        <v>11020.043704364318</v>
      </c>
      <c r="AB109" s="180">
        <f>SUM($F87:AB88,$F$95:AB96)</f>
        <v>12663.591990291159</v>
      </c>
      <c r="AC109" s="180">
        <f>SUM($F87:AC88,$F$95:AC96)</f>
        <v>14297.085485214695</v>
      </c>
      <c r="AD109" s="180">
        <f>SUM($F87:AD88,$F$95:AD96)</f>
        <v>15952.423257062237</v>
      </c>
      <c r="AE109" s="180">
        <f>SUM($F87:AE88,$F$95:AE96)</f>
        <v>17611.344066853693</v>
      </c>
      <c r="AF109" s="180">
        <f>SUM($F87:AF88,$F$95:AF96)</f>
        <v>19343.231354464209</v>
      </c>
      <c r="AG109" s="180">
        <f>SUM($F87:AG88,$F$95:AG96)</f>
        <v>21072.766947016356</v>
      </c>
      <c r="AH109" s="180">
        <f>SUM($F87:AH88,$F$95:AH96)</f>
        <v>22815.111206752452</v>
      </c>
      <c r="AI109" s="180">
        <f>SUM($F87:AI88,$F$95:AI96)</f>
        <v>24521.834228312713</v>
      </c>
      <c r="AJ109" s="180">
        <f>SUM($F87:AJ88,$F$95:AJ96)</f>
        <v>773.72544198397009</v>
      </c>
      <c r="AK109" s="180">
        <f>SUM($F87:AK88,$F$95:AK96)</f>
        <v>0</v>
      </c>
      <c r="AL109" s="180">
        <f>SUM($F87:AL88,$F$95:AL96)</f>
        <v>0</v>
      </c>
      <c r="AM109" s="180">
        <f>SUM($F87:AM88,$F$95:AM96)</f>
        <v>0</v>
      </c>
      <c r="AN109" s="180">
        <f>SUM($F87:AN88,$F$95:AN96)</f>
        <v>0</v>
      </c>
      <c r="AO109" s="180">
        <f>SUM($F87:AO88,$F$95:AO96)</f>
        <v>0</v>
      </c>
      <c r="AP109" s="180">
        <f>SUM($F87:AP88,$F$95:AP96)</f>
        <v>0</v>
      </c>
      <c r="AQ109" s="180">
        <f>SUM($F87:AQ88,$F$95:AQ96)</f>
        <v>0</v>
      </c>
      <c r="AR109" s="180">
        <f>SUM($F87:AR88,$F$95:AR96)</f>
        <v>0</v>
      </c>
      <c r="AS109" s="180">
        <f>SUM($F87:AS88,$F$95:AS96)</f>
        <v>0</v>
      </c>
      <c r="AT109" s="180">
        <f>SUM($F87:AT88,$F$95:AT96)</f>
        <v>0</v>
      </c>
      <c r="AU109" s="180">
        <f>SUM($F87:AU88,$F$95:AU96)</f>
        <v>0</v>
      </c>
      <c r="AV109" s="180">
        <f>SUM($F87:AV88,$F$95:AV96)</f>
        <v>0</v>
      </c>
      <c r="AW109" s="180">
        <f>SUM($F87:AW88,$F$95:AW96)</f>
        <v>0</v>
      </c>
      <c r="AX109" s="180">
        <f>SUM($F87:AX88,$F$95:AX96)</f>
        <v>0</v>
      </c>
      <c r="AY109" s="180">
        <f>SUM($F87:AY88,$F$95:AY96)</f>
        <v>0</v>
      </c>
      <c r="AZ109" s="180">
        <f>SUM($F87:AZ88,$F$95:AZ96)</f>
        <v>0</v>
      </c>
      <c r="BA109" s="180">
        <f>SUM($F87:BA88,$F$95:BA96)</f>
        <v>0</v>
      </c>
      <c r="BB109" s="180">
        <f>SUM($F87:BB88,$F$95:BB96)</f>
        <v>0</v>
      </c>
      <c r="BC109" s="180">
        <f>SUM($F87:BC88,$F$95:BC96)</f>
        <v>0</v>
      </c>
      <c r="BD109" s="180">
        <f>SUM($F87:BD88,$F$95:BD96)</f>
        <v>0</v>
      </c>
      <c r="BE109" s="180">
        <f>SUM($F87:BE88,$F$95:BE96)</f>
        <v>0</v>
      </c>
      <c r="BF109" s="180">
        <f>SUM($F87:BF88,$F$95:BF96)</f>
        <v>0</v>
      </c>
      <c r="BG109" s="180">
        <f>SUM($F87:BG88,$F$95:BG96)</f>
        <v>0</v>
      </c>
      <c r="BH109" s="180">
        <f>SUM($F87:BH88,$F$95:BH96)</f>
        <v>0</v>
      </c>
      <c r="BI109" s="180">
        <f>SUM($F87:BI88,$F$95:BI96)</f>
        <v>0</v>
      </c>
      <c r="BJ109" s="180">
        <f>SUM($F87:BJ88,$F$95:BJ96)</f>
        <v>0</v>
      </c>
      <c r="BK109" s="180">
        <f>SUM($F87:BK88,$F$95:BK96)</f>
        <v>0</v>
      </c>
      <c r="BL109" s="180">
        <f>SUM($F87:BL88,$F$95:BL96)</f>
        <v>0</v>
      </c>
      <c r="BM109" s="180">
        <f>SUM($F87:BM88,$F$95:BM96)</f>
        <v>0</v>
      </c>
    </row>
    <row r="110" spans="1:65">
      <c r="E110" s="148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  <c r="AE110" s="149"/>
      <c r="AF110" s="149"/>
      <c r="AG110" s="149"/>
      <c r="AH110" s="149"/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  <c r="BI110" s="149"/>
      <c r="BJ110" s="149"/>
      <c r="BK110" s="149"/>
      <c r="BL110" s="149"/>
      <c r="BM110" s="149"/>
    </row>
    <row r="111" spans="1:65">
      <c r="B111" s="181" t="s">
        <v>60</v>
      </c>
      <c r="C111" s="181"/>
      <c r="D111" s="175"/>
      <c r="E111" s="179">
        <f>SUM(F111:BM111)</f>
        <v>-2634.0133022407013</v>
      </c>
      <c r="F111" s="180">
        <f>SUM(F112,F127)</f>
        <v>0</v>
      </c>
      <c r="G111" s="180">
        <f t="shared" ref="G111:BM111" si="81">SUM(G112,G127)</f>
        <v>0</v>
      </c>
      <c r="H111" s="180">
        <f t="shared" si="81"/>
        <v>0</v>
      </c>
      <c r="I111" s="180">
        <f t="shared" si="81"/>
        <v>0</v>
      </c>
      <c r="J111" s="180">
        <f t="shared" si="81"/>
        <v>0</v>
      </c>
      <c r="K111" s="180">
        <f t="shared" si="81"/>
        <v>0</v>
      </c>
      <c r="L111" s="180">
        <f t="shared" si="81"/>
        <v>0</v>
      </c>
      <c r="M111" s="180">
        <f t="shared" si="81"/>
        <v>0</v>
      </c>
      <c r="N111" s="180">
        <f t="shared" si="81"/>
        <v>0</v>
      </c>
      <c r="O111" s="180">
        <f t="shared" si="81"/>
        <v>0</v>
      </c>
      <c r="P111" s="180">
        <f t="shared" si="81"/>
        <v>0</v>
      </c>
      <c r="Q111" s="180">
        <f t="shared" si="81"/>
        <v>0</v>
      </c>
      <c r="R111" s="180">
        <f t="shared" si="81"/>
        <v>0</v>
      </c>
      <c r="S111" s="180">
        <f t="shared" si="81"/>
        <v>0</v>
      </c>
      <c r="T111" s="180">
        <f t="shared" si="81"/>
        <v>0</v>
      </c>
      <c r="U111" s="180">
        <f t="shared" si="81"/>
        <v>0</v>
      </c>
      <c r="V111" s="180">
        <f t="shared" si="81"/>
        <v>0</v>
      </c>
      <c r="W111" s="180">
        <f t="shared" si="81"/>
        <v>0</v>
      </c>
      <c r="X111" s="180">
        <f t="shared" si="81"/>
        <v>0</v>
      </c>
      <c r="Y111" s="180">
        <f t="shared" si="81"/>
        <v>0</v>
      </c>
      <c r="Z111" s="180">
        <f t="shared" si="81"/>
        <v>0</v>
      </c>
      <c r="AA111" s="180">
        <f t="shared" si="81"/>
        <v>0</v>
      </c>
      <c r="AB111" s="180">
        <f t="shared" si="81"/>
        <v>0</v>
      </c>
      <c r="AC111" s="180">
        <f t="shared" si="81"/>
        <v>0</v>
      </c>
      <c r="AD111" s="180">
        <f t="shared" si="81"/>
        <v>0</v>
      </c>
      <c r="AE111" s="180">
        <f t="shared" si="81"/>
        <v>0</v>
      </c>
      <c r="AF111" s="180">
        <f t="shared" si="81"/>
        <v>0</v>
      </c>
      <c r="AG111" s="180">
        <f t="shared" si="81"/>
        <v>0</v>
      </c>
      <c r="AH111" s="180">
        <f t="shared" si="81"/>
        <v>0</v>
      </c>
      <c r="AI111" s="180">
        <f t="shared" si="81"/>
        <v>0</v>
      </c>
      <c r="AJ111" s="180">
        <f t="shared" si="81"/>
        <v>-1353.2476856667822</v>
      </c>
      <c r="AK111" s="180">
        <f t="shared" si="81"/>
        <v>-317.20846347828086</v>
      </c>
      <c r="AL111" s="180">
        <f t="shared" si="81"/>
        <v>-409.20212886260197</v>
      </c>
      <c r="AM111" s="180">
        <f t="shared" si="81"/>
        <v>-317.68916103143852</v>
      </c>
      <c r="AN111" s="180">
        <f t="shared" si="81"/>
        <v>-236.66586320159735</v>
      </c>
      <c r="AO111" s="180">
        <f t="shared" si="81"/>
        <v>0</v>
      </c>
      <c r="AP111" s="180">
        <f t="shared" si="81"/>
        <v>-1.27675647831893E-15</v>
      </c>
      <c r="AQ111" s="180">
        <f t="shared" si="81"/>
        <v>0</v>
      </c>
      <c r="AR111" s="180">
        <f t="shared" si="81"/>
        <v>0</v>
      </c>
      <c r="AS111" s="180">
        <f t="shared" si="81"/>
        <v>0</v>
      </c>
      <c r="AT111" s="180">
        <f t="shared" si="81"/>
        <v>0</v>
      </c>
      <c r="AU111" s="180">
        <f t="shared" si="81"/>
        <v>0</v>
      </c>
      <c r="AV111" s="180">
        <f t="shared" si="81"/>
        <v>0</v>
      </c>
      <c r="AW111" s="180">
        <f t="shared" si="81"/>
        <v>0</v>
      </c>
      <c r="AX111" s="180">
        <f t="shared" si="81"/>
        <v>0</v>
      </c>
      <c r="AY111" s="180">
        <f t="shared" si="81"/>
        <v>0</v>
      </c>
      <c r="AZ111" s="180">
        <f t="shared" si="81"/>
        <v>0</v>
      </c>
      <c r="BA111" s="180">
        <f t="shared" si="81"/>
        <v>0</v>
      </c>
      <c r="BB111" s="180">
        <f t="shared" si="81"/>
        <v>0</v>
      </c>
      <c r="BC111" s="180">
        <f t="shared" si="81"/>
        <v>0</v>
      </c>
      <c r="BD111" s="180">
        <f t="shared" si="81"/>
        <v>0</v>
      </c>
      <c r="BE111" s="180">
        <f t="shared" si="81"/>
        <v>0</v>
      </c>
      <c r="BF111" s="180">
        <f t="shared" si="81"/>
        <v>0</v>
      </c>
      <c r="BG111" s="180">
        <f t="shared" si="81"/>
        <v>0</v>
      </c>
      <c r="BH111" s="180">
        <f t="shared" si="81"/>
        <v>0</v>
      </c>
      <c r="BI111" s="180">
        <f t="shared" si="81"/>
        <v>0</v>
      </c>
      <c r="BJ111" s="180">
        <f t="shared" si="81"/>
        <v>0</v>
      </c>
      <c r="BK111" s="180">
        <f t="shared" si="81"/>
        <v>0</v>
      </c>
      <c r="BL111" s="180">
        <f t="shared" si="81"/>
        <v>0</v>
      </c>
      <c r="BM111" s="180">
        <f t="shared" si="81"/>
        <v>0</v>
      </c>
    </row>
    <row r="112" spans="1:65">
      <c r="B112" s="145" t="s">
        <v>21</v>
      </c>
      <c r="C112" s="27"/>
      <c r="D112" s="150"/>
      <c r="E112" s="141">
        <f>SUM(F112:BM112)</f>
        <v>-157.13718349222421</v>
      </c>
      <c r="F112" s="202"/>
      <c r="G112" s="202"/>
      <c r="H112" s="202"/>
      <c r="I112" s="202"/>
      <c r="J112" s="202"/>
      <c r="K112" s="202"/>
      <c r="L112" s="202"/>
      <c r="M112" s="202"/>
      <c r="N112" s="142">
        <f t="shared" ref="N112:BM112" si="82">M113+M120</f>
        <v>0</v>
      </c>
      <c r="O112" s="142">
        <f t="shared" si="82"/>
        <v>0</v>
      </c>
      <c r="P112" s="142">
        <f t="shared" si="82"/>
        <v>0</v>
      </c>
      <c r="Q112" s="142">
        <f t="shared" si="82"/>
        <v>0</v>
      </c>
      <c r="R112" s="142">
        <f t="shared" si="82"/>
        <v>0</v>
      </c>
      <c r="S112" s="142">
        <f t="shared" si="82"/>
        <v>0</v>
      </c>
      <c r="T112" s="142">
        <f t="shared" si="82"/>
        <v>0</v>
      </c>
      <c r="U112" s="142">
        <f t="shared" si="82"/>
        <v>0</v>
      </c>
      <c r="V112" s="142">
        <f t="shared" si="82"/>
        <v>0</v>
      </c>
      <c r="W112" s="142">
        <f t="shared" si="82"/>
        <v>0</v>
      </c>
      <c r="X112" s="142">
        <f t="shared" si="82"/>
        <v>0</v>
      </c>
      <c r="Y112" s="142">
        <f t="shared" si="82"/>
        <v>0</v>
      </c>
      <c r="Z112" s="142">
        <f t="shared" si="82"/>
        <v>0</v>
      </c>
      <c r="AA112" s="142">
        <f t="shared" si="82"/>
        <v>0</v>
      </c>
      <c r="AB112" s="142">
        <f t="shared" si="82"/>
        <v>0</v>
      </c>
      <c r="AC112" s="142">
        <f t="shared" si="82"/>
        <v>0</v>
      </c>
      <c r="AD112" s="142">
        <f t="shared" si="82"/>
        <v>0</v>
      </c>
      <c r="AE112" s="142">
        <f t="shared" si="82"/>
        <v>0</v>
      </c>
      <c r="AF112" s="142">
        <f t="shared" si="82"/>
        <v>0</v>
      </c>
      <c r="AG112" s="142">
        <f t="shared" si="82"/>
        <v>0</v>
      </c>
      <c r="AH112" s="142">
        <f t="shared" si="82"/>
        <v>0</v>
      </c>
      <c r="AI112" s="142">
        <f t="shared" si="82"/>
        <v>0</v>
      </c>
      <c r="AJ112" s="142">
        <f t="shared" si="82"/>
        <v>0</v>
      </c>
      <c r="AK112" s="142">
        <f t="shared" si="82"/>
        <v>0</v>
      </c>
      <c r="AL112" s="142">
        <f t="shared" si="82"/>
        <v>-78.568591746112105</v>
      </c>
      <c r="AM112" s="142">
        <f t="shared" si="82"/>
        <v>-78.568591746112105</v>
      </c>
      <c r="AN112" s="142">
        <f t="shared" si="82"/>
        <v>0</v>
      </c>
      <c r="AO112" s="142">
        <f t="shared" si="82"/>
        <v>0</v>
      </c>
      <c r="AP112" s="142">
        <f t="shared" si="82"/>
        <v>0</v>
      </c>
      <c r="AQ112" s="142">
        <f t="shared" si="82"/>
        <v>0</v>
      </c>
      <c r="AR112" s="142">
        <f t="shared" si="82"/>
        <v>0</v>
      </c>
      <c r="AS112" s="142">
        <f t="shared" si="82"/>
        <v>0</v>
      </c>
      <c r="AT112" s="142">
        <f t="shared" si="82"/>
        <v>0</v>
      </c>
      <c r="AU112" s="142">
        <f t="shared" si="82"/>
        <v>0</v>
      </c>
      <c r="AV112" s="142">
        <f t="shared" si="82"/>
        <v>0</v>
      </c>
      <c r="AW112" s="142">
        <f t="shared" si="82"/>
        <v>0</v>
      </c>
      <c r="AX112" s="142">
        <f t="shared" si="82"/>
        <v>0</v>
      </c>
      <c r="AY112" s="142">
        <f t="shared" si="82"/>
        <v>0</v>
      </c>
      <c r="AZ112" s="142">
        <f t="shared" si="82"/>
        <v>0</v>
      </c>
      <c r="BA112" s="142">
        <f t="shared" si="82"/>
        <v>0</v>
      </c>
      <c r="BB112" s="142">
        <f t="shared" si="82"/>
        <v>0</v>
      </c>
      <c r="BC112" s="142">
        <f t="shared" si="82"/>
        <v>0</v>
      </c>
      <c r="BD112" s="142">
        <f t="shared" si="82"/>
        <v>0</v>
      </c>
      <c r="BE112" s="142">
        <f t="shared" si="82"/>
        <v>0</v>
      </c>
      <c r="BF112" s="142">
        <f t="shared" si="82"/>
        <v>0</v>
      </c>
      <c r="BG112" s="142">
        <f t="shared" si="82"/>
        <v>0</v>
      </c>
      <c r="BH112" s="142">
        <f t="shared" si="82"/>
        <v>0</v>
      </c>
      <c r="BI112" s="142">
        <f t="shared" si="82"/>
        <v>0</v>
      </c>
      <c r="BJ112" s="142">
        <f t="shared" si="82"/>
        <v>0</v>
      </c>
      <c r="BK112" s="142">
        <f t="shared" si="82"/>
        <v>0</v>
      </c>
      <c r="BL112" s="142">
        <f t="shared" si="82"/>
        <v>0</v>
      </c>
      <c r="BM112" s="142">
        <f t="shared" si="82"/>
        <v>0</v>
      </c>
    </row>
    <row r="113" spans="1:65" s="151" customFormat="1" hidden="1" outlineLevel="1">
      <c r="B113" s="152"/>
      <c r="C113" s="152" t="s">
        <v>73</v>
      </c>
      <c r="D113" s="153"/>
      <c r="E113" s="154">
        <f t="shared" ref="E113:E163" si="83">SUM(F113:BM113)</f>
        <v>-412.95682499999992</v>
      </c>
      <c r="F113" s="155">
        <f>SUM(F114:F119)</f>
        <v>0</v>
      </c>
      <c r="G113" s="155">
        <f t="shared" ref="G113:BM113" si="84">SUM(G114:G119)</f>
        <v>0</v>
      </c>
      <c r="H113" s="155">
        <f t="shared" si="84"/>
        <v>0</v>
      </c>
      <c r="I113" s="564">
        <f t="shared" si="84"/>
        <v>0</v>
      </c>
      <c r="J113" s="564">
        <f t="shared" si="84"/>
        <v>0</v>
      </c>
      <c r="K113" s="564">
        <f t="shared" si="84"/>
        <v>0</v>
      </c>
      <c r="L113" s="564">
        <f t="shared" si="84"/>
        <v>0</v>
      </c>
      <c r="M113" s="564">
        <f t="shared" si="84"/>
        <v>0</v>
      </c>
      <c r="N113" s="155">
        <f t="shared" si="84"/>
        <v>0</v>
      </c>
      <c r="O113" s="155">
        <f t="shared" si="84"/>
        <v>0</v>
      </c>
      <c r="P113" s="155">
        <f t="shared" si="84"/>
        <v>0</v>
      </c>
      <c r="Q113" s="155">
        <f t="shared" si="84"/>
        <v>0</v>
      </c>
      <c r="R113" s="155">
        <f t="shared" si="84"/>
        <v>0</v>
      </c>
      <c r="S113" s="155">
        <f t="shared" si="84"/>
        <v>0</v>
      </c>
      <c r="T113" s="155">
        <f t="shared" si="84"/>
        <v>0</v>
      </c>
      <c r="U113" s="155">
        <f t="shared" si="84"/>
        <v>0</v>
      </c>
      <c r="V113" s="155">
        <f t="shared" si="84"/>
        <v>0</v>
      </c>
      <c r="W113" s="155">
        <f t="shared" si="84"/>
        <v>0</v>
      </c>
      <c r="X113" s="155">
        <f t="shared" si="84"/>
        <v>0</v>
      </c>
      <c r="Y113" s="155">
        <f t="shared" si="84"/>
        <v>0</v>
      </c>
      <c r="Z113" s="155">
        <f t="shared" si="84"/>
        <v>0</v>
      </c>
      <c r="AA113" s="155">
        <f t="shared" si="84"/>
        <v>0</v>
      </c>
      <c r="AB113" s="155">
        <f t="shared" si="84"/>
        <v>0</v>
      </c>
      <c r="AC113" s="155">
        <f t="shared" si="84"/>
        <v>0</v>
      </c>
      <c r="AD113" s="155">
        <f t="shared" si="84"/>
        <v>0</v>
      </c>
      <c r="AE113" s="155">
        <f t="shared" si="84"/>
        <v>0</v>
      </c>
      <c r="AF113" s="155">
        <f t="shared" si="84"/>
        <v>0</v>
      </c>
      <c r="AG113" s="155">
        <f t="shared" si="84"/>
        <v>0</v>
      </c>
      <c r="AH113" s="155">
        <f t="shared" si="84"/>
        <v>0</v>
      </c>
      <c r="AI113" s="155">
        <f t="shared" si="84"/>
        <v>0</v>
      </c>
      <c r="AJ113" s="155">
        <f t="shared" si="84"/>
        <v>-22.5</v>
      </c>
      <c r="AK113" s="155">
        <f t="shared" si="84"/>
        <v>-171.60341249999996</v>
      </c>
      <c r="AL113" s="155">
        <f t="shared" si="84"/>
        <v>-171.60341249999996</v>
      </c>
      <c r="AM113" s="155">
        <f t="shared" si="84"/>
        <v>-22.5</v>
      </c>
      <c r="AN113" s="155">
        <f t="shared" si="84"/>
        <v>-24.75</v>
      </c>
      <c r="AO113" s="155">
        <f t="shared" si="84"/>
        <v>0</v>
      </c>
      <c r="AP113" s="155">
        <f t="shared" si="84"/>
        <v>0</v>
      </c>
      <c r="AQ113" s="155">
        <f t="shared" si="84"/>
        <v>0</v>
      </c>
      <c r="AR113" s="155">
        <f t="shared" si="84"/>
        <v>0</v>
      </c>
      <c r="AS113" s="155">
        <f t="shared" si="84"/>
        <v>0</v>
      </c>
      <c r="AT113" s="155">
        <f t="shared" si="84"/>
        <v>0</v>
      </c>
      <c r="AU113" s="155">
        <f t="shared" si="84"/>
        <v>0</v>
      </c>
      <c r="AV113" s="155">
        <f t="shared" si="84"/>
        <v>0</v>
      </c>
      <c r="AW113" s="155">
        <f t="shared" si="84"/>
        <v>0</v>
      </c>
      <c r="AX113" s="155">
        <f t="shared" si="84"/>
        <v>0</v>
      </c>
      <c r="AY113" s="155">
        <f t="shared" si="84"/>
        <v>0</v>
      </c>
      <c r="AZ113" s="155">
        <f t="shared" si="84"/>
        <v>0</v>
      </c>
      <c r="BA113" s="155">
        <f t="shared" si="84"/>
        <v>0</v>
      </c>
      <c r="BB113" s="155">
        <f t="shared" si="84"/>
        <v>0</v>
      </c>
      <c r="BC113" s="155">
        <f t="shared" si="84"/>
        <v>0</v>
      </c>
      <c r="BD113" s="155">
        <f t="shared" si="84"/>
        <v>0</v>
      </c>
      <c r="BE113" s="155">
        <f t="shared" si="84"/>
        <v>0</v>
      </c>
      <c r="BF113" s="155">
        <f t="shared" si="84"/>
        <v>0</v>
      </c>
      <c r="BG113" s="155">
        <f t="shared" si="84"/>
        <v>0</v>
      </c>
      <c r="BH113" s="155">
        <f t="shared" si="84"/>
        <v>0</v>
      </c>
      <c r="BI113" s="155">
        <f t="shared" si="84"/>
        <v>0</v>
      </c>
      <c r="BJ113" s="155">
        <f t="shared" si="84"/>
        <v>0</v>
      </c>
      <c r="BK113" s="155">
        <f t="shared" si="84"/>
        <v>0</v>
      </c>
      <c r="BL113" s="155">
        <f t="shared" si="84"/>
        <v>0</v>
      </c>
      <c r="BM113" s="155">
        <f t="shared" si="84"/>
        <v>0</v>
      </c>
    </row>
    <row r="114" spans="1:65" s="134" customFormat="1" hidden="1" outlineLevel="1">
      <c r="A114" s="156">
        <f>-E114</f>
        <v>0</v>
      </c>
      <c r="B114" s="157"/>
      <c r="C114" s="157"/>
      <c r="D114" s="158" t="str">
        <f>'DB2'!B9</f>
        <v>АПАРТАМЕНТЫ</v>
      </c>
      <c r="E114" s="154">
        <f t="shared" si="83"/>
        <v>0</v>
      </c>
      <c r="F114" s="159">
        <f>-F27*(1-F$174)/(1+'TS2'!$J$84)*'TS2'!$J$84</f>
        <v>0</v>
      </c>
      <c r="G114" s="159">
        <f>-G27*(1-G$174)/(1+'TS2'!$J$84)*'TS2'!$J$84</f>
        <v>0</v>
      </c>
      <c r="H114" s="159">
        <f>-H27*(1-H$174)/(1+'TS2'!$J$84)*'TS2'!$J$84</f>
        <v>0</v>
      </c>
      <c r="I114" s="565">
        <f>-I27*(1-I$174)/(1+'TS2'!$J$84)*'TS2'!$J$84</f>
        <v>0</v>
      </c>
      <c r="J114" s="565">
        <f>-J27*(1-J$174)/(1+'TS2'!$J$84)*'TS2'!$J$84</f>
        <v>0</v>
      </c>
      <c r="K114" s="565">
        <f>-K27*(1-K$174)/(1+'TS2'!$J$84)*'TS2'!$J$84</f>
        <v>0</v>
      </c>
      <c r="L114" s="565">
        <f>-L27*(1-L$174)/(1+'TS2'!$J$84)*'TS2'!$J$84</f>
        <v>0</v>
      </c>
      <c r="M114" s="565">
        <f>-M27*(1-M$174)/(1+'TS2'!$J$84)*'TS2'!$J$84</f>
        <v>0</v>
      </c>
      <c r="N114" s="159">
        <f>-N27*(1-N$174)/(1+'TS2'!$J$84)*'TS2'!$J$84</f>
        <v>0</v>
      </c>
      <c r="O114" s="159">
        <f>-O27*(1-O$174)/(1+'TS2'!$J$84)*'TS2'!$J$84</f>
        <v>0</v>
      </c>
      <c r="P114" s="159">
        <f>-P27*(1-P$174)/(1+'TS2'!$J$84)*'TS2'!$J$84</f>
        <v>0</v>
      </c>
      <c r="Q114" s="159">
        <f>-Q27*(1-Q$174)/(1+'TS2'!$J$84)*'TS2'!$J$84</f>
        <v>0</v>
      </c>
      <c r="R114" s="159">
        <f>-R27*(1-R$174)/(1+'TS2'!$J$84)*'TS2'!$J$84</f>
        <v>0</v>
      </c>
      <c r="S114" s="159">
        <f>-S27*(1-S$174)/(1+'TS2'!$J$84)*'TS2'!$J$84</f>
        <v>0</v>
      </c>
      <c r="T114" s="159">
        <f>-T27*(1-T$174)/(1+'TS2'!$J$84)*'TS2'!$J$84</f>
        <v>0</v>
      </c>
      <c r="U114" s="159">
        <f>-U27*(1-U$174)/(1+'TS2'!$J$84)*'TS2'!$J$84</f>
        <v>0</v>
      </c>
      <c r="V114" s="159">
        <f>-V27*(1-V$174)/(1+'TS2'!$J$84)*'TS2'!$J$84</f>
        <v>0</v>
      </c>
      <c r="W114" s="159">
        <f>-W27*(1-W$174)/(1+'TS2'!$J$84)*'TS2'!$J$84</f>
        <v>0</v>
      </c>
      <c r="X114" s="159">
        <f>-X27*(1-X$174)/(1+'TS2'!$J$84)*'TS2'!$J$84</f>
        <v>0</v>
      </c>
      <c r="Y114" s="159">
        <f>-Y27*(1-Y$174)/(1+'TS2'!$J$84)*'TS2'!$J$84</f>
        <v>0</v>
      </c>
      <c r="Z114" s="159">
        <f>-Z27*(1-Z$174)/(1+'TS2'!$J$84)*'TS2'!$J$84</f>
        <v>0</v>
      </c>
      <c r="AA114" s="159">
        <f>-AA27*(1-AA$174)/(1+'TS2'!$J$84)*'TS2'!$J$84</f>
        <v>0</v>
      </c>
      <c r="AB114" s="159">
        <f>-AB27*(1-AB$174)/(1+'TS2'!$J$84)*'TS2'!$J$84</f>
        <v>0</v>
      </c>
      <c r="AC114" s="159">
        <f>-AC27*(1-AC$174)/(1+'TS2'!$J$84)*'TS2'!$J$84</f>
        <v>0</v>
      </c>
      <c r="AD114" s="159">
        <f>-AD27*(1-AD$174)/(1+'TS2'!$J$84)*'TS2'!$J$84</f>
        <v>0</v>
      </c>
      <c r="AE114" s="159">
        <f>-AE27*(1-AE$174)/(1+'TS2'!$J$84)*'TS2'!$J$84</f>
        <v>0</v>
      </c>
      <c r="AF114" s="159">
        <f>-AF27*(1-AF$174)/(1+'TS2'!$J$84)*'TS2'!$J$84</f>
        <v>0</v>
      </c>
      <c r="AG114" s="159">
        <f>-AG27*(1-AG$174)/(1+'TS2'!$J$84)*'TS2'!$J$84</f>
        <v>0</v>
      </c>
      <c r="AH114" s="159">
        <f>-AH27*(1-AH$174)/(1+'TS2'!$J$84)*'TS2'!$J$84</f>
        <v>0</v>
      </c>
      <c r="AI114" s="159">
        <f>-AI27*(1-AI$174)/(1+'TS2'!$J$84)*'TS2'!$J$84</f>
        <v>0</v>
      </c>
      <c r="AJ114" s="159">
        <f>-AJ27*(1-AJ$174)/(1+'TS2'!$J$84)*'TS2'!$J$84</f>
        <v>0</v>
      </c>
      <c r="AK114" s="159">
        <f>-AK27*(1-AK$174)/(1+'TS2'!$J$84)*'TS2'!$J$84</f>
        <v>0</v>
      </c>
      <c r="AL114" s="159">
        <f>-AL27*(1-AL$174)/(1+'TS2'!$J$84)*'TS2'!$J$84</f>
        <v>0</v>
      </c>
      <c r="AM114" s="159">
        <f>-AM27*(1-AM$174)/(1+'TS2'!$J$84)*'TS2'!$J$84</f>
        <v>0</v>
      </c>
      <c r="AN114" s="159">
        <f>-AN27*(1-AN$174)/(1+'TS2'!$J$84)*'TS2'!$J$84</f>
        <v>0</v>
      </c>
      <c r="AO114" s="159">
        <f>-AO27*(1-AO$174)/(1+'TS2'!$J$84)*'TS2'!$J$84</f>
        <v>0</v>
      </c>
      <c r="AP114" s="159">
        <f>-AP27*(1-AP$174)/(1+'TS2'!$J$84)*'TS2'!$J$84</f>
        <v>0</v>
      </c>
      <c r="AQ114" s="159">
        <f>-AQ27*(1-AQ$174)/(1+'TS2'!$J$84)*'TS2'!$J$84</f>
        <v>0</v>
      </c>
      <c r="AR114" s="159">
        <f>-AR27*(1-AR$174)/(1+'TS2'!$J$84)*'TS2'!$J$84</f>
        <v>0</v>
      </c>
      <c r="AS114" s="159">
        <f>-AS27*(1-AS$174)/(1+'TS2'!$J$84)*'TS2'!$J$84</f>
        <v>0</v>
      </c>
      <c r="AT114" s="159">
        <f>-AT27*(1-AT$174)/(1+'TS2'!$J$84)*'TS2'!$J$84</f>
        <v>0</v>
      </c>
      <c r="AU114" s="159">
        <f>-AU27*(1-AU$174)/(1+'TS2'!$J$84)*'TS2'!$J$84</f>
        <v>0</v>
      </c>
      <c r="AV114" s="159">
        <f>-AV27*(1-AV$174)/(1+'TS2'!$J$84)*'TS2'!$J$84</f>
        <v>0</v>
      </c>
      <c r="AW114" s="159">
        <f>-AW27*(1-AW$174)/(1+'TS2'!$J$84)*'TS2'!$J$84</f>
        <v>0</v>
      </c>
      <c r="AX114" s="159">
        <f>-AX27*(1-AX$174)/(1+'TS2'!$J$84)*'TS2'!$J$84</f>
        <v>0</v>
      </c>
      <c r="AY114" s="159">
        <f>-AY27*(1-AY$174)/(1+'TS2'!$J$84)*'TS2'!$J$84</f>
        <v>0</v>
      </c>
      <c r="AZ114" s="159">
        <f>-AZ27*(1-AZ$174)/(1+'TS2'!$J$84)*'TS2'!$J$84</f>
        <v>0</v>
      </c>
      <c r="BA114" s="159">
        <f>-BA27*(1-BA$174)/(1+'TS2'!$J$84)*'TS2'!$J$84</f>
        <v>0</v>
      </c>
      <c r="BB114" s="159">
        <f>-BB27*(1-BB$174)/(1+'TS2'!$J$84)*'TS2'!$J$84</f>
        <v>0</v>
      </c>
      <c r="BC114" s="159">
        <f>-BC27*(1-BC$174)/(1+'TS2'!$J$84)*'TS2'!$J$84</f>
        <v>0</v>
      </c>
      <c r="BD114" s="159">
        <f>-BD27*(1-BD$174)/(1+'TS2'!$J$84)*'TS2'!$J$84</f>
        <v>0</v>
      </c>
      <c r="BE114" s="159">
        <f>-BE27*(1-BE$174)/(1+'TS2'!$J$84)*'TS2'!$J$84</f>
        <v>0</v>
      </c>
      <c r="BF114" s="159">
        <f>-BF27*(1-BF$174)/(1+'TS2'!$J$84)*'TS2'!$J$84</f>
        <v>0</v>
      </c>
      <c r="BG114" s="159">
        <f>-BG27*(1-BG$174)/(1+'TS2'!$J$84)*'TS2'!$J$84</f>
        <v>0</v>
      </c>
      <c r="BH114" s="159">
        <f>-BH27*(1-BH$174)/(1+'TS2'!$J$84)*'TS2'!$J$84</f>
        <v>0</v>
      </c>
      <c r="BI114" s="159">
        <f>-BI27*(1-BI$174)/(1+'TS2'!$J$84)*'TS2'!$J$84</f>
        <v>0</v>
      </c>
      <c r="BJ114" s="159">
        <f>-BJ27*(1-BJ$174)/(1+'TS2'!$J$84)*'TS2'!$J$84</f>
        <v>0</v>
      </c>
      <c r="BK114" s="159">
        <f>-BK27*(1-BK$174)/(1+'TS2'!$J$84)*'TS2'!$J$84</f>
        <v>0</v>
      </c>
      <c r="BL114" s="159">
        <f>-BL27*(1-BL$174)/(1+'TS2'!$J$84)*'TS2'!$J$84</f>
        <v>0</v>
      </c>
      <c r="BM114" s="159">
        <f>-BM27*(1-BM$174)/(1+'TS2'!$J$84)*'TS2'!$J$84</f>
        <v>0</v>
      </c>
    </row>
    <row r="115" spans="1:65" s="134" customFormat="1" hidden="1" outlineLevel="1">
      <c r="A115" s="156">
        <f t="shared" ref="A115:A119" si="85">-E115</f>
        <v>0</v>
      </c>
      <c r="B115" s="157"/>
      <c r="C115" s="157"/>
      <c r="D115" s="158" t="str">
        <f>'DB2'!B10</f>
        <v>ОФИСЫ</v>
      </c>
      <c r="E115" s="154">
        <f t="shared" si="83"/>
        <v>0</v>
      </c>
      <c r="F115" s="159"/>
      <c r="G115" s="159">
        <f>-SUM($F$28:G28)*(1-G$174)/(1+'TS2'!$J$84)*'TS2'!$J$84-SUM($F$115:F115)</f>
        <v>0</v>
      </c>
      <c r="H115" s="159">
        <f>-SUM($F$28:H28)*(1-H$174)/(1+'TS2'!$J$84)*'TS2'!$J$84-SUM($F$115:G115)</f>
        <v>0</v>
      </c>
      <c r="I115" s="565">
        <f>-SUM($F$28:I28)*(1-I$174)/(1+'TS2'!$J$84)*'TS2'!$J$84-SUM($F$115:H115)</f>
        <v>0</v>
      </c>
      <c r="J115" s="565">
        <f>-SUM($F$28:J28)*(1-J$174)/(1+'TS2'!$J$84)*'TS2'!$J$84-SUM($F$115:I115)</f>
        <v>0</v>
      </c>
      <c r="K115" s="565">
        <f>-SUM($F$28:K28)*(1-K$174)/(1+'TS2'!$J$84)*'TS2'!$J$84-SUM($F$115:J115)</f>
        <v>0</v>
      </c>
      <c r="L115" s="565">
        <f>-SUM($F$28:L28)*(1-L$174)/(1+'TS2'!$J$84)*'TS2'!$J$84-SUM($F$115:K115)</f>
        <v>0</v>
      </c>
      <c r="M115" s="565">
        <f>-SUM($F$28:M28)*(1-M$174)/(1+'TS2'!$J$84)*'TS2'!$J$84-SUM($F$115:L115)</f>
        <v>0</v>
      </c>
      <c r="N115" s="159">
        <f>-SUM($F$28:N28)*(1-N$174)/(1+'TS2'!$J$84)*'TS2'!$J$84-SUM($F$115:M115)</f>
        <v>0</v>
      </c>
      <c r="O115" s="159">
        <f>-SUM($F$28:O28)*(1-O$174)/(1+'TS2'!$J$84)*'TS2'!$J$84-SUM($F$115:N115)</f>
        <v>0</v>
      </c>
      <c r="P115" s="159">
        <f>-SUM($F$28:P28)*(1-P$174)/(1+'TS2'!$J$84)*'TS2'!$J$84-SUM($F$115:O115)</f>
        <v>0</v>
      </c>
      <c r="Q115" s="159">
        <f>-SUM($F$28:Q28)*(1-Q$174)/(1+'TS2'!$J$84)*'TS2'!$J$84-SUM($F$115:P115)</f>
        <v>0</v>
      </c>
      <c r="R115" s="159">
        <f>-SUM($F$28:R28)*(1-R$174)/(1+'TS2'!$J$84)*'TS2'!$J$84-SUM($F$115:Q115)</f>
        <v>0</v>
      </c>
      <c r="S115" s="159">
        <f>-SUM($F$28:S28)*(1-S$174)/(1+'TS2'!$J$84)*'TS2'!$J$84-SUM($F$115:R115)</f>
        <v>0</v>
      </c>
      <c r="T115" s="159">
        <f>-SUM($F$28:T28)*(1-T$174)/(1+'TS2'!$J$84)*'TS2'!$J$84-SUM($F$115:S115)</f>
        <v>0</v>
      </c>
      <c r="U115" s="159">
        <f>-SUM($F$28:U28)*(1-U$174)/(1+'TS2'!$J$84)*'TS2'!$J$84-SUM($F$115:T115)</f>
        <v>0</v>
      </c>
      <c r="V115" s="159">
        <f>-SUM($F$28:V28)*(1-V$174)/(1+'TS2'!$J$84)*'TS2'!$J$84-SUM($F$115:U115)</f>
        <v>0</v>
      </c>
      <c r="W115" s="159">
        <f>-SUM($F$28:W28)*(1-W$174)/(1+'TS2'!$J$84)*'TS2'!$J$84-SUM($F$115:V115)</f>
        <v>0</v>
      </c>
      <c r="X115" s="159">
        <f>-SUM($F$28:X28)*(1-X$174)/(1+'TS2'!$J$84)*'TS2'!$J$84-SUM($F$115:W115)</f>
        <v>0</v>
      </c>
      <c r="Y115" s="159">
        <f>-SUM($F$28:Y28)*(1-Y$174)/(1+'TS2'!$J$84)*'TS2'!$J$84-SUM($F$115:X115)</f>
        <v>0</v>
      </c>
      <c r="Z115" s="159">
        <f>-SUM($F$28:Z28)*(1-Z$174)/(1+'TS2'!$J$84)*'TS2'!$J$84-SUM($F$115:Y115)</f>
        <v>0</v>
      </c>
      <c r="AA115" s="159">
        <f>-SUM($F$28:AA28)*(1-AA$174)/(1+'TS2'!$J$84)*'TS2'!$J$84-SUM($F$115:Z115)</f>
        <v>0</v>
      </c>
      <c r="AB115" s="159">
        <f>-SUM($F$28:AB28)*(1-AB$174)/(1+'TS2'!$J$84)*'TS2'!$J$84-SUM($F$115:AA115)</f>
        <v>0</v>
      </c>
      <c r="AC115" s="159">
        <f>-SUM($F$28:AC28)*(1-AC$174)/(1+'TS2'!$J$84)*'TS2'!$J$84-SUM($F$115:AB115)</f>
        <v>0</v>
      </c>
      <c r="AD115" s="159">
        <f>-SUM($F$28:AD28)*(1-AD$174)/(1+'TS2'!$J$84)*'TS2'!$J$84-SUM($F$115:AC115)</f>
        <v>0</v>
      </c>
      <c r="AE115" s="159">
        <f>-SUM($F$28:AE28)*(1-AE$174)/(1+'TS2'!$J$84)*'TS2'!$J$84-SUM($F$115:AD115)</f>
        <v>0</v>
      </c>
      <c r="AF115" s="159">
        <f>-SUM($F$28:AF28)*(1-AF$174)/(1+'TS2'!$J$84)*'TS2'!$J$84-SUM($F$115:AE115)</f>
        <v>0</v>
      </c>
      <c r="AG115" s="159">
        <f>-SUM($F$28:AG28)*(1-AG$174)/(1+'TS2'!$J$84)*'TS2'!$J$84-SUM($F$115:AF115)</f>
        <v>0</v>
      </c>
      <c r="AH115" s="159">
        <f>-SUM($F$28:AH28)*(1-AH$174)/(1+'TS2'!$J$84)*'TS2'!$J$84-SUM($F$115:AG115)</f>
        <v>0</v>
      </c>
      <c r="AI115" s="159">
        <f>-SUM($F$28:AI28)*(1-AI$174)/(1+'TS2'!$J$84)*'TS2'!$J$84-SUM($F$115:AH115)</f>
        <v>0</v>
      </c>
      <c r="AJ115" s="159">
        <f>-SUM($F$28:AJ28)*(1-AJ$174)/(1+'TS2'!$J$84)*'TS2'!$J$84-SUM($F$115:AI115)</f>
        <v>0</v>
      </c>
      <c r="AK115" s="159">
        <f>-SUM($F$28:AK28)*(1-AK$174)/(1+'TS2'!$J$84)*'TS2'!$J$84-SUM($F$115:AJ115)</f>
        <v>0</v>
      </c>
      <c r="AL115" s="159">
        <f>-SUM($F$28:AL28)*(1-AL$174)/(1+'TS2'!$J$84)*'TS2'!$J$84-SUM($F$115:AK115)</f>
        <v>0</v>
      </c>
      <c r="AM115" s="159">
        <f>-SUM($F$28:AM28)*(1-AM$174)/(1+'TS2'!$J$84)*'TS2'!$J$84-SUM($F$115:AL115)</f>
        <v>0</v>
      </c>
      <c r="AN115" s="159">
        <f>-SUM($F$28:AN28)*(1-AN$174)/(1+'TS2'!$J$84)*'TS2'!$J$84-SUM($F$115:AM115)</f>
        <v>0</v>
      </c>
      <c r="AO115" s="159">
        <f>-SUM($F$28:AO28)*(1-AO$174)/(1+'TS2'!$J$84)*'TS2'!$J$84-SUM($F$115:AN115)</f>
        <v>0</v>
      </c>
      <c r="AP115" s="159">
        <f>-SUM($F$28:AP28)*(1-AP$174)/(1+'TS2'!$J$84)*'TS2'!$J$84-SUM($F$115:AO115)</f>
        <v>0</v>
      </c>
      <c r="AQ115" s="159">
        <f>-SUM($F$28:AQ28)*(1-AQ$174)/(1+'TS2'!$J$84)*'TS2'!$J$84-SUM($F$115:AP115)</f>
        <v>0</v>
      </c>
      <c r="AR115" s="159">
        <f>-SUM($F$28:AR28)*(1-AR$174)/(1+'TS2'!$J$84)*'TS2'!$J$84-SUM($F$115:AQ115)</f>
        <v>0</v>
      </c>
      <c r="AS115" s="159">
        <f>-SUM($F$28:AS28)*(1-AS$174)/(1+'TS2'!$J$84)*'TS2'!$J$84-SUM($F$115:AR115)</f>
        <v>0</v>
      </c>
      <c r="AT115" s="159">
        <f>-SUM($F$28:AT28)*(1-AT$174)/(1+'TS2'!$J$84)*'TS2'!$J$84-SUM($F$115:AS115)</f>
        <v>0</v>
      </c>
      <c r="AU115" s="159">
        <f>-SUM($F$28:AU28)*(1-AU$174)/(1+'TS2'!$J$84)*'TS2'!$J$84-SUM($F$115:AT115)</f>
        <v>0</v>
      </c>
      <c r="AV115" s="159">
        <f>-SUM($F$28:AV28)*(1-AV$174)/(1+'TS2'!$J$84)*'TS2'!$J$84-SUM($F$115:AU115)</f>
        <v>0</v>
      </c>
      <c r="AW115" s="159">
        <f>-SUM($F$28:AW28)*(1-AW$174)/(1+'TS2'!$J$84)*'TS2'!$J$84-SUM($F$115:AV115)</f>
        <v>0</v>
      </c>
      <c r="AX115" s="159">
        <f>-SUM($F$28:AX28)*(1-AX$174)/(1+'TS2'!$J$84)*'TS2'!$J$84-SUM($F$115:AW115)</f>
        <v>0</v>
      </c>
      <c r="AY115" s="159">
        <f>-SUM($F$28:AY28)*(1-AY$174)/(1+'TS2'!$J$84)*'TS2'!$J$84-SUM($F$115:AX115)</f>
        <v>0</v>
      </c>
      <c r="AZ115" s="159">
        <f>-SUM($F$28:AZ28)*(1-AZ$174)/(1+'TS2'!$J$84)*'TS2'!$J$84-SUM($F$115:AY115)</f>
        <v>0</v>
      </c>
      <c r="BA115" s="159">
        <f>-SUM($F$28:BA28)*(1-BA$174)/(1+'TS2'!$J$84)*'TS2'!$J$84-SUM($F$115:AZ115)</f>
        <v>0</v>
      </c>
      <c r="BB115" s="159">
        <f>-SUM($F$28:BB28)*(1-BB$174)/(1+'TS2'!$J$84)*'TS2'!$J$84-SUM($F$115:BA115)</f>
        <v>0</v>
      </c>
      <c r="BC115" s="159">
        <f>-SUM($F$28:BC28)*(1-BC$174)/(1+'TS2'!$J$84)*'TS2'!$J$84-SUM($F$115:BB115)</f>
        <v>0</v>
      </c>
      <c r="BD115" s="159">
        <f>-SUM($F$28:BD28)*(1-BD$174)/(1+'TS2'!$J$84)*'TS2'!$J$84-SUM($F$115:BC115)</f>
        <v>0</v>
      </c>
      <c r="BE115" s="159">
        <f>-SUM($F$28:BE28)*(1-BE$174)/(1+'TS2'!$J$84)*'TS2'!$J$84-SUM($F$115:BD115)</f>
        <v>0</v>
      </c>
      <c r="BF115" s="159">
        <f>-SUM($F$28:BF28)*(1-BF$174)/(1+'TS2'!$J$84)*'TS2'!$J$84-SUM($F$115:BE115)</f>
        <v>0</v>
      </c>
      <c r="BG115" s="159">
        <f>-SUM($F$28:BG28)*(1-BG$174)/(1+'TS2'!$J$84)*'TS2'!$J$84-SUM($F$115:BF115)</f>
        <v>0</v>
      </c>
      <c r="BH115" s="159">
        <f>-SUM($F$28:BH28)*(1-BH$174)/(1+'TS2'!$J$84)*'TS2'!$J$84-SUM($F$115:BG115)</f>
        <v>0</v>
      </c>
      <c r="BI115" s="159">
        <f>-SUM($F$28:BI28)*(1-BI$174)/(1+'TS2'!$J$84)*'TS2'!$J$84-SUM($F$115:BH115)</f>
        <v>0</v>
      </c>
      <c r="BJ115" s="159">
        <f>-SUM($F$28:BJ28)*(1-BJ$174)/(1+'TS2'!$J$84)*'TS2'!$J$84-SUM($F$115:BI115)</f>
        <v>0</v>
      </c>
      <c r="BK115" s="159">
        <f>-SUM($F$28:BK28)*(1-BK$174)/(1+'TS2'!$J$84)*'TS2'!$J$84-SUM($F$115:BJ115)</f>
        <v>0</v>
      </c>
      <c r="BL115" s="159">
        <f>-SUM($F$28:BL28)*(1-BL$174)/(1+'TS2'!$J$84)*'TS2'!$J$84-SUM($F$115:BK115)</f>
        <v>0</v>
      </c>
      <c r="BM115" s="159">
        <f>-SUM($F$28:BM28)*(1-BM$174)/(1+'TS2'!$J$84)*'TS2'!$J$84-SUM($F$115:BL115)</f>
        <v>0</v>
      </c>
    </row>
    <row r="116" spans="1:65" s="134" customFormat="1" hidden="1" outlineLevel="1">
      <c r="A116" s="156">
        <f t="shared" si="85"/>
        <v>298.20682499999992</v>
      </c>
      <c r="B116" s="157"/>
      <c r="C116" s="157"/>
      <c r="D116" s="158" t="str">
        <f>'DB2'!B11</f>
        <v>РИТЕЙЛ</v>
      </c>
      <c r="E116" s="154">
        <f t="shared" si="83"/>
        <v>-298.20682499999992</v>
      </c>
      <c r="F116" s="159">
        <f>-F29*(1-F$174)/(1+'TS2'!$J$84)*'TS2'!$J$84</f>
        <v>0</v>
      </c>
      <c r="G116" s="159">
        <f>-G29*(1-G$174)/(1+'TS2'!$J$84)*'TS2'!$J$84</f>
        <v>0</v>
      </c>
      <c r="H116" s="159">
        <f>-H29*(1-H$174)/(1+'TS2'!$J$84)*'TS2'!$J$84</f>
        <v>0</v>
      </c>
      <c r="I116" s="565">
        <f>-I29*(1-I$174)/(1+'TS2'!$J$84)*'TS2'!$J$84</f>
        <v>0</v>
      </c>
      <c r="J116" s="565">
        <f>-J29*(1-J$174)/(1+'TS2'!$J$84)*'TS2'!$J$84</f>
        <v>0</v>
      </c>
      <c r="K116" s="565">
        <f>-K29*(1-K$174)/(1+'TS2'!$J$84)*'TS2'!$J$84</f>
        <v>0</v>
      </c>
      <c r="L116" s="565">
        <f>-L29*(1-L$174)/(1+'TS2'!$J$84)*'TS2'!$J$84</f>
        <v>0</v>
      </c>
      <c r="M116" s="565">
        <f>-M29*(1-M$174)/(1+'TS2'!$J$84)*'TS2'!$J$84</f>
        <v>0</v>
      </c>
      <c r="N116" s="159">
        <f>-N29*(1-N$174)/(1+'TS2'!$J$84)*'TS2'!$J$84</f>
        <v>0</v>
      </c>
      <c r="O116" s="159">
        <f>-O29*(1-O$174)/(1+'TS2'!$J$84)*'TS2'!$J$84</f>
        <v>0</v>
      </c>
      <c r="P116" s="159">
        <f>-P29*(1-P$174)/(1+'TS2'!$J$84)*'TS2'!$J$84</f>
        <v>0</v>
      </c>
      <c r="Q116" s="159">
        <f>-Q29*(1-Q$174)/(1+'TS2'!$J$84)*'TS2'!$J$84</f>
        <v>0</v>
      </c>
      <c r="R116" s="159">
        <f>-R29*(1-R$174)/(1+'TS2'!$J$84)*'TS2'!$J$84</f>
        <v>0</v>
      </c>
      <c r="S116" s="159">
        <f>-S29*(1-S$174)/(1+'TS2'!$J$84)*'TS2'!$J$84</f>
        <v>0</v>
      </c>
      <c r="T116" s="159">
        <f>-T29*(1-T$174)/(1+'TS2'!$J$84)*'TS2'!$J$84</f>
        <v>0</v>
      </c>
      <c r="U116" s="159">
        <f>-U29*(1-U$174)/(1+'TS2'!$J$84)*'TS2'!$J$84</f>
        <v>0</v>
      </c>
      <c r="V116" s="159">
        <f>-V29*(1-V$174)/(1+'TS2'!$J$84)*'TS2'!$J$84</f>
        <v>0</v>
      </c>
      <c r="W116" s="159">
        <f>-W29*(1-W$174)/(1+'TS2'!$J$84)*'TS2'!$J$84</f>
        <v>0</v>
      </c>
      <c r="X116" s="159">
        <f>-X29*(1-X$174)/(1+'TS2'!$J$84)*'TS2'!$J$84</f>
        <v>0</v>
      </c>
      <c r="Y116" s="159">
        <f>-Y29*(1-Y$174)/(1+'TS2'!$J$84)*'TS2'!$J$84</f>
        <v>0</v>
      </c>
      <c r="Z116" s="159">
        <f>-Z29*(1-Z$174)/(1+'TS2'!$J$84)*'TS2'!$J$84</f>
        <v>0</v>
      </c>
      <c r="AA116" s="159">
        <f>-AA29*(1-AA$174)/(1+'TS2'!$J$84)*'TS2'!$J$84</f>
        <v>0</v>
      </c>
      <c r="AB116" s="159">
        <f>-AB29*(1-AB$174)/(1+'TS2'!$J$84)*'TS2'!$J$84</f>
        <v>0</v>
      </c>
      <c r="AC116" s="159">
        <f>-AC29*(1-AC$174)/(1+'TS2'!$J$84)*'TS2'!$J$84</f>
        <v>0</v>
      </c>
      <c r="AD116" s="159">
        <f>-AD29*(1-AD$174)/(1+'TS2'!$J$84)*'TS2'!$J$84</f>
        <v>0</v>
      </c>
      <c r="AE116" s="159">
        <f>-AE29*(1-AE$174)/(1+'TS2'!$J$84)*'TS2'!$J$84</f>
        <v>0</v>
      </c>
      <c r="AF116" s="159">
        <f>-AF29*(1-AF$174)/(1+'TS2'!$J$84)*'TS2'!$J$84</f>
        <v>0</v>
      </c>
      <c r="AG116" s="159">
        <f>-AG29*(1-AG$174)/(1+'TS2'!$J$84)*'TS2'!$J$84</f>
        <v>0</v>
      </c>
      <c r="AH116" s="159">
        <f>-AH29*(1-AH$174)/(1+'TS2'!$J$84)*'TS2'!$J$84</f>
        <v>0</v>
      </c>
      <c r="AI116" s="159">
        <f>-AI29*(1-AI$174)/(1+'TS2'!$J$84)*'TS2'!$J$84</f>
        <v>0</v>
      </c>
      <c r="AJ116" s="159">
        <f>-AJ29*(1-AJ$174)/(1+'TS2'!$J$84)*'TS2'!$J$84</f>
        <v>0</v>
      </c>
      <c r="AK116" s="159">
        <f>-AK29*(1-AK$174)/(1+'TS2'!$J$84)*'TS2'!$J$84</f>
        <v>-149.10341249999996</v>
      </c>
      <c r="AL116" s="159">
        <f>-AL29*(1-AL$174)/(1+'TS2'!$J$84)*'TS2'!$J$84</f>
        <v>-149.10341249999996</v>
      </c>
      <c r="AM116" s="159">
        <f>-AM29*(1-AM$174)/(1+'TS2'!$J$84)*'TS2'!$J$84</f>
        <v>0</v>
      </c>
      <c r="AN116" s="159">
        <f>-AN29*(1-AN$174)/(1+'TS2'!$J$84)*'TS2'!$J$84</f>
        <v>0</v>
      </c>
      <c r="AO116" s="159">
        <f>-AO29*(1-AO$174)/(1+'TS2'!$J$84)*'TS2'!$J$84</f>
        <v>0</v>
      </c>
      <c r="AP116" s="159">
        <f>-AP29*(1-AP$174)/(1+'TS2'!$J$84)*'TS2'!$J$84</f>
        <v>0</v>
      </c>
      <c r="AQ116" s="159">
        <f>-AQ29*(1-AQ$174)/(1+'TS2'!$J$84)*'TS2'!$J$84</f>
        <v>0</v>
      </c>
      <c r="AR116" s="159">
        <f>-AR29*(1-AR$174)/(1+'TS2'!$J$84)*'TS2'!$J$84</f>
        <v>0</v>
      </c>
      <c r="AS116" s="159">
        <f>-AS29*(1-AS$174)/(1+'TS2'!$J$84)*'TS2'!$J$84</f>
        <v>0</v>
      </c>
      <c r="AT116" s="159">
        <f>-AT29*(1-AT$174)/(1+'TS2'!$J$84)*'TS2'!$J$84</f>
        <v>0</v>
      </c>
      <c r="AU116" s="159">
        <f>-AU29*(1-AU$174)/(1+'TS2'!$J$84)*'TS2'!$J$84</f>
        <v>0</v>
      </c>
      <c r="AV116" s="159">
        <f>-AV29*(1-AV$174)/(1+'TS2'!$J$84)*'TS2'!$J$84</f>
        <v>0</v>
      </c>
      <c r="AW116" s="159">
        <f>-AW29*(1-AW$174)/(1+'TS2'!$J$84)*'TS2'!$J$84</f>
        <v>0</v>
      </c>
      <c r="AX116" s="159">
        <f>-AX29*(1-AX$174)/(1+'TS2'!$J$84)*'TS2'!$J$84</f>
        <v>0</v>
      </c>
      <c r="AY116" s="159">
        <f>-AY29*(1-AY$174)/(1+'TS2'!$J$84)*'TS2'!$J$84</f>
        <v>0</v>
      </c>
      <c r="AZ116" s="159">
        <f>-AZ29*(1-AZ$174)/(1+'TS2'!$J$84)*'TS2'!$J$84</f>
        <v>0</v>
      </c>
      <c r="BA116" s="159">
        <f>-BA29*(1-BA$174)/(1+'TS2'!$J$84)*'TS2'!$J$84</f>
        <v>0</v>
      </c>
      <c r="BB116" s="159">
        <f>-BB29*(1-BB$174)/(1+'TS2'!$J$84)*'TS2'!$J$84</f>
        <v>0</v>
      </c>
      <c r="BC116" s="159">
        <f>-BC29*(1-BC$174)/(1+'TS2'!$J$84)*'TS2'!$J$84</f>
        <v>0</v>
      </c>
      <c r="BD116" s="159">
        <f>-BD29*(1-BD$174)/(1+'TS2'!$J$84)*'TS2'!$J$84</f>
        <v>0</v>
      </c>
      <c r="BE116" s="159">
        <f>-BE29*(1-BE$174)/(1+'TS2'!$J$84)*'TS2'!$J$84</f>
        <v>0</v>
      </c>
      <c r="BF116" s="159">
        <f>-BF29*(1-BF$174)/(1+'TS2'!$J$84)*'TS2'!$J$84</f>
        <v>0</v>
      </c>
      <c r="BG116" s="159">
        <f>-BG29*(1-BG$174)/(1+'TS2'!$J$84)*'TS2'!$J$84</f>
        <v>0</v>
      </c>
      <c r="BH116" s="159">
        <f>-BH29*(1-BH$174)/(1+'TS2'!$J$84)*'TS2'!$J$84</f>
        <v>0</v>
      </c>
      <c r="BI116" s="159">
        <f>-BI29*(1-BI$174)/(1+'TS2'!$J$84)*'TS2'!$J$84</f>
        <v>0</v>
      </c>
      <c r="BJ116" s="159">
        <f>-BJ29*(1-BJ$174)/(1+'TS2'!$J$84)*'TS2'!$J$84</f>
        <v>0</v>
      </c>
      <c r="BK116" s="159">
        <f>-BK29*(1-BK$174)/(1+'TS2'!$J$84)*'TS2'!$J$84</f>
        <v>0</v>
      </c>
      <c r="BL116" s="159">
        <f>-BL29*(1-BL$174)/(1+'TS2'!$J$84)*'TS2'!$J$84</f>
        <v>0</v>
      </c>
      <c r="BM116" s="159">
        <f>-BM29*(1-BM$174)/(1+'TS2'!$J$84)*'TS2'!$J$84</f>
        <v>0</v>
      </c>
    </row>
    <row r="117" spans="1:65" s="134" customFormat="1" hidden="1" outlineLevel="1">
      <c r="A117" s="156">
        <f t="shared" si="85"/>
        <v>0</v>
      </c>
      <c r="B117" s="157"/>
      <c r="C117" s="157"/>
      <c r="D117" s="158" t="str">
        <f>'DB2'!B12</f>
        <v>ТЦ</v>
      </c>
      <c r="E117" s="154">
        <f t="shared" si="83"/>
        <v>0</v>
      </c>
      <c r="F117" s="159">
        <f>-F31*(1-F$174)/(1+'TS2'!$J$84)*'TS2'!$J$84</f>
        <v>0</v>
      </c>
      <c r="G117" s="159">
        <f>-SUM($F$30:G30)*(1-G$174)/(1+'TS2'!$J$84)*'TS2'!$J$84-SUM($F$117:F117)</f>
        <v>0</v>
      </c>
      <c r="H117" s="159">
        <f>-SUM($F$30:H30)*(1-H$174)/(1+'TS2'!$J$84)*'TS2'!$J$84-SUM($F$117:G117)</f>
        <v>0</v>
      </c>
      <c r="I117" s="565">
        <f>-SUM($F$30:I30)*(1-I$174)/(1+'TS2'!$J$84)*'TS2'!$J$84-SUM($F$117:H117)</f>
        <v>0</v>
      </c>
      <c r="J117" s="565">
        <f>-SUM($F$30:J30)*(1-J$174)/(1+'TS2'!$J$84)*'TS2'!$J$84-SUM($F$117:I117)</f>
        <v>0</v>
      </c>
      <c r="K117" s="565">
        <f>-SUM($F$30:K30)*(1-K$174)/(1+'TS2'!$J$84)*'TS2'!$J$84-SUM($F$117:J117)</f>
        <v>0</v>
      </c>
      <c r="L117" s="565">
        <f>-SUM($F$30:L30)*(1-L$174)/(1+'TS2'!$J$84)*'TS2'!$J$84-SUM($F$117:K117)</f>
        <v>0</v>
      </c>
      <c r="M117" s="565">
        <f>-SUM($F$30:M30)*(1-M$174)/(1+'TS2'!$J$84)*'TS2'!$J$84-SUM($F$117:L117)</f>
        <v>0</v>
      </c>
      <c r="N117" s="159">
        <f>-SUM($F$30:N30)*(1-N$174)/(1+'TS2'!$J$84)*'TS2'!$J$84-SUM($F$117:M117)</f>
        <v>0</v>
      </c>
      <c r="O117" s="159">
        <f>-SUM($F$30:O30)*(1-O$174)/(1+'TS2'!$J$84)*'TS2'!$J$84-SUM($F$117:N117)</f>
        <v>0</v>
      </c>
      <c r="P117" s="159">
        <f>-SUM($F$30:P30)*(1-P$174)/(1+'TS2'!$J$84)*'TS2'!$J$84-SUM($F$117:O117)</f>
        <v>0</v>
      </c>
      <c r="Q117" s="159">
        <f>-SUM($F$30:Q30)*(1-Q$174)/(1+'TS2'!$J$84)*'TS2'!$J$84-SUM($F$117:P117)</f>
        <v>0</v>
      </c>
      <c r="R117" s="159">
        <f>-SUM($F$30:R30)*(1-R$174)/(1+'TS2'!$J$84)*'TS2'!$J$84-SUM($F$117:Q117)</f>
        <v>0</v>
      </c>
      <c r="S117" s="159">
        <f>-SUM($F$30:S30)*(1-S$174)/(1+'TS2'!$J$84)*'TS2'!$J$84-SUM($F$117:R117)</f>
        <v>0</v>
      </c>
      <c r="T117" s="159">
        <f>-SUM($F$30:T30)*(1-T$174)/(1+'TS2'!$J$84)*'TS2'!$J$84-SUM($F$117:S117)</f>
        <v>0</v>
      </c>
      <c r="U117" s="159">
        <f>-SUM($F$30:U30)*(1-U$174)/(1+'TS2'!$J$84)*'TS2'!$J$84-SUM($F$117:T117)</f>
        <v>0</v>
      </c>
      <c r="V117" s="159">
        <f>-SUM($F$30:V30)*(1-V$174)/(1+'TS2'!$J$84)*'TS2'!$J$84-SUM($F$117:U117)</f>
        <v>0</v>
      </c>
      <c r="W117" s="159">
        <f>-SUM($F$30:W30)*(1-W$174)/(1+'TS2'!$J$84)*'TS2'!$J$84-SUM($F$117:V117)</f>
        <v>0</v>
      </c>
      <c r="X117" s="159">
        <f>-SUM($F$30:X30)*(1-X$174)/(1+'TS2'!$J$84)*'TS2'!$J$84-SUM($F$117:W117)</f>
        <v>0</v>
      </c>
      <c r="Y117" s="159">
        <f>-SUM($F$30:Y30)*(1-Y$174)/(1+'TS2'!$J$84)*'TS2'!$J$84-SUM($F$117:X117)</f>
        <v>0</v>
      </c>
      <c r="Z117" s="159">
        <f>-SUM($F$30:Z30)*(1-Z$174)/(1+'TS2'!$J$84)*'TS2'!$J$84-SUM($F$117:Y117)</f>
        <v>0</v>
      </c>
      <c r="AA117" s="159">
        <f>-SUM($F$30:AA30)*(1-AA$174)/(1+'TS2'!$J$84)*'TS2'!$J$84-SUM($F$117:Z117)</f>
        <v>0</v>
      </c>
      <c r="AB117" s="159">
        <f>-SUM($F$30:AB30)*(1-AB$174)/(1+'TS2'!$J$84)*'TS2'!$J$84-SUM($F$117:AA117)</f>
        <v>0</v>
      </c>
      <c r="AC117" s="159">
        <f>-SUM($F$30:AC30)*(1-AC$174)/(1+'TS2'!$J$84)*'TS2'!$J$84-SUM($F$117:AB117)</f>
        <v>0</v>
      </c>
      <c r="AD117" s="159">
        <f>-SUM($F$30:AD30)*(1-AD$174)/(1+'TS2'!$J$84)*'TS2'!$J$84-SUM($F$117:AC117)</f>
        <v>0</v>
      </c>
      <c r="AE117" s="159">
        <f>-SUM($F$30:AE30)*(1-AE$174)/(1+'TS2'!$J$84)*'TS2'!$J$84-SUM($F$117:AD117)</f>
        <v>0</v>
      </c>
      <c r="AF117" s="159">
        <f>-SUM($F$30:AF30)*(1-AF$174)/(1+'TS2'!$J$84)*'TS2'!$J$84-SUM($F$117:AE117)</f>
        <v>0</v>
      </c>
      <c r="AG117" s="159">
        <f>-SUM($F$30:AG30)*(1-AG$174)/(1+'TS2'!$J$84)*'TS2'!$J$84-SUM($F$117:AF117)</f>
        <v>0</v>
      </c>
      <c r="AH117" s="159">
        <f>-SUM($F$30:AH30)*(1-AH$174)/(1+'TS2'!$J$84)*'TS2'!$J$84-SUM($F$117:AG117)</f>
        <v>0</v>
      </c>
      <c r="AI117" s="159">
        <f>-SUM($F$30:AI30)*(1-AI$174)/(1+'TS2'!$J$84)*'TS2'!$J$84-SUM($F$117:AH117)</f>
        <v>0</v>
      </c>
      <c r="AJ117" s="159">
        <f>-SUM($F$30:AJ30)*(1-AJ$174)/(1+'TS2'!$J$84)*'TS2'!$J$84-SUM($F$117:AI117)</f>
        <v>0</v>
      </c>
      <c r="AK117" s="159">
        <f>-SUM($F$30:AK30)*(1-AK$174)/(1+'TS2'!$J$84)*'TS2'!$J$84-SUM($F$117:AJ117)</f>
        <v>0</v>
      </c>
      <c r="AL117" s="159">
        <f>-SUM($F$30:AL30)*(1-AL$174)/(1+'TS2'!$J$84)*'TS2'!$J$84-SUM($F$117:AK117)</f>
        <v>0</v>
      </c>
      <c r="AM117" s="159">
        <f>-SUM($F$30:AM30)*(1-AM$174)/(1+'TS2'!$J$84)*'TS2'!$J$84-SUM($F$117:AL117)</f>
        <v>0</v>
      </c>
      <c r="AN117" s="159">
        <f>-SUM($F$30:AN30)*(1-AN$174)/(1+'TS2'!$J$84)*'TS2'!$J$84-SUM($F$117:AM117)</f>
        <v>0</v>
      </c>
      <c r="AO117" s="159">
        <f>-SUM($F$30:AO30)*(1-AO$174)/(1+'TS2'!$J$84)*'TS2'!$J$84-SUM($F$117:AN117)</f>
        <v>0</v>
      </c>
      <c r="AP117" s="159">
        <f>-SUM($F$30:AP30)*(1-AP$174)/(1+'TS2'!$J$84)*'TS2'!$J$84-SUM($F$117:AO117)</f>
        <v>0</v>
      </c>
      <c r="AQ117" s="159">
        <f>-SUM($F$30:AQ30)*(1-AQ$174)/(1+'TS2'!$J$84)*'TS2'!$J$84-SUM($F$117:AP117)</f>
        <v>0</v>
      </c>
      <c r="AR117" s="159">
        <f>-SUM($F$30:AR30)*(1-AR$174)/(1+'TS2'!$J$84)*'TS2'!$J$84-SUM($F$117:AQ117)</f>
        <v>0</v>
      </c>
      <c r="AS117" s="159">
        <f>-SUM($F$30:AS30)*(1-AS$174)/(1+'TS2'!$J$84)*'TS2'!$J$84-SUM($F$117:AR117)</f>
        <v>0</v>
      </c>
      <c r="AT117" s="159">
        <f>-SUM($F$30:AT30)*(1-AT$174)/(1+'TS2'!$J$84)*'TS2'!$J$84-SUM($F$117:AS117)</f>
        <v>0</v>
      </c>
      <c r="AU117" s="159">
        <f>-SUM($F$30:AU30)*(1-AU$174)/(1+'TS2'!$J$84)*'TS2'!$J$84-SUM($F$117:AT117)</f>
        <v>0</v>
      </c>
      <c r="AV117" s="159">
        <f>-SUM($F$30:AV30)*(1-AV$174)/(1+'TS2'!$J$84)*'TS2'!$J$84-SUM($F$117:AU117)</f>
        <v>0</v>
      </c>
      <c r="AW117" s="159">
        <f>-SUM($F$30:AW30)*(1-AW$174)/(1+'TS2'!$J$84)*'TS2'!$J$84-SUM($F$117:AV117)</f>
        <v>0</v>
      </c>
      <c r="AX117" s="159">
        <f>-SUM($F$30:AX30)*(1-AX$174)/(1+'TS2'!$J$84)*'TS2'!$J$84-SUM($F$117:AW117)</f>
        <v>0</v>
      </c>
      <c r="AY117" s="159">
        <f>-SUM($F$30:AY30)*(1-AY$174)/(1+'TS2'!$J$84)*'TS2'!$J$84-SUM($F$117:AX117)</f>
        <v>0</v>
      </c>
      <c r="AZ117" s="159">
        <f>-SUM($F$30:AZ30)*(1-AZ$174)/(1+'TS2'!$J$84)*'TS2'!$J$84-SUM($F$117:AY117)</f>
        <v>0</v>
      </c>
      <c r="BA117" s="159">
        <f>-SUM($F$30:BA30)*(1-BA$174)/(1+'TS2'!$J$84)*'TS2'!$J$84-SUM($F$117:AZ117)</f>
        <v>0</v>
      </c>
      <c r="BB117" s="159">
        <f>-SUM($F$30:BB30)*(1-BB$174)/(1+'TS2'!$J$84)*'TS2'!$J$84-SUM($F$117:BA117)</f>
        <v>0</v>
      </c>
      <c r="BC117" s="159">
        <f>-SUM($F$30:BC30)*(1-BC$174)/(1+'TS2'!$J$84)*'TS2'!$J$84-SUM($F$117:BB117)</f>
        <v>0</v>
      </c>
      <c r="BD117" s="159">
        <f>-SUM($F$30:BD30)*(1-BD$174)/(1+'TS2'!$J$84)*'TS2'!$J$84-SUM($F$117:BC117)</f>
        <v>0</v>
      </c>
      <c r="BE117" s="159">
        <f>-SUM($F$30:BE30)*(1-BE$174)/(1+'TS2'!$J$84)*'TS2'!$J$84-SUM($F$117:BD117)</f>
        <v>0</v>
      </c>
      <c r="BF117" s="159">
        <f>-SUM($F$30:BF30)*(1-BF$174)/(1+'TS2'!$J$84)*'TS2'!$J$84-SUM($F$117:BE117)</f>
        <v>0</v>
      </c>
      <c r="BG117" s="159">
        <f>-SUM($F$30:BG30)*(1-BG$174)/(1+'TS2'!$J$84)*'TS2'!$J$84-SUM($F$117:BF117)</f>
        <v>0</v>
      </c>
      <c r="BH117" s="159">
        <f>-SUM($F$30:BH30)*(1-BH$174)/(1+'TS2'!$J$84)*'TS2'!$J$84-SUM($F$117:BG117)</f>
        <v>0</v>
      </c>
      <c r="BI117" s="159">
        <f>-SUM($F$30:BI30)*(1-BI$174)/(1+'TS2'!$J$84)*'TS2'!$J$84-SUM($F$117:BH117)</f>
        <v>0</v>
      </c>
      <c r="BJ117" s="159">
        <f>-SUM($F$30:BJ30)*(1-BJ$174)/(1+'TS2'!$J$84)*'TS2'!$J$84-SUM($F$117:BI117)</f>
        <v>0</v>
      </c>
      <c r="BK117" s="159">
        <f>-SUM($F$30:BK30)*(1-BK$174)/(1+'TS2'!$J$84)*'TS2'!$J$84-SUM($F$117:BJ117)</f>
        <v>0</v>
      </c>
      <c r="BL117" s="159">
        <f>-SUM($F$30:BL30)*(1-BL$174)/(1+'TS2'!$J$84)*'TS2'!$J$84-SUM($F$117:BK117)</f>
        <v>0</v>
      </c>
      <c r="BM117" s="159">
        <f>-SUM($F$30:BM30)*(1-BM$174)/(1+'TS2'!$J$84)*'TS2'!$J$84-SUM($F$117:BL117)</f>
        <v>0</v>
      </c>
    </row>
    <row r="118" spans="1:65" s="134" customFormat="1" hidden="1" outlineLevel="1">
      <c r="A118" s="156">
        <f t="shared" si="85"/>
        <v>114.75</v>
      </c>
      <c r="B118" s="157"/>
      <c r="C118" s="157"/>
      <c r="D118" s="158" t="str">
        <f>'DB2'!B16</f>
        <v>ПАРКИНГ ЖИЛЬЕ</v>
      </c>
      <c r="E118" s="154">
        <f t="shared" si="83"/>
        <v>-114.75</v>
      </c>
      <c r="F118" s="159">
        <f>-F32*(1-F$174)/(1+'TS2'!$J$84)*'TS2'!$J$84</f>
        <v>0</v>
      </c>
      <c r="G118" s="159">
        <f>-G31*(1-G$174)/(1+'TS2'!$J$84)*'TS2'!$J$84</f>
        <v>0</v>
      </c>
      <c r="H118" s="159">
        <f>-H31*(1-H$174)/(1+'TS2'!$J$84)*'TS2'!$J$84</f>
        <v>0</v>
      </c>
      <c r="I118" s="565">
        <f>-I31*(1-I$174)/(1+'TS2'!$J$84)*'TS2'!$J$84</f>
        <v>0</v>
      </c>
      <c r="J118" s="565">
        <f>-J31*(1-J$174)/(1+'TS2'!$J$84)*'TS2'!$J$84</f>
        <v>0</v>
      </c>
      <c r="K118" s="565">
        <f>-K31*(1-K$174)/(1+'TS2'!$J$84)*'TS2'!$J$84</f>
        <v>0</v>
      </c>
      <c r="L118" s="565">
        <f>-L31*(1-L$174)/(1+'TS2'!$J$84)*'TS2'!$J$84</f>
        <v>0</v>
      </c>
      <c r="M118" s="565">
        <f>-M31*(1-M$174)/(1+'TS2'!$J$84)*'TS2'!$J$84</f>
        <v>0</v>
      </c>
      <c r="N118" s="159">
        <f>-N31*(1-N$174)/(1+'TS2'!$J$84)*'TS2'!$J$84</f>
        <v>0</v>
      </c>
      <c r="O118" s="159">
        <f>-O31*(1-O$174)/(1+'TS2'!$J$84)*'TS2'!$J$84</f>
        <v>0</v>
      </c>
      <c r="P118" s="159">
        <f>-P31*(1-P$174)/(1+'TS2'!$J$84)*'TS2'!$J$84</f>
        <v>0</v>
      </c>
      <c r="Q118" s="159">
        <f>-Q31*(1-Q$174)/(1+'TS2'!$J$84)*'TS2'!$J$84</f>
        <v>0</v>
      </c>
      <c r="R118" s="159">
        <f>-R31*(1-R$174)/(1+'TS2'!$J$84)*'TS2'!$J$84</f>
        <v>0</v>
      </c>
      <c r="S118" s="159">
        <f>-S31*(1-S$174)/(1+'TS2'!$J$84)*'TS2'!$J$84</f>
        <v>0</v>
      </c>
      <c r="T118" s="159">
        <f>-T31*(1-T$174)/(1+'TS2'!$J$84)*'TS2'!$J$84</f>
        <v>0</v>
      </c>
      <c r="U118" s="159">
        <f>-U31*(1-U$174)/(1+'TS2'!$J$84)*'TS2'!$J$84</f>
        <v>0</v>
      </c>
      <c r="V118" s="159">
        <f>-V31*(1-V$174)/(1+'TS2'!$J$84)*'TS2'!$J$84</f>
        <v>0</v>
      </c>
      <c r="W118" s="159">
        <f>-W31*(1-W$174)/(1+'TS2'!$J$84)*'TS2'!$J$84</f>
        <v>0</v>
      </c>
      <c r="X118" s="159">
        <f>-X31*(1-X$174)/(1+'TS2'!$J$84)*'TS2'!$J$84</f>
        <v>0</v>
      </c>
      <c r="Y118" s="159">
        <f>-Y31*(1-Y$174)/(1+'TS2'!$J$84)*'TS2'!$J$84</f>
        <v>0</v>
      </c>
      <c r="Z118" s="159">
        <f>-Z31*(1-Z$174)/(1+'TS2'!$J$84)*'TS2'!$J$84</f>
        <v>0</v>
      </c>
      <c r="AA118" s="159">
        <f>-AA31*(1-AA$174)/(1+'TS2'!$J$84)*'TS2'!$J$84</f>
        <v>0</v>
      </c>
      <c r="AB118" s="159">
        <f>-AB31*(1-AB$174)/(1+'TS2'!$J$84)*'TS2'!$J$84</f>
        <v>0</v>
      </c>
      <c r="AC118" s="159">
        <f>-AC31*(1-AC$174)/(1+'TS2'!$J$84)*'TS2'!$J$84</f>
        <v>0</v>
      </c>
      <c r="AD118" s="159">
        <f>-AD31*(1-AD$174)/(1+'TS2'!$J$84)*'TS2'!$J$84</f>
        <v>0</v>
      </c>
      <c r="AE118" s="159">
        <f>-AE31*(1-AE$174)/(1+'TS2'!$J$84)*'TS2'!$J$84</f>
        <v>0</v>
      </c>
      <c r="AF118" s="159">
        <f>-AF31*(1-AF$174)/(1+'TS2'!$J$84)*'TS2'!$J$84</f>
        <v>0</v>
      </c>
      <c r="AG118" s="159">
        <f>-AG31*(1-AG$174)/(1+'TS2'!$J$84)*'TS2'!$J$84</f>
        <v>0</v>
      </c>
      <c r="AH118" s="159">
        <f>-AH31*(1-AH$174)/(1+'TS2'!$J$84)*'TS2'!$J$84</f>
        <v>0</v>
      </c>
      <c r="AI118" s="159">
        <f>-AI31*(1-AI$174)/(1+'TS2'!$J$84)*'TS2'!$J$84</f>
        <v>0</v>
      </c>
      <c r="AJ118" s="159">
        <f>-AJ31*(1-AJ$174)/(1+'TS2'!$J$84)*'TS2'!$J$84</f>
        <v>-22.5</v>
      </c>
      <c r="AK118" s="159">
        <f>-AK31*(1-AK$174)/(1+'TS2'!$J$84)*'TS2'!$J$84</f>
        <v>-22.5</v>
      </c>
      <c r="AL118" s="159">
        <f>-AL31*(1-AL$174)/(1+'TS2'!$J$84)*'TS2'!$J$84</f>
        <v>-22.5</v>
      </c>
      <c r="AM118" s="159">
        <f>-AM31*(1-AM$174)/(1+'TS2'!$J$84)*'TS2'!$J$84</f>
        <v>-22.5</v>
      </c>
      <c r="AN118" s="159">
        <f>-AN31*(1-AN$174)/(1+'TS2'!$J$84)*'TS2'!$J$84</f>
        <v>-24.75</v>
      </c>
      <c r="AO118" s="159">
        <f>-AO31*(1-AO$174)/(1+'TS2'!$J$84)*'TS2'!$J$84</f>
        <v>0</v>
      </c>
      <c r="AP118" s="159">
        <f>-AP31*(1-AP$174)/(1+'TS2'!$J$84)*'TS2'!$J$84</f>
        <v>0</v>
      </c>
      <c r="AQ118" s="159">
        <f>-AQ31*(1-AQ$174)/(1+'TS2'!$J$84)*'TS2'!$J$84</f>
        <v>0</v>
      </c>
      <c r="AR118" s="159">
        <f>-AR31*(1-AR$174)/(1+'TS2'!$J$84)*'TS2'!$J$84</f>
        <v>0</v>
      </c>
      <c r="AS118" s="159">
        <f>-AS31*(1-AS$174)/(1+'TS2'!$J$84)*'TS2'!$J$84</f>
        <v>0</v>
      </c>
      <c r="AT118" s="159">
        <f>-AT31*(1-AT$174)/(1+'TS2'!$J$84)*'TS2'!$J$84</f>
        <v>0</v>
      </c>
      <c r="AU118" s="159">
        <f>-AU31*(1-AU$174)/(1+'TS2'!$J$84)*'TS2'!$J$84</f>
        <v>0</v>
      </c>
      <c r="AV118" s="159">
        <f>-AV31*(1-AV$174)/(1+'TS2'!$J$84)*'TS2'!$J$84</f>
        <v>0</v>
      </c>
      <c r="AW118" s="159">
        <f>-AW31*(1-AW$174)/(1+'TS2'!$J$84)*'TS2'!$J$84</f>
        <v>0</v>
      </c>
      <c r="AX118" s="159">
        <f>-AX31*(1-AX$174)/(1+'TS2'!$J$84)*'TS2'!$J$84</f>
        <v>0</v>
      </c>
      <c r="AY118" s="159">
        <f>-AY31*(1-AY$174)/(1+'TS2'!$J$84)*'TS2'!$J$84</f>
        <v>0</v>
      </c>
      <c r="AZ118" s="159">
        <f>-AZ31*(1-AZ$174)/(1+'TS2'!$J$84)*'TS2'!$J$84</f>
        <v>0</v>
      </c>
      <c r="BA118" s="159">
        <f>-BA31*(1-BA$174)/(1+'TS2'!$J$84)*'TS2'!$J$84</f>
        <v>0</v>
      </c>
      <c r="BB118" s="159">
        <f>-BB31*(1-BB$174)/(1+'TS2'!$J$84)*'TS2'!$J$84</f>
        <v>0</v>
      </c>
      <c r="BC118" s="159">
        <f>-BC31*(1-BC$174)/(1+'TS2'!$J$84)*'TS2'!$J$84</f>
        <v>0</v>
      </c>
      <c r="BD118" s="159">
        <f>-BD31*(1-BD$174)/(1+'TS2'!$J$84)*'TS2'!$J$84</f>
        <v>0</v>
      </c>
      <c r="BE118" s="159">
        <f>-BE31*(1-BE$174)/(1+'TS2'!$J$84)*'TS2'!$J$84</f>
        <v>0</v>
      </c>
      <c r="BF118" s="159">
        <f>-BF31*(1-BF$174)/(1+'TS2'!$J$84)*'TS2'!$J$84</f>
        <v>0</v>
      </c>
      <c r="BG118" s="159">
        <f>-BG31*(1-BG$174)/(1+'TS2'!$J$84)*'TS2'!$J$84</f>
        <v>0</v>
      </c>
      <c r="BH118" s="159">
        <f>-BH31*(1-BH$174)/(1+'TS2'!$J$84)*'TS2'!$J$84</f>
        <v>0</v>
      </c>
      <c r="BI118" s="159">
        <f>-BI31*(1-BI$174)/(1+'TS2'!$J$84)*'TS2'!$J$84</f>
        <v>0</v>
      </c>
      <c r="BJ118" s="159">
        <f>-BJ31*(1-BJ$174)/(1+'TS2'!$J$84)*'TS2'!$J$84</f>
        <v>0</v>
      </c>
      <c r="BK118" s="159">
        <f>-BK31*(1-BK$174)/(1+'TS2'!$J$84)*'TS2'!$J$84</f>
        <v>0</v>
      </c>
      <c r="BL118" s="159">
        <f>-BL31*(1-BL$174)/(1+'TS2'!$J$84)*'TS2'!$J$84</f>
        <v>0</v>
      </c>
      <c r="BM118" s="159">
        <f>-BM31*(1-BM$174)/(1+'TS2'!$J$84)*'TS2'!$J$84</f>
        <v>0</v>
      </c>
    </row>
    <row r="119" spans="1:65" s="134" customFormat="1" hidden="1" outlineLevel="1">
      <c r="A119" s="156">
        <f t="shared" si="85"/>
        <v>0</v>
      </c>
      <c r="B119" s="157"/>
      <c r="C119" s="157"/>
      <c r="D119" s="158" t="str">
        <f>'DB2'!B17</f>
        <v>ПАРКИНГ ОФИС</v>
      </c>
      <c r="E119" s="154">
        <f t="shared" si="83"/>
        <v>0</v>
      </c>
      <c r="F119" s="159"/>
      <c r="G119" s="159">
        <f>-SUM($F$32:G32)*(1-G$174)/(1+'TS2'!$J$84)*'TS2'!$J$84-SUM($F$119:F119)</f>
        <v>0</v>
      </c>
      <c r="H119" s="159">
        <f>-SUM($F$32:H32)*(1-H$174)/(1+'TS2'!$J$84)*'TS2'!$J$84-SUM($F$119:G119)</f>
        <v>0</v>
      </c>
      <c r="I119" s="565">
        <f>-SUM($F$32:I32)*(1-I$174)/(1+'TS2'!$J$84)*'TS2'!$J$84-SUM($F$119:H119)</f>
        <v>0</v>
      </c>
      <c r="J119" s="565">
        <f>-SUM($F$32:J32)*(1-J$174)/(1+'TS2'!$J$84)*'TS2'!$J$84-SUM($F$119:I119)</f>
        <v>0</v>
      </c>
      <c r="K119" s="565">
        <f>-SUM($F$32:K32)*(1-K$174)/(1+'TS2'!$J$84)*'TS2'!$J$84-SUM($F$119:J119)</f>
        <v>0</v>
      </c>
      <c r="L119" s="565">
        <f>-SUM($F$32:L32)*(1-L$174)/(1+'TS2'!$J$84)*'TS2'!$J$84-SUM($F$119:K119)</f>
        <v>0</v>
      </c>
      <c r="M119" s="565">
        <f>-SUM($F$32:M32)*(1-M$174)/(1+'TS2'!$J$84)*'TS2'!$J$84-SUM($F$119:L119)</f>
        <v>0</v>
      </c>
      <c r="N119" s="159">
        <f>-SUM($F$32:N32)*(1-N$174)/(1+'TS2'!$J$84)*'TS2'!$J$84-SUM($F$119:M119)</f>
        <v>0</v>
      </c>
      <c r="O119" s="159">
        <f>-SUM($F$32:O32)*(1-O$174)/(1+'TS2'!$J$84)*'TS2'!$J$84-SUM($F$119:N119)</f>
        <v>0</v>
      </c>
      <c r="P119" s="159">
        <f>-SUM($F$32:P32)*(1-P$174)/(1+'TS2'!$J$84)*'TS2'!$J$84-SUM($F$119:O119)</f>
        <v>0</v>
      </c>
      <c r="Q119" s="159">
        <f>-SUM($F$32:Q32)*(1-Q$174)/(1+'TS2'!$J$84)*'TS2'!$J$84-SUM($F$119:P119)</f>
        <v>0</v>
      </c>
      <c r="R119" s="159">
        <f>-SUM($F$32:R32)*(1-R$174)/(1+'TS2'!$J$84)*'TS2'!$J$84-SUM($F$119:Q119)</f>
        <v>0</v>
      </c>
      <c r="S119" s="159">
        <f>-SUM($F$32:S32)*(1-S$174)/(1+'TS2'!$J$84)*'TS2'!$J$84-SUM($F$119:R119)</f>
        <v>0</v>
      </c>
      <c r="T119" s="159">
        <f>-SUM($F$32:T32)*(1-T$174)/(1+'TS2'!$J$84)*'TS2'!$J$84-SUM($F$119:S119)</f>
        <v>0</v>
      </c>
      <c r="U119" s="159">
        <f>-SUM($F$32:U32)*(1-U$174)/(1+'TS2'!$J$84)*'TS2'!$J$84-SUM($F$119:T119)</f>
        <v>0</v>
      </c>
      <c r="V119" s="159">
        <f>-SUM($F$32:V32)*(1-V$174)/(1+'TS2'!$J$84)*'TS2'!$J$84-SUM($F$119:U119)</f>
        <v>0</v>
      </c>
      <c r="W119" s="159">
        <f>-SUM($F$32:W32)*(1-W$174)/(1+'TS2'!$J$84)*'TS2'!$J$84-SUM($F$119:V119)</f>
        <v>0</v>
      </c>
      <c r="X119" s="159">
        <f>-SUM($F$32:X32)*(1-X$174)/(1+'TS2'!$J$84)*'TS2'!$J$84-SUM($F$119:W119)</f>
        <v>0</v>
      </c>
      <c r="Y119" s="159">
        <f>-SUM($F$32:Y32)*(1-Y$174)/(1+'TS2'!$J$84)*'TS2'!$J$84-SUM($F$119:X119)</f>
        <v>0</v>
      </c>
      <c r="Z119" s="159">
        <f>-SUM($F$32:Z32)*(1-Z$174)/(1+'TS2'!$J$84)*'TS2'!$J$84-SUM($F$119:Y119)</f>
        <v>0</v>
      </c>
      <c r="AA119" s="159">
        <f>-SUM($F$32:AA32)*(1-AA$174)/(1+'TS2'!$J$84)*'TS2'!$J$84-SUM($F$119:Z119)</f>
        <v>0</v>
      </c>
      <c r="AB119" s="159">
        <f>-SUM($F$32:AB32)*(1-AB$174)/(1+'TS2'!$J$84)*'TS2'!$J$84-SUM($F$119:AA119)</f>
        <v>0</v>
      </c>
      <c r="AC119" s="159">
        <f>-SUM($F$32:AC32)*(1-AC$174)/(1+'TS2'!$J$84)*'TS2'!$J$84-SUM($F$119:AB119)</f>
        <v>0</v>
      </c>
      <c r="AD119" s="159">
        <f>-SUM($F$32:AD32)*(1-AD$174)/(1+'TS2'!$J$84)*'TS2'!$J$84-SUM($F$119:AC119)</f>
        <v>0</v>
      </c>
      <c r="AE119" s="159">
        <f>-SUM($F$32:AE32)*(1-AE$174)/(1+'TS2'!$J$84)*'TS2'!$J$84-SUM($F$119:AD119)</f>
        <v>0</v>
      </c>
      <c r="AF119" s="159">
        <f>-SUM($F$32:AF32)*(1-AF$174)/(1+'TS2'!$J$84)*'TS2'!$J$84-SUM($F$119:AE119)</f>
        <v>0</v>
      </c>
      <c r="AG119" s="159">
        <f>-SUM($F$32:AG32)*(1-AG$174)/(1+'TS2'!$J$84)*'TS2'!$J$84-SUM($F$119:AF119)</f>
        <v>0</v>
      </c>
      <c r="AH119" s="159">
        <f>-SUM($F$32:AH32)*(1-AH$174)/(1+'TS2'!$J$84)*'TS2'!$J$84-SUM($F$119:AG119)</f>
        <v>0</v>
      </c>
      <c r="AI119" s="159">
        <f>-SUM($F$32:AI32)*(1-AI$174)/(1+'TS2'!$J$84)*'TS2'!$J$84-SUM($F$119:AH119)</f>
        <v>0</v>
      </c>
      <c r="AJ119" s="159">
        <f>-SUM($F$32:AJ32)*(1-AJ$174)/(1+'TS2'!$J$84)*'TS2'!$J$84-SUM($F$119:AI119)</f>
        <v>0</v>
      </c>
      <c r="AK119" s="159">
        <f>-SUM($F$32:AK32)*(1-AK$174)/(1+'TS2'!$J$84)*'TS2'!$J$84-SUM($F$119:AJ119)</f>
        <v>0</v>
      </c>
      <c r="AL119" s="159">
        <f>-SUM($F$32:AL32)*(1-AL$174)/(1+'TS2'!$J$84)*'TS2'!$J$84-SUM($F$119:AK119)</f>
        <v>0</v>
      </c>
      <c r="AM119" s="159">
        <f>-SUM($F$32:AM32)*(1-AM$174)/(1+'TS2'!$J$84)*'TS2'!$J$84-SUM($F$119:AL119)</f>
        <v>0</v>
      </c>
      <c r="AN119" s="159">
        <f>-SUM($F$32:AN32)*(1-AN$174)/(1+'TS2'!$J$84)*'TS2'!$J$84-SUM($F$119:AM119)</f>
        <v>0</v>
      </c>
      <c r="AO119" s="159">
        <f>-SUM($F$32:AO32)*(1-AO$174)/(1+'TS2'!$J$84)*'TS2'!$J$84-SUM($F$119:AN119)</f>
        <v>0</v>
      </c>
      <c r="AP119" s="159">
        <f>-SUM($F$32:AP32)*(1-AP$174)/(1+'TS2'!$J$84)*'TS2'!$J$84-SUM($F$119:AO119)</f>
        <v>0</v>
      </c>
      <c r="AQ119" s="159">
        <f>-SUM($F$32:AQ32)*(1-AQ$174)/(1+'TS2'!$J$84)*'TS2'!$J$84-SUM($F$119:AP119)</f>
        <v>0</v>
      </c>
      <c r="AR119" s="159">
        <f>-SUM($F$32:AR32)*(1-AR$174)/(1+'TS2'!$J$84)*'TS2'!$J$84-SUM($F$119:AQ119)</f>
        <v>0</v>
      </c>
      <c r="AS119" s="159">
        <f>-SUM($F$32:AS32)*(1-AS$174)/(1+'TS2'!$J$84)*'TS2'!$J$84-SUM($F$119:AR119)</f>
        <v>0</v>
      </c>
      <c r="AT119" s="159">
        <f>-SUM($F$32:AT32)*(1-AT$174)/(1+'TS2'!$J$84)*'TS2'!$J$84-SUM($F$119:AS119)</f>
        <v>0</v>
      </c>
      <c r="AU119" s="159">
        <f>-SUM($F$32:AU32)*(1-AU$174)/(1+'TS2'!$J$84)*'TS2'!$J$84-SUM($F$119:AT119)</f>
        <v>0</v>
      </c>
      <c r="AV119" s="159">
        <f>-SUM($F$32:AV32)*(1-AV$174)/(1+'TS2'!$J$84)*'TS2'!$J$84-SUM($F$119:AU119)</f>
        <v>0</v>
      </c>
      <c r="AW119" s="159">
        <f>-SUM($F$32:AW32)*(1-AW$174)/(1+'TS2'!$J$84)*'TS2'!$J$84-SUM($F$119:AV119)</f>
        <v>0</v>
      </c>
      <c r="AX119" s="159">
        <f>-SUM($F$32:AX32)*(1-AX$174)/(1+'TS2'!$J$84)*'TS2'!$J$84-SUM($F$119:AW119)</f>
        <v>0</v>
      </c>
      <c r="AY119" s="159">
        <f>-SUM($F$32:AY32)*(1-AY$174)/(1+'TS2'!$J$84)*'TS2'!$J$84-SUM($F$119:AX119)</f>
        <v>0</v>
      </c>
      <c r="AZ119" s="159">
        <f>-SUM($F$32:AZ32)*(1-AZ$174)/(1+'TS2'!$J$84)*'TS2'!$J$84-SUM($F$119:AY119)</f>
        <v>0</v>
      </c>
      <c r="BA119" s="159">
        <f>-SUM($F$32:BA32)*(1-BA$174)/(1+'TS2'!$J$84)*'TS2'!$J$84-SUM($F$119:AZ119)</f>
        <v>0</v>
      </c>
      <c r="BB119" s="159">
        <f>-SUM($F$32:BB32)*(1-BB$174)/(1+'TS2'!$J$84)*'TS2'!$J$84-SUM($F$119:BA119)</f>
        <v>0</v>
      </c>
      <c r="BC119" s="159">
        <f>-SUM($F$32:BC32)*(1-BC$174)/(1+'TS2'!$J$84)*'TS2'!$J$84-SUM($F$119:BB119)</f>
        <v>0</v>
      </c>
      <c r="BD119" s="159">
        <f>-SUM($F$32:BD32)*(1-BD$174)/(1+'TS2'!$J$84)*'TS2'!$J$84-SUM($F$119:BC119)</f>
        <v>0</v>
      </c>
      <c r="BE119" s="159">
        <f>-SUM($F$32:BE32)*(1-BE$174)/(1+'TS2'!$J$84)*'TS2'!$J$84-SUM($F$119:BD119)</f>
        <v>0</v>
      </c>
      <c r="BF119" s="159">
        <f>-SUM($F$32:BF32)*(1-BF$174)/(1+'TS2'!$J$84)*'TS2'!$J$84-SUM($F$119:BE119)</f>
        <v>0</v>
      </c>
      <c r="BG119" s="159">
        <f>-SUM($F$32:BG32)*(1-BG$174)/(1+'TS2'!$J$84)*'TS2'!$J$84-SUM($F$119:BF119)</f>
        <v>0</v>
      </c>
      <c r="BH119" s="159">
        <f>-SUM($F$32:BH32)*(1-BH$174)/(1+'TS2'!$J$84)*'TS2'!$J$84-SUM($F$119:BG119)</f>
        <v>0</v>
      </c>
      <c r="BI119" s="159">
        <f>-SUM($F$32:BI32)*(1-BI$174)/(1+'TS2'!$J$84)*'TS2'!$J$84-SUM($F$119:BH119)</f>
        <v>0</v>
      </c>
      <c r="BJ119" s="159">
        <f>-SUM($F$32:BJ32)*(1-BJ$174)/(1+'TS2'!$J$84)*'TS2'!$J$84-SUM($F$119:BI119)</f>
        <v>0</v>
      </c>
      <c r="BK119" s="159">
        <f>-SUM($F$32:BK32)*(1-BK$174)/(1+'TS2'!$J$84)*'TS2'!$J$84-SUM($F$119:BJ119)</f>
        <v>0</v>
      </c>
      <c r="BL119" s="159">
        <f>-SUM($F$32:BL32)*(1-BL$174)/(1+'TS2'!$J$84)*'TS2'!$J$84-SUM($F$119:BK119)</f>
        <v>0</v>
      </c>
      <c r="BM119" s="159">
        <f>-SUM($F$32:BM32)*(1-BM$174)/(1+'TS2'!$J$84)*'TS2'!$J$84-SUM($F$119:BL119)</f>
        <v>0</v>
      </c>
    </row>
    <row r="120" spans="1:65" s="151" customFormat="1" hidden="1" outlineLevel="1">
      <c r="B120" s="152"/>
      <c r="C120" s="152" t="s">
        <v>86</v>
      </c>
      <c r="D120" s="153"/>
      <c r="E120" s="154">
        <f t="shared" si="83"/>
        <v>255.81964150777571</v>
      </c>
      <c r="F120" s="155">
        <f>SUM(F121:F126)</f>
        <v>0</v>
      </c>
      <c r="G120" s="155">
        <f t="shared" ref="G120:BM120" si="86">SUM(G121:G126)</f>
        <v>0</v>
      </c>
      <c r="H120" s="155">
        <f t="shared" si="86"/>
        <v>0</v>
      </c>
      <c r="I120" s="564">
        <f t="shared" si="86"/>
        <v>0</v>
      </c>
      <c r="J120" s="564">
        <f t="shared" si="86"/>
        <v>0</v>
      </c>
      <c r="K120" s="564">
        <f t="shared" si="86"/>
        <v>0</v>
      </c>
      <c r="L120" s="564">
        <f t="shared" si="86"/>
        <v>0</v>
      </c>
      <c r="M120" s="564">
        <f t="shared" si="86"/>
        <v>0</v>
      </c>
      <c r="N120" s="155">
        <f t="shared" si="86"/>
        <v>0</v>
      </c>
      <c r="O120" s="155">
        <f t="shared" si="86"/>
        <v>0</v>
      </c>
      <c r="P120" s="155">
        <f t="shared" si="86"/>
        <v>0</v>
      </c>
      <c r="Q120" s="155">
        <f t="shared" si="86"/>
        <v>0</v>
      </c>
      <c r="R120" s="155">
        <f t="shared" si="86"/>
        <v>0</v>
      </c>
      <c r="S120" s="155">
        <f t="shared" si="86"/>
        <v>0</v>
      </c>
      <c r="T120" s="155">
        <f t="shared" si="86"/>
        <v>0</v>
      </c>
      <c r="U120" s="155">
        <f t="shared" si="86"/>
        <v>0</v>
      </c>
      <c r="V120" s="155">
        <f t="shared" si="86"/>
        <v>0</v>
      </c>
      <c r="W120" s="155">
        <f t="shared" si="86"/>
        <v>0</v>
      </c>
      <c r="X120" s="155">
        <f t="shared" si="86"/>
        <v>0</v>
      </c>
      <c r="Y120" s="155">
        <f t="shared" si="86"/>
        <v>0</v>
      </c>
      <c r="Z120" s="155">
        <f t="shared" si="86"/>
        <v>0</v>
      </c>
      <c r="AA120" s="155">
        <f t="shared" si="86"/>
        <v>0</v>
      </c>
      <c r="AB120" s="155">
        <f t="shared" si="86"/>
        <v>0</v>
      </c>
      <c r="AC120" s="155">
        <f t="shared" si="86"/>
        <v>0</v>
      </c>
      <c r="AD120" s="155">
        <f t="shared" si="86"/>
        <v>0</v>
      </c>
      <c r="AE120" s="155">
        <f t="shared" si="86"/>
        <v>0</v>
      </c>
      <c r="AF120" s="155">
        <f t="shared" si="86"/>
        <v>0</v>
      </c>
      <c r="AG120" s="155">
        <f t="shared" si="86"/>
        <v>0</v>
      </c>
      <c r="AH120" s="155">
        <f t="shared" si="86"/>
        <v>0</v>
      </c>
      <c r="AI120" s="155">
        <f t="shared" si="86"/>
        <v>0</v>
      </c>
      <c r="AJ120" s="155">
        <f t="shared" si="86"/>
        <v>22.5</v>
      </c>
      <c r="AK120" s="155">
        <f t="shared" si="86"/>
        <v>93.034820753887857</v>
      </c>
      <c r="AL120" s="155">
        <f t="shared" si="86"/>
        <v>93.034820753887857</v>
      </c>
      <c r="AM120" s="155">
        <f t="shared" si="86"/>
        <v>22.5</v>
      </c>
      <c r="AN120" s="155">
        <f t="shared" si="86"/>
        <v>24.75</v>
      </c>
      <c r="AO120" s="155">
        <f t="shared" si="86"/>
        <v>0</v>
      </c>
      <c r="AP120" s="155">
        <f t="shared" si="86"/>
        <v>0</v>
      </c>
      <c r="AQ120" s="155">
        <f t="shared" si="86"/>
        <v>0</v>
      </c>
      <c r="AR120" s="155">
        <f t="shared" si="86"/>
        <v>0</v>
      </c>
      <c r="AS120" s="155">
        <f t="shared" si="86"/>
        <v>0</v>
      </c>
      <c r="AT120" s="155">
        <f t="shared" si="86"/>
        <v>0</v>
      </c>
      <c r="AU120" s="155">
        <f t="shared" si="86"/>
        <v>0</v>
      </c>
      <c r="AV120" s="155">
        <f t="shared" si="86"/>
        <v>0</v>
      </c>
      <c r="AW120" s="155">
        <f t="shared" si="86"/>
        <v>0</v>
      </c>
      <c r="AX120" s="155">
        <f t="shared" si="86"/>
        <v>0</v>
      </c>
      <c r="AY120" s="155">
        <f t="shared" si="86"/>
        <v>0</v>
      </c>
      <c r="AZ120" s="155">
        <f t="shared" si="86"/>
        <v>0</v>
      </c>
      <c r="BA120" s="155">
        <f t="shared" si="86"/>
        <v>0</v>
      </c>
      <c r="BB120" s="155">
        <f t="shared" si="86"/>
        <v>0</v>
      </c>
      <c r="BC120" s="155">
        <f t="shared" si="86"/>
        <v>0</v>
      </c>
      <c r="BD120" s="155">
        <f t="shared" si="86"/>
        <v>0</v>
      </c>
      <c r="BE120" s="155">
        <f t="shared" si="86"/>
        <v>0</v>
      </c>
      <c r="BF120" s="155">
        <f t="shared" si="86"/>
        <v>0</v>
      </c>
      <c r="BG120" s="155">
        <f t="shared" si="86"/>
        <v>0</v>
      </c>
      <c r="BH120" s="155">
        <f t="shared" si="86"/>
        <v>0</v>
      </c>
      <c r="BI120" s="155">
        <f t="shared" si="86"/>
        <v>0</v>
      </c>
      <c r="BJ120" s="155">
        <f t="shared" si="86"/>
        <v>0</v>
      </c>
      <c r="BK120" s="155">
        <f t="shared" si="86"/>
        <v>0</v>
      </c>
      <c r="BL120" s="155">
        <f t="shared" si="86"/>
        <v>0</v>
      </c>
      <c r="BM120" s="155">
        <f t="shared" si="86"/>
        <v>0</v>
      </c>
    </row>
    <row r="121" spans="1:65" s="134" customFormat="1" hidden="1" outlineLevel="1">
      <c r="B121" s="157"/>
      <c r="C121" s="157"/>
      <c r="D121" s="158" t="str">
        <f t="shared" ref="D121:D126" si="87">D114</f>
        <v>АПАРТАМЕНТЫ</v>
      </c>
      <c r="E121" s="154">
        <f t="shared" si="83"/>
        <v>0</v>
      </c>
      <c r="F121" s="159">
        <f>IFERROR('TS2'!$AT$88/'CF2'!$E$114*'CF2'!F114,0)</f>
        <v>0</v>
      </c>
      <c r="G121" s="159">
        <f>IFERROR('TS2'!$AT$88/'CF2'!$E$114*'CF2'!G114,0)</f>
        <v>0</v>
      </c>
      <c r="H121" s="159">
        <f>IFERROR('TS2'!$AT$88/'CF2'!$E$114*'CF2'!H114,0)</f>
        <v>0</v>
      </c>
      <c r="I121" s="565">
        <f>IFERROR('TS2'!$AT$88/'CF2'!$E$114*'CF2'!I114,0)</f>
        <v>0</v>
      </c>
      <c r="J121" s="565">
        <f>IFERROR('TS2'!$AT$88/'CF2'!$E$114*'CF2'!J114,0)</f>
        <v>0</v>
      </c>
      <c r="K121" s="565">
        <f>IFERROR('TS2'!$AT$88/'CF2'!$E$114*'CF2'!K114,0)</f>
        <v>0</v>
      </c>
      <c r="L121" s="565">
        <f>IFERROR('TS2'!$AT$88/'CF2'!$E$114*'CF2'!L114,0)</f>
        <v>0</v>
      </c>
      <c r="M121" s="565">
        <f>IFERROR('TS2'!$AT$88/'CF2'!$E$114*'CF2'!M114,0)</f>
        <v>0</v>
      </c>
      <c r="N121" s="159">
        <f>IFERROR('TS2'!$AT$88/'CF2'!$E$114*'CF2'!N114,0)</f>
        <v>0</v>
      </c>
      <c r="O121" s="159">
        <f>IFERROR('TS2'!$AT$88/'CF2'!$E$114*'CF2'!O114,0)</f>
        <v>0</v>
      </c>
      <c r="P121" s="159">
        <f>IFERROR('TS2'!$AT$88/'CF2'!$E$114*'CF2'!P114,0)</f>
        <v>0</v>
      </c>
      <c r="Q121" s="159">
        <f>IFERROR('TS2'!$AT$88/'CF2'!$E$114*'CF2'!Q114,0)</f>
        <v>0</v>
      </c>
      <c r="R121" s="159">
        <f>IFERROR('TS2'!$AT$88/'CF2'!$E$114*'CF2'!R114,0)</f>
        <v>0</v>
      </c>
      <c r="S121" s="159">
        <f>IFERROR('TS2'!$AT$88/'CF2'!$E$114*'CF2'!S114,0)</f>
        <v>0</v>
      </c>
      <c r="T121" s="159">
        <f>IFERROR('TS2'!$AT$88/'CF2'!$E$114*'CF2'!T114,0)</f>
        <v>0</v>
      </c>
      <c r="U121" s="159">
        <f>IFERROR('TS2'!$AT$88/'CF2'!$E$114*'CF2'!U114,0)</f>
        <v>0</v>
      </c>
      <c r="V121" s="159">
        <f>IFERROR('TS2'!$AT$88/'CF2'!$E$114*'CF2'!V114,0)</f>
        <v>0</v>
      </c>
      <c r="W121" s="159">
        <f>IFERROR('TS2'!$AT$88/'CF2'!$E$114*'CF2'!W114,0)</f>
        <v>0</v>
      </c>
      <c r="X121" s="159">
        <f>IFERROR('TS2'!$AT$88/'CF2'!$E$114*'CF2'!X114,0)</f>
        <v>0</v>
      </c>
      <c r="Y121" s="159">
        <f>IFERROR('TS2'!$AT$88/'CF2'!$E$114*'CF2'!Y114,0)</f>
        <v>0</v>
      </c>
      <c r="Z121" s="159">
        <f>IFERROR('TS2'!$AT$88/'CF2'!$E$114*'CF2'!Z114,0)</f>
        <v>0</v>
      </c>
      <c r="AA121" s="159">
        <f>IFERROR('TS2'!$AT$88/'CF2'!$E$114*'CF2'!AA114,0)</f>
        <v>0</v>
      </c>
      <c r="AB121" s="159">
        <f>IFERROR('TS2'!$AT$88/'CF2'!$E$114*'CF2'!AB114,0)</f>
        <v>0</v>
      </c>
      <c r="AC121" s="159">
        <f>IFERROR('TS2'!$AT$88/'CF2'!$E$114*'CF2'!AC114,0)</f>
        <v>0</v>
      </c>
      <c r="AD121" s="159">
        <f>IFERROR('TS2'!$AT$88/'CF2'!$E$114*'CF2'!AD114,0)</f>
        <v>0</v>
      </c>
      <c r="AE121" s="159">
        <f>IFERROR('TS2'!$AT$88/'CF2'!$E$114*'CF2'!AE114,0)</f>
        <v>0</v>
      </c>
      <c r="AF121" s="159">
        <f>IFERROR('TS2'!$AT$88/'CF2'!$E$114*'CF2'!AF114,0)</f>
        <v>0</v>
      </c>
      <c r="AG121" s="159">
        <f>IFERROR('TS2'!$AT$88/'CF2'!$E$114*'CF2'!AG114,0)</f>
        <v>0</v>
      </c>
      <c r="AH121" s="159">
        <f>IFERROR('TS2'!$AT$88/'CF2'!$E$114*'CF2'!AH114,0)</f>
        <v>0</v>
      </c>
      <c r="AI121" s="159">
        <f>IFERROR('TS2'!$AT$88/'CF2'!$E$114*'CF2'!AI114,0)</f>
        <v>0</v>
      </c>
      <c r="AJ121" s="159">
        <f>IFERROR('TS2'!$AT$88/'CF2'!$E$114*'CF2'!AJ114,0)</f>
        <v>0</v>
      </c>
      <c r="AK121" s="159">
        <f>IFERROR('TS2'!$AT$88/'CF2'!$E$114*'CF2'!AK114,0)</f>
        <v>0</v>
      </c>
      <c r="AL121" s="159">
        <f>IFERROR('TS2'!$AT$88/'CF2'!$E$114*'CF2'!AL114,0)</f>
        <v>0</v>
      </c>
      <c r="AM121" s="159">
        <f>IFERROR('TS2'!$AT$88/'CF2'!$E$114*'CF2'!AM114,0)</f>
        <v>0</v>
      </c>
      <c r="AN121" s="159">
        <f>IFERROR('TS2'!$AT$88/'CF2'!$E$114*'CF2'!AN114,0)</f>
        <v>0</v>
      </c>
      <c r="AO121" s="159">
        <f>IFERROR('TS2'!$AT$88/'CF2'!$E$114*'CF2'!AO114,0)</f>
        <v>0</v>
      </c>
      <c r="AP121" s="159">
        <f>IFERROR('TS2'!$AT$88/'CF2'!$E$114*'CF2'!AP114,0)</f>
        <v>0</v>
      </c>
      <c r="AQ121" s="159">
        <f>IFERROR('TS2'!$AT$88/'CF2'!$E$114*'CF2'!AQ114,0)</f>
        <v>0</v>
      </c>
      <c r="AR121" s="159">
        <f>IFERROR('TS2'!$AT$88/'CF2'!$E$114*'CF2'!AR114,0)</f>
        <v>0</v>
      </c>
      <c r="AS121" s="159">
        <f>IFERROR('TS2'!$AT$88/'CF2'!$E$114*'CF2'!AS114,0)</f>
        <v>0</v>
      </c>
      <c r="AT121" s="159">
        <f>IFERROR('TS2'!$AT$88/'CF2'!$E$114*'CF2'!AT114,0)</f>
        <v>0</v>
      </c>
      <c r="AU121" s="159">
        <f>IFERROR('TS2'!$AT$88/'CF2'!$E$114*'CF2'!AU114,0)</f>
        <v>0</v>
      </c>
      <c r="AV121" s="159">
        <f>IFERROR('TS2'!$AT$88/'CF2'!$E$114*'CF2'!AV114,0)</f>
        <v>0</v>
      </c>
      <c r="AW121" s="159">
        <f>IFERROR('TS2'!$AT$88/'CF2'!$E$114*'CF2'!AW114,0)</f>
        <v>0</v>
      </c>
      <c r="AX121" s="159">
        <f>IFERROR('TS2'!$AT$88/'CF2'!$E$114*'CF2'!AX114,0)</f>
        <v>0</v>
      </c>
      <c r="AY121" s="159">
        <f>IFERROR('TS2'!$AT$88/'CF2'!$E$114*'CF2'!AY114,0)</f>
        <v>0</v>
      </c>
      <c r="AZ121" s="159">
        <f>IFERROR('TS2'!$AT$88/'CF2'!$E$114*'CF2'!AZ114,0)</f>
        <v>0</v>
      </c>
      <c r="BA121" s="159">
        <f>IFERROR('TS2'!$AT$88/'CF2'!$E$114*'CF2'!BA114,0)</f>
        <v>0</v>
      </c>
      <c r="BB121" s="159">
        <f>IFERROR('TS2'!$AT$88/'CF2'!$E$114*'CF2'!BB114,0)</f>
        <v>0</v>
      </c>
      <c r="BC121" s="159">
        <f>IFERROR('TS2'!$AT$88/'CF2'!$E$114*'CF2'!BC114,0)</f>
        <v>0</v>
      </c>
      <c r="BD121" s="159">
        <f>IFERROR('TS2'!$AT$88/'CF2'!$E$114*'CF2'!BD114,0)</f>
        <v>0</v>
      </c>
      <c r="BE121" s="159">
        <f>IFERROR('TS2'!$AT$88/'CF2'!$E$114*'CF2'!BE114,0)</f>
        <v>0</v>
      </c>
      <c r="BF121" s="159">
        <f>IFERROR('TS2'!$AT$88/'CF2'!$E$114*'CF2'!BF114,0)</f>
        <v>0</v>
      </c>
      <c r="BG121" s="159">
        <f>IFERROR('TS2'!$AT$88/'CF2'!$E$114*'CF2'!BG114,0)</f>
        <v>0</v>
      </c>
      <c r="BH121" s="159">
        <f>IFERROR('TS2'!$AT$88/'CF2'!$E$114*'CF2'!BH114,0)</f>
        <v>0</v>
      </c>
      <c r="BI121" s="159">
        <f>IFERROR('TS2'!$AT$88/'CF2'!$E$114*'CF2'!BI114,0)</f>
        <v>0</v>
      </c>
      <c r="BJ121" s="159">
        <f>IFERROR('TS2'!$AT$88/'CF2'!$E$114*'CF2'!BJ114,0)</f>
        <v>0</v>
      </c>
      <c r="BK121" s="159">
        <f>IFERROR('TS2'!$AT$88/'CF2'!$E$114*'CF2'!BK114,0)</f>
        <v>0</v>
      </c>
      <c r="BL121" s="159">
        <f>IFERROR('TS2'!$AT$88/'CF2'!$E$114*'CF2'!BL114,0)</f>
        <v>0</v>
      </c>
      <c r="BM121" s="159">
        <f>IFERROR('TS2'!$AT$88/'CF2'!$E$114*'CF2'!BM114,0)</f>
        <v>0</v>
      </c>
    </row>
    <row r="122" spans="1:65" s="134" customFormat="1" hidden="1" outlineLevel="1">
      <c r="B122" s="157"/>
      <c r="C122" s="157"/>
      <c r="D122" s="158" t="str">
        <f t="shared" si="87"/>
        <v>ОФИСЫ</v>
      </c>
      <c r="E122" s="154">
        <f t="shared" si="83"/>
        <v>0</v>
      </c>
      <c r="F122" s="159">
        <f>IFERROR(('TS2'!$AT$89+'TS2'!$AS$89)/'CF2'!$E$115*'CF2'!F115,0)</f>
        <v>0</v>
      </c>
      <c r="G122" s="159">
        <f>IFERROR(('TS2'!$AT$89+'TS2'!$AS$89)/'CF2'!$E$115*'CF2'!G115,0)</f>
        <v>0</v>
      </c>
      <c r="H122" s="159">
        <f>IFERROR(('TS2'!$AT$89+'TS2'!$AS$89)/'CF2'!$E$115*'CF2'!H115,0)</f>
        <v>0</v>
      </c>
      <c r="I122" s="565">
        <f>IFERROR(('TS2'!$AT$89+'TS2'!$AS$89)/'CF2'!$E$115*'CF2'!I115,0)</f>
        <v>0</v>
      </c>
      <c r="J122" s="565">
        <f>IFERROR(('TS2'!$AT$89+'TS2'!$AS$89)/'CF2'!$E$115*'CF2'!J115,0)</f>
        <v>0</v>
      </c>
      <c r="K122" s="565">
        <f>IFERROR(('TS2'!$AT$89+'TS2'!$AS$89)/'CF2'!$E$115*'CF2'!K115,0)</f>
        <v>0</v>
      </c>
      <c r="L122" s="565">
        <f>IFERROR(('TS2'!$AT$89+'TS2'!$AS$89)/'CF2'!$E$115*'CF2'!L115,0)</f>
        <v>0</v>
      </c>
      <c r="M122" s="565">
        <f>IFERROR(('TS2'!$AT$89+'TS2'!$AS$89)/'CF2'!$E$115*'CF2'!M115,0)</f>
        <v>0</v>
      </c>
      <c r="N122" s="159">
        <f>IFERROR(('TS2'!$AT$89+'TS2'!$AS$89)/'CF2'!$E$115*'CF2'!N115,0)</f>
        <v>0</v>
      </c>
      <c r="O122" s="159">
        <f>IFERROR(('TS2'!$AT$89+'TS2'!$AS$89)/'CF2'!$E$115*'CF2'!O115,0)</f>
        <v>0</v>
      </c>
      <c r="P122" s="159">
        <f>IFERROR(('TS2'!$AT$89+'TS2'!$AS$89)/'CF2'!$E$115*'CF2'!P115,0)</f>
        <v>0</v>
      </c>
      <c r="Q122" s="159">
        <f>IFERROR(('TS2'!$AT$89+'TS2'!$AS$89)/'CF2'!$E$115*'CF2'!Q115,0)</f>
        <v>0</v>
      </c>
      <c r="R122" s="159">
        <f>IFERROR(('TS2'!$AT$89+'TS2'!$AS$89)/'CF2'!$E$115*'CF2'!R115,0)</f>
        <v>0</v>
      </c>
      <c r="S122" s="159">
        <f>IFERROR(('TS2'!$AT$89+'TS2'!$AS$89)/'CF2'!$E$115*'CF2'!S115,0)</f>
        <v>0</v>
      </c>
      <c r="T122" s="159">
        <f>IFERROR(('TS2'!$AT$89+'TS2'!$AS$89)/'CF2'!$E$115*'CF2'!T115,0)</f>
        <v>0</v>
      </c>
      <c r="U122" s="159">
        <f>IFERROR(('TS2'!$AT$89+'TS2'!$AS$89)/'CF2'!$E$115*'CF2'!U115,0)</f>
        <v>0</v>
      </c>
      <c r="V122" s="159">
        <f>IFERROR(('TS2'!$AT$89+'TS2'!$AS$89)/'CF2'!$E$115*'CF2'!V115,0)</f>
        <v>0</v>
      </c>
      <c r="W122" s="159">
        <f>IFERROR(('TS2'!$AT$89+'TS2'!$AS$89)/'CF2'!$E$115*'CF2'!W115,0)</f>
        <v>0</v>
      </c>
      <c r="X122" s="159">
        <f>IFERROR(('TS2'!$AT$89+'TS2'!$AS$89)/'CF2'!$E$115*'CF2'!X115,0)</f>
        <v>0</v>
      </c>
      <c r="Y122" s="159">
        <f>IFERROR(('TS2'!$AT$89+'TS2'!$AS$89)/'CF2'!$E$115*'CF2'!Y115,0)</f>
        <v>0</v>
      </c>
      <c r="Z122" s="159">
        <f>IFERROR(('TS2'!$AT$89+'TS2'!$AS$89)/'CF2'!$E$115*'CF2'!Z115,0)</f>
        <v>0</v>
      </c>
      <c r="AA122" s="159">
        <f>IFERROR(('TS2'!$AT$89+'TS2'!$AS$89)/'CF2'!$E$115*'CF2'!AA115,0)</f>
        <v>0</v>
      </c>
      <c r="AB122" s="159">
        <f>IFERROR(('TS2'!$AT$89+'TS2'!$AS$89)/'CF2'!$E$115*'CF2'!AB115,0)</f>
        <v>0</v>
      </c>
      <c r="AC122" s="159">
        <f>IFERROR(('TS2'!$AT$89+'TS2'!$AS$89)/'CF2'!$E$115*'CF2'!AC115,0)</f>
        <v>0</v>
      </c>
      <c r="AD122" s="159">
        <f>IFERROR(('TS2'!$AT$89+'TS2'!$AS$89)/'CF2'!$E$115*'CF2'!AD115,0)</f>
        <v>0</v>
      </c>
      <c r="AE122" s="159">
        <f>IFERROR(('TS2'!$AT$89+'TS2'!$AS$89)/'CF2'!$E$115*'CF2'!AE115,0)</f>
        <v>0</v>
      </c>
      <c r="AF122" s="159">
        <f>IFERROR(('TS2'!$AT$89+'TS2'!$AS$89)/'CF2'!$E$115*'CF2'!AF115,0)</f>
        <v>0</v>
      </c>
      <c r="AG122" s="159">
        <f>IFERROR(('TS2'!$AT$89+'TS2'!$AS$89)/'CF2'!$E$115*'CF2'!AG115,0)</f>
        <v>0</v>
      </c>
      <c r="AH122" s="159">
        <f>IFERROR(('TS2'!$AT$89+'TS2'!$AS$89)/'CF2'!$E$115*'CF2'!AH115,0)</f>
        <v>0</v>
      </c>
      <c r="AI122" s="159">
        <f>IFERROR(('TS2'!$AT$89+'TS2'!$AS$89)/'CF2'!$E$115*'CF2'!AI115,0)</f>
        <v>0</v>
      </c>
      <c r="AJ122" s="159">
        <f>IFERROR(('TS2'!$AT$89+'TS2'!$AS$89)/'CF2'!$E$115*'CF2'!AJ115,0)</f>
        <v>0</v>
      </c>
      <c r="AK122" s="159">
        <f>IFERROR(('TS2'!$AT$89+'TS2'!$AS$89)/'CF2'!$E$115*'CF2'!AK115,0)</f>
        <v>0</v>
      </c>
      <c r="AL122" s="159">
        <f>IFERROR(('TS2'!$AT$89+'TS2'!$AS$89)/'CF2'!$E$115*'CF2'!AL115,0)</f>
        <v>0</v>
      </c>
      <c r="AM122" s="159">
        <f>IFERROR(('TS2'!$AT$89+'TS2'!$AS$89)/'CF2'!$E$115*'CF2'!AM115,0)</f>
        <v>0</v>
      </c>
      <c r="AN122" s="159">
        <f>IFERROR(('TS2'!$AT$89+'TS2'!$AS$89)/'CF2'!$E$115*'CF2'!AN115,0)</f>
        <v>0</v>
      </c>
      <c r="AO122" s="159">
        <f>IFERROR(('TS2'!$AT$89+'TS2'!$AS$89)/'CF2'!$E$115*'CF2'!AO115,0)</f>
        <v>0</v>
      </c>
      <c r="AP122" s="159">
        <f>IFERROR(('TS2'!$AT$89+'TS2'!$AS$89)/'CF2'!$E$115*'CF2'!AP115,0)</f>
        <v>0</v>
      </c>
      <c r="AQ122" s="159">
        <f>IFERROR(('TS2'!$AT$89+'TS2'!$AS$89)/'CF2'!$E$115*'CF2'!AQ115,0)</f>
        <v>0</v>
      </c>
      <c r="AR122" s="159">
        <f>IFERROR(('TS2'!$AT$89+'TS2'!$AS$89)/'CF2'!$E$115*'CF2'!AR115,0)</f>
        <v>0</v>
      </c>
      <c r="AS122" s="159">
        <f>IFERROR(('TS2'!$AT$89+'TS2'!$AS$89)/'CF2'!$E$115*'CF2'!AS115,0)</f>
        <v>0</v>
      </c>
      <c r="AT122" s="159">
        <f>IFERROR(('TS2'!$AT$89+'TS2'!$AS$89)/'CF2'!$E$115*'CF2'!AT115,0)</f>
        <v>0</v>
      </c>
      <c r="AU122" s="159">
        <f>IFERROR(('TS2'!$AT$89+'TS2'!$AS$89)/'CF2'!$E$115*'CF2'!AU115,0)</f>
        <v>0</v>
      </c>
      <c r="AV122" s="159">
        <f>IFERROR(('TS2'!$AT$89+'TS2'!$AS$89)/'CF2'!$E$115*'CF2'!AV115,0)</f>
        <v>0</v>
      </c>
      <c r="AW122" s="159">
        <f>IFERROR(('TS2'!$AT$89+'TS2'!$AS$89)/'CF2'!$E$115*'CF2'!AW115,0)</f>
        <v>0</v>
      </c>
      <c r="AX122" s="159">
        <f>IFERROR(('TS2'!$AT$89+'TS2'!$AS$89)/'CF2'!$E$115*'CF2'!AX115,0)</f>
        <v>0</v>
      </c>
      <c r="AY122" s="159">
        <f>IFERROR(('TS2'!$AT$89+'TS2'!$AS$89)/'CF2'!$E$115*'CF2'!AY115,0)</f>
        <v>0</v>
      </c>
      <c r="AZ122" s="159">
        <f>IFERROR(('TS2'!$AT$89+'TS2'!$AS$89)/'CF2'!$E$115*'CF2'!AZ115,0)</f>
        <v>0</v>
      </c>
      <c r="BA122" s="159">
        <f>IFERROR(('TS2'!$AT$89+'TS2'!$AS$89)/'CF2'!$E$115*'CF2'!BA115,0)</f>
        <v>0</v>
      </c>
      <c r="BB122" s="159">
        <f>IFERROR(('TS2'!$AT$89+'TS2'!$AS$89)/'CF2'!$E$115*'CF2'!BB115,0)</f>
        <v>0</v>
      </c>
      <c r="BC122" s="159">
        <f>IFERROR(('TS2'!$AT$89+'TS2'!$AS$89)/'CF2'!$E$115*'CF2'!BC115,0)</f>
        <v>0</v>
      </c>
      <c r="BD122" s="159">
        <f>IFERROR(('TS2'!$AT$89+'TS2'!$AS$89)/'CF2'!$E$115*'CF2'!BD115,0)</f>
        <v>0</v>
      </c>
      <c r="BE122" s="159">
        <f>IFERROR(('TS2'!$AT$89+'TS2'!$AS$89)/'CF2'!$E$115*'CF2'!BE115,0)</f>
        <v>0</v>
      </c>
      <c r="BF122" s="159">
        <f>IFERROR(('TS2'!$AT$89+'TS2'!$AS$89)/'CF2'!$E$115*'CF2'!BF115,0)</f>
        <v>0</v>
      </c>
      <c r="BG122" s="159">
        <f>IFERROR(('TS2'!$AT$89+'TS2'!$AS$89)/'CF2'!$E$115*'CF2'!BG115,0)</f>
        <v>0</v>
      </c>
      <c r="BH122" s="159">
        <f>IFERROR(('TS2'!$AT$89+'TS2'!$AS$89)/'CF2'!$E$115*'CF2'!BH115,0)</f>
        <v>0</v>
      </c>
      <c r="BI122" s="159">
        <f>IFERROR(('TS2'!$AT$89+'TS2'!$AS$89)/'CF2'!$E$115*'CF2'!BI115,0)</f>
        <v>0</v>
      </c>
      <c r="BJ122" s="159">
        <f>IFERROR(('TS2'!$AT$89+'TS2'!$AS$89)/'CF2'!$E$115*'CF2'!BJ115,0)</f>
        <v>0</v>
      </c>
      <c r="BK122" s="159">
        <f>IFERROR(('TS2'!$AT$89+'TS2'!$AS$89)/'CF2'!$E$115*'CF2'!BK115,0)</f>
        <v>0</v>
      </c>
      <c r="BL122" s="159">
        <f>IFERROR(('TS2'!$AT$89+'TS2'!$AS$89)/'CF2'!$E$115*'CF2'!BL115,0)</f>
        <v>0</v>
      </c>
      <c r="BM122" s="159">
        <f>IFERROR(('TS2'!$AT$89+'TS2'!$AS$89)/'CF2'!$E$115*'CF2'!BM115,0)</f>
        <v>0</v>
      </c>
    </row>
    <row r="123" spans="1:65" s="134" customFormat="1" hidden="1" outlineLevel="1">
      <c r="B123" s="157"/>
      <c r="C123" s="157"/>
      <c r="D123" s="158" t="str">
        <f t="shared" si="87"/>
        <v>РИТЕЙЛ</v>
      </c>
      <c r="E123" s="154">
        <f t="shared" si="83"/>
        <v>141.06964150777571</v>
      </c>
      <c r="F123" s="159">
        <f>IFERROR('TS2'!$AT$90/'CF2'!$E$116*'CF2'!F116,0)</f>
        <v>0</v>
      </c>
      <c r="G123" s="159">
        <f>IFERROR('TS2'!$AT$90/'CF2'!$E$116*'CF2'!G116,0)</f>
        <v>0</v>
      </c>
      <c r="H123" s="159">
        <f>IFERROR('TS2'!$AT$90/'CF2'!$E$116*'CF2'!H116,0)</f>
        <v>0</v>
      </c>
      <c r="I123" s="565">
        <f>IFERROR('TS2'!$AT$90/'CF2'!$E$116*'CF2'!I116,0)</f>
        <v>0</v>
      </c>
      <c r="J123" s="565">
        <f>IFERROR('TS2'!$AT$90/'CF2'!$E$116*'CF2'!J116,0)</f>
        <v>0</v>
      </c>
      <c r="K123" s="565">
        <f>IFERROR('TS2'!$AT$90/'CF2'!$E$116*'CF2'!K116,0)</f>
        <v>0</v>
      </c>
      <c r="L123" s="565">
        <f>IFERROR('TS2'!$AT$90/'CF2'!$E$116*'CF2'!L116,0)</f>
        <v>0</v>
      </c>
      <c r="M123" s="565">
        <f>IFERROR('TS2'!$AT$90/'CF2'!$E$116*'CF2'!M116,0)</f>
        <v>0</v>
      </c>
      <c r="N123" s="159">
        <f>IFERROR('TS2'!$AT$90/'CF2'!$E$116*'CF2'!N116,0)</f>
        <v>0</v>
      </c>
      <c r="O123" s="159">
        <f>IFERROR('TS2'!$AT$90/'CF2'!$E$116*'CF2'!O116,0)</f>
        <v>0</v>
      </c>
      <c r="P123" s="159">
        <f>IFERROR('TS2'!$AT$90/'CF2'!$E$116*'CF2'!P116,0)</f>
        <v>0</v>
      </c>
      <c r="Q123" s="159">
        <f>IFERROR('TS2'!$AT$90/'CF2'!$E$116*'CF2'!Q116,0)</f>
        <v>0</v>
      </c>
      <c r="R123" s="159">
        <f>IFERROR('TS2'!$AT$90/'CF2'!$E$116*'CF2'!R116,0)</f>
        <v>0</v>
      </c>
      <c r="S123" s="159">
        <f>IFERROR('TS2'!$AT$90/'CF2'!$E$116*'CF2'!S116,0)</f>
        <v>0</v>
      </c>
      <c r="T123" s="159">
        <f>IFERROR('TS2'!$AT$90/'CF2'!$E$116*'CF2'!T116,0)</f>
        <v>0</v>
      </c>
      <c r="U123" s="159">
        <f>IFERROR('TS2'!$AT$90/'CF2'!$E$116*'CF2'!U116,0)</f>
        <v>0</v>
      </c>
      <c r="V123" s="159">
        <f>IFERROR('TS2'!$AT$90/'CF2'!$E$116*'CF2'!V116,0)</f>
        <v>0</v>
      </c>
      <c r="W123" s="159">
        <f>IFERROR('TS2'!$AT$90/'CF2'!$E$116*'CF2'!W116,0)</f>
        <v>0</v>
      </c>
      <c r="X123" s="159">
        <f>IFERROR('TS2'!$AT$90/'CF2'!$E$116*'CF2'!X116,0)</f>
        <v>0</v>
      </c>
      <c r="Y123" s="159">
        <f>IFERROR('TS2'!$AT$90/'CF2'!$E$116*'CF2'!Y116,0)</f>
        <v>0</v>
      </c>
      <c r="Z123" s="159">
        <f>IFERROR('TS2'!$AT$90/'CF2'!$E$116*'CF2'!Z116,0)</f>
        <v>0</v>
      </c>
      <c r="AA123" s="159">
        <f>IFERROR('TS2'!$AT$90/'CF2'!$E$116*'CF2'!AA116,0)</f>
        <v>0</v>
      </c>
      <c r="AB123" s="159">
        <f>IFERROR('TS2'!$AT$90/'CF2'!$E$116*'CF2'!AB116,0)</f>
        <v>0</v>
      </c>
      <c r="AC123" s="159">
        <f>IFERROR('TS2'!$AT$90/'CF2'!$E$116*'CF2'!AC116,0)</f>
        <v>0</v>
      </c>
      <c r="AD123" s="159">
        <f>IFERROR('TS2'!$AT$90/'CF2'!$E$116*'CF2'!AD116,0)</f>
        <v>0</v>
      </c>
      <c r="AE123" s="159">
        <f>IFERROR('TS2'!$AT$90/'CF2'!$E$116*'CF2'!AE116,0)</f>
        <v>0</v>
      </c>
      <c r="AF123" s="159">
        <f>IFERROR('TS2'!$AT$90/'CF2'!$E$116*'CF2'!AF116,0)</f>
        <v>0</v>
      </c>
      <c r="AG123" s="159">
        <f>IFERROR('TS2'!$AT$90/'CF2'!$E$116*'CF2'!AG116,0)</f>
        <v>0</v>
      </c>
      <c r="AH123" s="159">
        <f>IFERROR('TS2'!$AT$90/'CF2'!$E$116*'CF2'!AH116,0)</f>
        <v>0</v>
      </c>
      <c r="AI123" s="159">
        <f>IFERROR('TS2'!$AT$90/'CF2'!$E$116*'CF2'!AI116,0)</f>
        <v>0</v>
      </c>
      <c r="AJ123" s="159">
        <f>IFERROR('TS2'!$AT$90/'CF2'!$E$116*'CF2'!AJ116,0)</f>
        <v>0</v>
      </c>
      <c r="AK123" s="159">
        <f>IFERROR('TS2'!$AT$90/'CF2'!$E$116*'CF2'!AK116,0)</f>
        <v>70.534820753887857</v>
      </c>
      <c r="AL123" s="159">
        <f>IFERROR('TS2'!$AT$90/'CF2'!$E$116*'CF2'!AL116,0)</f>
        <v>70.534820753887857</v>
      </c>
      <c r="AM123" s="159">
        <f>IFERROR('TS2'!$AT$90/'CF2'!$E$116*'CF2'!AM116,0)</f>
        <v>0</v>
      </c>
      <c r="AN123" s="159">
        <f>IFERROR('TS2'!$AT$90/'CF2'!$E$116*'CF2'!AN116,0)</f>
        <v>0</v>
      </c>
      <c r="AO123" s="159">
        <f>IFERROR('TS2'!$AT$90/'CF2'!$E$116*'CF2'!AO116,0)</f>
        <v>0</v>
      </c>
      <c r="AP123" s="159">
        <f>IFERROR('TS2'!$AT$90/'CF2'!$E$116*'CF2'!AP116,0)</f>
        <v>0</v>
      </c>
      <c r="AQ123" s="159">
        <f>IFERROR('TS2'!$AT$90/'CF2'!$E$116*'CF2'!AQ116,0)</f>
        <v>0</v>
      </c>
      <c r="AR123" s="159">
        <f>IFERROR('TS2'!$AT$90/'CF2'!$E$116*'CF2'!AR116,0)</f>
        <v>0</v>
      </c>
      <c r="AS123" s="159">
        <f>IFERROR('TS2'!$AT$90/'CF2'!$E$116*'CF2'!AS116,0)</f>
        <v>0</v>
      </c>
      <c r="AT123" s="159">
        <f>IFERROR('TS2'!$AT$90/'CF2'!$E$116*'CF2'!AT116,0)</f>
        <v>0</v>
      </c>
      <c r="AU123" s="159">
        <f>IFERROR('TS2'!$AT$90/'CF2'!$E$116*'CF2'!AU116,0)</f>
        <v>0</v>
      </c>
      <c r="AV123" s="159">
        <f>IFERROR('TS2'!$AT$90/'CF2'!$E$116*'CF2'!AV116,0)</f>
        <v>0</v>
      </c>
      <c r="AW123" s="159">
        <f>IFERROR('TS2'!$AT$90/'CF2'!$E$116*'CF2'!AW116,0)</f>
        <v>0</v>
      </c>
      <c r="AX123" s="159">
        <f>IFERROR('TS2'!$AT$90/'CF2'!$E$116*'CF2'!AX116,0)</f>
        <v>0</v>
      </c>
      <c r="AY123" s="159">
        <f>IFERROR('TS2'!$AT$90/'CF2'!$E$116*'CF2'!AY116,0)</f>
        <v>0</v>
      </c>
      <c r="AZ123" s="159">
        <f>IFERROR('TS2'!$AT$90/'CF2'!$E$116*'CF2'!AZ116,0)</f>
        <v>0</v>
      </c>
      <c r="BA123" s="159">
        <f>IFERROR('TS2'!$AT$90/'CF2'!$E$116*'CF2'!BA116,0)</f>
        <v>0</v>
      </c>
      <c r="BB123" s="159">
        <f>IFERROR('TS2'!$AT$90/'CF2'!$E$116*'CF2'!BB116,0)</f>
        <v>0</v>
      </c>
      <c r="BC123" s="159">
        <f>IFERROR('TS2'!$AT$90/'CF2'!$E$116*'CF2'!BC116,0)</f>
        <v>0</v>
      </c>
      <c r="BD123" s="159">
        <f>IFERROR('TS2'!$AT$90/'CF2'!$E$116*'CF2'!BD116,0)</f>
        <v>0</v>
      </c>
      <c r="BE123" s="159">
        <f>IFERROR('TS2'!$AT$90/'CF2'!$E$116*'CF2'!BE116,0)</f>
        <v>0</v>
      </c>
      <c r="BF123" s="159">
        <f>IFERROR('TS2'!$AT$90/'CF2'!$E$116*'CF2'!BF116,0)</f>
        <v>0</v>
      </c>
      <c r="BG123" s="159">
        <f>IFERROR('TS2'!$AT$90/'CF2'!$E$116*'CF2'!BG116,0)</f>
        <v>0</v>
      </c>
      <c r="BH123" s="159">
        <f>IFERROR('TS2'!$AT$90/'CF2'!$E$116*'CF2'!BH116,0)</f>
        <v>0</v>
      </c>
      <c r="BI123" s="159">
        <f>IFERROR('TS2'!$AT$90/'CF2'!$E$116*'CF2'!BI116,0)</f>
        <v>0</v>
      </c>
      <c r="BJ123" s="159">
        <f>IFERROR('TS2'!$AT$90/'CF2'!$E$116*'CF2'!BJ116,0)</f>
        <v>0</v>
      </c>
      <c r="BK123" s="159">
        <f>IFERROR('TS2'!$AT$90/'CF2'!$E$116*'CF2'!BK116,0)</f>
        <v>0</v>
      </c>
      <c r="BL123" s="159">
        <f>IFERROR('TS2'!$AT$90/'CF2'!$E$116*'CF2'!BL116,0)</f>
        <v>0</v>
      </c>
      <c r="BM123" s="159">
        <f>IFERROR('TS2'!$AT$90/'CF2'!$E$116*'CF2'!BM116,0)</f>
        <v>0</v>
      </c>
    </row>
    <row r="124" spans="1:65" s="134" customFormat="1" hidden="1" outlineLevel="1">
      <c r="B124" s="157"/>
      <c r="C124" s="157"/>
      <c r="D124" s="158" t="str">
        <f t="shared" si="87"/>
        <v>ТЦ</v>
      </c>
      <c r="E124" s="154">
        <f t="shared" si="83"/>
        <v>0</v>
      </c>
      <c r="F124" s="159">
        <f>IFERROR(('TS2'!$AT$91+'TS2'!$AS$91)/'CF2'!$E$117*'CF2'!F117,0)</f>
        <v>0</v>
      </c>
      <c r="G124" s="159">
        <f>IFERROR(('TS2'!$AT$91+'TS2'!$AS$91)/'CF2'!$E$117*'CF2'!G117,0)</f>
        <v>0</v>
      </c>
      <c r="H124" s="159">
        <f>IFERROR(('TS2'!$AT$91+'TS2'!$AS$91)/'CF2'!$E$117*'CF2'!H117,0)</f>
        <v>0</v>
      </c>
      <c r="I124" s="565">
        <f>IFERROR(('TS2'!$AT$91+'TS2'!$AS$91)/'CF2'!$E$117*'CF2'!I117,0)</f>
        <v>0</v>
      </c>
      <c r="J124" s="565">
        <f>IFERROR(('TS2'!$AT$91+'TS2'!$AS$91)/'CF2'!$E$117*'CF2'!J117,0)</f>
        <v>0</v>
      </c>
      <c r="K124" s="565">
        <f>IFERROR(('TS2'!$AT$91+'TS2'!$AS$91)/'CF2'!$E$117*'CF2'!K117,0)</f>
        <v>0</v>
      </c>
      <c r="L124" s="565">
        <f>IFERROR(('TS2'!$AT$91+'TS2'!$AS$91)/'CF2'!$E$117*'CF2'!L117,0)</f>
        <v>0</v>
      </c>
      <c r="M124" s="565">
        <f>IFERROR(('TS2'!$AT$91+'TS2'!$AS$91)/'CF2'!$E$117*'CF2'!M117,0)</f>
        <v>0</v>
      </c>
      <c r="N124" s="159">
        <f>IFERROR(('TS2'!$AT$91+'TS2'!$AS$91)/'CF2'!$E$117*'CF2'!N117,0)</f>
        <v>0</v>
      </c>
      <c r="O124" s="159">
        <f>IFERROR(('TS2'!$AT$91+'TS2'!$AS$91)/'CF2'!$E$117*'CF2'!O117,0)</f>
        <v>0</v>
      </c>
      <c r="P124" s="159">
        <f>IFERROR(('TS2'!$AT$91+'TS2'!$AS$91)/'CF2'!$E$117*'CF2'!P117,0)</f>
        <v>0</v>
      </c>
      <c r="Q124" s="159">
        <f>IFERROR(('TS2'!$AT$91+'TS2'!$AS$91)/'CF2'!$E$117*'CF2'!Q117,0)</f>
        <v>0</v>
      </c>
      <c r="R124" s="159">
        <f>IFERROR(('TS2'!$AT$91+'TS2'!$AS$91)/'CF2'!$E$117*'CF2'!R117,0)</f>
        <v>0</v>
      </c>
      <c r="S124" s="159">
        <f>IFERROR(('TS2'!$AT$91+'TS2'!$AS$91)/'CF2'!$E$117*'CF2'!S117,0)</f>
        <v>0</v>
      </c>
      <c r="T124" s="159">
        <f>IFERROR(('TS2'!$AT$91+'TS2'!$AS$91)/'CF2'!$E$117*'CF2'!T117,0)</f>
        <v>0</v>
      </c>
      <c r="U124" s="159">
        <f>IFERROR(('TS2'!$AT$91+'TS2'!$AS$91)/'CF2'!$E$117*'CF2'!U117,0)</f>
        <v>0</v>
      </c>
      <c r="V124" s="159">
        <f>IFERROR(('TS2'!$AT$91+'TS2'!$AS$91)/'CF2'!$E$117*'CF2'!V117,0)</f>
        <v>0</v>
      </c>
      <c r="W124" s="159">
        <f>IFERROR(('TS2'!$AT$91+'TS2'!$AS$91)/'CF2'!$E$117*'CF2'!W117,0)</f>
        <v>0</v>
      </c>
      <c r="X124" s="159">
        <f>IFERROR(('TS2'!$AT$91+'TS2'!$AS$91)/'CF2'!$E$117*'CF2'!X117,0)</f>
        <v>0</v>
      </c>
      <c r="Y124" s="159">
        <f>IFERROR(('TS2'!$AT$91+'TS2'!$AS$91)/'CF2'!$E$117*'CF2'!Y117,0)</f>
        <v>0</v>
      </c>
      <c r="Z124" s="159">
        <f>IFERROR(('TS2'!$AT$91+'TS2'!$AS$91)/'CF2'!$E$117*'CF2'!Z117,0)</f>
        <v>0</v>
      </c>
      <c r="AA124" s="159">
        <f>IFERROR(('TS2'!$AT$91+'TS2'!$AS$91)/'CF2'!$E$117*'CF2'!AA117,0)</f>
        <v>0</v>
      </c>
      <c r="AB124" s="159">
        <f>IFERROR(('TS2'!$AT$91+'TS2'!$AS$91)/'CF2'!$E$117*'CF2'!AB117,0)</f>
        <v>0</v>
      </c>
      <c r="AC124" s="159">
        <f>IFERROR(('TS2'!$AT$91+'TS2'!$AS$91)/'CF2'!$E$117*'CF2'!AC117,0)</f>
        <v>0</v>
      </c>
      <c r="AD124" s="159">
        <f>IFERROR(('TS2'!$AT$91+'TS2'!$AS$91)/'CF2'!$E$117*'CF2'!AD117,0)</f>
        <v>0</v>
      </c>
      <c r="AE124" s="159">
        <f>IFERROR(('TS2'!$AT$91+'TS2'!$AS$91)/'CF2'!$E$117*'CF2'!AE117,0)</f>
        <v>0</v>
      </c>
      <c r="AF124" s="159">
        <f>IFERROR(('TS2'!$AT$91+'TS2'!$AS$91)/'CF2'!$E$117*'CF2'!AF117,0)</f>
        <v>0</v>
      </c>
      <c r="AG124" s="159">
        <f>IFERROR(('TS2'!$AT$91+'TS2'!$AS$91)/'CF2'!$E$117*'CF2'!AG117,0)</f>
        <v>0</v>
      </c>
      <c r="AH124" s="159">
        <f>IFERROR(('TS2'!$AT$91+'TS2'!$AS$91)/'CF2'!$E$117*'CF2'!AH117,0)</f>
        <v>0</v>
      </c>
      <c r="AI124" s="159">
        <f>IFERROR(('TS2'!$AT$91+'TS2'!$AS$91)/'CF2'!$E$117*'CF2'!AI117,0)</f>
        <v>0</v>
      </c>
      <c r="AJ124" s="159">
        <f>IFERROR(('TS2'!$AT$91+'TS2'!$AS$91)/'CF2'!$E$117*'CF2'!AJ117,0)</f>
        <v>0</v>
      </c>
      <c r="AK124" s="159">
        <f>IFERROR(('TS2'!$AT$91+'TS2'!$AS$91)/'CF2'!$E$117*'CF2'!AK117,0)</f>
        <v>0</v>
      </c>
      <c r="AL124" s="159">
        <f>IFERROR(('TS2'!$AT$91+'TS2'!$AS$91)/'CF2'!$E$117*'CF2'!AL117,0)</f>
        <v>0</v>
      </c>
      <c r="AM124" s="159">
        <f>IFERROR(('TS2'!$AT$91+'TS2'!$AS$91)/'CF2'!$E$117*'CF2'!AM117,0)</f>
        <v>0</v>
      </c>
      <c r="AN124" s="159">
        <f>IFERROR(('TS2'!$AT$91+'TS2'!$AS$91)/'CF2'!$E$117*'CF2'!AN117,0)</f>
        <v>0</v>
      </c>
      <c r="AO124" s="159">
        <f>IFERROR(('TS2'!$AT$91+'TS2'!$AS$91)/'CF2'!$E$117*'CF2'!AO117,0)</f>
        <v>0</v>
      </c>
      <c r="AP124" s="159">
        <f>IFERROR(('TS2'!$AT$91+'TS2'!$AS$91)/'CF2'!$E$117*'CF2'!AP117,0)</f>
        <v>0</v>
      </c>
      <c r="AQ124" s="159">
        <f>IFERROR(('TS2'!$AT$91+'TS2'!$AS$91)/'CF2'!$E$117*'CF2'!AQ117,0)</f>
        <v>0</v>
      </c>
      <c r="AR124" s="159">
        <f>IFERROR(('TS2'!$AT$91+'TS2'!$AS$91)/'CF2'!$E$117*'CF2'!AR117,0)</f>
        <v>0</v>
      </c>
      <c r="AS124" s="159">
        <f>IFERROR(('TS2'!$AT$91+'TS2'!$AS$91)/'CF2'!$E$117*'CF2'!AS117,0)</f>
        <v>0</v>
      </c>
      <c r="AT124" s="159">
        <f>IFERROR(('TS2'!$AT$91+'TS2'!$AS$91)/'CF2'!$E$117*'CF2'!AT117,0)</f>
        <v>0</v>
      </c>
      <c r="AU124" s="159">
        <f>IFERROR(('TS2'!$AT$91+'TS2'!$AS$91)/'CF2'!$E$117*'CF2'!AU117,0)</f>
        <v>0</v>
      </c>
      <c r="AV124" s="159">
        <f>IFERROR(('TS2'!$AT$91+'TS2'!$AS$91)/'CF2'!$E$117*'CF2'!AV117,0)</f>
        <v>0</v>
      </c>
      <c r="AW124" s="159">
        <f>IFERROR(('TS2'!$AT$91+'TS2'!$AS$91)/'CF2'!$E$117*'CF2'!AW117,0)</f>
        <v>0</v>
      </c>
      <c r="AX124" s="159">
        <f>IFERROR(('TS2'!$AT$91+'TS2'!$AS$91)/'CF2'!$E$117*'CF2'!AX117,0)</f>
        <v>0</v>
      </c>
      <c r="AY124" s="159">
        <f>IFERROR(('TS2'!$AT$91+'TS2'!$AS$91)/'CF2'!$E$117*'CF2'!AY117,0)</f>
        <v>0</v>
      </c>
      <c r="AZ124" s="159">
        <f>IFERROR(('TS2'!$AT$91+'TS2'!$AS$91)/'CF2'!$E$117*'CF2'!AZ117,0)</f>
        <v>0</v>
      </c>
      <c r="BA124" s="159">
        <f>IFERROR(('TS2'!$AT$91+'TS2'!$AS$91)/'CF2'!$E$117*'CF2'!BA117,0)</f>
        <v>0</v>
      </c>
      <c r="BB124" s="159">
        <f>IFERROR(('TS2'!$AT$91+'TS2'!$AS$91)/'CF2'!$E$117*'CF2'!BB117,0)</f>
        <v>0</v>
      </c>
      <c r="BC124" s="159">
        <f>IFERROR(('TS2'!$AT$91+'TS2'!$AS$91)/'CF2'!$E$117*'CF2'!BC117,0)</f>
        <v>0</v>
      </c>
      <c r="BD124" s="159">
        <f>IFERROR(('TS2'!$AT$91+'TS2'!$AS$91)/'CF2'!$E$117*'CF2'!BD117,0)</f>
        <v>0</v>
      </c>
      <c r="BE124" s="159">
        <f>IFERROR(('TS2'!$AT$91+'TS2'!$AS$91)/'CF2'!$E$117*'CF2'!BE117,0)</f>
        <v>0</v>
      </c>
      <c r="BF124" s="159">
        <f>IFERROR(('TS2'!$AT$91+'TS2'!$AS$91)/'CF2'!$E$117*'CF2'!BF117,0)</f>
        <v>0</v>
      </c>
      <c r="BG124" s="159">
        <f>IFERROR(('TS2'!$AT$91+'TS2'!$AS$91)/'CF2'!$E$117*'CF2'!BG117,0)</f>
        <v>0</v>
      </c>
      <c r="BH124" s="159">
        <f>IFERROR(('TS2'!$AT$91+'TS2'!$AS$91)/'CF2'!$E$117*'CF2'!BH117,0)</f>
        <v>0</v>
      </c>
      <c r="BI124" s="159">
        <f>IFERROR(('TS2'!$AT$91+'TS2'!$AS$91)/'CF2'!$E$117*'CF2'!BI117,0)</f>
        <v>0</v>
      </c>
      <c r="BJ124" s="159">
        <f>IFERROR(('TS2'!$AT$91+'TS2'!$AS$91)/'CF2'!$E$117*'CF2'!BJ117,0)</f>
        <v>0</v>
      </c>
      <c r="BK124" s="159">
        <f>IFERROR(('TS2'!$AT$91+'TS2'!$AS$91)/'CF2'!$E$117*'CF2'!BK117,0)</f>
        <v>0</v>
      </c>
      <c r="BL124" s="159">
        <f>IFERROR(('TS2'!$AT$91+'TS2'!$AS$91)/'CF2'!$E$117*'CF2'!BL117,0)</f>
        <v>0</v>
      </c>
      <c r="BM124" s="159">
        <f>IFERROR(('TS2'!$AT$91+'TS2'!$AS$91)/'CF2'!$E$117*'CF2'!BM117,0)</f>
        <v>0</v>
      </c>
    </row>
    <row r="125" spans="1:65" s="134" customFormat="1" hidden="1" outlineLevel="1">
      <c r="B125" s="157"/>
      <c r="C125" s="157"/>
      <c r="D125" s="158" t="str">
        <f t="shared" si="87"/>
        <v>ПАРКИНГ ЖИЛЬЕ</v>
      </c>
      <c r="E125" s="154">
        <f t="shared" si="83"/>
        <v>114.75</v>
      </c>
      <c r="F125" s="159">
        <f>IFERROR('TS2'!$AT$92/'CF2'!$E$118*'CF2'!F118,0)</f>
        <v>0</v>
      </c>
      <c r="G125" s="159">
        <f>IFERROR('TS2'!$AT$92/'CF2'!$E$118*'CF2'!G118,0)</f>
        <v>0</v>
      </c>
      <c r="H125" s="159">
        <f>IFERROR('TS2'!$AT$92/'CF2'!$E$118*'CF2'!H118,0)</f>
        <v>0</v>
      </c>
      <c r="I125" s="565">
        <f>IFERROR('TS2'!$AT$92/'CF2'!$E$118*'CF2'!I118,0)</f>
        <v>0</v>
      </c>
      <c r="J125" s="565">
        <f>IFERROR('TS2'!$AT$92/'CF2'!$E$118*'CF2'!J118,0)</f>
        <v>0</v>
      </c>
      <c r="K125" s="565">
        <f>IFERROR('TS2'!$AT$92/'CF2'!$E$118*'CF2'!K118,0)</f>
        <v>0</v>
      </c>
      <c r="L125" s="565">
        <f>IFERROR('TS2'!$AT$92/'CF2'!$E$118*'CF2'!L118,0)</f>
        <v>0</v>
      </c>
      <c r="M125" s="565">
        <f>IFERROR('TS2'!$AT$92/'CF2'!$E$118*'CF2'!M118,0)</f>
        <v>0</v>
      </c>
      <c r="N125" s="159">
        <f>IFERROR('TS2'!$AT$92/'CF2'!$E$118*'CF2'!N118,0)</f>
        <v>0</v>
      </c>
      <c r="O125" s="159">
        <f>IFERROR('TS2'!$AT$92/'CF2'!$E$118*'CF2'!O118,0)</f>
        <v>0</v>
      </c>
      <c r="P125" s="159">
        <f>IFERROR('TS2'!$AT$92/'CF2'!$E$118*'CF2'!P118,0)</f>
        <v>0</v>
      </c>
      <c r="Q125" s="159">
        <f>IFERROR('TS2'!$AT$92/'CF2'!$E$118*'CF2'!Q118,0)</f>
        <v>0</v>
      </c>
      <c r="R125" s="159">
        <f>IFERROR('TS2'!$AT$92/'CF2'!$E$118*'CF2'!R118,0)</f>
        <v>0</v>
      </c>
      <c r="S125" s="159">
        <f>IFERROR('TS2'!$AT$92/'CF2'!$E$118*'CF2'!S118,0)</f>
        <v>0</v>
      </c>
      <c r="T125" s="159">
        <f>IFERROR('TS2'!$AT$92/'CF2'!$E$118*'CF2'!T118,0)</f>
        <v>0</v>
      </c>
      <c r="U125" s="159">
        <f>IFERROR('TS2'!$AT$92/'CF2'!$E$118*'CF2'!U118,0)</f>
        <v>0</v>
      </c>
      <c r="V125" s="159">
        <f>IFERROR('TS2'!$AT$92/'CF2'!$E$118*'CF2'!V118,0)</f>
        <v>0</v>
      </c>
      <c r="W125" s="159">
        <f>IFERROR('TS2'!$AT$92/'CF2'!$E$118*'CF2'!W118,0)</f>
        <v>0</v>
      </c>
      <c r="X125" s="159">
        <f>IFERROR('TS2'!$AT$92/'CF2'!$E$118*'CF2'!X118,0)</f>
        <v>0</v>
      </c>
      <c r="Y125" s="159">
        <f>IFERROR('TS2'!$AT$92/'CF2'!$E$118*'CF2'!Y118,0)</f>
        <v>0</v>
      </c>
      <c r="Z125" s="159">
        <f>IFERROR('TS2'!$AT$92/'CF2'!$E$118*'CF2'!Z118,0)</f>
        <v>0</v>
      </c>
      <c r="AA125" s="159">
        <f>IFERROR('TS2'!$AT$92/'CF2'!$E$118*'CF2'!AA118,0)</f>
        <v>0</v>
      </c>
      <c r="AB125" s="159">
        <f>IFERROR('TS2'!$AT$92/'CF2'!$E$118*'CF2'!AB118,0)</f>
        <v>0</v>
      </c>
      <c r="AC125" s="159">
        <f>IFERROR('TS2'!$AT$92/'CF2'!$E$118*'CF2'!AC118,0)</f>
        <v>0</v>
      </c>
      <c r="AD125" s="159">
        <f>IFERROR('TS2'!$AT$92/'CF2'!$E$118*'CF2'!AD118,0)</f>
        <v>0</v>
      </c>
      <c r="AE125" s="159">
        <f>IFERROR('TS2'!$AT$92/'CF2'!$E$118*'CF2'!AE118,0)</f>
        <v>0</v>
      </c>
      <c r="AF125" s="159">
        <f>IFERROR('TS2'!$AT$92/'CF2'!$E$118*'CF2'!AF118,0)</f>
        <v>0</v>
      </c>
      <c r="AG125" s="159">
        <f>IFERROR('TS2'!$AT$92/'CF2'!$E$118*'CF2'!AG118,0)</f>
        <v>0</v>
      </c>
      <c r="AH125" s="159">
        <f>IFERROR('TS2'!$AT$92/'CF2'!$E$118*'CF2'!AH118,0)</f>
        <v>0</v>
      </c>
      <c r="AI125" s="159">
        <f>IFERROR('TS2'!$AT$92/'CF2'!$E$118*'CF2'!AI118,0)</f>
        <v>0</v>
      </c>
      <c r="AJ125" s="159">
        <f>IFERROR('TS2'!$AT$92/'CF2'!$E$118*'CF2'!AJ118,0)</f>
        <v>22.5</v>
      </c>
      <c r="AK125" s="159">
        <f>IFERROR('TS2'!$AT$92/'CF2'!$E$118*'CF2'!AK118,0)</f>
        <v>22.5</v>
      </c>
      <c r="AL125" s="159">
        <f>IFERROR('TS2'!$AT$92/'CF2'!$E$118*'CF2'!AL118,0)</f>
        <v>22.5</v>
      </c>
      <c r="AM125" s="159">
        <f>IFERROR('TS2'!$AT$92/'CF2'!$E$118*'CF2'!AM118,0)</f>
        <v>22.5</v>
      </c>
      <c r="AN125" s="159">
        <f>IFERROR('TS2'!$AT$92/'CF2'!$E$118*'CF2'!AN118,0)</f>
        <v>24.75</v>
      </c>
      <c r="AO125" s="159">
        <f>IFERROR('TS2'!$AT$92/'CF2'!$E$118*'CF2'!AO118,0)</f>
        <v>0</v>
      </c>
      <c r="AP125" s="159">
        <f>IFERROR('TS2'!$AT$92/'CF2'!$E$118*'CF2'!AP118,0)</f>
        <v>0</v>
      </c>
      <c r="AQ125" s="159">
        <f>IFERROR('TS2'!$AT$92/'CF2'!$E$118*'CF2'!AQ118,0)</f>
        <v>0</v>
      </c>
      <c r="AR125" s="159">
        <f>IFERROR('TS2'!$AT$92/'CF2'!$E$118*'CF2'!AR118,0)</f>
        <v>0</v>
      </c>
      <c r="AS125" s="159">
        <f>IFERROR('TS2'!$AT$92/'CF2'!$E$118*'CF2'!AS118,0)</f>
        <v>0</v>
      </c>
      <c r="AT125" s="159">
        <f>IFERROR('TS2'!$AT$92/'CF2'!$E$118*'CF2'!AT118,0)</f>
        <v>0</v>
      </c>
      <c r="AU125" s="159">
        <f>IFERROR('TS2'!$AT$92/'CF2'!$E$118*'CF2'!AU118,0)</f>
        <v>0</v>
      </c>
      <c r="AV125" s="159">
        <f>IFERROR('TS2'!$AT$92/'CF2'!$E$118*'CF2'!AV118,0)</f>
        <v>0</v>
      </c>
      <c r="AW125" s="159">
        <f>IFERROR('TS2'!$AT$92/'CF2'!$E$118*'CF2'!AW118,0)</f>
        <v>0</v>
      </c>
      <c r="AX125" s="159">
        <f>IFERROR('TS2'!$AT$92/'CF2'!$E$118*'CF2'!AX118,0)</f>
        <v>0</v>
      </c>
      <c r="AY125" s="159">
        <f>IFERROR('TS2'!$AT$92/'CF2'!$E$118*'CF2'!AY118,0)</f>
        <v>0</v>
      </c>
      <c r="AZ125" s="159">
        <f>IFERROR('TS2'!$AT$92/'CF2'!$E$118*'CF2'!AZ118,0)</f>
        <v>0</v>
      </c>
      <c r="BA125" s="159">
        <f>IFERROR('TS2'!$AT$92/'CF2'!$E$118*'CF2'!BA118,0)</f>
        <v>0</v>
      </c>
      <c r="BB125" s="159">
        <f>IFERROR('TS2'!$AT$92/'CF2'!$E$118*'CF2'!BB118,0)</f>
        <v>0</v>
      </c>
      <c r="BC125" s="159">
        <f>IFERROR('TS2'!$AT$92/'CF2'!$E$118*'CF2'!BC118,0)</f>
        <v>0</v>
      </c>
      <c r="BD125" s="159">
        <f>IFERROR('TS2'!$AT$92/'CF2'!$E$118*'CF2'!BD118,0)</f>
        <v>0</v>
      </c>
      <c r="BE125" s="159">
        <f>IFERROR('TS2'!$AT$92/'CF2'!$E$118*'CF2'!BE118,0)</f>
        <v>0</v>
      </c>
      <c r="BF125" s="159">
        <f>IFERROR('TS2'!$AT$92/'CF2'!$E$118*'CF2'!BF118,0)</f>
        <v>0</v>
      </c>
      <c r="BG125" s="159">
        <f>IFERROR('TS2'!$AT$92/'CF2'!$E$118*'CF2'!BG118,0)</f>
        <v>0</v>
      </c>
      <c r="BH125" s="159">
        <f>IFERROR('TS2'!$AT$92/'CF2'!$E$118*'CF2'!BH118,0)</f>
        <v>0</v>
      </c>
      <c r="BI125" s="159">
        <f>IFERROR('TS2'!$AT$92/'CF2'!$E$118*'CF2'!BI118,0)</f>
        <v>0</v>
      </c>
      <c r="BJ125" s="159">
        <f>IFERROR('TS2'!$AT$92/'CF2'!$E$118*'CF2'!BJ118,0)</f>
        <v>0</v>
      </c>
      <c r="BK125" s="159">
        <f>IFERROR('TS2'!$AT$92/'CF2'!$E$118*'CF2'!BK118,0)</f>
        <v>0</v>
      </c>
      <c r="BL125" s="159">
        <f>IFERROR('TS2'!$AT$92/'CF2'!$E$118*'CF2'!BL118,0)</f>
        <v>0</v>
      </c>
      <c r="BM125" s="159">
        <f>IFERROR('TS2'!$AT$92/'CF2'!$E$118*'CF2'!BM118,0)</f>
        <v>0</v>
      </c>
    </row>
    <row r="126" spans="1:65" s="134" customFormat="1" hidden="1" outlineLevel="1">
      <c r="B126" s="157"/>
      <c r="C126" s="157"/>
      <c r="D126" s="158" t="str">
        <f t="shared" si="87"/>
        <v>ПАРКИНГ ОФИС</v>
      </c>
      <c r="E126" s="154">
        <f t="shared" si="83"/>
        <v>0</v>
      </c>
      <c r="F126" s="159">
        <f>IFERROR(('TS2'!$AT$93+'TS2'!$AS$93)/'CF2'!$E$119*'CF2'!F119,0)</f>
        <v>0</v>
      </c>
      <c r="G126" s="159">
        <f>IFERROR(('TS2'!$AT$93+'TS2'!$AS$93)/'CF2'!$E$119*'CF2'!G119,0)</f>
        <v>0</v>
      </c>
      <c r="H126" s="159">
        <f>IFERROR(('TS2'!$AT$93+'TS2'!$AS$93)/'CF2'!$E$119*'CF2'!H119,0)</f>
        <v>0</v>
      </c>
      <c r="I126" s="565">
        <f>IFERROR(('TS2'!$AT$93+'TS2'!$AS$93)/'CF2'!$E$119*'CF2'!I119,0)</f>
        <v>0</v>
      </c>
      <c r="J126" s="565">
        <f>IFERROR(('TS2'!$AT$93+'TS2'!$AS$93)/'CF2'!$E$119*'CF2'!J119,0)</f>
        <v>0</v>
      </c>
      <c r="K126" s="565">
        <f>IFERROR(('TS2'!$AT$93+'TS2'!$AS$93)/'CF2'!$E$119*'CF2'!K119,0)</f>
        <v>0</v>
      </c>
      <c r="L126" s="565">
        <f>IFERROR(('TS2'!$AT$93+'TS2'!$AS$93)/'CF2'!$E$119*'CF2'!L119,0)</f>
        <v>0</v>
      </c>
      <c r="M126" s="565">
        <f>IFERROR(('TS2'!$AT$93+'TS2'!$AS$93)/'CF2'!$E$119*'CF2'!M119,0)</f>
        <v>0</v>
      </c>
      <c r="N126" s="159">
        <f>IFERROR(('TS2'!$AT$93+'TS2'!$AS$93)/'CF2'!$E$119*'CF2'!N119,0)</f>
        <v>0</v>
      </c>
      <c r="O126" s="159">
        <f>IFERROR(('TS2'!$AT$93+'TS2'!$AS$93)/'CF2'!$E$119*'CF2'!O119,0)</f>
        <v>0</v>
      </c>
      <c r="P126" s="159">
        <f>IFERROR(('TS2'!$AT$93+'TS2'!$AS$93)/'CF2'!$E$119*'CF2'!P119,0)</f>
        <v>0</v>
      </c>
      <c r="Q126" s="159">
        <f>IFERROR(('TS2'!$AT$93+'TS2'!$AS$93)/'CF2'!$E$119*'CF2'!Q119,0)</f>
        <v>0</v>
      </c>
      <c r="R126" s="159">
        <f>IFERROR(('TS2'!$AT$93+'TS2'!$AS$93)/'CF2'!$E$119*'CF2'!R119,0)</f>
        <v>0</v>
      </c>
      <c r="S126" s="159">
        <f>IFERROR(('TS2'!$AT$93+'TS2'!$AS$93)/'CF2'!$E$119*'CF2'!S119,0)</f>
        <v>0</v>
      </c>
      <c r="T126" s="159">
        <f>IFERROR(('TS2'!$AT$93+'TS2'!$AS$93)/'CF2'!$E$119*'CF2'!T119,0)</f>
        <v>0</v>
      </c>
      <c r="U126" s="159">
        <f>IFERROR(('TS2'!$AT$93+'TS2'!$AS$93)/'CF2'!$E$119*'CF2'!U119,0)</f>
        <v>0</v>
      </c>
      <c r="V126" s="159">
        <f>IFERROR(('TS2'!$AT$93+'TS2'!$AS$93)/'CF2'!$E$119*'CF2'!V119,0)</f>
        <v>0</v>
      </c>
      <c r="W126" s="159">
        <f>IFERROR(('TS2'!$AT$93+'TS2'!$AS$93)/'CF2'!$E$119*'CF2'!W119,0)</f>
        <v>0</v>
      </c>
      <c r="X126" s="159">
        <f>IFERROR(('TS2'!$AT$93+'TS2'!$AS$93)/'CF2'!$E$119*'CF2'!X119,0)</f>
        <v>0</v>
      </c>
      <c r="Y126" s="159">
        <f>IFERROR(('TS2'!$AT$93+'TS2'!$AS$93)/'CF2'!$E$119*'CF2'!Y119,0)</f>
        <v>0</v>
      </c>
      <c r="Z126" s="159">
        <f>IFERROR(('TS2'!$AT$93+'TS2'!$AS$93)/'CF2'!$E$119*'CF2'!Z119,0)</f>
        <v>0</v>
      </c>
      <c r="AA126" s="159">
        <f>IFERROR(('TS2'!$AT$93+'TS2'!$AS$93)/'CF2'!$E$119*'CF2'!AA119,0)</f>
        <v>0</v>
      </c>
      <c r="AB126" s="159">
        <f>IFERROR(('TS2'!$AT$93+'TS2'!$AS$93)/'CF2'!$E$119*'CF2'!AB119,0)</f>
        <v>0</v>
      </c>
      <c r="AC126" s="159">
        <f>IFERROR(('TS2'!$AT$93+'TS2'!$AS$93)/'CF2'!$E$119*'CF2'!AC119,0)</f>
        <v>0</v>
      </c>
      <c r="AD126" s="159">
        <f>IFERROR(('TS2'!$AT$93+'TS2'!$AS$93)/'CF2'!$E$119*'CF2'!AD119,0)</f>
        <v>0</v>
      </c>
      <c r="AE126" s="159">
        <f>IFERROR(('TS2'!$AT$93+'TS2'!$AS$93)/'CF2'!$E$119*'CF2'!AE119,0)</f>
        <v>0</v>
      </c>
      <c r="AF126" s="159">
        <f>IFERROR(('TS2'!$AT$93+'TS2'!$AS$93)/'CF2'!$E$119*'CF2'!AF119,0)</f>
        <v>0</v>
      </c>
      <c r="AG126" s="159">
        <f>IFERROR(('TS2'!$AT$93+'TS2'!$AS$93)/'CF2'!$E$119*'CF2'!AG119,0)</f>
        <v>0</v>
      </c>
      <c r="AH126" s="159">
        <f>IFERROR(('TS2'!$AT$93+'TS2'!$AS$93)/'CF2'!$E$119*'CF2'!AH119,0)</f>
        <v>0</v>
      </c>
      <c r="AI126" s="159">
        <f>IFERROR(('TS2'!$AT$93+'TS2'!$AS$93)/'CF2'!$E$119*'CF2'!AI119,0)</f>
        <v>0</v>
      </c>
      <c r="AJ126" s="159">
        <f>IFERROR(('TS2'!$AT$93+'TS2'!$AS$93)/'CF2'!$E$119*'CF2'!AJ119,0)</f>
        <v>0</v>
      </c>
      <c r="AK126" s="159">
        <f>IFERROR(('TS2'!$AT$93+'TS2'!$AS$93)/'CF2'!$E$119*'CF2'!AK119,0)</f>
        <v>0</v>
      </c>
      <c r="AL126" s="159">
        <f>IFERROR(('TS2'!$AT$93+'TS2'!$AS$93)/'CF2'!$E$119*'CF2'!AL119,0)</f>
        <v>0</v>
      </c>
      <c r="AM126" s="159">
        <f>IFERROR(('TS2'!$AT$93+'TS2'!$AS$93)/'CF2'!$E$119*'CF2'!AM119,0)</f>
        <v>0</v>
      </c>
      <c r="AN126" s="159">
        <f>IFERROR(('TS2'!$AT$93+'TS2'!$AS$93)/'CF2'!$E$119*'CF2'!AN119,0)</f>
        <v>0</v>
      </c>
      <c r="AO126" s="159">
        <f>IFERROR(('TS2'!$AT$93+'TS2'!$AS$93)/'CF2'!$E$119*'CF2'!AO119,0)</f>
        <v>0</v>
      </c>
      <c r="AP126" s="159">
        <f>IFERROR(('TS2'!$AT$93+'TS2'!$AS$93)/'CF2'!$E$119*'CF2'!AP119,0)</f>
        <v>0</v>
      </c>
      <c r="AQ126" s="159">
        <f>IFERROR(('TS2'!$AT$93+'TS2'!$AS$93)/'CF2'!$E$119*'CF2'!AQ119,0)</f>
        <v>0</v>
      </c>
      <c r="AR126" s="159">
        <f>IFERROR(('TS2'!$AT$93+'TS2'!$AS$93)/'CF2'!$E$119*'CF2'!AR119,0)</f>
        <v>0</v>
      </c>
      <c r="AS126" s="159">
        <f>IFERROR(('TS2'!$AT$93+'TS2'!$AS$93)/'CF2'!$E$119*'CF2'!AS119,0)</f>
        <v>0</v>
      </c>
      <c r="AT126" s="159">
        <f>IFERROR(('TS2'!$AT$93+'TS2'!$AS$93)/'CF2'!$E$119*'CF2'!AT119,0)</f>
        <v>0</v>
      </c>
      <c r="AU126" s="159">
        <f>IFERROR(('TS2'!$AT$93+'TS2'!$AS$93)/'CF2'!$E$119*'CF2'!AU119,0)</f>
        <v>0</v>
      </c>
      <c r="AV126" s="159">
        <f>IFERROR(('TS2'!$AT$93+'TS2'!$AS$93)/'CF2'!$E$119*'CF2'!AV119,0)</f>
        <v>0</v>
      </c>
      <c r="AW126" s="159">
        <f>IFERROR(('TS2'!$AT$93+'TS2'!$AS$93)/'CF2'!$E$119*'CF2'!AW119,0)</f>
        <v>0</v>
      </c>
      <c r="AX126" s="159">
        <f>IFERROR(('TS2'!$AT$93+'TS2'!$AS$93)/'CF2'!$E$119*'CF2'!AX119,0)</f>
        <v>0</v>
      </c>
      <c r="AY126" s="159">
        <f>IFERROR(('TS2'!$AT$93+'TS2'!$AS$93)/'CF2'!$E$119*'CF2'!AY119,0)</f>
        <v>0</v>
      </c>
      <c r="AZ126" s="159">
        <f>IFERROR(('TS2'!$AT$93+'TS2'!$AS$93)/'CF2'!$E$119*'CF2'!AZ119,0)</f>
        <v>0</v>
      </c>
      <c r="BA126" s="159">
        <f>IFERROR(('TS2'!$AT$93+'TS2'!$AS$93)/'CF2'!$E$119*'CF2'!BA119,0)</f>
        <v>0</v>
      </c>
      <c r="BB126" s="159">
        <f>IFERROR(('TS2'!$AT$93+'TS2'!$AS$93)/'CF2'!$E$119*'CF2'!BB119,0)</f>
        <v>0</v>
      </c>
      <c r="BC126" s="159">
        <f>IFERROR(('TS2'!$AT$93+'TS2'!$AS$93)/'CF2'!$E$119*'CF2'!BC119,0)</f>
        <v>0</v>
      </c>
      <c r="BD126" s="159">
        <f>IFERROR(('TS2'!$AT$93+'TS2'!$AS$93)/'CF2'!$E$119*'CF2'!BD119,0)</f>
        <v>0</v>
      </c>
      <c r="BE126" s="159">
        <f>IFERROR(('TS2'!$AT$93+'TS2'!$AS$93)/'CF2'!$E$119*'CF2'!BE119,0)</f>
        <v>0</v>
      </c>
      <c r="BF126" s="159">
        <f>IFERROR(('TS2'!$AT$93+'TS2'!$AS$93)/'CF2'!$E$119*'CF2'!BF119,0)</f>
        <v>0</v>
      </c>
      <c r="BG126" s="159">
        <f>IFERROR(('TS2'!$AT$93+'TS2'!$AS$93)/'CF2'!$E$119*'CF2'!BG119,0)</f>
        <v>0</v>
      </c>
      <c r="BH126" s="159">
        <f>IFERROR(('TS2'!$AT$93+'TS2'!$AS$93)/'CF2'!$E$119*'CF2'!BH119,0)</f>
        <v>0</v>
      </c>
      <c r="BI126" s="159">
        <f>IFERROR(('TS2'!$AT$93+'TS2'!$AS$93)/'CF2'!$E$119*'CF2'!BI119,0)</f>
        <v>0</v>
      </c>
      <c r="BJ126" s="159">
        <f>IFERROR(('TS2'!$AT$93+'TS2'!$AS$93)/'CF2'!$E$119*'CF2'!BJ119,0)</f>
        <v>0</v>
      </c>
      <c r="BK126" s="159">
        <f>IFERROR(('TS2'!$AT$93+'TS2'!$AS$93)/'CF2'!$E$119*'CF2'!BK119,0)</f>
        <v>0</v>
      </c>
      <c r="BL126" s="159">
        <f>IFERROR(('TS2'!$AT$93+'TS2'!$AS$93)/'CF2'!$E$119*'CF2'!BL119,0)</f>
        <v>0</v>
      </c>
      <c r="BM126" s="159">
        <f>IFERROR(('TS2'!$AT$93+'TS2'!$AS$93)/'CF2'!$E$119*'CF2'!BM119,0)</f>
        <v>0</v>
      </c>
    </row>
    <row r="127" spans="1:65" collapsed="1">
      <c r="B127" s="145" t="s">
        <v>61</v>
      </c>
      <c r="C127" s="27"/>
      <c r="D127" s="150"/>
      <c r="E127" s="141">
        <f>SUM(F127:BM127)</f>
        <v>-2476.8761187484765</v>
      </c>
      <c r="F127" s="202"/>
      <c r="G127" s="202"/>
      <c r="H127" s="202"/>
      <c r="I127" s="202"/>
      <c r="J127" s="202"/>
      <c r="K127" s="202"/>
      <c r="L127" s="202"/>
      <c r="M127" s="202"/>
      <c r="N127" s="142">
        <f>N165*-'TS2'!$J$83</f>
        <v>0</v>
      </c>
      <c r="O127" s="142">
        <f>O165*-'TS2'!$J$83</f>
        <v>0</v>
      </c>
      <c r="P127" s="142">
        <f>P165*-'TS2'!$J$83</f>
        <v>0</v>
      </c>
      <c r="Q127" s="142">
        <f>Q165*-'TS2'!$J$83</f>
        <v>0</v>
      </c>
      <c r="R127" s="142">
        <f>R165*-'TS2'!$J$83</f>
        <v>0</v>
      </c>
      <c r="S127" s="142">
        <f>S165*-'TS2'!$J$83</f>
        <v>0</v>
      </c>
      <c r="T127" s="142">
        <f>T165*-'TS2'!$J$83</f>
        <v>0</v>
      </c>
      <c r="U127" s="142">
        <f>U165*-'TS2'!$J$83</f>
        <v>0</v>
      </c>
      <c r="V127" s="142">
        <f>V165*-'TS2'!$J$83</f>
        <v>0</v>
      </c>
      <c r="W127" s="142">
        <f>W165*-'TS2'!$J$83</f>
        <v>0</v>
      </c>
      <c r="X127" s="142">
        <f>X165*-'TS2'!$J$83</f>
        <v>0</v>
      </c>
      <c r="Y127" s="142">
        <f>Y165*-'TS2'!$J$83</f>
        <v>0</v>
      </c>
      <c r="Z127" s="142">
        <f>Z165*-'TS2'!$J$83</f>
        <v>0</v>
      </c>
      <c r="AA127" s="142">
        <f>AA165*-'TS2'!$J$83</f>
        <v>0</v>
      </c>
      <c r="AB127" s="142">
        <f>AB165*-'TS2'!$J$83</f>
        <v>0</v>
      </c>
      <c r="AC127" s="142">
        <f>AC165*-'TS2'!$J$83</f>
        <v>0</v>
      </c>
      <c r="AD127" s="142">
        <f>AD165*-'TS2'!$J$83</f>
        <v>0</v>
      </c>
      <c r="AE127" s="142">
        <f>AE165*-'TS2'!$J$83</f>
        <v>0</v>
      </c>
      <c r="AF127" s="142">
        <f>AF165*-'TS2'!$J$83</f>
        <v>0</v>
      </c>
      <c r="AG127" s="142">
        <f>AG165*-'TS2'!$J$83</f>
        <v>0</v>
      </c>
      <c r="AH127" s="142">
        <f>AH165*-'TS2'!$J$83</f>
        <v>0</v>
      </c>
      <c r="AI127" s="142">
        <f>AI165*-'TS2'!$J$83</f>
        <v>0</v>
      </c>
      <c r="AJ127" s="142">
        <f>AJ165*-'TS2'!$J$83</f>
        <v>-1353.2476856667822</v>
      </c>
      <c r="AK127" s="142">
        <f>AK165*-'TS2'!$J$83</f>
        <v>-317.20846347828086</v>
      </c>
      <c r="AL127" s="142">
        <f>AL165*-'TS2'!$J$83</f>
        <v>-330.63353711648989</v>
      </c>
      <c r="AM127" s="142">
        <f>AM165*-'TS2'!$J$83</f>
        <v>-239.12056928532638</v>
      </c>
      <c r="AN127" s="142">
        <f>AN165*-'TS2'!$J$83</f>
        <v>-236.66586320159735</v>
      </c>
      <c r="AO127" s="142">
        <f>AO165*-'TS2'!$J$83</f>
        <v>0</v>
      </c>
      <c r="AP127" s="142">
        <f>AP165*-'TS2'!$J$83</f>
        <v>-1.27675647831893E-15</v>
      </c>
      <c r="AQ127" s="142">
        <f>AQ165*-'TS2'!$J$83</f>
        <v>0</v>
      </c>
      <c r="AR127" s="142">
        <f>AR165*-'TS2'!$J$83</f>
        <v>0</v>
      </c>
      <c r="AS127" s="142">
        <f>AS165*-'TS2'!$J$83</f>
        <v>0</v>
      </c>
      <c r="AT127" s="142">
        <f>AT165*-'TS2'!$J$83</f>
        <v>0</v>
      </c>
      <c r="AU127" s="142">
        <f>AU165*-'TS2'!$J$83</f>
        <v>0</v>
      </c>
      <c r="AV127" s="142">
        <f>AV165*-'TS2'!$J$83</f>
        <v>0</v>
      </c>
      <c r="AW127" s="142">
        <f>AW165*-'TS2'!$J$83</f>
        <v>0</v>
      </c>
      <c r="AX127" s="142">
        <f>AX165*-'TS2'!$J$83</f>
        <v>0</v>
      </c>
      <c r="AY127" s="142">
        <f>AY165*-'TS2'!$J$83</f>
        <v>0</v>
      </c>
      <c r="AZ127" s="142">
        <f>AZ165*-'TS2'!$J$83</f>
        <v>0</v>
      </c>
      <c r="BA127" s="142">
        <f>BA165*-'TS2'!$J$83</f>
        <v>0</v>
      </c>
      <c r="BB127" s="142">
        <f>BB165*-'TS2'!$J$83</f>
        <v>0</v>
      </c>
      <c r="BC127" s="142">
        <f>BC165*-'TS2'!$J$83</f>
        <v>0</v>
      </c>
      <c r="BD127" s="142">
        <f>BD165*-'TS2'!$J$83</f>
        <v>0</v>
      </c>
      <c r="BE127" s="142">
        <f>BE165*-'TS2'!$J$83</f>
        <v>0</v>
      </c>
      <c r="BF127" s="142">
        <f>BF165*-'TS2'!$J$83</f>
        <v>0</v>
      </c>
      <c r="BG127" s="142">
        <f>BG165*-'TS2'!$J$83</f>
        <v>0</v>
      </c>
      <c r="BH127" s="142">
        <f>BH165*-'TS2'!$J$83</f>
        <v>0</v>
      </c>
      <c r="BI127" s="142">
        <f>BI165*-'TS2'!$J$83</f>
        <v>0</v>
      </c>
      <c r="BJ127" s="142">
        <f>BJ165*-'TS2'!$J$83</f>
        <v>0</v>
      </c>
      <c r="BK127" s="142">
        <f>BK165*-'TS2'!$J$83</f>
        <v>0</v>
      </c>
      <c r="BL127" s="142">
        <f>BL165*-'TS2'!$J$83</f>
        <v>0</v>
      </c>
      <c r="BM127" s="142">
        <f>BM165*-'TS2'!$J$83</f>
        <v>0</v>
      </c>
    </row>
    <row r="128" spans="1:65" s="151" customFormat="1" hidden="1" outlineLevel="1">
      <c r="B128" s="152"/>
      <c r="C128" s="152" t="s">
        <v>99</v>
      </c>
      <c r="D128" s="153"/>
      <c r="E128" s="154">
        <f t="shared" si="83"/>
        <v>0</v>
      </c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  <c r="AE128" s="155"/>
      <c r="AF128" s="155"/>
      <c r="AG128" s="155"/>
      <c r="AH128" s="155"/>
      <c r="AI128" s="155"/>
      <c r="AJ128" s="155"/>
      <c r="AK128" s="155"/>
      <c r="AL128" s="155"/>
      <c r="AM128" s="155"/>
      <c r="AN128" s="155"/>
      <c r="AO128" s="155"/>
      <c r="AP128" s="155"/>
      <c r="AQ128" s="155"/>
      <c r="AR128" s="155"/>
      <c r="AS128" s="155"/>
      <c r="AT128" s="155"/>
      <c r="AU128" s="155"/>
      <c r="AV128" s="155"/>
      <c r="AW128" s="155"/>
      <c r="AX128" s="155"/>
      <c r="AY128" s="155"/>
      <c r="AZ128" s="155"/>
      <c r="BA128" s="155"/>
      <c r="BB128" s="155"/>
      <c r="BC128" s="155"/>
      <c r="BD128" s="155"/>
      <c r="BE128" s="155"/>
      <c r="BF128" s="155"/>
      <c r="BG128" s="155"/>
      <c r="BH128" s="155"/>
      <c r="BI128" s="155"/>
      <c r="BJ128" s="155"/>
      <c r="BK128" s="155"/>
      <c r="BL128" s="155"/>
      <c r="BM128" s="155"/>
    </row>
    <row r="129" spans="1:65" hidden="1" outlineLevel="1">
      <c r="B129" s="27"/>
      <c r="C129" s="27"/>
      <c r="D129" s="158" t="str">
        <f>B35</f>
        <v>КВАРТИРЫ</v>
      </c>
      <c r="E129" s="154">
        <f t="shared" si="83"/>
        <v>36000</v>
      </c>
      <c r="F129" s="142"/>
      <c r="G129" s="142">
        <f>SUMPRODUCT($F8:$AS8,$F$174:$AS$174)*(1-G$174)-SUM($F129:F129)</f>
        <v>0</v>
      </c>
      <c r="H129" s="142">
        <f>SUMPRODUCT($F8:$AS8,$F$174:$AS$174)*(1-H$174)-SUM($F129:G129)</f>
        <v>0</v>
      </c>
      <c r="I129" s="142">
        <f>SUMPRODUCT($F8:$AS8,$F$174:$AS$174)*(1-I$174)-SUM($F129:H129)</f>
        <v>0</v>
      </c>
      <c r="J129" s="142">
        <f>SUMPRODUCT($F8:$AS8,$F$174:$AS$174)*(1-J$174)-SUM($F129:I129)</f>
        <v>0</v>
      </c>
      <c r="K129" s="142">
        <f>SUMPRODUCT($F8:$AS8,$F$174:$AS$174)*(1-K$174)-SUM($F129:J129)</f>
        <v>0</v>
      </c>
      <c r="L129" s="142">
        <f>SUMPRODUCT($F8:$AS8,$F$174:$AS$174)*(1-L$174)-SUM($F129:K129)</f>
        <v>0</v>
      </c>
      <c r="M129" s="142">
        <f>SUMPRODUCT($F8:$AS8,$F$174:$AS$174)*(1-M$174)-SUM($F129:L129)</f>
        <v>0</v>
      </c>
      <c r="N129" s="142">
        <f>SUMPRODUCT($F8:$AS8,$F$174:$AS$174)*(1-N$174)-SUM($F129:M129)</f>
        <v>0</v>
      </c>
      <c r="O129" s="142">
        <f>SUMPRODUCT($F8:$AS8,$F$174:$AS$174)*(1-O$174)-SUM($F129:N129)</f>
        <v>0</v>
      </c>
      <c r="P129" s="142">
        <f>SUMPRODUCT($F8:$AS8,$F$174:$AS$174)*(1-P$174)-SUM($F129:O129)</f>
        <v>0</v>
      </c>
      <c r="Q129" s="142">
        <f>SUMPRODUCT($F8:$AS8,$F$174:$AS$174)*(1-Q$174)-SUM($F129:P129)</f>
        <v>0</v>
      </c>
      <c r="R129" s="142">
        <f>SUMPRODUCT($F8:$AS8,$F$174:$AS$174)*(1-R$174)-SUM($F129:Q129)</f>
        <v>0</v>
      </c>
      <c r="S129" s="142">
        <f>SUMPRODUCT($F8:$AS8,$F$174:$AS$174)*(1-S$174)-SUM($F129:R129)</f>
        <v>0</v>
      </c>
      <c r="T129" s="142">
        <f>SUMPRODUCT($F8:$AS8,$F$174:$AS$174)*(1-T$174)-SUM($F129:S129)</f>
        <v>0</v>
      </c>
      <c r="U129" s="142">
        <f>SUMPRODUCT($F8:$AS8,$F$174:$AS$174)*(1-U$174)-SUM($F129:T129)</f>
        <v>0</v>
      </c>
      <c r="V129" s="142">
        <f>SUMPRODUCT($F8:$AS8,$F$174:$AS$174)*(1-V$174)-SUM($F129:U129)</f>
        <v>0</v>
      </c>
      <c r="W129" s="142">
        <f>SUMPRODUCT($F8:$AS8,$F$174:$AS$174)*(1-W$174)-SUM($F129:V129)</f>
        <v>0</v>
      </c>
      <c r="X129" s="142">
        <f>SUMPRODUCT($F8:$AS8,$F$174:$AS$174)*(1-X$174)-SUM($F129:W129)</f>
        <v>0</v>
      </c>
      <c r="Y129" s="142">
        <f>SUMPRODUCT($F8:$AS8,$F$174:$AS$174)*(1-Y$174)-SUM($F129:X129)</f>
        <v>0</v>
      </c>
      <c r="Z129" s="142">
        <f>SUMPRODUCT($F8:$AS8,$F$174:$AS$174)*(1-Z$174)-SUM($F129:Y129)</f>
        <v>0</v>
      </c>
      <c r="AA129" s="142">
        <f>SUMPRODUCT($F8:$AS8,$F$174:$AS$174)*(1-AA$174)-SUM($F129:Z129)</f>
        <v>0</v>
      </c>
      <c r="AB129" s="142">
        <f>SUMPRODUCT($F8:$AS8,$F$174:$AS$174)*(1-AB$174)-SUM($F129:AA129)</f>
        <v>0</v>
      </c>
      <c r="AC129" s="142">
        <f>SUMPRODUCT($F8:$AS8,$F$174:$AS$174)*(1-AC$174)-SUM($F129:AB129)</f>
        <v>0</v>
      </c>
      <c r="AD129" s="142">
        <f>SUMPRODUCT($F8:$AS8,$F$174:$AS$174)*(1-AD$174)-SUM($F129:AC129)</f>
        <v>0</v>
      </c>
      <c r="AE129" s="142">
        <f>SUMPRODUCT($F8:$AS8,$F$174:$AS$174)*(1-AE$174)-SUM($F129:AD129)</f>
        <v>0</v>
      </c>
      <c r="AF129" s="142">
        <f>SUMPRODUCT($F8:$AS8,$F$174:$AS$174)*(1-AF$174)-SUM($F129:AE129)</f>
        <v>0</v>
      </c>
      <c r="AG129" s="142">
        <f>SUMPRODUCT($F8:$AS8,$F$174:$AS$174)*(1-AG$174)-SUM($F129:AF129)</f>
        <v>0</v>
      </c>
      <c r="AH129" s="142">
        <f>SUMPRODUCT($F8:$AS8,$F$174:$AS$174)*(1-AH$174)-SUM($F129:AG129)</f>
        <v>0</v>
      </c>
      <c r="AI129" s="142">
        <f>SUMPRODUCT($F8:$AS8,$F$174:$AS$174)*(1-AI$174)-SUM($F129:AH129)</f>
        <v>0</v>
      </c>
      <c r="AJ129" s="142">
        <f>SUMPRODUCT($F8:$AS8,$F$174:$AS$174)*(1-AJ$174)-SUM($F129:AI129)</f>
        <v>36000</v>
      </c>
      <c r="AK129" s="142">
        <f>SUMPRODUCT($F8:$AS8,$F$174:$AS$174)*(1-AK$174)-SUM($F129:AJ129)</f>
        <v>0</v>
      </c>
      <c r="AL129" s="142">
        <f>SUMPRODUCT($F8:$AS8,$F$174:$AS$174)*(1-AL$174)-SUM($F129:AK129)</f>
        <v>0</v>
      </c>
      <c r="AM129" s="142">
        <f>SUMPRODUCT($F8:$AS8,$F$174:$AS$174)*(1-AM$174)-SUM($F129:AL129)</f>
        <v>0</v>
      </c>
      <c r="AN129" s="142">
        <f>SUMPRODUCT($F8:$AS8,$F$174:$AS$174)*(1-AN$174)-SUM($F129:AM129)</f>
        <v>0</v>
      </c>
      <c r="AO129" s="142">
        <f>SUMPRODUCT($F8:$AS8,$F$174:$AS$174)*(1-AO$174)-SUM($F129:AN129)</f>
        <v>0</v>
      </c>
      <c r="AP129" s="142">
        <f>SUMPRODUCT($F8:$AS8,$F$174:$AS$174)*(1-AP$174)-SUM($F129:AO129)</f>
        <v>0</v>
      </c>
      <c r="AQ129" s="142">
        <f>SUMPRODUCT($F8:$AS8,$F$174:$AS$174)*(1-AQ$174)-SUM($F129:AP129)</f>
        <v>0</v>
      </c>
      <c r="AR129" s="142">
        <f>SUMPRODUCT($F8:$AS8,$F$174:$AS$174)*(1-AR$174)-SUM($F129:AQ129)</f>
        <v>0</v>
      </c>
      <c r="AS129" s="142">
        <f>SUMPRODUCT($F8:$AS8,$F$174:$AS$174)*(1-AS$174)-SUM($F129:AR129)</f>
        <v>0</v>
      </c>
      <c r="AT129" s="142">
        <f>SUMPRODUCT($F8:$AS8,$F$174:$AS$174)*(1-AT$174)-SUM($F129:AS129)</f>
        <v>0</v>
      </c>
      <c r="AU129" s="142">
        <f>SUMPRODUCT($F8:$AS8,$F$174:$AS$174)*(1-AU$174)-SUM($F129:AT129)</f>
        <v>0</v>
      </c>
      <c r="AV129" s="142">
        <f>SUMPRODUCT($F8:$AS8,$F$174:$AS$174)*(1-AV$174)-SUM($F129:AU129)</f>
        <v>0</v>
      </c>
      <c r="AW129" s="142">
        <f>SUMPRODUCT($F8:$AS8,$F$174:$AS$174)*(1-AW$174)-SUM($F129:AV129)</f>
        <v>0</v>
      </c>
      <c r="AX129" s="142">
        <f>SUMPRODUCT($F8:$AS8,$F$174:$AS$174)*(1-AX$174)-SUM($F129:AW129)</f>
        <v>0</v>
      </c>
      <c r="AY129" s="142">
        <f>SUMPRODUCT($F8:$AS8,$F$174:$AS$174)*(1-AY$174)-SUM($F129:AX129)</f>
        <v>0</v>
      </c>
      <c r="AZ129" s="142">
        <f>SUMPRODUCT($F8:$AS8,$F$174:$AS$174)*(1-AZ$174)-SUM($F129:AY129)</f>
        <v>0</v>
      </c>
      <c r="BA129" s="142">
        <f>SUMPRODUCT($F8:$AS8,$F$174:$AS$174)*(1-BA$174)-SUM($F129:AZ129)</f>
        <v>0</v>
      </c>
      <c r="BB129" s="142">
        <f>SUMPRODUCT($F8:$AS8,$F$174:$AS$174)*(1-BB$174)-SUM($F129:BA129)</f>
        <v>0</v>
      </c>
      <c r="BC129" s="142">
        <f>SUMPRODUCT($F8:$AS8,$F$174:$AS$174)*(1-BC$174)-SUM($F129:BB129)</f>
        <v>0</v>
      </c>
      <c r="BD129" s="142">
        <f>SUMPRODUCT($F8:$AS8,$F$174:$AS$174)*(1-BD$174)-SUM($F129:BC129)</f>
        <v>0</v>
      </c>
      <c r="BE129" s="142">
        <f>SUMPRODUCT($F8:$AS8,$F$174:$AS$174)*(1-BE$174)-SUM($F129:BD129)</f>
        <v>0</v>
      </c>
      <c r="BF129" s="142">
        <f>SUMPRODUCT($F8:$AS8,$F$174:$AS$174)*(1-BF$174)-SUM($F129:BE129)</f>
        <v>0</v>
      </c>
      <c r="BG129" s="142">
        <f>SUMPRODUCT($F8:$AS8,$F$174:$AS$174)*(1-BG$174)-SUM($F129:BF129)</f>
        <v>0</v>
      </c>
      <c r="BH129" s="142">
        <f>SUMPRODUCT($F8:$AS8,$F$174:$AS$174)*(1-BH$174)-SUM($F129:BG129)</f>
        <v>0</v>
      </c>
      <c r="BI129" s="142">
        <f>SUMPRODUCT($F8:$AS8,$F$174:$AS$174)*(1-BI$174)-SUM($F129:BH129)</f>
        <v>0</v>
      </c>
      <c r="BJ129" s="142">
        <f>SUMPRODUCT($F8:$AS8,$F$174:$AS$174)*(1-BJ$174)-SUM($F129:BI129)</f>
        <v>0</v>
      </c>
      <c r="BK129" s="142">
        <f>SUMPRODUCT($F8:$AS8,$F$174:$AS$174)*(1-BK$174)-SUM($F129:BJ129)</f>
        <v>0</v>
      </c>
      <c r="BL129" s="142">
        <f>SUMPRODUCT($F8:$AS8,$F$174:$AS$174)*(1-BL$174)-SUM($F129:BK129)</f>
        <v>0</v>
      </c>
      <c r="BM129" s="142">
        <f>SUMPRODUCT($F8:$AS8,$F$174:$AS$174)*(1-BM$174)-SUM($F129:BL129)</f>
        <v>0</v>
      </c>
    </row>
    <row r="130" spans="1:65" hidden="1" outlineLevel="1">
      <c r="B130" s="27"/>
      <c r="C130" s="27"/>
      <c r="D130" s="158" t="str">
        <f t="shared" ref="D130:D135" si="88">B42</f>
        <v>АПАРТАМЕНТЫ</v>
      </c>
      <c r="E130" s="154">
        <f t="shared" si="83"/>
        <v>0</v>
      </c>
      <c r="F130" s="142"/>
      <c r="G130" s="142">
        <f>SUMPRODUCT($F9:$AS9,$F$174:$AS$174)*(1-G$174)-SUM($F130:F130)</f>
        <v>0</v>
      </c>
      <c r="H130" s="142">
        <f>SUMPRODUCT($F9:$AS9,$F$174:$AS$174)*(1-H$174)-SUM($F130:G130)</f>
        <v>0</v>
      </c>
      <c r="I130" s="142">
        <f>SUMPRODUCT($F9:$AS9,$F$174:$AS$174)*(1-I$174)-SUM($F130:H130)</f>
        <v>0</v>
      </c>
      <c r="J130" s="142">
        <f>SUMPRODUCT($F9:$AS9,$F$174:$AS$174)*(1-J$174)-SUM($F130:I130)</f>
        <v>0</v>
      </c>
      <c r="K130" s="142">
        <f>SUMPRODUCT($F9:$AS9,$F$174:$AS$174)*(1-K$174)-SUM($F130:J130)</f>
        <v>0</v>
      </c>
      <c r="L130" s="142">
        <f>SUMPRODUCT($F9:$AS9,$F$174:$AS$174)*(1-L$174)-SUM($F130:K130)</f>
        <v>0</v>
      </c>
      <c r="M130" s="142">
        <f>SUMPRODUCT($F9:$AS9,$F$174:$AS$174)*(1-M$174)-SUM($F130:L130)</f>
        <v>0</v>
      </c>
      <c r="N130" s="142">
        <f>SUMPRODUCT($F9:$AS9,$F$174:$AS$174)*(1-N$174)-SUM($F130:M130)</f>
        <v>0</v>
      </c>
      <c r="O130" s="142">
        <f>SUMPRODUCT($F9:$AS9,$F$174:$AS$174)*(1-O$174)-SUM($F130:N130)</f>
        <v>0</v>
      </c>
      <c r="P130" s="142">
        <f>SUMPRODUCT($F9:$AS9,$F$174:$AS$174)*(1-P$174)-SUM($F130:O130)</f>
        <v>0</v>
      </c>
      <c r="Q130" s="142">
        <f>SUMPRODUCT($F9:$AS9,$F$174:$AS$174)*(1-Q$174)-SUM($F130:P130)</f>
        <v>0</v>
      </c>
      <c r="R130" s="142">
        <f>SUMPRODUCT($F9:$AS9,$F$174:$AS$174)*(1-R$174)-SUM($F130:Q130)</f>
        <v>0</v>
      </c>
      <c r="S130" s="142">
        <f>SUMPRODUCT($F9:$AS9,$F$174:$AS$174)*(1-S$174)-SUM($F130:R130)</f>
        <v>0</v>
      </c>
      <c r="T130" s="142">
        <f>SUMPRODUCT($F9:$AS9,$F$174:$AS$174)*(1-T$174)-SUM($F130:S130)</f>
        <v>0</v>
      </c>
      <c r="U130" s="142">
        <f>SUMPRODUCT($F9:$AS9,$F$174:$AS$174)*(1-U$174)-SUM($F130:T130)</f>
        <v>0</v>
      </c>
      <c r="V130" s="142">
        <f>SUMPRODUCT($F9:$AS9,$F$174:$AS$174)*(1-V$174)-SUM($F130:U130)</f>
        <v>0</v>
      </c>
      <c r="W130" s="142">
        <f>SUMPRODUCT($F9:$AS9,$F$174:$AS$174)*(1-W$174)-SUM($F130:V130)</f>
        <v>0</v>
      </c>
      <c r="X130" s="142">
        <f>SUMPRODUCT($F9:$AS9,$F$174:$AS$174)*(1-X$174)-SUM($F130:W130)</f>
        <v>0</v>
      </c>
      <c r="Y130" s="142">
        <f>SUMPRODUCT($F9:$AS9,$F$174:$AS$174)*(1-Y$174)-SUM($F130:X130)</f>
        <v>0</v>
      </c>
      <c r="Z130" s="142">
        <f>SUMPRODUCT($F9:$AS9,$F$174:$AS$174)*(1-Z$174)-SUM($F130:Y130)</f>
        <v>0</v>
      </c>
      <c r="AA130" s="142">
        <f>SUMPRODUCT($F9:$AS9,$F$174:$AS$174)*(1-AA$174)-SUM($F130:Z130)</f>
        <v>0</v>
      </c>
      <c r="AB130" s="142">
        <f>SUMPRODUCT($F9:$AS9,$F$174:$AS$174)*(1-AB$174)-SUM($F130:AA130)</f>
        <v>0</v>
      </c>
      <c r="AC130" s="142">
        <f>SUMPRODUCT($F9:$AS9,$F$174:$AS$174)*(1-AC$174)-SUM($F130:AB130)</f>
        <v>0</v>
      </c>
      <c r="AD130" s="142">
        <f>SUMPRODUCT($F9:$AS9,$F$174:$AS$174)*(1-AD$174)-SUM($F130:AC130)</f>
        <v>0</v>
      </c>
      <c r="AE130" s="142">
        <f>SUMPRODUCT($F9:$AS9,$F$174:$AS$174)*(1-AE$174)-SUM($F130:AD130)</f>
        <v>0</v>
      </c>
      <c r="AF130" s="142">
        <f>SUMPRODUCT($F9:$AS9,$F$174:$AS$174)*(1-AF$174)-SUM($F130:AE130)</f>
        <v>0</v>
      </c>
      <c r="AG130" s="142">
        <f>SUMPRODUCT($F9:$AS9,$F$174:$AS$174)*(1-AG$174)-SUM($F130:AF130)</f>
        <v>0</v>
      </c>
      <c r="AH130" s="142">
        <f>SUMPRODUCT($F9:$AS9,$F$174:$AS$174)*(1-AH$174)-SUM($F130:AG130)</f>
        <v>0</v>
      </c>
      <c r="AI130" s="142">
        <f>SUMPRODUCT($F9:$AS9,$F$174:$AS$174)*(1-AI$174)-SUM($F130:AH130)</f>
        <v>0</v>
      </c>
      <c r="AJ130" s="142">
        <f>SUMPRODUCT($F9:$AS9,$F$174:$AS$174)*(1-AJ$174)-SUM($F130:AI130)</f>
        <v>0</v>
      </c>
      <c r="AK130" s="142">
        <f>SUMPRODUCT($F9:$AS9,$F$174:$AS$174)*(1-AK$174)-SUM($F130:AJ130)</f>
        <v>0</v>
      </c>
      <c r="AL130" s="142">
        <f>SUMPRODUCT($F9:$AS9,$F$174:$AS$174)*(1-AL$174)-SUM($F130:AK130)</f>
        <v>0</v>
      </c>
      <c r="AM130" s="142">
        <f>SUMPRODUCT($F9:$AS9,$F$174:$AS$174)*(1-AM$174)-SUM($F130:AL130)</f>
        <v>0</v>
      </c>
      <c r="AN130" s="142">
        <f>SUMPRODUCT($F9:$AS9,$F$174:$AS$174)*(1-AN$174)-SUM($F130:AM130)</f>
        <v>0</v>
      </c>
      <c r="AO130" s="142">
        <f>SUMPRODUCT($F9:$AS9,$F$174:$AS$174)*(1-AO$174)-SUM($F130:AN130)</f>
        <v>0</v>
      </c>
      <c r="AP130" s="142">
        <f>SUMPRODUCT($F9:$AS9,$F$174:$AS$174)*(1-AP$174)-SUM($F130:AO130)</f>
        <v>0</v>
      </c>
      <c r="AQ130" s="142">
        <f>SUMPRODUCT($F9:$AS9,$F$174:$AS$174)*(1-AQ$174)-SUM($F130:AP130)</f>
        <v>0</v>
      </c>
      <c r="AR130" s="142">
        <f>SUMPRODUCT($F9:$AS9,$F$174:$AS$174)*(1-AR$174)-SUM($F130:AQ130)</f>
        <v>0</v>
      </c>
      <c r="AS130" s="142">
        <f>SUMPRODUCT($F9:$AS9,$F$174:$AS$174)*(1-AS$174)-SUM($F130:AR130)</f>
        <v>0</v>
      </c>
      <c r="AT130" s="142">
        <f>SUMPRODUCT($F9:$AS9,$F$174:$AS$174)*(1-AT$174)-SUM($F130:AS130)</f>
        <v>0</v>
      </c>
      <c r="AU130" s="142">
        <f>SUMPRODUCT($F9:$AS9,$F$174:$AS$174)*(1-AU$174)-SUM($F130:AT130)</f>
        <v>0</v>
      </c>
      <c r="AV130" s="142">
        <f>SUMPRODUCT($F9:$AS9,$F$174:$AS$174)*(1-AV$174)-SUM($F130:AU130)</f>
        <v>0</v>
      </c>
      <c r="AW130" s="142">
        <f>SUMPRODUCT($F9:$AS9,$F$174:$AS$174)*(1-AW$174)-SUM($F130:AV130)</f>
        <v>0</v>
      </c>
      <c r="AX130" s="142">
        <f>SUMPRODUCT($F9:$AS9,$F$174:$AS$174)*(1-AX$174)-SUM($F130:AW130)</f>
        <v>0</v>
      </c>
      <c r="AY130" s="142">
        <f>SUMPRODUCT($F9:$AS9,$F$174:$AS$174)*(1-AY$174)-SUM($F130:AX130)</f>
        <v>0</v>
      </c>
      <c r="AZ130" s="142">
        <f>SUMPRODUCT($F9:$AS9,$F$174:$AS$174)*(1-AZ$174)-SUM($F130:AY130)</f>
        <v>0</v>
      </c>
      <c r="BA130" s="142">
        <f>SUMPRODUCT($F9:$AS9,$F$174:$AS$174)*(1-BA$174)-SUM($F130:AZ130)</f>
        <v>0</v>
      </c>
      <c r="BB130" s="142">
        <f>SUMPRODUCT($F9:$AS9,$F$174:$AS$174)*(1-BB$174)-SUM($F130:BA130)</f>
        <v>0</v>
      </c>
      <c r="BC130" s="142">
        <f>SUMPRODUCT($F9:$AS9,$F$174:$AS$174)*(1-BC$174)-SUM($F130:BB130)</f>
        <v>0</v>
      </c>
      <c r="BD130" s="142">
        <f>SUMPRODUCT($F9:$AS9,$F$174:$AS$174)*(1-BD$174)-SUM($F130:BC130)</f>
        <v>0</v>
      </c>
      <c r="BE130" s="142">
        <f>SUMPRODUCT($F9:$AS9,$F$174:$AS$174)*(1-BE$174)-SUM($F130:BD130)</f>
        <v>0</v>
      </c>
      <c r="BF130" s="142">
        <f>SUMPRODUCT($F9:$AS9,$F$174:$AS$174)*(1-BF$174)-SUM($F130:BE130)</f>
        <v>0</v>
      </c>
      <c r="BG130" s="142">
        <f>SUMPRODUCT($F9:$AS9,$F$174:$AS$174)*(1-BG$174)-SUM($F130:BF130)</f>
        <v>0</v>
      </c>
      <c r="BH130" s="142">
        <f>SUMPRODUCT($F9:$AS9,$F$174:$AS$174)*(1-BH$174)-SUM($F130:BG130)</f>
        <v>0</v>
      </c>
      <c r="BI130" s="142">
        <f>SUMPRODUCT($F9:$AS9,$F$174:$AS$174)*(1-BI$174)-SUM($F130:BH130)</f>
        <v>0</v>
      </c>
      <c r="BJ130" s="142">
        <f>SUMPRODUCT($F9:$AS9,$F$174:$AS$174)*(1-BJ$174)-SUM($F130:BI130)</f>
        <v>0</v>
      </c>
      <c r="BK130" s="142">
        <f>SUMPRODUCT($F9:$AS9,$F$174:$AS$174)*(1-BK$174)-SUM($F130:BJ130)</f>
        <v>0</v>
      </c>
      <c r="BL130" s="142">
        <f>SUMPRODUCT($F9:$AS9,$F$174:$AS$174)*(1-BL$174)-SUM($F130:BK130)</f>
        <v>0</v>
      </c>
      <c r="BM130" s="142">
        <f>SUMPRODUCT($F9:$AS9,$F$174:$AS$174)*(1-BM$174)-SUM($F130:BL130)</f>
        <v>0</v>
      </c>
    </row>
    <row r="131" spans="1:65" hidden="1" outlineLevel="1">
      <c r="B131" s="27"/>
      <c r="C131" s="27"/>
      <c r="D131" s="158" t="str">
        <f t="shared" si="88"/>
        <v>ОФИСЫ</v>
      </c>
      <c r="E131" s="154">
        <f t="shared" si="83"/>
        <v>0</v>
      </c>
      <c r="F131" s="142"/>
      <c r="G131" s="142">
        <f>SUMPRODUCT($F10:$AS10,$F$174:$AS$174)*(1-G$174)-SUM($F131:F131)</f>
        <v>0</v>
      </c>
      <c r="H131" s="142">
        <f>SUMPRODUCT($F10:$AS10,$F$174:$AS$174)*(1-H$174)-SUM($F131:G131)</f>
        <v>0</v>
      </c>
      <c r="I131" s="142">
        <f>SUMPRODUCT($F10:$AS10,$F$174:$AS$174)*(1-I$174)-SUM($F131:H131)</f>
        <v>0</v>
      </c>
      <c r="J131" s="142">
        <f>SUMPRODUCT($F10:$AS10,$F$174:$AS$174)*(1-J$174)-SUM($F131:I131)</f>
        <v>0</v>
      </c>
      <c r="K131" s="142">
        <f>SUMPRODUCT($F10:$AS10,$F$174:$AS$174)*(1-K$174)-SUM($F131:J131)</f>
        <v>0</v>
      </c>
      <c r="L131" s="142">
        <f>SUMPRODUCT($F10:$AS10,$F$174:$AS$174)*(1-L$174)-SUM($F131:K131)</f>
        <v>0</v>
      </c>
      <c r="M131" s="142">
        <f>SUMPRODUCT($F10:$AS10,$F$174:$AS$174)*(1-M$174)-SUM($F131:L131)</f>
        <v>0</v>
      </c>
      <c r="N131" s="142">
        <f>SUMPRODUCT($F10:$AS10,$F$174:$AS$174)*(1-N$174)-SUM($F131:M131)</f>
        <v>0</v>
      </c>
      <c r="O131" s="142">
        <f>SUMPRODUCT($F10:$AS10,$F$174:$AS$174)*(1-O$174)-SUM($F131:N131)</f>
        <v>0</v>
      </c>
      <c r="P131" s="142">
        <f>SUMPRODUCT($F10:$AS10,$F$174:$AS$174)*(1-P$174)-SUM($F131:O131)</f>
        <v>0</v>
      </c>
      <c r="Q131" s="142">
        <f>SUMPRODUCT($F10:$AS10,$F$174:$AS$174)*(1-Q$174)-SUM($F131:P131)</f>
        <v>0</v>
      </c>
      <c r="R131" s="142">
        <f>SUMPRODUCT($F10:$AS10,$F$174:$AS$174)*(1-R$174)-SUM($F131:Q131)</f>
        <v>0</v>
      </c>
      <c r="S131" s="142">
        <f>SUMPRODUCT($F10:$AS10,$F$174:$AS$174)*(1-S$174)-SUM($F131:R131)</f>
        <v>0</v>
      </c>
      <c r="T131" s="142">
        <f>SUMPRODUCT($F10:$AS10,$F$174:$AS$174)*(1-T$174)-SUM($F131:S131)</f>
        <v>0</v>
      </c>
      <c r="U131" s="142">
        <f>SUMPRODUCT($F10:$AS10,$F$174:$AS$174)*(1-U$174)-SUM($F131:T131)</f>
        <v>0</v>
      </c>
      <c r="V131" s="142">
        <f>SUMPRODUCT($F10:$AS10,$F$174:$AS$174)*(1-V$174)-SUM($F131:U131)</f>
        <v>0</v>
      </c>
      <c r="W131" s="142">
        <f>SUMPRODUCT($F10:$AS10,$F$174:$AS$174)*(1-W$174)-SUM($F131:V131)</f>
        <v>0</v>
      </c>
      <c r="X131" s="142">
        <f>SUMPRODUCT($F10:$AS10,$F$174:$AS$174)*(1-X$174)-SUM($F131:W131)</f>
        <v>0</v>
      </c>
      <c r="Y131" s="142">
        <f>SUMPRODUCT($F10:$AS10,$F$174:$AS$174)*(1-Y$174)-SUM($F131:X131)</f>
        <v>0</v>
      </c>
      <c r="Z131" s="142">
        <f>SUMPRODUCT($F10:$AS10,$F$174:$AS$174)*(1-Z$174)-SUM($F131:Y131)</f>
        <v>0</v>
      </c>
      <c r="AA131" s="142">
        <f>SUMPRODUCT($F10:$AS10,$F$174:$AS$174)*(1-AA$174)-SUM($F131:Z131)</f>
        <v>0</v>
      </c>
      <c r="AB131" s="142">
        <f>SUMPRODUCT($F10:$AS10,$F$174:$AS$174)*(1-AB$174)-SUM($F131:AA131)</f>
        <v>0</v>
      </c>
      <c r="AC131" s="142">
        <f>SUMPRODUCT($F10:$AS10,$F$174:$AS$174)*(1-AC$174)-SUM($F131:AB131)</f>
        <v>0</v>
      </c>
      <c r="AD131" s="142">
        <f>SUMPRODUCT($F10:$AS10,$F$174:$AS$174)*(1-AD$174)-SUM($F131:AC131)</f>
        <v>0</v>
      </c>
      <c r="AE131" s="142">
        <f>SUMPRODUCT($F10:$AS10,$F$174:$AS$174)*(1-AE$174)-SUM($F131:AD131)</f>
        <v>0</v>
      </c>
      <c r="AF131" s="142">
        <f>SUMPRODUCT($F10:$AS10,$F$174:$AS$174)*(1-AF$174)-SUM($F131:AE131)</f>
        <v>0</v>
      </c>
      <c r="AG131" s="142">
        <f>SUMPRODUCT($F10:$AS10,$F$174:$AS$174)*(1-AG$174)-SUM($F131:AF131)</f>
        <v>0</v>
      </c>
      <c r="AH131" s="142">
        <f>SUMPRODUCT($F10:$AS10,$F$174:$AS$174)*(1-AH$174)-SUM($F131:AG131)</f>
        <v>0</v>
      </c>
      <c r="AI131" s="142">
        <f>SUMPRODUCT($F10:$AS10,$F$174:$AS$174)*(1-AI$174)-SUM($F131:AH131)</f>
        <v>0</v>
      </c>
      <c r="AJ131" s="142">
        <f>SUMPRODUCT($F10:$AS10,$F$174:$AS$174)*(1-AJ$174)-SUM($F131:AI131)</f>
        <v>0</v>
      </c>
      <c r="AK131" s="142">
        <f>SUMPRODUCT($F10:$AS10,$F$174:$AS$174)*(1-AK$174)-SUM($F131:AJ131)</f>
        <v>0</v>
      </c>
      <c r="AL131" s="142">
        <f>SUMPRODUCT($F10:$AS10,$F$174:$AS$174)*(1-AL$174)-SUM($F131:AK131)</f>
        <v>0</v>
      </c>
      <c r="AM131" s="142">
        <f>SUMPRODUCT($F10:$AS10,$F$174:$AS$174)*(1-AM$174)-SUM($F131:AL131)</f>
        <v>0</v>
      </c>
      <c r="AN131" s="142">
        <f>SUMPRODUCT($F10:$AS10,$F$174:$AS$174)*(1-AN$174)-SUM($F131:AM131)</f>
        <v>0</v>
      </c>
      <c r="AO131" s="142">
        <f>SUMPRODUCT($F10:$AS10,$F$174:$AS$174)*(1-AO$174)-SUM($F131:AN131)</f>
        <v>0</v>
      </c>
      <c r="AP131" s="142">
        <f>SUMPRODUCT($F10:$AS10,$F$174:$AS$174)*(1-AP$174)-SUM($F131:AO131)</f>
        <v>0</v>
      </c>
      <c r="AQ131" s="142">
        <f>SUMPRODUCT($F10:$AS10,$F$174:$AS$174)*(1-AQ$174)-SUM($F131:AP131)</f>
        <v>0</v>
      </c>
      <c r="AR131" s="142">
        <f>SUMPRODUCT($F10:$AS10,$F$174:$AS$174)*(1-AR$174)-SUM($F131:AQ131)</f>
        <v>0</v>
      </c>
      <c r="AS131" s="142">
        <f>SUMPRODUCT($F10:$AS10,$F$174:$AS$174)*(1-AS$174)-SUM($F131:AR131)</f>
        <v>0</v>
      </c>
      <c r="AT131" s="142">
        <f>SUMPRODUCT($F10:$AS10,$F$174:$AS$174)*(1-AT$174)-SUM($F131:AS131)</f>
        <v>0</v>
      </c>
      <c r="AU131" s="142">
        <f>SUMPRODUCT($F10:$AS10,$F$174:$AS$174)*(1-AU$174)-SUM($F131:AT131)</f>
        <v>0</v>
      </c>
      <c r="AV131" s="142">
        <f>SUMPRODUCT($F10:$AS10,$F$174:$AS$174)*(1-AV$174)-SUM($F131:AU131)</f>
        <v>0</v>
      </c>
      <c r="AW131" s="142">
        <f>SUMPRODUCT($F10:$AS10,$F$174:$AS$174)*(1-AW$174)-SUM($F131:AV131)</f>
        <v>0</v>
      </c>
      <c r="AX131" s="142">
        <f>SUMPRODUCT($F10:$AS10,$F$174:$AS$174)*(1-AX$174)-SUM($F131:AW131)</f>
        <v>0</v>
      </c>
      <c r="AY131" s="142">
        <f>SUMPRODUCT($F10:$AS10,$F$174:$AS$174)*(1-AY$174)-SUM($F131:AX131)</f>
        <v>0</v>
      </c>
      <c r="AZ131" s="142">
        <f>SUMPRODUCT($F10:$AS10,$F$174:$AS$174)*(1-AZ$174)-SUM($F131:AY131)</f>
        <v>0</v>
      </c>
      <c r="BA131" s="142">
        <f>SUMPRODUCT($F10:$AS10,$F$174:$AS$174)*(1-BA$174)-SUM($F131:AZ131)</f>
        <v>0</v>
      </c>
      <c r="BB131" s="142">
        <f>SUMPRODUCT($F10:$AS10,$F$174:$AS$174)*(1-BB$174)-SUM($F131:BA131)</f>
        <v>0</v>
      </c>
      <c r="BC131" s="142">
        <f>SUMPRODUCT($F10:$AS10,$F$174:$AS$174)*(1-BC$174)-SUM($F131:BB131)</f>
        <v>0</v>
      </c>
      <c r="BD131" s="142">
        <f>SUMPRODUCT($F10:$AS10,$F$174:$AS$174)*(1-BD$174)-SUM($F131:BC131)</f>
        <v>0</v>
      </c>
      <c r="BE131" s="142">
        <f>SUMPRODUCT($F10:$AS10,$F$174:$AS$174)*(1-BE$174)-SUM($F131:BD131)</f>
        <v>0</v>
      </c>
      <c r="BF131" s="142">
        <f>SUMPRODUCT($F10:$AS10,$F$174:$AS$174)*(1-BF$174)-SUM($F131:BE131)</f>
        <v>0</v>
      </c>
      <c r="BG131" s="142">
        <f>SUMPRODUCT($F10:$AS10,$F$174:$AS$174)*(1-BG$174)-SUM($F131:BF131)</f>
        <v>0</v>
      </c>
      <c r="BH131" s="142">
        <f>SUMPRODUCT($F10:$AS10,$F$174:$AS$174)*(1-BH$174)-SUM($F131:BG131)</f>
        <v>0</v>
      </c>
      <c r="BI131" s="142">
        <f>SUMPRODUCT($F10:$AS10,$F$174:$AS$174)*(1-BI$174)-SUM($F131:BH131)</f>
        <v>0</v>
      </c>
      <c r="BJ131" s="142">
        <f>SUMPRODUCT($F10:$AS10,$F$174:$AS$174)*(1-BJ$174)-SUM($F131:BI131)</f>
        <v>0</v>
      </c>
      <c r="BK131" s="142">
        <f>SUMPRODUCT($F10:$AS10,$F$174:$AS$174)*(1-BK$174)-SUM($F131:BJ131)</f>
        <v>0</v>
      </c>
      <c r="BL131" s="142">
        <f>SUMPRODUCT($F10:$AS10,$F$174:$AS$174)*(1-BL$174)-SUM($F131:BK131)</f>
        <v>0</v>
      </c>
      <c r="BM131" s="142">
        <f>SUMPRODUCT($F10:$AS10,$F$174:$AS$174)*(1-BM$174)-SUM($F131:BL131)</f>
        <v>0</v>
      </c>
    </row>
    <row r="132" spans="1:65" hidden="1" outlineLevel="1">
      <c r="B132" s="27"/>
      <c r="C132" s="27"/>
      <c r="D132" s="158" t="str">
        <f t="shared" si="88"/>
        <v>РИТЕЙЛ</v>
      </c>
      <c r="E132" s="154">
        <f t="shared" si="83"/>
        <v>0</v>
      </c>
      <c r="F132" s="142"/>
      <c r="G132" s="142">
        <f>SUMPRODUCT($F11:$AS11,$F$174:$AS$174)*(1-G$174)-SUM($F132:F132)</f>
        <v>0</v>
      </c>
      <c r="H132" s="142">
        <f>SUMPRODUCT($F11:$AS11,$F$174:$AS$174)*(1-H$174)-SUM($F132:G132)</f>
        <v>0</v>
      </c>
      <c r="I132" s="142">
        <f>SUMPRODUCT($F11:$AS11,$F$174:$AS$174)*(1-I$174)-SUM($F132:H132)</f>
        <v>0</v>
      </c>
      <c r="J132" s="142">
        <f>SUMPRODUCT($F11:$AS11,$F$174:$AS$174)*(1-J$174)-SUM($F132:I132)</f>
        <v>0</v>
      </c>
      <c r="K132" s="142">
        <f>SUMPRODUCT($F11:$AS11,$F$174:$AS$174)*(1-K$174)-SUM($F132:J132)</f>
        <v>0</v>
      </c>
      <c r="L132" s="142">
        <f>SUMPRODUCT($F11:$AS11,$F$174:$AS$174)*(1-L$174)-SUM($F132:K132)</f>
        <v>0</v>
      </c>
      <c r="M132" s="142">
        <f>SUMPRODUCT($F11:$AS11,$F$174:$AS$174)*(1-M$174)-SUM($F132:L132)</f>
        <v>0</v>
      </c>
      <c r="N132" s="142">
        <f>SUMPRODUCT($F11:$AS11,$F$174:$AS$174)*(1-N$174)-SUM($F132:M132)</f>
        <v>0</v>
      </c>
      <c r="O132" s="142">
        <f>SUMPRODUCT($F11:$AS11,$F$174:$AS$174)*(1-O$174)-SUM($F132:N132)</f>
        <v>0</v>
      </c>
      <c r="P132" s="142">
        <f>SUMPRODUCT($F11:$AS11,$F$174:$AS$174)*(1-P$174)-SUM($F132:O132)</f>
        <v>0</v>
      </c>
      <c r="Q132" s="142">
        <f>SUMPRODUCT($F11:$AS11,$F$174:$AS$174)*(1-Q$174)-SUM($F132:P132)</f>
        <v>0</v>
      </c>
      <c r="R132" s="142">
        <f>SUMPRODUCT($F11:$AS11,$F$174:$AS$174)*(1-R$174)-SUM($F132:Q132)</f>
        <v>0</v>
      </c>
      <c r="S132" s="142">
        <f>SUMPRODUCT($F11:$AS11,$F$174:$AS$174)*(1-S$174)-SUM($F132:R132)</f>
        <v>0</v>
      </c>
      <c r="T132" s="142">
        <f>SUMPRODUCT($F11:$AS11,$F$174:$AS$174)*(1-T$174)-SUM($F132:S132)</f>
        <v>0</v>
      </c>
      <c r="U132" s="142">
        <f>SUMPRODUCT($F11:$AS11,$F$174:$AS$174)*(1-U$174)-SUM($F132:T132)</f>
        <v>0</v>
      </c>
      <c r="V132" s="142">
        <f>SUMPRODUCT($F11:$AS11,$F$174:$AS$174)*(1-V$174)-SUM($F132:U132)</f>
        <v>0</v>
      </c>
      <c r="W132" s="142">
        <f>SUMPRODUCT($F11:$AS11,$F$174:$AS$174)*(1-W$174)-SUM($F132:V132)</f>
        <v>0</v>
      </c>
      <c r="X132" s="142">
        <f>SUMPRODUCT($F11:$AS11,$F$174:$AS$174)*(1-X$174)-SUM($F132:W132)</f>
        <v>0</v>
      </c>
      <c r="Y132" s="142">
        <f>SUMPRODUCT($F11:$AS11,$F$174:$AS$174)*(1-Y$174)-SUM($F132:X132)</f>
        <v>0</v>
      </c>
      <c r="Z132" s="142">
        <f>SUMPRODUCT($F11:$AS11,$F$174:$AS$174)*(1-Z$174)-SUM($F132:Y132)</f>
        <v>0</v>
      </c>
      <c r="AA132" s="142">
        <f>SUMPRODUCT($F11:$AS11,$F$174:$AS$174)*(1-AA$174)-SUM($F132:Z132)</f>
        <v>0</v>
      </c>
      <c r="AB132" s="142">
        <f>SUMPRODUCT($F11:$AS11,$F$174:$AS$174)*(1-AB$174)-SUM($F132:AA132)</f>
        <v>0</v>
      </c>
      <c r="AC132" s="142">
        <f>SUMPRODUCT($F11:$AS11,$F$174:$AS$174)*(1-AC$174)-SUM($F132:AB132)</f>
        <v>0</v>
      </c>
      <c r="AD132" s="142">
        <f>SUMPRODUCT($F11:$AS11,$F$174:$AS$174)*(1-AD$174)-SUM($F132:AC132)</f>
        <v>0</v>
      </c>
      <c r="AE132" s="142">
        <f>SUMPRODUCT($F11:$AS11,$F$174:$AS$174)*(1-AE$174)-SUM($F132:AD132)</f>
        <v>0</v>
      </c>
      <c r="AF132" s="142">
        <f>SUMPRODUCT($F11:$AS11,$F$174:$AS$174)*(1-AF$174)-SUM($F132:AE132)</f>
        <v>0</v>
      </c>
      <c r="AG132" s="142">
        <f>SUMPRODUCT($F11:$AS11,$F$174:$AS$174)*(1-AG$174)-SUM($F132:AF132)</f>
        <v>0</v>
      </c>
      <c r="AH132" s="142">
        <f>SUMPRODUCT($F11:$AS11,$F$174:$AS$174)*(1-AH$174)-SUM($F132:AG132)</f>
        <v>0</v>
      </c>
      <c r="AI132" s="142">
        <f>SUMPRODUCT($F11:$AS11,$F$174:$AS$174)*(1-AI$174)-SUM($F132:AH132)</f>
        <v>0</v>
      </c>
      <c r="AJ132" s="142">
        <f>SUMPRODUCT($F11:$AS11,$F$174:$AS$174)*(1-AJ$174)-SUM($F132:AI132)</f>
        <v>0</v>
      </c>
      <c r="AK132" s="142">
        <f>SUMPRODUCT($F11:$AS11,$F$174:$AS$174)*(1-AK$174)-SUM($F132:AJ132)</f>
        <v>0</v>
      </c>
      <c r="AL132" s="142">
        <f>SUMPRODUCT($F11:$AS11,$F$174:$AS$174)*(1-AL$174)-SUM($F132:AK132)</f>
        <v>0</v>
      </c>
      <c r="AM132" s="142">
        <f>SUMPRODUCT($F11:$AS11,$F$174:$AS$174)*(1-AM$174)-SUM($F132:AL132)</f>
        <v>0</v>
      </c>
      <c r="AN132" s="142">
        <f>SUMPRODUCT($F11:$AS11,$F$174:$AS$174)*(1-AN$174)-SUM($F132:AM132)</f>
        <v>0</v>
      </c>
      <c r="AO132" s="142">
        <f>SUMPRODUCT($F11:$AS11,$F$174:$AS$174)*(1-AO$174)-SUM($F132:AN132)</f>
        <v>0</v>
      </c>
      <c r="AP132" s="142">
        <f>SUMPRODUCT($F11:$AS11,$F$174:$AS$174)*(1-AP$174)-SUM($F132:AO132)</f>
        <v>0</v>
      </c>
      <c r="AQ132" s="142">
        <f>SUMPRODUCT($F11:$AS11,$F$174:$AS$174)*(1-AQ$174)-SUM($F132:AP132)</f>
        <v>0</v>
      </c>
      <c r="AR132" s="142">
        <f>SUMPRODUCT($F11:$AS11,$F$174:$AS$174)*(1-AR$174)-SUM($F132:AQ132)</f>
        <v>0</v>
      </c>
      <c r="AS132" s="142">
        <f>SUMPRODUCT($F11:$AS11,$F$174:$AS$174)*(1-AS$174)-SUM($F132:AR132)</f>
        <v>0</v>
      </c>
      <c r="AT132" s="142">
        <f>SUMPRODUCT($F11:$AS11,$F$174:$AS$174)*(1-AT$174)-SUM($F132:AS132)</f>
        <v>0</v>
      </c>
      <c r="AU132" s="142">
        <f>SUMPRODUCT($F11:$AS11,$F$174:$AS$174)*(1-AU$174)-SUM($F132:AT132)</f>
        <v>0</v>
      </c>
      <c r="AV132" s="142">
        <f>SUMPRODUCT($F11:$AS11,$F$174:$AS$174)*(1-AV$174)-SUM($F132:AU132)</f>
        <v>0</v>
      </c>
      <c r="AW132" s="142">
        <f>SUMPRODUCT($F11:$AS11,$F$174:$AS$174)*(1-AW$174)-SUM($F132:AV132)</f>
        <v>0</v>
      </c>
      <c r="AX132" s="142">
        <f>SUMPRODUCT($F11:$AS11,$F$174:$AS$174)*(1-AX$174)-SUM($F132:AW132)</f>
        <v>0</v>
      </c>
      <c r="AY132" s="142">
        <f>SUMPRODUCT($F11:$AS11,$F$174:$AS$174)*(1-AY$174)-SUM($F132:AX132)</f>
        <v>0</v>
      </c>
      <c r="AZ132" s="142">
        <f>SUMPRODUCT($F11:$AS11,$F$174:$AS$174)*(1-AZ$174)-SUM($F132:AY132)</f>
        <v>0</v>
      </c>
      <c r="BA132" s="142">
        <f>SUMPRODUCT($F11:$AS11,$F$174:$AS$174)*(1-BA$174)-SUM($F132:AZ132)</f>
        <v>0</v>
      </c>
      <c r="BB132" s="142">
        <f>SUMPRODUCT($F11:$AS11,$F$174:$AS$174)*(1-BB$174)-SUM($F132:BA132)</f>
        <v>0</v>
      </c>
      <c r="BC132" s="142">
        <f>SUMPRODUCT($F11:$AS11,$F$174:$AS$174)*(1-BC$174)-SUM($F132:BB132)</f>
        <v>0</v>
      </c>
      <c r="BD132" s="142">
        <f>SUMPRODUCT($F11:$AS11,$F$174:$AS$174)*(1-BD$174)-SUM($F132:BC132)</f>
        <v>0</v>
      </c>
      <c r="BE132" s="142">
        <f>SUMPRODUCT($F11:$AS11,$F$174:$AS$174)*(1-BE$174)-SUM($F132:BD132)</f>
        <v>0</v>
      </c>
      <c r="BF132" s="142">
        <f>SUMPRODUCT($F11:$AS11,$F$174:$AS$174)*(1-BF$174)-SUM($F132:BE132)</f>
        <v>0</v>
      </c>
      <c r="BG132" s="142">
        <f>SUMPRODUCT($F11:$AS11,$F$174:$AS$174)*(1-BG$174)-SUM($F132:BF132)</f>
        <v>0</v>
      </c>
      <c r="BH132" s="142">
        <f>SUMPRODUCT($F11:$AS11,$F$174:$AS$174)*(1-BH$174)-SUM($F132:BG132)</f>
        <v>0</v>
      </c>
      <c r="BI132" s="142">
        <f>SUMPRODUCT($F11:$AS11,$F$174:$AS$174)*(1-BI$174)-SUM($F132:BH132)</f>
        <v>0</v>
      </c>
      <c r="BJ132" s="142">
        <f>SUMPRODUCT($F11:$AS11,$F$174:$AS$174)*(1-BJ$174)-SUM($F132:BI132)</f>
        <v>0</v>
      </c>
      <c r="BK132" s="142">
        <f>SUMPRODUCT($F11:$AS11,$F$174:$AS$174)*(1-BK$174)-SUM($F132:BJ132)</f>
        <v>0</v>
      </c>
      <c r="BL132" s="142">
        <f>SUMPRODUCT($F11:$AS11,$F$174:$AS$174)*(1-BL$174)-SUM($F132:BK132)</f>
        <v>0</v>
      </c>
      <c r="BM132" s="142">
        <f>SUMPRODUCT($F11:$AS11,$F$174:$AS$174)*(1-BM$174)-SUM($F132:BL132)</f>
        <v>0</v>
      </c>
    </row>
    <row r="133" spans="1:65" hidden="1" outlineLevel="1">
      <c r="B133" s="27"/>
      <c r="C133" s="27"/>
      <c r="D133" s="158" t="str">
        <f t="shared" si="88"/>
        <v>ТЦ</v>
      </c>
      <c r="E133" s="154">
        <f t="shared" si="83"/>
        <v>0</v>
      </c>
      <c r="F133" s="142"/>
      <c r="G133" s="142">
        <f>SUMPRODUCT($F12:$AS12,$F$174:$AS$174)*(1-G$174)-SUM($F133:F133)</f>
        <v>0</v>
      </c>
      <c r="H133" s="142">
        <f>SUMPRODUCT($F12:$AS12,$F$174:$AS$174)*(1-H$174)-SUM($F133:G133)</f>
        <v>0</v>
      </c>
      <c r="I133" s="142">
        <f>SUMPRODUCT($F12:$AS12,$F$174:$AS$174)*(1-I$174)-SUM($F133:H133)</f>
        <v>0</v>
      </c>
      <c r="J133" s="142">
        <f>SUMPRODUCT($F12:$AS12,$F$174:$AS$174)*(1-J$174)-SUM($F133:I133)</f>
        <v>0</v>
      </c>
      <c r="K133" s="142">
        <f>SUMPRODUCT($F12:$AS12,$F$174:$AS$174)*(1-K$174)-SUM($F133:J133)</f>
        <v>0</v>
      </c>
      <c r="L133" s="142">
        <f>SUMPRODUCT($F12:$AS12,$F$174:$AS$174)*(1-L$174)-SUM($F133:K133)</f>
        <v>0</v>
      </c>
      <c r="M133" s="142">
        <f>SUMPRODUCT($F12:$AS12,$F$174:$AS$174)*(1-M$174)-SUM($F133:L133)</f>
        <v>0</v>
      </c>
      <c r="N133" s="142">
        <f>SUMPRODUCT($F12:$AS12,$F$174:$AS$174)*(1-N$174)-SUM($F133:M133)</f>
        <v>0</v>
      </c>
      <c r="O133" s="142">
        <f>SUMPRODUCT($F12:$AS12,$F$174:$AS$174)*(1-O$174)-SUM($F133:N133)</f>
        <v>0</v>
      </c>
      <c r="P133" s="142">
        <f>SUMPRODUCT($F12:$AS12,$F$174:$AS$174)*(1-P$174)-SUM($F133:O133)</f>
        <v>0</v>
      </c>
      <c r="Q133" s="142">
        <f>SUMPRODUCT($F12:$AS12,$F$174:$AS$174)*(1-Q$174)-SUM($F133:P133)</f>
        <v>0</v>
      </c>
      <c r="R133" s="142">
        <f>SUMPRODUCT($F12:$AS12,$F$174:$AS$174)*(1-R$174)-SUM($F133:Q133)</f>
        <v>0</v>
      </c>
      <c r="S133" s="142">
        <f>SUMPRODUCT($F12:$AS12,$F$174:$AS$174)*(1-S$174)-SUM($F133:R133)</f>
        <v>0</v>
      </c>
      <c r="T133" s="142">
        <f>SUMPRODUCT($F12:$AS12,$F$174:$AS$174)*(1-T$174)-SUM($F133:S133)</f>
        <v>0</v>
      </c>
      <c r="U133" s="142">
        <f>SUMPRODUCT($F12:$AS12,$F$174:$AS$174)*(1-U$174)-SUM($F133:T133)</f>
        <v>0</v>
      </c>
      <c r="V133" s="142">
        <f>SUMPRODUCT($F12:$AS12,$F$174:$AS$174)*(1-V$174)-SUM($F133:U133)</f>
        <v>0</v>
      </c>
      <c r="W133" s="142">
        <f>SUMPRODUCT($F12:$AS12,$F$174:$AS$174)*(1-W$174)-SUM($F133:V133)</f>
        <v>0</v>
      </c>
      <c r="X133" s="142">
        <f>SUMPRODUCT($F12:$AS12,$F$174:$AS$174)*(1-X$174)-SUM($F133:W133)</f>
        <v>0</v>
      </c>
      <c r="Y133" s="142">
        <f>SUMPRODUCT($F12:$AS12,$F$174:$AS$174)*(1-Y$174)-SUM($F133:X133)</f>
        <v>0</v>
      </c>
      <c r="Z133" s="142">
        <f>SUMPRODUCT($F12:$AS12,$F$174:$AS$174)*(1-Z$174)-SUM($F133:Y133)</f>
        <v>0</v>
      </c>
      <c r="AA133" s="142">
        <f>SUMPRODUCT($F12:$AS12,$F$174:$AS$174)*(1-AA$174)-SUM($F133:Z133)</f>
        <v>0</v>
      </c>
      <c r="AB133" s="142">
        <f>SUMPRODUCT($F12:$AS12,$F$174:$AS$174)*(1-AB$174)-SUM($F133:AA133)</f>
        <v>0</v>
      </c>
      <c r="AC133" s="142">
        <f>SUMPRODUCT($F12:$AS12,$F$174:$AS$174)*(1-AC$174)-SUM($F133:AB133)</f>
        <v>0</v>
      </c>
      <c r="AD133" s="142">
        <f>SUMPRODUCT($F12:$AS12,$F$174:$AS$174)*(1-AD$174)-SUM($F133:AC133)</f>
        <v>0</v>
      </c>
      <c r="AE133" s="142">
        <f>SUMPRODUCT($F12:$AS12,$F$174:$AS$174)*(1-AE$174)-SUM($F133:AD133)</f>
        <v>0</v>
      </c>
      <c r="AF133" s="142">
        <f>SUMPRODUCT($F12:$AS12,$F$174:$AS$174)*(1-AF$174)-SUM($F133:AE133)</f>
        <v>0</v>
      </c>
      <c r="AG133" s="142">
        <f>SUMPRODUCT($F12:$AS12,$F$174:$AS$174)*(1-AG$174)-SUM($F133:AF133)</f>
        <v>0</v>
      </c>
      <c r="AH133" s="142">
        <f>SUMPRODUCT($F12:$AS12,$F$174:$AS$174)*(1-AH$174)-SUM($F133:AG133)</f>
        <v>0</v>
      </c>
      <c r="AI133" s="142">
        <f>SUMPRODUCT($F12:$AS12,$F$174:$AS$174)*(1-AI$174)-SUM($F133:AH133)</f>
        <v>0</v>
      </c>
      <c r="AJ133" s="142">
        <f>SUMPRODUCT($F12:$AS12,$F$174:$AS$174)*(1-AJ$174)-SUM($F133:AI133)</f>
        <v>0</v>
      </c>
      <c r="AK133" s="142">
        <f>SUMPRODUCT($F12:$AS12,$F$174:$AS$174)*(1-AK$174)-SUM($F133:AJ133)</f>
        <v>0</v>
      </c>
      <c r="AL133" s="142">
        <f>SUMPRODUCT($F12:$AS12,$F$174:$AS$174)*(1-AL$174)-SUM($F133:AK133)</f>
        <v>0</v>
      </c>
      <c r="AM133" s="142">
        <f>SUMPRODUCT($F12:$AS12,$F$174:$AS$174)*(1-AM$174)-SUM($F133:AL133)</f>
        <v>0</v>
      </c>
      <c r="AN133" s="142">
        <f>SUMPRODUCT($F12:$AS12,$F$174:$AS$174)*(1-AN$174)-SUM($F133:AM133)</f>
        <v>0</v>
      </c>
      <c r="AO133" s="142">
        <f>SUMPRODUCT($F12:$AS12,$F$174:$AS$174)*(1-AO$174)-SUM($F133:AN133)</f>
        <v>0</v>
      </c>
      <c r="AP133" s="142">
        <f>SUMPRODUCT($F12:$AS12,$F$174:$AS$174)*(1-AP$174)-SUM($F133:AO133)</f>
        <v>0</v>
      </c>
      <c r="AQ133" s="142">
        <f>SUMPRODUCT($F12:$AS12,$F$174:$AS$174)*(1-AQ$174)-SUM($F133:AP133)</f>
        <v>0</v>
      </c>
      <c r="AR133" s="142">
        <f>SUMPRODUCT($F12:$AS12,$F$174:$AS$174)*(1-AR$174)-SUM($F133:AQ133)</f>
        <v>0</v>
      </c>
      <c r="AS133" s="142">
        <f>SUMPRODUCT($F12:$AS12,$F$174:$AS$174)*(1-AS$174)-SUM($F133:AR133)</f>
        <v>0</v>
      </c>
      <c r="AT133" s="142">
        <f>SUMPRODUCT($F12:$AS12,$F$174:$AS$174)*(1-AT$174)-SUM($F133:AS133)</f>
        <v>0</v>
      </c>
      <c r="AU133" s="142">
        <f>SUMPRODUCT($F12:$AS12,$F$174:$AS$174)*(1-AU$174)-SUM($F133:AT133)</f>
        <v>0</v>
      </c>
      <c r="AV133" s="142">
        <f>SUMPRODUCT($F12:$AS12,$F$174:$AS$174)*(1-AV$174)-SUM($F133:AU133)</f>
        <v>0</v>
      </c>
      <c r="AW133" s="142">
        <f>SUMPRODUCT($F12:$AS12,$F$174:$AS$174)*(1-AW$174)-SUM($F133:AV133)</f>
        <v>0</v>
      </c>
      <c r="AX133" s="142">
        <f>SUMPRODUCT($F12:$AS12,$F$174:$AS$174)*(1-AX$174)-SUM($F133:AW133)</f>
        <v>0</v>
      </c>
      <c r="AY133" s="142">
        <f>SUMPRODUCT($F12:$AS12,$F$174:$AS$174)*(1-AY$174)-SUM($F133:AX133)</f>
        <v>0</v>
      </c>
      <c r="AZ133" s="142">
        <f>SUMPRODUCT($F12:$AS12,$F$174:$AS$174)*(1-AZ$174)-SUM($F133:AY133)</f>
        <v>0</v>
      </c>
      <c r="BA133" s="142">
        <f>SUMPRODUCT($F12:$AS12,$F$174:$AS$174)*(1-BA$174)-SUM($F133:AZ133)</f>
        <v>0</v>
      </c>
      <c r="BB133" s="142">
        <f>SUMPRODUCT($F12:$AS12,$F$174:$AS$174)*(1-BB$174)-SUM($F133:BA133)</f>
        <v>0</v>
      </c>
      <c r="BC133" s="142">
        <f>SUMPRODUCT($F12:$AS12,$F$174:$AS$174)*(1-BC$174)-SUM($F133:BB133)</f>
        <v>0</v>
      </c>
      <c r="BD133" s="142">
        <f>SUMPRODUCT($F12:$AS12,$F$174:$AS$174)*(1-BD$174)-SUM($F133:BC133)</f>
        <v>0</v>
      </c>
      <c r="BE133" s="142">
        <f>SUMPRODUCT($F12:$AS12,$F$174:$AS$174)*(1-BE$174)-SUM($F133:BD133)</f>
        <v>0</v>
      </c>
      <c r="BF133" s="142">
        <f>SUMPRODUCT($F12:$AS12,$F$174:$AS$174)*(1-BF$174)-SUM($F133:BE133)</f>
        <v>0</v>
      </c>
      <c r="BG133" s="142">
        <f>SUMPRODUCT($F12:$AS12,$F$174:$AS$174)*(1-BG$174)-SUM($F133:BF133)</f>
        <v>0</v>
      </c>
      <c r="BH133" s="142">
        <f>SUMPRODUCT($F12:$AS12,$F$174:$AS$174)*(1-BH$174)-SUM($F133:BG133)</f>
        <v>0</v>
      </c>
      <c r="BI133" s="142">
        <f>SUMPRODUCT($F12:$AS12,$F$174:$AS$174)*(1-BI$174)-SUM($F133:BH133)</f>
        <v>0</v>
      </c>
      <c r="BJ133" s="142">
        <f>SUMPRODUCT($F12:$AS12,$F$174:$AS$174)*(1-BJ$174)-SUM($F133:BI133)</f>
        <v>0</v>
      </c>
      <c r="BK133" s="142">
        <f>SUMPRODUCT($F12:$AS12,$F$174:$AS$174)*(1-BK$174)-SUM($F133:BJ133)</f>
        <v>0</v>
      </c>
      <c r="BL133" s="142">
        <f>SUMPRODUCT($F12:$AS12,$F$174:$AS$174)*(1-BL$174)-SUM($F133:BK133)</f>
        <v>0</v>
      </c>
      <c r="BM133" s="142">
        <f>SUMPRODUCT($F12:$AS12,$F$174:$AS$174)*(1-BM$174)-SUM($F133:BL133)</f>
        <v>0</v>
      </c>
    </row>
    <row r="134" spans="1:65" hidden="1" outlineLevel="1">
      <c r="B134" s="27"/>
      <c r="C134" s="27"/>
      <c r="D134" s="158" t="str">
        <f t="shared" si="88"/>
        <v>ПАРКИНГ ЖИЛЬЕ</v>
      </c>
      <c r="E134" s="154">
        <f t="shared" si="83"/>
        <v>360</v>
      </c>
      <c r="F134" s="142"/>
      <c r="G134" s="142">
        <f>SUMPRODUCT($F13:$AS13,$F$174:$AS$174)*(1-G$174)-SUM($F134:F134)</f>
        <v>0</v>
      </c>
      <c r="H134" s="142">
        <f>SUMPRODUCT($F13:$AS13,$F$174:$AS$174)*(1-H$174)-SUM($F134:G134)</f>
        <v>0</v>
      </c>
      <c r="I134" s="142">
        <f>SUMPRODUCT($F13:$AS13,$F$174:$AS$174)*(1-I$174)-SUM($F134:H134)</f>
        <v>0</v>
      </c>
      <c r="J134" s="142">
        <f>SUMPRODUCT($F13:$AS13,$F$174:$AS$174)*(1-J$174)-SUM($F134:I134)</f>
        <v>0</v>
      </c>
      <c r="K134" s="142">
        <f>SUMPRODUCT($F13:$AS13,$F$174:$AS$174)*(1-K$174)-SUM($F134:J134)</f>
        <v>0</v>
      </c>
      <c r="L134" s="142">
        <f>SUMPRODUCT($F13:$AS13,$F$174:$AS$174)*(1-L$174)-SUM($F134:K134)</f>
        <v>0</v>
      </c>
      <c r="M134" s="142">
        <f>SUMPRODUCT($F13:$AS13,$F$174:$AS$174)*(1-M$174)-SUM($F134:L134)</f>
        <v>0</v>
      </c>
      <c r="N134" s="142">
        <f>SUMPRODUCT($F13:$AS13,$F$174:$AS$174)*(1-N$174)-SUM($F134:M134)</f>
        <v>0</v>
      </c>
      <c r="O134" s="142">
        <f>SUMPRODUCT($F13:$AS13,$F$174:$AS$174)*(1-O$174)-SUM($F134:N134)</f>
        <v>0</v>
      </c>
      <c r="P134" s="142">
        <f>SUMPRODUCT($F13:$AS13,$F$174:$AS$174)*(1-P$174)-SUM($F134:O134)</f>
        <v>0</v>
      </c>
      <c r="Q134" s="142">
        <f>SUMPRODUCT($F13:$AS13,$F$174:$AS$174)*(1-Q$174)-SUM($F134:P134)</f>
        <v>0</v>
      </c>
      <c r="R134" s="142">
        <f>SUMPRODUCT($F13:$AS13,$F$174:$AS$174)*(1-R$174)-SUM($F134:Q134)</f>
        <v>0</v>
      </c>
      <c r="S134" s="142">
        <f>SUMPRODUCT($F13:$AS13,$F$174:$AS$174)*(1-S$174)-SUM($F134:R134)</f>
        <v>0</v>
      </c>
      <c r="T134" s="142">
        <f>SUMPRODUCT($F13:$AS13,$F$174:$AS$174)*(1-T$174)-SUM($F134:S134)</f>
        <v>0</v>
      </c>
      <c r="U134" s="142">
        <f>SUMPRODUCT($F13:$AS13,$F$174:$AS$174)*(1-U$174)-SUM($F134:T134)</f>
        <v>0</v>
      </c>
      <c r="V134" s="142">
        <f>SUMPRODUCT($F13:$AS13,$F$174:$AS$174)*(1-V$174)-SUM($F134:U134)</f>
        <v>0</v>
      </c>
      <c r="W134" s="142">
        <f>SUMPRODUCT($F13:$AS13,$F$174:$AS$174)*(1-W$174)-SUM($F134:V134)</f>
        <v>0</v>
      </c>
      <c r="X134" s="142">
        <f>SUMPRODUCT($F13:$AS13,$F$174:$AS$174)*(1-X$174)-SUM($F134:W134)</f>
        <v>0</v>
      </c>
      <c r="Y134" s="142">
        <f>SUMPRODUCT($F13:$AS13,$F$174:$AS$174)*(1-Y$174)-SUM($F134:X134)</f>
        <v>0</v>
      </c>
      <c r="Z134" s="142">
        <f>SUMPRODUCT($F13:$AS13,$F$174:$AS$174)*(1-Z$174)-SUM($F134:Y134)</f>
        <v>0</v>
      </c>
      <c r="AA134" s="142">
        <f>SUMPRODUCT($F13:$AS13,$F$174:$AS$174)*(1-AA$174)-SUM($F134:Z134)</f>
        <v>0</v>
      </c>
      <c r="AB134" s="142">
        <f>SUMPRODUCT($F13:$AS13,$F$174:$AS$174)*(1-AB$174)-SUM($F134:AA134)</f>
        <v>0</v>
      </c>
      <c r="AC134" s="142">
        <f>SUMPRODUCT($F13:$AS13,$F$174:$AS$174)*(1-AC$174)-SUM($F134:AB134)</f>
        <v>0</v>
      </c>
      <c r="AD134" s="142">
        <f>SUMPRODUCT($F13:$AS13,$F$174:$AS$174)*(1-AD$174)-SUM($F134:AC134)</f>
        <v>0</v>
      </c>
      <c r="AE134" s="142">
        <f>SUMPRODUCT($F13:$AS13,$F$174:$AS$174)*(1-AE$174)-SUM($F134:AD134)</f>
        <v>0</v>
      </c>
      <c r="AF134" s="142">
        <f>SUMPRODUCT($F13:$AS13,$F$174:$AS$174)*(1-AF$174)-SUM($F134:AE134)</f>
        <v>0</v>
      </c>
      <c r="AG134" s="142">
        <f>SUMPRODUCT($F13:$AS13,$F$174:$AS$174)*(1-AG$174)-SUM($F134:AF134)</f>
        <v>0</v>
      </c>
      <c r="AH134" s="142">
        <f>SUMPRODUCT($F13:$AS13,$F$174:$AS$174)*(1-AH$174)-SUM($F134:AG134)</f>
        <v>0</v>
      </c>
      <c r="AI134" s="142">
        <f>SUMPRODUCT($F13:$AS13,$F$174:$AS$174)*(1-AI$174)-SUM($F134:AH134)</f>
        <v>0</v>
      </c>
      <c r="AJ134" s="142">
        <f>SUMPRODUCT($F13:$AS13,$F$174:$AS$174)*(1-AJ$174)-SUM($F134:AI134)</f>
        <v>360</v>
      </c>
      <c r="AK134" s="142">
        <f>SUMPRODUCT($F13:$AS13,$F$174:$AS$174)*(1-AK$174)-SUM($F134:AJ134)</f>
        <v>0</v>
      </c>
      <c r="AL134" s="142">
        <f>SUMPRODUCT($F13:$AS13,$F$174:$AS$174)*(1-AL$174)-SUM($F134:AK134)</f>
        <v>0</v>
      </c>
      <c r="AM134" s="142">
        <f>SUMPRODUCT($F13:$AS13,$F$174:$AS$174)*(1-AM$174)-SUM($F134:AL134)</f>
        <v>0</v>
      </c>
      <c r="AN134" s="142">
        <f>SUMPRODUCT($F13:$AS13,$F$174:$AS$174)*(1-AN$174)-SUM($F134:AM134)</f>
        <v>0</v>
      </c>
      <c r="AO134" s="142">
        <f>SUMPRODUCT($F13:$AS13,$F$174:$AS$174)*(1-AO$174)-SUM($F134:AN134)</f>
        <v>0</v>
      </c>
      <c r="AP134" s="142">
        <f>SUMPRODUCT($F13:$AS13,$F$174:$AS$174)*(1-AP$174)-SUM($F134:AO134)</f>
        <v>0</v>
      </c>
      <c r="AQ134" s="142">
        <f>SUMPRODUCT($F13:$AS13,$F$174:$AS$174)*(1-AQ$174)-SUM($F134:AP134)</f>
        <v>0</v>
      </c>
      <c r="AR134" s="142">
        <f>SUMPRODUCT($F13:$AS13,$F$174:$AS$174)*(1-AR$174)-SUM($F134:AQ134)</f>
        <v>0</v>
      </c>
      <c r="AS134" s="142">
        <f>SUMPRODUCT($F13:$AS13,$F$174:$AS$174)*(1-AS$174)-SUM($F134:AR134)</f>
        <v>0</v>
      </c>
      <c r="AT134" s="142">
        <f>SUMPRODUCT($F13:$AS13,$F$174:$AS$174)*(1-AT$174)-SUM($F134:AS134)</f>
        <v>0</v>
      </c>
      <c r="AU134" s="142">
        <f>SUMPRODUCT($F13:$AS13,$F$174:$AS$174)*(1-AU$174)-SUM($F134:AT134)</f>
        <v>0</v>
      </c>
      <c r="AV134" s="142">
        <f>SUMPRODUCT($F13:$AS13,$F$174:$AS$174)*(1-AV$174)-SUM($F134:AU134)</f>
        <v>0</v>
      </c>
      <c r="AW134" s="142">
        <f>SUMPRODUCT($F13:$AS13,$F$174:$AS$174)*(1-AW$174)-SUM($F134:AV134)</f>
        <v>0</v>
      </c>
      <c r="AX134" s="142">
        <f>SUMPRODUCT($F13:$AS13,$F$174:$AS$174)*(1-AX$174)-SUM($F134:AW134)</f>
        <v>0</v>
      </c>
      <c r="AY134" s="142">
        <f>SUMPRODUCT($F13:$AS13,$F$174:$AS$174)*(1-AY$174)-SUM($F134:AX134)</f>
        <v>0</v>
      </c>
      <c r="AZ134" s="142">
        <f>SUMPRODUCT($F13:$AS13,$F$174:$AS$174)*(1-AZ$174)-SUM($F134:AY134)</f>
        <v>0</v>
      </c>
      <c r="BA134" s="142">
        <f>SUMPRODUCT($F13:$AS13,$F$174:$AS$174)*(1-BA$174)-SUM($F134:AZ134)</f>
        <v>0</v>
      </c>
      <c r="BB134" s="142">
        <f>SUMPRODUCT($F13:$AS13,$F$174:$AS$174)*(1-BB$174)-SUM($F134:BA134)</f>
        <v>0</v>
      </c>
      <c r="BC134" s="142">
        <f>SUMPRODUCT($F13:$AS13,$F$174:$AS$174)*(1-BC$174)-SUM($F134:BB134)</f>
        <v>0</v>
      </c>
      <c r="BD134" s="142">
        <f>SUMPRODUCT($F13:$AS13,$F$174:$AS$174)*(1-BD$174)-SUM($F134:BC134)</f>
        <v>0</v>
      </c>
      <c r="BE134" s="142">
        <f>SUMPRODUCT($F13:$AS13,$F$174:$AS$174)*(1-BE$174)-SUM($F134:BD134)</f>
        <v>0</v>
      </c>
      <c r="BF134" s="142">
        <f>SUMPRODUCT($F13:$AS13,$F$174:$AS$174)*(1-BF$174)-SUM($F134:BE134)</f>
        <v>0</v>
      </c>
      <c r="BG134" s="142">
        <f>SUMPRODUCT($F13:$AS13,$F$174:$AS$174)*(1-BG$174)-SUM($F134:BF134)</f>
        <v>0</v>
      </c>
      <c r="BH134" s="142">
        <f>SUMPRODUCT($F13:$AS13,$F$174:$AS$174)*(1-BH$174)-SUM($F134:BG134)</f>
        <v>0</v>
      </c>
      <c r="BI134" s="142">
        <f>SUMPRODUCT($F13:$AS13,$F$174:$AS$174)*(1-BI$174)-SUM($F134:BH134)</f>
        <v>0</v>
      </c>
      <c r="BJ134" s="142">
        <f>SUMPRODUCT($F13:$AS13,$F$174:$AS$174)*(1-BJ$174)-SUM($F134:BI134)</f>
        <v>0</v>
      </c>
      <c r="BK134" s="142">
        <f>SUMPRODUCT($F13:$AS13,$F$174:$AS$174)*(1-BK$174)-SUM($F134:BJ134)</f>
        <v>0</v>
      </c>
      <c r="BL134" s="142">
        <f>SUMPRODUCT($F13:$AS13,$F$174:$AS$174)*(1-BL$174)-SUM($F134:BK134)</f>
        <v>0</v>
      </c>
      <c r="BM134" s="142">
        <f>SUMPRODUCT($F13:$AS13,$F$174:$AS$174)*(1-BM$174)-SUM($F134:BL134)</f>
        <v>0</v>
      </c>
    </row>
    <row r="135" spans="1:65" hidden="1" outlineLevel="1">
      <c r="B135" s="27"/>
      <c r="C135" s="27"/>
      <c r="D135" s="158" t="str">
        <f t="shared" si="88"/>
        <v>ПАРКИНГ ОФИС</v>
      </c>
      <c r="E135" s="154">
        <f t="shared" si="83"/>
        <v>0</v>
      </c>
      <c r="F135" s="142"/>
      <c r="G135" s="142">
        <f>SUMPRODUCT($F14:$AS14,$F$174:$AS$174)*(1-G$174)-SUM($F135:F135)</f>
        <v>0</v>
      </c>
      <c r="H135" s="142">
        <f>SUMPRODUCT($F14:$AS14,$F$174:$AS$174)*(1-H$174)-SUM($F135:G135)</f>
        <v>0</v>
      </c>
      <c r="I135" s="142">
        <f>SUMPRODUCT($F14:$AS14,$F$174:$AS$174)*(1-I$174)-SUM($F135:H135)</f>
        <v>0</v>
      </c>
      <c r="J135" s="142">
        <f>SUMPRODUCT($F14:$AS14,$F$174:$AS$174)*(1-J$174)-SUM($F135:I135)</f>
        <v>0</v>
      </c>
      <c r="K135" s="142">
        <f>SUMPRODUCT($F14:$AS14,$F$174:$AS$174)*(1-K$174)-SUM($F135:J135)</f>
        <v>0</v>
      </c>
      <c r="L135" s="142">
        <f>SUMPRODUCT($F14:$AS14,$F$174:$AS$174)*(1-L$174)-SUM($F135:K135)</f>
        <v>0</v>
      </c>
      <c r="M135" s="142">
        <f>SUMPRODUCT($F14:$AS14,$F$174:$AS$174)*(1-M$174)-SUM($F135:L135)</f>
        <v>0</v>
      </c>
      <c r="N135" s="142">
        <f>SUMPRODUCT($F14:$AS14,$F$174:$AS$174)*(1-N$174)-SUM($F135:M135)</f>
        <v>0</v>
      </c>
      <c r="O135" s="142">
        <f>SUMPRODUCT($F14:$AS14,$F$174:$AS$174)*(1-O$174)-SUM($F135:N135)</f>
        <v>0</v>
      </c>
      <c r="P135" s="142">
        <f>SUMPRODUCT($F14:$AS14,$F$174:$AS$174)*(1-P$174)-SUM($F135:O135)</f>
        <v>0</v>
      </c>
      <c r="Q135" s="142">
        <f>SUMPRODUCT($F14:$AS14,$F$174:$AS$174)*(1-Q$174)-SUM($F135:P135)</f>
        <v>0</v>
      </c>
      <c r="R135" s="142">
        <f>SUMPRODUCT($F14:$AS14,$F$174:$AS$174)*(1-R$174)-SUM($F135:Q135)</f>
        <v>0</v>
      </c>
      <c r="S135" s="142">
        <f>SUMPRODUCT($F14:$AS14,$F$174:$AS$174)*(1-S$174)-SUM($F135:R135)</f>
        <v>0</v>
      </c>
      <c r="T135" s="142">
        <f>SUMPRODUCT($F14:$AS14,$F$174:$AS$174)*(1-T$174)-SUM($F135:S135)</f>
        <v>0</v>
      </c>
      <c r="U135" s="142">
        <f>SUMPRODUCT($F14:$AS14,$F$174:$AS$174)*(1-U$174)-SUM($F135:T135)</f>
        <v>0</v>
      </c>
      <c r="V135" s="142">
        <f>SUMPRODUCT($F14:$AS14,$F$174:$AS$174)*(1-V$174)-SUM($F135:U135)</f>
        <v>0</v>
      </c>
      <c r="W135" s="142">
        <f>SUMPRODUCT($F14:$AS14,$F$174:$AS$174)*(1-W$174)-SUM($F135:V135)</f>
        <v>0</v>
      </c>
      <c r="X135" s="142">
        <f>SUMPRODUCT($F14:$AS14,$F$174:$AS$174)*(1-X$174)-SUM($F135:W135)</f>
        <v>0</v>
      </c>
      <c r="Y135" s="142">
        <f>SUMPRODUCT($F14:$AS14,$F$174:$AS$174)*(1-Y$174)-SUM($F135:X135)</f>
        <v>0</v>
      </c>
      <c r="Z135" s="142">
        <f>SUMPRODUCT($F14:$AS14,$F$174:$AS$174)*(1-Z$174)-SUM($F135:Y135)</f>
        <v>0</v>
      </c>
      <c r="AA135" s="142">
        <f>SUMPRODUCT($F14:$AS14,$F$174:$AS$174)*(1-AA$174)-SUM($F135:Z135)</f>
        <v>0</v>
      </c>
      <c r="AB135" s="142">
        <f>SUMPRODUCT($F14:$AS14,$F$174:$AS$174)*(1-AB$174)-SUM($F135:AA135)</f>
        <v>0</v>
      </c>
      <c r="AC135" s="142">
        <f>SUMPRODUCT($F14:$AS14,$F$174:$AS$174)*(1-AC$174)-SUM($F135:AB135)</f>
        <v>0</v>
      </c>
      <c r="AD135" s="142">
        <f>SUMPRODUCT($F14:$AS14,$F$174:$AS$174)*(1-AD$174)-SUM($F135:AC135)</f>
        <v>0</v>
      </c>
      <c r="AE135" s="142">
        <f>SUMPRODUCT($F14:$AS14,$F$174:$AS$174)*(1-AE$174)-SUM($F135:AD135)</f>
        <v>0</v>
      </c>
      <c r="AF135" s="142">
        <f>SUMPRODUCT($F14:$AS14,$F$174:$AS$174)*(1-AF$174)-SUM($F135:AE135)</f>
        <v>0</v>
      </c>
      <c r="AG135" s="142">
        <f>SUMPRODUCT($F14:$AS14,$F$174:$AS$174)*(1-AG$174)-SUM($F135:AF135)</f>
        <v>0</v>
      </c>
      <c r="AH135" s="142">
        <f>SUMPRODUCT($F14:$AS14,$F$174:$AS$174)*(1-AH$174)-SUM($F135:AG135)</f>
        <v>0</v>
      </c>
      <c r="AI135" s="142">
        <f>SUMPRODUCT($F14:$AS14,$F$174:$AS$174)*(1-AI$174)-SUM($F135:AH135)</f>
        <v>0</v>
      </c>
      <c r="AJ135" s="142">
        <f>SUMPRODUCT($F14:$AS14,$F$174:$AS$174)*(1-AJ$174)-SUM($F135:AI135)</f>
        <v>0</v>
      </c>
      <c r="AK135" s="142">
        <f>SUMPRODUCT($F14:$AS14,$F$174:$AS$174)*(1-AK$174)-SUM($F135:AJ135)</f>
        <v>0</v>
      </c>
      <c r="AL135" s="142">
        <f>SUMPRODUCT($F14:$AS14,$F$174:$AS$174)*(1-AL$174)-SUM($F135:AK135)</f>
        <v>0</v>
      </c>
      <c r="AM135" s="142">
        <f>SUMPRODUCT($F14:$AS14,$F$174:$AS$174)*(1-AM$174)-SUM($F135:AL135)</f>
        <v>0</v>
      </c>
      <c r="AN135" s="142">
        <f>SUMPRODUCT($F14:$AS14,$F$174:$AS$174)*(1-AN$174)-SUM($F135:AM135)</f>
        <v>0</v>
      </c>
      <c r="AO135" s="142">
        <f>SUMPRODUCT($F14:$AS14,$F$174:$AS$174)*(1-AO$174)-SUM($F135:AN135)</f>
        <v>0</v>
      </c>
      <c r="AP135" s="142">
        <f>SUMPRODUCT($F14:$AS14,$F$174:$AS$174)*(1-AP$174)-SUM($F135:AO135)</f>
        <v>0</v>
      </c>
      <c r="AQ135" s="142">
        <f>SUMPRODUCT($F14:$AS14,$F$174:$AS$174)*(1-AQ$174)-SUM($F135:AP135)</f>
        <v>0</v>
      </c>
      <c r="AR135" s="142">
        <f>SUMPRODUCT($F14:$AS14,$F$174:$AS$174)*(1-AR$174)-SUM($F135:AQ135)</f>
        <v>0</v>
      </c>
      <c r="AS135" s="142">
        <f>SUMPRODUCT($F14:$AS14,$F$174:$AS$174)*(1-AS$174)-SUM($F135:AR135)</f>
        <v>0</v>
      </c>
      <c r="AT135" s="142">
        <f>SUMPRODUCT($F14:$AS14,$F$174:$AS$174)*(1-AT$174)-SUM($F135:AS135)</f>
        <v>0</v>
      </c>
      <c r="AU135" s="142">
        <f>SUMPRODUCT($F14:$AS14,$F$174:$AS$174)*(1-AU$174)-SUM($F135:AT135)</f>
        <v>0</v>
      </c>
      <c r="AV135" s="142">
        <f>SUMPRODUCT($F14:$AS14,$F$174:$AS$174)*(1-AV$174)-SUM($F135:AU135)</f>
        <v>0</v>
      </c>
      <c r="AW135" s="142">
        <f>SUMPRODUCT($F14:$AS14,$F$174:$AS$174)*(1-AW$174)-SUM($F135:AV135)</f>
        <v>0</v>
      </c>
      <c r="AX135" s="142">
        <f>SUMPRODUCT($F14:$AS14,$F$174:$AS$174)*(1-AX$174)-SUM($F135:AW135)</f>
        <v>0</v>
      </c>
      <c r="AY135" s="142">
        <f>SUMPRODUCT($F14:$AS14,$F$174:$AS$174)*(1-AY$174)-SUM($F135:AX135)</f>
        <v>0</v>
      </c>
      <c r="AZ135" s="142">
        <f>SUMPRODUCT($F14:$AS14,$F$174:$AS$174)*(1-AZ$174)-SUM($F135:AY135)</f>
        <v>0</v>
      </c>
      <c r="BA135" s="142">
        <f>SUMPRODUCT($F14:$AS14,$F$174:$AS$174)*(1-BA$174)-SUM($F135:AZ135)</f>
        <v>0</v>
      </c>
      <c r="BB135" s="142">
        <f>SUMPRODUCT($F14:$AS14,$F$174:$AS$174)*(1-BB$174)-SUM($F135:BA135)</f>
        <v>0</v>
      </c>
      <c r="BC135" s="142">
        <f>SUMPRODUCT($F14:$AS14,$F$174:$AS$174)*(1-BC$174)-SUM($F135:BB135)</f>
        <v>0</v>
      </c>
      <c r="BD135" s="142">
        <f>SUMPRODUCT($F14:$AS14,$F$174:$AS$174)*(1-BD$174)-SUM($F135:BC135)</f>
        <v>0</v>
      </c>
      <c r="BE135" s="142">
        <f>SUMPRODUCT($F14:$AS14,$F$174:$AS$174)*(1-BE$174)-SUM($F135:BD135)</f>
        <v>0</v>
      </c>
      <c r="BF135" s="142">
        <f>SUMPRODUCT($F14:$AS14,$F$174:$AS$174)*(1-BF$174)-SUM($F135:BE135)</f>
        <v>0</v>
      </c>
      <c r="BG135" s="142">
        <f>SUMPRODUCT($F14:$AS14,$F$174:$AS$174)*(1-BG$174)-SUM($F135:BF135)</f>
        <v>0</v>
      </c>
      <c r="BH135" s="142">
        <f>SUMPRODUCT($F14:$AS14,$F$174:$AS$174)*(1-BH$174)-SUM($F135:BG135)</f>
        <v>0</v>
      </c>
      <c r="BI135" s="142">
        <f>SUMPRODUCT($F14:$AS14,$F$174:$AS$174)*(1-BI$174)-SUM($F135:BH135)</f>
        <v>0</v>
      </c>
      <c r="BJ135" s="142">
        <f>SUMPRODUCT($F14:$AS14,$F$174:$AS$174)*(1-BJ$174)-SUM($F135:BI135)</f>
        <v>0</v>
      </c>
      <c r="BK135" s="142">
        <f>SUMPRODUCT($F14:$AS14,$F$174:$AS$174)*(1-BK$174)-SUM($F135:BJ135)</f>
        <v>0</v>
      </c>
      <c r="BL135" s="142">
        <f>SUMPRODUCT($F14:$AS14,$F$174:$AS$174)*(1-BL$174)-SUM($F135:BK135)</f>
        <v>0</v>
      </c>
      <c r="BM135" s="142">
        <f>SUMPRODUCT($F14:$AS14,$F$174:$AS$174)*(1-BM$174)-SUM($F135:BL135)</f>
        <v>0</v>
      </c>
    </row>
    <row r="136" spans="1:65" s="151" customFormat="1" hidden="1" outlineLevel="1">
      <c r="B136" s="152"/>
      <c r="C136" s="152" t="s">
        <v>100</v>
      </c>
      <c r="D136" s="153"/>
      <c r="E136" s="154">
        <f t="shared" si="83"/>
        <v>0</v>
      </c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5"/>
      <c r="AG136" s="155"/>
      <c r="AH136" s="155"/>
      <c r="AI136" s="155"/>
      <c r="AJ136" s="155"/>
      <c r="AK136" s="155"/>
      <c r="AL136" s="155"/>
      <c r="AM136" s="155"/>
      <c r="AN136" s="155"/>
      <c r="AO136" s="155"/>
      <c r="AP136" s="155"/>
      <c r="AQ136" s="155"/>
      <c r="AR136" s="155"/>
      <c r="AS136" s="155"/>
      <c r="AT136" s="155"/>
      <c r="AU136" s="155"/>
      <c r="AV136" s="155"/>
      <c r="AW136" s="155"/>
      <c r="AX136" s="155"/>
      <c r="AY136" s="155"/>
      <c r="AZ136" s="155"/>
      <c r="BA136" s="155"/>
      <c r="BB136" s="155"/>
      <c r="BC136" s="155"/>
      <c r="BD136" s="155"/>
      <c r="BE136" s="155"/>
      <c r="BF136" s="155"/>
      <c r="BG136" s="155"/>
      <c r="BH136" s="155"/>
      <c r="BI136" s="155"/>
      <c r="BJ136" s="155"/>
      <c r="BK136" s="155"/>
      <c r="BL136" s="155"/>
      <c r="BM136" s="155"/>
    </row>
    <row r="137" spans="1:65" hidden="1" outlineLevel="1">
      <c r="B137" s="27"/>
      <c r="C137" s="157"/>
      <c r="D137" s="158" t="str">
        <f>D129</f>
        <v>КВАРТИРЫ</v>
      </c>
      <c r="E137" s="154">
        <f t="shared" si="83"/>
        <v>14877.342600000004</v>
      </c>
      <c r="F137" s="142"/>
      <c r="G137" s="142">
        <f t="shared" ref="G137:AL137" si="89">G8*(1-G$174)</f>
        <v>0</v>
      </c>
      <c r="H137" s="142">
        <f t="shared" si="89"/>
        <v>0</v>
      </c>
      <c r="I137" s="142">
        <f t="shared" si="89"/>
        <v>0</v>
      </c>
      <c r="J137" s="142">
        <f t="shared" si="89"/>
        <v>0</v>
      </c>
      <c r="K137" s="142">
        <f t="shared" si="89"/>
        <v>0</v>
      </c>
      <c r="L137" s="142">
        <f t="shared" si="89"/>
        <v>0</v>
      </c>
      <c r="M137" s="142">
        <f t="shared" si="89"/>
        <v>0</v>
      </c>
      <c r="N137" s="142">
        <f t="shared" si="89"/>
        <v>0</v>
      </c>
      <c r="O137" s="142">
        <f t="shared" si="89"/>
        <v>0</v>
      </c>
      <c r="P137" s="142">
        <f t="shared" si="89"/>
        <v>0</v>
      </c>
      <c r="Q137" s="142">
        <f t="shared" si="89"/>
        <v>0</v>
      </c>
      <c r="R137" s="142">
        <f t="shared" si="89"/>
        <v>0</v>
      </c>
      <c r="S137" s="142">
        <f t="shared" si="89"/>
        <v>0</v>
      </c>
      <c r="T137" s="142">
        <f t="shared" si="89"/>
        <v>0</v>
      </c>
      <c r="U137" s="142">
        <f t="shared" si="89"/>
        <v>0</v>
      </c>
      <c r="V137" s="142">
        <f t="shared" si="89"/>
        <v>0</v>
      </c>
      <c r="W137" s="142">
        <f t="shared" si="89"/>
        <v>0</v>
      </c>
      <c r="X137" s="142">
        <f t="shared" si="89"/>
        <v>0</v>
      </c>
      <c r="Y137" s="142">
        <f t="shared" si="89"/>
        <v>0</v>
      </c>
      <c r="Z137" s="142">
        <f t="shared" si="89"/>
        <v>0</v>
      </c>
      <c r="AA137" s="142">
        <f t="shared" si="89"/>
        <v>0</v>
      </c>
      <c r="AB137" s="142">
        <f t="shared" si="89"/>
        <v>0</v>
      </c>
      <c r="AC137" s="142">
        <f t="shared" si="89"/>
        <v>0</v>
      </c>
      <c r="AD137" s="142">
        <f t="shared" si="89"/>
        <v>0</v>
      </c>
      <c r="AE137" s="142">
        <f t="shared" si="89"/>
        <v>0</v>
      </c>
      <c r="AF137" s="142">
        <f t="shared" si="89"/>
        <v>0</v>
      </c>
      <c r="AG137" s="142">
        <f t="shared" si="89"/>
        <v>0</v>
      </c>
      <c r="AH137" s="142">
        <f t="shared" si="89"/>
        <v>0</v>
      </c>
      <c r="AI137" s="142">
        <f t="shared" si="89"/>
        <v>0</v>
      </c>
      <c r="AJ137" s="142">
        <f t="shared" si="89"/>
        <v>3000</v>
      </c>
      <c r="AK137" s="142">
        <f t="shared" si="89"/>
        <v>3000</v>
      </c>
      <c r="AL137" s="142">
        <f t="shared" si="89"/>
        <v>3000</v>
      </c>
      <c r="AM137" s="142">
        <f t="shared" ref="AM137:BM137" si="90">AM8*(1-AM$174)</f>
        <v>3000</v>
      </c>
      <c r="AN137" s="142">
        <f t="shared" si="90"/>
        <v>2877.3426000000036</v>
      </c>
      <c r="AO137" s="142">
        <f t="shared" si="90"/>
        <v>0</v>
      </c>
      <c r="AP137" s="142">
        <f t="shared" si="90"/>
        <v>0</v>
      </c>
      <c r="AQ137" s="142">
        <f t="shared" si="90"/>
        <v>0</v>
      </c>
      <c r="AR137" s="142">
        <f t="shared" si="90"/>
        <v>0</v>
      </c>
      <c r="AS137" s="142">
        <f t="shared" si="90"/>
        <v>0</v>
      </c>
      <c r="AT137" s="142">
        <f t="shared" si="90"/>
        <v>0</v>
      </c>
      <c r="AU137" s="142">
        <f t="shared" si="90"/>
        <v>0</v>
      </c>
      <c r="AV137" s="142">
        <f t="shared" si="90"/>
        <v>0</v>
      </c>
      <c r="AW137" s="142">
        <f t="shared" si="90"/>
        <v>0</v>
      </c>
      <c r="AX137" s="142">
        <f t="shared" si="90"/>
        <v>0</v>
      </c>
      <c r="AY137" s="142">
        <f t="shared" si="90"/>
        <v>0</v>
      </c>
      <c r="AZ137" s="142">
        <f t="shared" si="90"/>
        <v>0</v>
      </c>
      <c r="BA137" s="142">
        <f t="shared" si="90"/>
        <v>0</v>
      </c>
      <c r="BB137" s="142">
        <f t="shared" si="90"/>
        <v>0</v>
      </c>
      <c r="BC137" s="142">
        <f t="shared" si="90"/>
        <v>0</v>
      </c>
      <c r="BD137" s="142">
        <f t="shared" si="90"/>
        <v>0</v>
      </c>
      <c r="BE137" s="142">
        <f t="shared" si="90"/>
        <v>0</v>
      </c>
      <c r="BF137" s="142">
        <f t="shared" si="90"/>
        <v>0</v>
      </c>
      <c r="BG137" s="142">
        <f t="shared" si="90"/>
        <v>0</v>
      </c>
      <c r="BH137" s="142">
        <f t="shared" si="90"/>
        <v>0</v>
      </c>
      <c r="BI137" s="142">
        <f t="shared" si="90"/>
        <v>0</v>
      </c>
      <c r="BJ137" s="142">
        <f t="shared" si="90"/>
        <v>0</v>
      </c>
      <c r="BK137" s="142">
        <f t="shared" si="90"/>
        <v>0</v>
      </c>
      <c r="BL137" s="142">
        <f t="shared" si="90"/>
        <v>0</v>
      </c>
      <c r="BM137" s="142">
        <f t="shared" si="90"/>
        <v>0</v>
      </c>
    </row>
    <row r="138" spans="1:65" hidden="1" outlineLevel="1">
      <c r="B138" s="27"/>
      <c r="C138" s="157"/>
      <c r="D138" s="158" t="str">
        <f t="shared" ref="D138:D143" si="91">D130</f>
        <v>АПАРТАМЕНТЫ</v>
      </c>
      <c r="E138" s="154">
        <f t="shared" si="83"/>
        <v>0</v>
      </c>
      <c r="F138" s="142"/>
      <c r="G138" s="142">
        <f t="shared" ref="G138:AL138" si="92">G9*(1-G$174)</f>
        <v>0</v>
      </c>
      <c r="H138" s="142">
        <f t="shared" si="92"/>
        <v>0</v>
      </c>
      <c r="I138" s="142">
        <f t="shared" si="92"/>
        <v>0</v>
      </c>
      <c r="J138" s="142">
        <f t="shared" si="92"/>
        <v>0</v>
      </c>
      <c r="K138" s="142">
        <f t="shared" si="92"/>
        <v>0</v>
      </c>
      <c r="L138" s="142">
        <f t="shared" si="92"/>
        <v>0</v>
      </c>
      <c r="M138" s="142">
        <f t="shared" si="92"/>
        <v>0</v>
      </c>
      <c r="N138" s="142">
        <f t="shared" si="92"/>
        <v>0</v>
      </c>
      <c r="O138" s="142">
        <f t="shared" si="92"/>
        <v>0</v>
      </c>
      <c r="P138" s="142">
        <f t="shared" si="92"/>
        <v>0</v>
      </c>
      <c r="Q138" s="142">
        <f t="shared" si="92"/>
        <v>0</v>
      </c>
      <c r="R138" s="142">
        <f t="shared" si="92"/>
        <v>0</v>
      </c>
      <c r="S138" s="142">
        <f t="shared" si="92"/>
        <v>0</v>
      </c>
      <c r="T138" s="142">
        <f t="shared" si="92"/>
        <v>0</v>
      </c>
      <c r="U138" s="142">
        <f t="shared" si="92"/>
        <v>0</v>
      </c>
      <c r="V138" s="142">
        <f t="shared" si="92"/>
        <v>0</v>
      </c>
      <c r="W138" s="142">
        <f t="shared" si="92"/>
        <v>0</v>
      </c>
      <c r="X138" s="142">
        <f t="shared" si="92"/>
        <v>0</v>
      </c>
      <c r="Y138" s="142">
        <f t="shared" si="92"/>
        <v>0</v>
      </c>
      <c r="Z138" s="142">
        <f t="shared" si="92"/>
        <v>0</v>
      </c>
      <c r="AA138" s="142">
        <f t="shared" si="92"/>
        <v>0</v>
      </c>
      <c r="AB138" s="142">
        <f t="shared" si="92"/>
        <v>0</v>
      </c>
      <c r="AC138" s="142">
        <f t="shared" si="92"/>
        <v>0</v>
      </c>
      <c r="AD138" s="142">
        <f t="shared" si="92"/>
        <v>0</v>
      </c>
      <c r="AE138" s="142">
        <f t="shared" si="92"/>
        <v>0</v>
      </c>
      <c r="AF138" s="142">
        <f t="shared" si="92"/>
        <v>0</v>
      </c>
      <c r="AG138" s="142">
        <f t="shared" si="92"/>
        <v>0</v>
      </c>
      <c r="AH138" s="142">
        <f t="shared" si="92"/>
        <v>0</v>
      </c>
      <c r="AI138" s="142">
        <f t="shared" si="92"/>
        <v>0</v>
      </c>
      <c r="AJ138" s="142">
        <f t="shared" si="92"/>
        <v>0</v>
      </c>
      <c r="AK138" s="142">
        <f t="shared" si="92"/>
        <v>0</v>
      </c>
      <c r="AL138" s="142">
        <f t="shared" si="92"/>
        <v>0</v>
      </c>
      <c r="AM138" s="142">
        <f t="shared" ref="AM138:BM138" si="93">AM9*(1-AM$174)</f>
        <v>0</v>
      </c>
      <c r="AN138" s="142">
        <f t="shared" si="93"/>
        <v>0</v>
      </c>
      <c r="AO138" s="142">
        <f t="shared" si="93"/>
        <v>0</v>
      </c>
      <c r="AP138" s="142">
        <f t="shared" si="93"/>
        <v>0</v>
      </c>
      <c r="AQ138" s="142">
        <f t="shared" si="93"/>
        <v>0</v>
      </c>
      <c r="AR138" s="142">
        <f t="shared" si="93"/>
        <v>0</v>
      </c>
      <c r="AS138" s="142">
        <f t="shared" si="93"/>
        <v>0</v>
      </c>
      <c r="AT138" s="142">
        <f t="shared" si="93"/>
        <v>0</v>
      </c>
      <c r="AU138" s="142">
        <f t="shared" si="93"/>
        <v>0</v>
      </c>
      <c r="AV138" s="142">
        <f t="shared" si="93"/>
        <v>0</v>
      </c>
      <c r="AW138" s="142">
        <f t="shared" si="93"/>
        <v>0</v>
      </c>
      <c r="AX138" s="142">
        <f t="shared" si="93"/>
        <v>0</v>
      </c>
      <c r="AY138" s="142">
        <f t="shared" si="93"/>
        <v>0</v>
      </c>
      <c r="AZ138" s="142">
        <f t="shared" si="93"/>
        <v>0</v>
      </c>
      <c r="BA138" s="142">
        <f t="shared" si="93"/>
        <v>0</v>
      </c>
      <c r="BB138" s="142">
        <f t="shared" si="93"/>
        <v>0</v>
      </c>
      <c r="BC138" s="142">
        <f t="shared" si="93"/>
        <v>0</v>
      </c>
      <c r="BD138" s="142">
        <f t="shared" si="93"/>
        <v>0</v>
      </c>
      <c r="BE138" s="142">
        <f t="shared" si="93"/>
        <v>0</v>
      </c>
      <c r="BF138" s="142">
        <f t="shared" si="93"/>
        <v>0</v>
      </c>
      <c r="BG138" s="142">
        <f t="shared" si="93"/>
        <v>0</v>
      </c>
      <c r="BH138" s="142">
        <f t="shared" si="93"/>
        <v>0</v>
      </c>
      <c r="BI138" s="142">
        <f t="shared" si="93"/>
        <v>0</v>
      </c>
      <c r="BJ138" s="142">
        <f t="shared" si="93"/>
        <v>0</v>
      </c>
      <c r="BK138" s="142">
        <f t="shared" si="93"/>
        <v>0</v>
      </c>
      <c r="BL138" s="142">
        <f t="shared" si="93"/>
        <v>0</v>
      </c>
      <c r="BM138" s="142">
        <f t="shared" si="93"/>
        <v>0</v>
      </c>
    </row>
    <row r="139" spans="1:65" hidden="1" outlineLevel="1">
      <c r="B139" s="27"/>
      <c r="C139" s="157"/>
      <c r="D139" s="158" t="str">
        <f t="shared" si="91"/>
        <v>ОФИСЫ</v>
      </c>
      <c r="E139" s="154">
        <f t="shared" si="83"/>
        <v>0</v>
      </c>
      <c r="F139" s="142"/>
      <c r="G139" s="142">
        <f t="shared" ref="G139:AL139" si="94">G10*(1-G$174)</f>
        <v>0</v>
      </c>
      <c r="H139" s="142">
        <f t="shared" si="94"/>
        <v>0</v>
      </c>
      <c r="I139" s="142">
        <f t="shared" si="94"/>
        <v>0</v>
      </c>
      <c r="J139" s="142">
        <f t="shared" si="94"/>
        <v>0</v>
      </c>
      <c r="K139" s="142">
        <f t="shared" si="94"/>
        <v>0</v>
      </c>
      <c r="L139" s="142">
        <f t="shared" si="94"/>
        <v>0</v>
      </c>
      <c r="M139" s="142">
        <f t="shared" si="94"/>
        <v>0</v>
      </c>
      <c r="N139" s="142">
        <f t="shared" si="94"/>
        <v>0</v>
      </c>
      <c r="O139" s="142">
        <f t="shared" si="94"/>
        <v>0</v>
      </c>
      <c r="P139" s="142">
        <f t="shared" si="94"/>
        <v>0</v>
      </c>
      <c r="Q139" s="142">
        <f t="shared" si="94"/>
        <v>0</v>
      </c>
      <c r="R139" s="142">
        <f t="shared" si="94"/>
        <v>0</v>
      </c>
      <c r="S139" s="142">
        <f t="shared" si="94"/>
        <v>0</v>
      </c>
      <c r="T139" s="142">
        <f t="shared" si="94"/>
        <v>0</v>
      </c>
      <c r="U139" s="142">
        <f t="shared" si="94"/>
        <v>0</v>
      </c>
      <c r="V139" s="142">
        <f t="shared" si="94"/>
        <v>0</v>
      </c>
      <c r="W139" s="142">
        <f t="shared" si="94"/>
        <v>0</v>
      </c>
      <c r="X139" s="142">
        <f t="shared" si="94"/>
        <v>0</v>
      </c>
      <c r="Y139" s="142">
        <f t="shared" si="94"/>
        <v>0</v>
      </c>
      <c r="Z139" s="142">
        <f t="shared" si="94"/>
        <v>0</v>
      </c>
      <c r="AA139" s="142">
        <f t="shared" si="94"/>
        <v>0</v>
      </c>
      <c r="AB139" s="142">
        <f t="shared" si="94"/>
        <v>0</v>
      </c>
      <c r="AC139" s="142">
        <f t="shared" si="94"/>
        <v>0</v>
      </c>
      <c r="AD139" s="142">
        <f t="shared" si="94"/>
        <v>0</v>
      </c>
      <c r="AE139" s="142">
        <f t="shared" si="94"/>
        <v>0</v>
      </c>
      <c r="AF139" s="142">
        <f t="shared" si="94"/>
        <v>0</v>
      </c>
      <c r="AG139" s="142">
        <f t="shared" si="94"/>
        <v>0</v>
      </c>
      <c r="AH139" s="142">
        <f t="shared" si="94"/>
        <v>0</v>
      </c>
      <c r="AI139" s="142">
        <f t="shared" si="94"/>
        <v>0</v>
      </c>
      <c r="AJ139" s="142">
        <f t="shared" si="94"/>
        <v>0</v>
      </c>
      <c r="AK139" s="142">
        <f t="shared" si="94"/>
        <v>0</v>
      </c>
      <c r="AL139" s="142">
        <f t="shared" si="94"/>
        <v>0</v>
      </c>
      <c r="AM139" s="142">
        <f t="shared" ref="AM139:BM139" si="95">AM10*(1-AM$174)</f>
        <v>0</v>
      </c>
      <c r="AN139" s="142">
        <f t="shared" si="95"/>
        <v>0</v>
      </c>
      <c r="AO139" s="142">
        <f t="shared" si="95"/>
        <v>0</v>
      </c>
      <c r="AP139" s="142">
        <f t="shared" si="95"/>
        <v>0</v>
      </c>
      <c r="AQ139" s="142">
        <f t="shared" si="95"/>
        <v>0</v>
      </c>
      <c r="AR139" s="142">
        <f t="shared" si="95"/>
        <v>0</v>
      </c>
      <c r="AS139" s="142">
        <f t="shared" si="95"/>
        <v>0</v>
      </c>
      <c r="AT139" s="142">
        <f t="shared" si="95"/>
        <v>0</v>
      </c>
      <c r="AU139" s="142">
        <f t="shared" si="95"/>
        <v>0</v>
      </c>
      <c r="AV139" s="142">
        <f t="shared" si="95"/>
        <v>0</v>
      </c>
      <c r="AW139" s="142">
        <f t="shared" si="95"/>
        <v>0</v>
      </c>
      <c r="AX139" s="142">
        <f t="shared" si="95"/>
        <v>0</v>
      </c>
      <c r="AY139" s="142">
        <f t="shared" si="95"/>
        <v>0</v>
      </c>
      <c r="AZ139" s="142">
        <f t="shared" si="95"/>
        <v>0</v>
      </c>
      <c r="BA139" s="142">
        <f t="shared" si="95"/>
        <v>0</v>
      </c>
      <c r="BB139" s="142">
        <f t="shared" si="95"/>
        <v>0</v>
      </c>
      <c r="BC139" s="142">
        <f t="shared" si="95"/>
        <v>0</v>
      </c>
      <c r="BD139" s="142">
        <f t="shared" si="95"/>
        <v>0</v>
      </c>
      <c r="BE139" s="142">
        <f t="shared" si="95"/>
        <v>0</v>
      </c>
      <c r="BF139" s="142">
        <f t="shared" si="95"/>
        <v>0</v>
      </c>
      <c r="BG139" s="142">
        <f t="shared" si="95"/>
        <v>0</v>
      </c>
      <c r="BH139" s="142">
        <f t="shared" si="95"/>
        <v>0</v>
      </c>
      <c r="BI139" s="142">
        <f t="shared" si="95"/>
        <v>0</v>
      </c>
      <c r="BJ139" s="142">
        <f t="shared" si="95"/>
        <v>0</v>
      </c>
      <c r="BK139" s="142">
        <f t="shared" si="95"/>
        <v>0</v>
      </c>
      <c r="BL139" s="142">
        <f t="shared" si="95"/>
        <v>0</v>
      </c>
      <c r="BM139" s="142">
        <f t="shared" si="95"/>
        <v>0</v>
      </c>
    </row>
    <row r="140" spans="1:65" hidden="1" outlineLevel="1">
      <c r="B140" s="27"/>
      <c r="C140" s="157"/>
      <c r="D140" s="158" t="str">
        <f t="shared" si="91"/>
        <v>РИТЕЙЛ</v>
      </c>
      <c r="E140" s="154">
        <f t="shared" si="83"/>
        <v>2556.0584999999996</v>
      </c>
      <c r="F140" s="142"/>
      <c r="G140" s="142">
        <f t="shared" ref="G140:AL140" si="96">G11*(1-G$174)</f>
        <v>0</v>
      </c>
      <c r="H140" s="142">
        <f t="shared" si="96"/>
        <v>0</v>
      </c>
      <c r="I140" s="142">
        <f t="shared" si="96"/>
        <v>0</v>
      </c>
      <c r="J140" s="142">
        <f t="shared" si="96"/>
        <v>0</v>
      </c>
      <c r="K140" s="142">
        <f t="shared" si="96"/>
        <v>0</v>
      </c>
      <c r="L140" s="142">
        <f t="shared" si="96"/>
        <v>0</v>
      </c>
      <c r="M140" s="142">
        <f t="shared" si="96"/>
        <v>0</v>
      </c>
      <c r="N140" s="142">
        <f t="shared" si="96"/>
        <v>0</v>
      </c>
      <c r="O140" s="142">
        <f t="shared" si="96"/>
        <v>0</v>
      </c>
      <c r="P140" s="142">
        <f t="shared" si="96"/>
        <v>0</v>
      </c>
      <c r="Q140" s="142">
        <f t="shared" si="96"/>
        <v>0</v>
      </c>
      <c r="R140" s="142">
        <f t="shared" si="96"/>
        <v>0</v>
      </c>
      <c r="S140" s="142">
        <f t="shared" si="96"/>
        <v>0</v>
      </c>
      <c r="T140" s="142">
        <f t="shared" si="96"/>
        <v>0</v>
      </c>
      <c r="U140" s="142">
        <f t="shared" si="96"/>
        <v>0</v>
      </c>
      <c r="V140" s="142">
        <f t="shared" si="96"/>
        <v>0</v>
      </c>
      <c r="W140" s="142">
        <f t="shared" si="96"/>
        <v>0</v>
      </c>
      <c r="X140" s="142">
        <f t="shared" si="96"/>
        <v>0</v>
      </c>
      <c r="Y140" s="142">
        <f t="shared" si="96"/>
        <v>0</v>
      </c>
      <c r="Z140" s="142">
        <f t="shared" si="96"/>
        <v>0</v>
      </c>
      <c r="AA140" s="142">
        <f t="shared" si="96"/>
        <v>0</v>
      </c>
      <c r="AB140" s="142">
        <f t="shared" si="96"/>
        <v>0</v>
      </c>
      <c r="AC140" s="142">
        <f t="shared" si="96"/>
        <v>0</v>
      </c>
      <c r="AD140" s="142">
        <f t="shared" si="96"/>
        <v>0</v>
      </c>
      <c r="AE140" s="142">
        <f t="shared" si="96"/>
        <v>0</v>
      </c>
      <c r="AF140" s="142">
        <f t="shared" si="96"/>
        <v>0</v>
      </c>
      <c r="AG140" s="142">
        <f t="shared" si="96"/>
        <v>0</v>
      </c>
      <c r="AH140" s="142">
        <f t="shared" si="96"/>
        <v>0</v>
      </c>
      <c r="AI140" s="142">
        <f t="shared" si="96"/>
        <v>0</v>
      </c>
      <c r="AJ140" s="142">
        <f t="shared" si="96"/>
        <v>0</v>
      </c>
      <c r="AK140" s="142">
        <f t="shared" si="96"/>
        <v>1278.0292499999998</v>
      </c>
      <c r="AL140" s="142">
        <f t="shared" si="96"/>
        <v>1278.0292499999998</v>
      </c>
      <c r="AM140" s="142">
        <f t="shared" ref="AM140:BM140" si="97">AM11*(1-AM$174)</f>
        <v>0</v>
      </c>
      <c r="AN140" s="142">
        <f t="shared" si="97"/>
        <v>0</v>
      </c>
      <c r="AO140" s="142">
        <f t="shared" si="97"/>
        <v>0</v>
      </c>
      <c r="AP140" s="142">
        <f t="shared" si="97"/>
        <v>0</v>
      </c>
      <c r="AQ140" s="142">
        <f t="shared" si="97"/>
        <v>0</v>
      </c>
      <c r="AR140" s="142">
        <f t="shared" si="97"/>
        <v>0</v>
      </c>
      <c r="AS140" s="142">
        <f t="shared" si="97"/>
        <v>0</v>
      </c>
      <c r="AT140" s="142">
        <f t="shared" si="97"/>
        <v>0</v>
      </c>
      <c r="AU140" s="142">
        <f t="shared" si="97"/>
        <v>0</v>
      </c>
      <c r="AV140" s="142">
        <f t="shared" si="97"/>
        <v>0</v>
      </c>
      <c r="AW140" s="142">
        <f t="shared" si="97"/>
        <v>0</v>
      </c>
      <c r="AX140" s="142">
        <f t="shared" si="97"/>
        <v>0</v>
      </c>
      <c r="AY140" s="142">
        <f t="shared" si="97"/>
        <v>0</v>
      </c>
      <c r="AZ140" s="142">
        <f t="shared" si="97"/>
        <v>0</v>
      </c>
      <c r="BA140" s="142">
        <f t="shared" si="97"/>
        <v>0</v>
      </c>
      <c r="BB140" s="142">
        <f t="shared" si="97"/>
        <v>0</v>
      </c>
      <c r="BC140" s="142">
        <f t="shared" si="97"/>
        <v>0</v>
      </c>
      <c r="BD140" s="142">
        <f t="shared" si="97"/>
        <v>0</v>
      </c>
      <c r="BE140" s="142">
        <f t="shared" si="97"/>
        <v>0</v>
      </c>
      <c r="BF140" s="142">
        <f t="shared" si="97"/>
        <v>0</v>
      </c>
      <c r="BG140" s="142">
        <f t="shared" si="97"/>
        <v>0</v>
      </c>
      <c r="BH140" s="142">
        <f t="shared" si="97"/>
        <v>0</v>
      </c>
      <c r="BI140" s="142">
        <f t="shared" si="97"/>
        <v>0</v>
      </c>
      <c r="BJ140" s="142">
        <f t="shared" si="97"/>
        <v>0</v>
      </c>
      <c r="BK140" s="142">
        <f t="shared" si="97"/>
        <v>0</v>
      </c>
      <c r="BL140" s="142">
        <f t="shared" si="97"/>
        <v>0</v>
      </c>
      <c r="BM140" s="142">
        <f t="shared" si="97"/>
        <v>0</v>
      </c>
    </row>
    <row r="141" spans="1:65" hidden="1" outlineLevel="1">
      <c r="B141" s="27"/>
      <c r="C141" s="157"/>
      <c r="D141" s="158" t="str">
        <f t="shared" si="91"/>
        <v>ТЦ</v>
      </c>
      <c r="E141" s="154">
        <f t="shared" si="83"/>
        <v>0</v>
      </c>
      <c r="F141" s="142"/>
      <c r="G141" s="142">
        <f t="shared" ref="G141:AL141" si="98">G12*(1-G$174)</f>
        <v>0</v>
      </c>
      <c r="H141" s="142">
        <f t="shared" si="98"/>
        <v>0</v>
      </c>
      <c r="I141" s="142">
        <f t="shared" si="98"/>
        <v>0</v>
      </c>
      <c r="J141" s="142">
        <f t="shared" si="98"/>
        <v>0</v>
      </c>
      <c r="K141" s="142">
        <f t="shared" si="98"/>
        <v>0</v>
      </c>
      <c r="L141" s="142">
        <f t="shared" si="98"/>
        <v>0</v>
      </c>
      <c r="M141" s="142">
        <f t="shared" si="98"/>
        <v>0</v>
      </c>
      <c r="N141" s="142">
        <f t="shared" si="98"/>
        <v>0</v>
      </c>
      <c r="O141" s="142">
        <f t="shared" si="98"/>
        <v>0</v>
      </c>
      <c r="P141" s="142">
        <f t="shared" si="98"/>
        <v>0</v>
      </c>
      <c r="Q141" s="142">
        <f t="shared" si="98"/>
        <v>0</v>
      </c>
      <c r="R141" s="142">
        <f t="shared" si="98"/>
        <v>0</v>
      </c>
      <c r="S141" s="142">
        <f t="shared" si="98"/>
        <v>0</v>
      </c>
      <c r="T141" s="142">
        <f t="shared" si="98"/>
        <v>0</v>
      </c>
      <c r="U141" s="142">
        <f t="shared" si="98"/>
        <v>0</v>
      </c>
      <c r="V141" s="142">
        <f t="shared" si="98"/>
        <v>0</v>
      </c>
      <c r="W141" s="142">
        <f t="shared" si="98"/>
        <v>0</v>
      </c>
      <c r="X141" s="142">
        <f t="shared" si="98"/>
        <v>0</v>
      </c>
      <c r="Y141" s="142">
        <f t="shared" si="98"/>
        <v>0</v>
      </c>
      <c r="Z141" s="142">
        <f t="shared" si="98"/>
        <v>0</v>
      </c>
      <c r="AA141" s="142">
        <f t="shared" si="98"/>
        <v>0</v>
      </c>
      <c r="AB141" s="142">
        <f t="shared" si="98"/>
        <v>0</v>
      </c>
      <c r="AC141" s="142">
        <f t="shared" si="98"/>
        <v>0</v>
      </c>
      <c r="AD141" s="142">
        <f t="shared" si="98"/>
        <v>0</v>
      </c>
      <c r="AE141" s="142">
        <f t="shared" si="98"/>
        <v>0</v>
      </c>
      <c r="AF141" s="142">
        <f t="shared" si="98"/>
        <v>0</v>
      </c>
      <c r="AG141" s="142">
        <f t="shared" si="98"/>
        <v>0</v>
      </c>
      <c r="AH141" s="142">
        <f t="shared" si="98"/>
        <v>0</v>
      </c>
      <c r="AI141" s="142">
        <f t="shared" si="98"/>
        <v>0</v>
      </c>
      <c r="AJ141" s="142">
        <f t="shared" si="98"/>
        <v>0</v>
      </c>
      <c r="AK141" s="142">
        <f t="shared" si="98"/>
        <v>0</v>
      </c>
      <c r="AL141" s="142">
        <f t="shared" si="98"/>
        <v>0</v>
      </c>
      <c r="AM141" s="142">
        <f t="shared" ref="AM141:BM141" si="99">AM12*(1-AM$174)</f>
        <v>0</v>
      </c>
      <c r="AN141" s="142">
        <f t="shared" si="99"/>
        <v>0</v>
      </c>
      <c r="AO141" s="142">
        <f t="shared" si="99"/>
        <v>0</v>
      </c>
      <c r="AP141" s="142">
        <f t="shared" si="99"/>
        <v>0</v>
      </c>
      <c r="AQ141" s="142">
        <f t="shared" si="99"/>
        <v>0</v>
      </c>
      <c r="AR141" s="142">
        <f t="shared" si="99"/>
        <v>0</v>
      </c>
      <c r="AS141" s="142">
        <f t="shared" si="99"/>
        <v>0</v>
      </c>
      <c r="AT141" s="142">
        <f t="shared" si="99"/>
        <v>0</v>
      </c>
      <c r="AU141" s="142">
        <f t="shared" si="99"/>
        <v>0</v>
      </c>
      <c r="AV141" s="142">
        <f t="shared" si="99"/>
        <v>0</v>
      </c>
      <c r="AW141" s="142">
        <f t="shared" si="99"/>
        <v>0</v>
      </c>
      <c r="AX141" s="142">
        <f t="shared" si="99"/>
        <v>0</v>
      </c>
      <c r="AY141" s="142">
        <f t="shared" si="99"/>
        <v>0</v>
      </c>
      <c r="AZ141" s="142">
        <f t="shared" si="99"/>
        <v>0</v>
      </c>
      <c r="BA141" s="142">
        <f t="shared" si="99"/>
        <v>0</v>
      </c>
      <c r="BB141" s="142">
        <f t="shared" si="99"/>
        <v>0</v>
      </c>
      <c r="BC141" s="142">
        <f t="shared" si="99"/>
        <v>0</v>
      </c>
      <c r="BD141" s="142">
        <f t="shared" si="99"/>
        <v>0</v>
      </c>
      <c r="BE141" s="142">
        <f t="shared" si="99"/>
        <v>0</v>
      </c>
      <c r="BF141" s="142">
        <f t="shared" si="99"/>
        <v>0</v>
      </c>
      <c r="BG141" s="142">
        <f t="shared" si="99"/>
        <v>0</v>
      </c>
      <c r="BH141" s="142">
        <f t="shared" si="99"/>
        <v>0</v>
      </c>
      <c r="BI141" s="142">
        <f t="shared" si="99"/>
        <v>0</v>
      </c>
      <c r="BJ141" s="142">
        <f t="shared" si="99"/>
        <v>0</v>
      </c>
      <c r="BK141" s="142">
        <f t="shared" si="99"/>
        <v>0</v>
      </c>
      <c r="BL141" s="142">
        <f t="shared" si="99"/>
        <v>0</v>
      </c>
      <c r="BM141" s="142">
        <f t="shared" si="99"/>
        <v>0</v>
      </c>
    </row>
    <row r="142" spans="1:65" hidden="1" outlineLevel="1">
      <c r="B142" s="27"/>
      <c r="C142" s="157"/>
      <c r="D142" s="158" t="str">
        <f t="shared" si="91"/>
        <v>ПАРКИНГ ЖИЛЬЕ</v>
      </c>
      <c r="E142" s="154">
        <f t="shared" si="83"/>
        <v>153</v>
      </c>
      <c r="F142" s="142"/>
      <c r="G142" s="142">
        <f t="shared" ref="G142:AL142" si="100">G13*(1-G$174)</f>
        <v>0</v>
      </c>
      <c r="H142" s="142">
        <f t="shared" si="100"/>
        <v>0</v>
      </c>
      <c r="I142" s="142">
        <f t="shared" si="100"/>
        <v>0</v>
      </c>
      <c r="J142" s="142">
        <f t="shared" si="100"/>
        <v>0</v>
      </c>
      <c r="K142" s="142">
        <f t="shared" si="100"/>
        <v>0</v>
      </c>
      <c r="L142" s="142">
        <f t="shared" si="100"/>
        <v>0</v>
      </c>
      <c r="M142" s="142">
        <f t="shared" si="100"/>
        <v>0</v>
      </c>
      <c r="N142" s="142">
        <f t="shared" si="100"/>
        <v>0</v>
      </c>
      <c r="O142" s="142">
        <f t="shared" si="100"/>
        <v>0</v>
      </c>
      <c r="P142" s="142">
        <f t="shared" si="100"/>
        <v>0</v>
      </c>
      <c r="Q142" s="142">
        <f t="shared" si="100"/>
        <v>0</v>
      </c>
      <c r="R142" s="142">
        <f t="shared" si="100"/>
        <v>0</v>
      </c>
      <c r="S142" s="142">
        <f t="shared" si="100"/>
        <v>0</v>
      </c>
      <c r="T142" s="142">
        <f t="shared" si="100"/>
        <v>0</v>
      </c>
      <c r="U142" s="142">
        <f t="shared" si="100"/>
        <v>0</v>
      </c>
      <c r="V142" s="142">
        <f t="shared" si="100"/>
        <v>0</v>
      </c>
      <c r="W142" s="142">
        <f t="shared" si="100"/>
        <v>0</v>
      </c>
      <c r="X142" s="142">
        <f t="shared" si="100"/>
        <v>0</v>
      </c>
      <c r="Y142" s="142">
        <f t="shared" si="100"/>
        <v>0</v>
      </c>
      <c r="Z142" s="142">
        <f t="shared" si="100"/>
        <v>0</v>
      </c>
      <c r="AA142" s="142">
        <f t="shared" si="100"/>
        <v>0</v>
      </c>
      <c r="AB142" s="142">
        <f t="shared" si="100"/>
        <v>0</v>
      </c>
      <c r="AC142" s="142">
        <f t="shared" si="100"/>
        <v>0</v>
      </c>
      <c r="AD142" s="142">
        <f t="shared" si="100"/>
        <v>0</v>
      </c>
      <c r="AE142" s="142">
        <f t="shared" si="100"/>
        <v>0</v>
      </c>
      <c r="AF142" s="142">
        <f t="shared" si="100"/>
        <v>0</v>
      </c>
      <c r="AG142" s="142">
        <f t="shared" si="100"/>
        <v>0</v>
      </c>
      <c r="AH142" s="142">
        <f t="shared" si="100"/>
        <v>0</v>
      </c>
      <c r="AI142" s="142">
        <f t="shared" si="100"/>
        <v>0</v>
      </c>
      <c r="AJ142" s="142">
        <f t="shared" si="100"/>
        <v>30</v>
      </c>
      <c r="AK142" s="142">
        <f t="shared" si="100"/>
        <v>30</v>
      </c>
      <c r="AL142" s="142">
        <f t="shared" si="100"/>
        <v>30</v>
      </c>
      <c r="AM142" s="142">
        <f t="shared" ref="AM142:BM142" si="101">AM13*(1-AM$174)</f>
        <v>30</v>
      </c>
      <c r="AN142" s="142">
        <f t="shared" si="101"/>
        <v>33</v>
      </c>
      <c r="AO142" s="142">
        <f t="shared" si="101"/>
        <v>0</v>
      </c>
      <c r="AP142" s="142">
        <f t="shared" si="101"/>
        <v>0</v>
      </c>
      <c r="AQ142" s="142">
        <f t="shared" si="101"/>
        <v>0</v>
      </c>
      <c r="AR142" s="142">
        <f t="shared" si="101"/>
        <v>0</v>
      </c>
      <c r="AS142" s="142">
        <f t="shared" si="101"/>
        <v>0</v>
      </c>
      <c r="AT142" s="142">
        <f t="shared" si="101"/>
        <v>0</v>
      </c>
      <c r="AU142" s="142">
        <f t="shared" si="101"/>
        <v>0</v>
      </c>
      <c r="AV142" s="142">
        <f t="shared" si="101"/>
        <v>0</v>
      </c>
      <c r="AW142" s="142">
        <f t="shared" si="101"/>
        <v>0</v>
      </c>
      <c r="AX142" s="142">
        <f t="shared" si="101"/>
        <v>0</v>
      </c>
      <c r="AY142" s="142">
        <f t="shared" si="101"/>
        <v>0</v>
      </c>
      <c r="AZ142" s="142">
        <f t="shared" si="101"/>
        <v>0</v>
      </c>
      <c r="BA142" s="142">
        <f t="shared" si="101"/>
        <v>0</v>
      </c>
      <c r="BB142" s="142">
        <f t="shared" si="101"/>
        <v>0</v>
      </c>
      <c r="BC142" s="142">
        <f t="shared" si="101"/>
        <v>0</v>
      </c>
      <c r="BD142" s="142">
        <f t="shared" si="101"/>
        <v>0</v>
      </c>
      <c r="BE142" s="142">
        <f t="shared" si="101"/>
        <v>0</v>
      </c>
      <c r="BF142" s="142">
        <f t="shared" si="101"/>
        <v>0</v>
      </c>
      <c r="BG142" s="142">
        <f t="shared" si="101"/>
        <v>0</v>
      </c>
      <c r="BH142" s="142">
        <f t="shared" si="101"/>
        <v>0</v>
      </c>
      <c r="BI142" s="142">
        <f t="shared" si="101"/>
        <v>0</v>
      </c>
      <c r="BJ142" s="142">
        <f t="shared" si="101"/>
        <v>0</v>
      </c>
      <c r="BK142" s="142">
        <f t="shared" si="101"/>
        <v>0</v>
      </c>
      <c r="BL142" s="142">
        <f t="shared" si="101"/>
        <v>0</v>
      </c>
      <c r="BM142" s="142">
        <f t="shared" si="101"/>
        <v>0</v>
      </c>
    </row>
    <row r="143" spans="1:65" hidden="1" outlineLevel="1">
      <c r="B143" s="27"/>
      <c r="C143" s="157"/>
      <c r="D143" s="158" t="str">
        <f t="shared" si="91"/>
        <v>ПАРКИНГ ОФИС</v>
      </c>
      <c r="E143" s="154">
        <f t="shared" si="83"/>
        <v>0</v>
      </c>
      <c r="F143" s="142"/>
      <c r="G143" s="142">
        <f t="shared" ref="G143:AL143" si="102">G14*(1-G$174)</f>
        <v>0</v>
      </c>
      <c r="H143" s="142">
        <f t="shared" si="102"/>
        <v>0</v>
      </c>
      <c r="I143" s="142">
        <f t="shared" si="102"/>
        <v>0</v>
      </c>
      <c r="J143" s="142">
        <f t="shared" si="102"/>
        <v>0</v>
      </c>
      <c r="K143" s="142">
        <f t="shared" si="102"/>
        <v>0</v>
      </c>
      <c r="L143" s="142">
        <f t="shared" si="102"/>
        <v>0</v>
      </c>
      <c r="M143" s="142">
        <f t="shared" si="102"/>
        <v>0</v>
      </c>
      <c r="N143" s="142">
        <f t="shared" si="102"/>
        <v>0</v>
      </c>
      <c r="O143" s="142">
        <f t="shared" si="102"/>
        <v>0</v>
      </c>
      <c r="P143" s="142">
        <f t="shared" si="102"/>
        <v>0</v>
      </c>
      <c r="Q143" s="142">
        <f t="shared" si="102"/>
        <v>0</v>
      </c>
      <c r="R143" s="142">
        <f t="shared" si="102"/>
        <v>0</v>
      </c>
      <c r="S143" s="142">
        <f t="shared" si="102"/>
        <v>0</v>
      </c>
      <c r="T143" s="142">
        <f t="shared" si="102"/>
        <v>0</v>
      </c>
      <c r="U143" s="142">
        <f t="shared" si="102"/>
        <v>0</v>
      </c>
      <c r="V143" s="142">
        <f t="shared" si="102"/>
        <v>0</v>
      </c>
      <c r="W143" s="142">
        <f t="shared" si="102"/>
        <v>0</v>
      </c>
      <c r="X143" s="142">
        <f t="shared" si="102"/>
        <v>0</v>
      </c>
      <c r="Y143" s="142">
        <f t="shared" si="102"/>
        <v>0</v>
      </c>
      <c r="Z143" s="142">
        <f t="shared" si="102"/>
        <v>0</v>
      </c>
      <c r="AA143" s="142">
        <f t="shared" si="102"/>
        <v>0</v>
      </c>
      <c r="AB143" s="142">
        <f t="shared" si="102"/>
        <v>0</v>
      </c>
      <c r="AC143" s="142">
        <f t="shared" si="102"/>
        <v>0</v>
      </c>
      <c r="AD143" s="142">
        <f t="shared" si="102"/>
        <v>0</v>
      </c>
      <c r="AE143" s="142">
        <f t="shared" si="102"/>
        <v>0</v>
      </c>
      <c r="AF143" s="142">
        <f t="shared" si="102"/>
        <v>0</v>
      </c>
      <c r="AG143" s="142">
        <f t="shared" si="102"/>
        <v>0</v>
      </c>
      <c r="AH143" s="142">
        <f t="shared" si="102"/>
        <v>0</v>
      </c>
      <c r="AI143" s="142">
        <f t="shared" si="102"/>
        <v>0</v>
      </c>
      <c r="AJ143" s="142">
        <f t="shared" si="102"/>
        <v>0</v>
      </c>
      <c r="AK143" s="142">
        <f t="shared" si="102"/>
        <v>0</v>
      </c>
      <c r="AL143" s="142">
        <f t="shared" si="102"/>
        <v>0</v>
      </c>
      <c r="AM143" s="142">
        <f t="shared" ref="AM143:BM143" si="103">AM14*(1-AM$174)</f>
        <v>0</v>
      </c>
      <c r="AN143" s="142">
        <f t="shared" si="103"/>
        <v>0</v>
      </c>
      <c r="AO143" s="142">
        <f t="shared" si="103"/>
        <v>0</v>
      </c>
      <c r="AP143" s="142">
        <f t="shared" si="103"/>
        <v>0</v>
      </c>
      <c r="AQ143" s="142">
        <f t="shared" si="103"/>
        <v>0</v>
      </c>
      <c r="AR143" s="142">
        <f t="shared" si="103"/>
        <v>0</v>
      </c>
      <c r="AS143" s="142">
        <f t="shared" si="103"/>
        <v>0</v>
      </c>
      <c r="AT143" s="142">
        <f t="shared" si="103"/>
        <v>0</v>
      </c>
      <c r="AU143" s="142">
        <f t="shared" si="103"/>
        <v>0</v>
      </c>
      <c r="AV143" s="142">
        <f t="shared" si="103"/>
        <v>0</v>
      </c>
      <c r="AW143" s="142">
        <f t="shared" si="103"/>
        <v>0</v>
      </c>
      <c r="AX143" s="142">
        <f t="shared" si="103"/>
        <v>0</v>
      </c>
      <c r="AY143" s="142">
        <f t="shared" si="103"/>
        <v>0</v>
      </c>
      <c r="AZ143" s="142">
        <f t="shared" si="103"/>
        <v>0</v>
      </c>
      <c r="BA143" s="142">
        <f t="shared" si="103"/>
        <v>0</v>
      </c>
      <c r="BB143" s="142">
        <f t="shared" si="103"/>
        <v>0</v>
      </c>
      <c r="BC143" s="142">
        <f t="shared" si="103"/>
        <v>0</v>
      </c>
      <c r="BD143" s="142">
        <f t="shared" si="103"/>
        <v>0</v>
      </c>
      <c r="BE143" s="142">
        <f t="shared" si="103"/>
        <v>0</v>
      </c>
      <c r="BF143" s="142">
        <f t="shared" si="103"/>
        <v>0</v>
      </c>
      <c r="BG143" s="142">
        <f t="shared" si="103"/>
        <v>0</v>
      </c>
      <c r="BH143" s="142">
        <f t="shared" si="103"/>
        <v>0</v>
      </c>
      <c r="BI143" s="142">
        <f t="shared" si="103"/>
        <v>0</v>
      </c>
      <c r="BJ143" s="142">
        <f t="shared" si="103"/>
        <v>0</v>
      </c>
      <c r="BK143" s="142">
        <f t="shared" si="103"/>
        <v>0</v>
      </c>
      <c r="BL143" s="142">
        <f t="shared" si="103"/>
        <v>0</v>
      </c>
      <c r="BM143" s="142">
        <f t="shared" si="103"/>
        <v>0</v>
      </c>
    </row>
    <row r="144" spans="1:65" s="151" customFormat="1" hidden="1" outlineLevel="1">
      <c r="A144" s="160"/>
      <c r="B144" s="152"/>
      <c r="C144" s="152" t="s">
        <v>96</v>
      </c>
      <c r="D144" s="153"/>
      <c r="E144" s="154">
        <f t="shared" si="83"/>
        <v>0</v>
      </c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155"/>
      <c r="AI144" s="155"/>
      <c r="AJ144" s="155"/>
      <c r="AK144" s="155"/>
      <c r="AL144" s="155"/>
      <c r="AM144" s="155"/>
      <c r="AN144" s="155"/>
      <c r="AO144" s="155"/>
      <c r="AP144" s="155"/>
      <c r="AQ144" s="155"/>
      <c r="AR144" s="155"/>
      <c r="AS144" s="155"/>
      <c r="AT144" s="155"/>
      <c r="AU144" s="155"/>
      <c r="AV144" s="155"/>
      <c r="AW144" s="155"/>
      <c r="AX144" s="155"/>
      <c r="AY144" s="155"/>
      <c r="AZ144" s="155"/>
      <c r="BA144" s="155"/>
      <c r="BB144" s="155"/>
      <c r="BC144" s="155"/>
      <c r="BD144" s="155"/>
      <c r="BE144" s="155"/>
      <c r="BF144" s="155"/>
      <c r="BG144" s="155"/>
      <c r="BH144" s="155"/>
      <c r="BI144" s="155"/>
      <c r="BJ144" s="155"/>
      <c r="BK144" s="155"/>
      <c r="BL144" s="155"/>
      <c r="BM144" s="155"/>
    </row>
    <row r="145" spans="1:65" hidden="1" outlineLevel="1">
      <c r="A145" s="149"/>
      <c r="B145" s="27"/>
      <c r="C145" s="27"/>
      <c r="D145" s="158" t="str">
        <f>D137</f>
        <v>КВАРТИРЫ</v>
      </c>
      <c r="E145" s="154">
        <f t="shared" si="83"/>
        <v>21481.530931498426</v>
      </c>
      <c r="F145" s="142"/>
      <c r="G145" s="142">
        <f>SUMPRODUCT($F26:$AS26,$F$174:$AS$174)*(1-G$174)-SUM($F145:F145)</f>
        <v>0</v>
      </c>
      <c r="H145" s="142">
        <f>SUMPRODUCT($F26:$AS26,$F$174:$AS$174)*(1-H$174)-SUM($F145:G145)</f>
        <v>0</v>
      </c>
      <c r="I145" s="142">
        <f>SUMPRODUCT($F26:$AS26,$F$174:$AS$174)*(1-I$174)-SUM($F145:H145)</f>
        <v>0</v>
      </c>
      <c r="J145" s="142">
        <f>SUMPRODUCT($F26:$AS26,$F$174:$AS$174)*(1-J$174)-SUM($F145:I145)</f>
        <v>0</v>
      </c>
      <c r="K145" s="142">
        <f>SUMPRODUCT($F26:$AS26,$F$174:$AS$174)*(1-K$174)-SUM($F145:J145)</f>
        <v>0</v>
      </c>
      <c r="L145" s="142">
        <f>SUMPRODUCT($F26:$AS26,$F$174:$AS$174)*(1-L$174)-SUM($F145:K145)</f>
        <v>0</v>
      </c>
      <c r="M145" s="142">
        <f>SUMPRODUCT($F26:$AS26,$F$174:$AS$174)*(1-M$174)-SUM($F145:L145)</f>
        <v>0</v>
      </c>
      <c r="N145" s="142">
        <f>SUMPRODUCT($F26:$AS26,$F$174:$AS$174)*(1-N$174)-SUM($F145:M145)</f>
        <v>0</v>
      </c>
      <c r="O145" s="142">
        <f>SUMPRODUCT($F26:$AS26,$F$174:$AS$174)*(1-O$174)-SUM($F145:N145)</f>
        <v>0</v>
      </c>
      <c r="P145" s="142">
        <f>SUMPRODUCT($F26:$AS26,$F$174:$AS$174)*(1-P$174)-SUM($F145:O145)</f>
        <v>0</v>
      </c>
      <c r="Q145" s="142">
        <f>SUMPRODUCT($F26:$AS26,$F$174:$AS$174)*(1-Q$174)-SUM($F145:P145)</f>
        <v>0</v>
      </c>
      <c r="R145" s="142">
        <f>SUMPRODUCT($F26:$AS26,$F$174:$AS$174)*(1-R$174)-SUM($F145:Q145)</f>
        <v>0</v>
      </c>
      <c r="S145" s="142">
        <f>SUMPRODUCT($F26:$AS26,$F$174:$AS$174)*(1-S$174)-SUM($F145:R145)</f>
        <v>0</v>
      </c>
      <c r="T145" s="142">
        <f>SUMPRODUCT($F26:$AS26,$F$174:$AS$174)*(1-T$174)-SUM($F145:S145)</f>
        <v>0</v>
      </c>
      <c r="U145" s="142">
        <f>SUMPRODUCT($F26:$AS26,$F$174:$AS$174)*(1-U$174)-SUM($F145:T145)</f>
        <v>0</v>
      </c>
      <c r="V145" s="142">
        <f>SUMPRODUCT($F26:$AS26,$F$174:$AS$174)*(1-V$174)-SUM($F145:U145)</f>
        <v>0</v>
      </c>
      <c r="W145" s="142">
        <f>SUMPRODUCT($F26:$AS26,$F$174:$AS$174)*(1-W$174)-SUM($F145:V145)</f>
        <v>0</v>
      </c>
      <c r="X145" s="142">
        <f>SUMPRODUCT($F26:$AS26,$F$174:$AS$174)*(1-X$174)-SUM($F145:W145)</f>
        <v>0</v>
      </c>
      <c r="Y145" s="142">
        <f>SUMPRODUCT($F26:$AS26,$F$174:$AS$174)*(1-Y$174)-SUM($F145:X145)</f>
        <v>0</v>
      </c>
      <c r="Z145" s="142">
        <f>SUMPRODUCT($F26:$AS26,$F$174:$AS$174)*(1-Z$174)-SUM($F145:Y145)</f>
        <v>0</v>
      </c>
      <c r="AA145" s="142">
        <f>SUMPRODUCT($F26:$AS26,$F$174:$AS$174)*(1-AA$174)-SUM($F145:Z145)</f>
        <v>0</v>
      </c>
      <c r="AB145" s="142">
        <f>SUMPRODUCT($F26:$AS26,$F$174:$AS$174)*(1-AB$174)-SUM($F145:AA145)</f>
        <v>0</v>
      </c>
      <c r="AC145" s="142">
        <f>SUMPRODUCT($F26:$AS26,$F$174:$AS$174)*(1-AC$174)-SUM($F145:AB145)</f>
        <v>0</v>
      </c>
      <c r="AD145" s="142">
        <f>SUMPRODUCT($F26:$AS26,$F$174:$AS$174)*(1-AD$174)-SUM($F145:AC145)</f>
        <v>0</v>
      </c>
      <c r="AE145" s="142">
        <f>SUMPRODUCT($F26:$AS26,$F$174:$AS$174)*(1-AE$174)-SUM($F145:AD145)</f>
        <v>0</v>
      </c>
      <c r="AF145" s="142">
        <f>SUMPRODUCT($F26:$AS26,$F$174:$AS$174)*(1-AF$174)-SUM($F145:AE145)</f>
        <v>0</v>
      </c>
      <c r="AG145" s="142">
        <f>SUMPRODUCT($F26:$AS26,$F$174:$AS$174)*(1-AG$174)-SUM($F145:AF145)</f>
        <v>0</v>
      </c>
      <c r="AH145" s="142">
        <f>SUMPRODUCT($F26:$AS26,$F$174:$AS$174)*(1-AH$174)-SUM($F145:AG145)</f>
        <v>0</v>
      </c>
      <c r="AI145" s="142">
        <f>SUMPRODUCT($F26:$AS26,$F$174:$AS$174)*(1-AI$174)-SUM($F145:AH145)</f>
        <v>0</v>
      </c>
      <c r="AJ145" s="142">
        <f>SUMPRODUCT($F26:$AS26,$F$174:$AS$174)*(1-AJ$174)-SUM($F145:AI145)</f>
        <v>21481.530931498426</v>
      </c>
      <c r="AK145" s="142">
        <f>SUMPRODUCT($F26:$AS26,$F$174:$AS$174)*(1-AK$174)-SUM($F145:AJ145)</f>
        <v>0</v>
      </c>
      <c r="AL145" s="142">
        <f>SUMPRODUCT($F26:$AS26,$F$174:$AS$174)*(1-AL$174)-SUM($F145:AK145)</f>
        <v>0</v>
      </c>
      <c r="AM145" s="142">
        <f>SUMPRODUCT($F26:$AS26,$F$174:$AS$174)*(1-AM$174)-SUM($F145:AL145)</f>
        <v>0</v>
      </c>
      <c r="AN145" s="142">
        <f>SUMPRODUCT($F26:$AS26,$F$174:$AS$174)*(1-AN$174)-SUM($F145:AM145)</f>
        <v>0</v>
      </c>
      <c r="AO145" s="142">
        <f>SUMPRODUCT($F26:$AS26,$F$174:$AS$174)*(1-AO$174)-SUM($F145:AN145)</f>
        <v>0</v>
      </c>
      <c r="AP145" s="142">
        <f>SUMPRODUCT($F26:$AS26,$F$174:$AS$174)*(1-AP$174)-SUM($F145:AO145)</f>
        <v>0</v>
      </c>
      <c r="AQ145" s="142">
        <f>SUMPRODUCT($F26:$AS26,$F$174:$AS$174)*(1-AQ$174)-SUM($F145:AP145)</f>
        <v>0</v>
      </c>
      <c r="AR145" s="142">
        <f>SUMPRODUCT($F26:$AS26,$F$174:$AS$174)*(1-AR$174)-SUM($F145:AQ145)</f>
        <v>0</v>
      </c>
      <c r="AS145" s="142">
        <f>SUMPRODUCT($F26:$AS26,$F$174:$AS$174)*(1-AS$174)-SUM($F145:AR145)</f>
        <v>0</v>
      </c>
      <c r="AT145" s="142">
        <f>SUMPRODUCT($F26:$AS26,$F$174:$AS$174)*(1-AT$174)-SUM($F145:AS145)</f>
        <v>0</v>
      </c>
      <c r="AU145" s="142">
        <f>SUMPRODUCT($F26:$AS26,$F$174:$AS$174)*(1-AU$174)-SUM($F145:AT145)</f>
        <v>0</v>
      </c>
      <c r="AV145" s="142">
        <f>SUMPRODUCT($F26:$AS26,$F$174:$AS$174)*(1-AV$174)-SUM($F145:AU145)</f>
        <v>0</v>
      </c>
      <c r="AW145" s="142">
        <f>SUMPRODUCT($F26:$AS26,$F$174:$AS$174)*(1-AW$174)-SUM($F145:AV145)</f>
        <v>0</v>
      </c>
      <c r="AX145" s="142">
        <f>SUMPRODUCT($F26:$AS26,$F$174:$AS$174)*(1-AX$174)-SUM($F145:AW145)</f>
        <v>0</v>
      </c>
      <c r="AY145" s="142">
        <f>SUMPRODUCT($F26:$AS26,$F$174:$AS$174)*(1-AY$174)-SUM($F145:AX145)</f>
        <v>0</v>
      </c>
      <c r="AZ145" s="142">
        <f>SUMPRODUCT($F26:$AS26,$F$174:$AS$174)*(1-AZ$174)-SUM($F145:AY145)</f>
        <v>0</v>
      </c>
      <c r="BA145" s="142">
        <f>SUMPRODUCT($F26:$AS26,$F$174:$AS$174)*(1-BA$174)-SUM($F145:AZ145)</f>
        <v>0</v>
      </c>
      <c r="BB145" s="142">
        <f>SUMPRODUCT($F26:$AS26,$F$174:$AS$174)*(1-BB$174)-SUM($F145:BA145)</f>
        <v>0</v>
      </c>
      <c r="BC145" s="142">
        <f>SUMPRODUCT($F26:$AS26,$F$174:$AS$174)*(1-BC$174)-SUM($F145:BB145)</f>
        <v>0</v>
      </c>
      <c r="BD145" s="142">
        <f>SUMPRODUCT($F26:$AS26,$F$174:$AS$174)*(1-BD$174)-SUM($F145:BC145)</f>
        <v>0</v>
      </c>
      <c r="BE145" s="142">
        <f>SUMPRODUCT($F26:$AS26,$F$174:$AS$174)*(1-BE$174)-SUM($F145:BD145)</f>
        <v>0</v>
      </c>
      <c r="BF145" s="142">
        <f>SUMPRODUCT($F26:$AS26,$F$174:$AS$174)*(1-BF$174)-SUM($F145:BE145)</f>
        <v>0</v>
      </c>
      <c r="BG145" s="142">
        <f>SUMPRODUCT($F26:$AS26,$F$174:$AS$174)*(1-BG$174)-SUM($F145:BF145)</f>
        <v>0</v>
      </c>
      <c r="BH145" s="142">
        <f>SUMPRODUCT($F26:$AS26,$F$174:$AS$174)*(1-BH$174)-SUM($F145:BG145)</f>
        <v>0</v>
      </c>
      <c r="BI145" s="142">
        <f>SUMPRODUCT($F26:$AS26,$F$174:$AS$174)*(1-BI$174)-SUM($F145:BH145)</f>
        <v>0</v>
      </c>
      <c r="BJ145" s="142">
        <f>SUMPRODUCT($F26:$AS26,$F$174:$AS$174)*(1-BJ$174)-SUM($F145:BI145)</f>
        <v>0</v>
      </c>
      <c r="BK145" s="142">
        <f>SUMPRODUCT($F26:$AS26,$F$174:$AS$174)*(1-BK$174)-SUM($F145:BJ145)</f>
        <v>0</v>
      </c>
      <c r="BL145" s="142">
        <f>SUMPRODUCT($F26:$AS26,$F$174:$AS$174)*(1-BL$174)-SUM($F145:BK145)</f>
        <v>0</v>
      </c>
      <c r="BM145" s="142">
        <f>SUMPRODUCT($F26:$AS26,$F$174:$AS$174)*(1-BM$174)-SUM($F145:BL145)</f>
        <v>0</v>
      </c>
    </row>
    <row r="146" spans="1:65" hidden="1" outlineLevel="1">
      <c r="A146" s="149"/>
      <c r="B146" s="27"/>
      <c r="C146" s="27"/>
      <c r="D146" s="158" t="str">
        <f t="shared" ref="D146:D151" si="104">D138</f>
        <v>АПАРТАМЕНТЫ</v>
      </c>
      <c r="E146" s="154">
        <f t="shared" si="83"/>
        <v>0</v>
      </c>
      <c r="F146" s="142"/>
      <c r="G146" s="142">
        <f>SUMPRODUCT($F27:$AS27,$F$174:$AS$174)*(1-G$174)-SUM($F146:F146)</f>
        <v>0</v>
      </c>
      <c r="H146" s="142">
        <f>SUMPRODUCT($F27:$AS27,$F$174:$AS$174)*(1-H$174)-SUM($F146:G146)</f>
        <v>0</v>
      </c>
      <c r="I146" s="142">
        <f>SUMPRODUCT($F27:$AS27,$F$174:$AS$174)*(1-I$174)-SUM($F146:H146)</f>
        <v>0</v>
      </c>
      <c r="J146" s="142">
        <f>SUMPRODUCT($F27:$AS27,$F$174:$AS$174)*(1-J$174)-SUM($F146:I146)</f>
        <v>0</v>
      </c>
      <c r="K146" s="142">
        <f>SUMPRODUCT($F27:$AS27,$F$174:$AS$174)*(1-K$174)-SUM($F146:J146)</f>
        <v>0</v>
      </c>
      <c r="L146" s="142">
        <f>SUMPRODUCT($F27:$AS27,$F$174:$AS$174)*(1-L$174)-SUM($F146:K146)</f>
        <v>0</v>
      </c>
      <c r="M146" s="142">
        <f>SUMPRODUCT($F27:$AS27,$F$174:$AS$174)*(1-M$174)-SUM($F146:L146)</f>
        <v>0</v>
      </c>
      <c r="N146" s="142">
        <f>SUMPRODUCT($F27:$AS27,$F$174:$AS$174)*(1-N$174)-SUM($F146:M146)</f>
        <v>0</v>
      </c>
      <c r="O146" s="142">
        <f>SUMPRODUCT($F27:$AS27,$F$174:$AS$174)*(1-O$174)-SUM($F146:N146)</f>
        <v>0</v>
      </c>
      <c r="P146" s="142">
        <f>SUMPRODUCT($F27:$AS27,$F$174:$AS$174)*(1-P$174)-SUM($F146:O146)</f>
        <v>0</v>
      </c>
      <c r="Q146" s="142">
        <f>SUMPRODUCT($F27:$AS27,$F$174:$AS$174)*(1-Q$174)-SUM($F146:P146)</f>
        <v>0</v>
      </c>
      <c r="R146" s="142">
        <f>SUMPRODUCT($F27:$AS27,$F$174:$AS$174)*(1-R$174)-SUM($F146:Q146)</f>
        <v>0</v>
      </c>
      <c r="S146" s="142">
        <f>SUMPRODUCT($F27:$AS27,$F$174:$AS$174)*(1-S$174)-SUM($F146:R146)</f>
        <v>0</v>
      </c>
      <c r="T146" s="142">
        <f>SUMPRODUCT($F27:$AS27,$F$174:$AS$174)*(1-T$174)-SUM($F146:S146)</f>
        <v>0</v>
      </c>
      <c r="U146" s="142">
        <f>SUMPRODUCT($F27:$AS27,$F$174:$AS$174)*(1-U$174)-SUM($F146:T146)</f>
        <v>0</v>
      </c>
      <c r="V146" s="142">
        <f>SUMPRODUCT($F27:$AS27,$F$174:$AS$174)*(1-V$174)-SUM($F146:U146)</f>
        <v>0</v>
      </c>
      <c r="W146" s="142">
        <f>SUMPRODUCT($F27:$AS27,$F$174:$AS$174)*(1-W$174)-SUM($F146:V146)</f>
        <v>0</v>
      </c>
      <c r="X146" s="142">
        <f>SUMPRODUCT($F27:$AS27,$F$174:$AS$174)*(1-X$174)-SUM($F146:W146)</f>
        <v>0</v>
      </c>
      <c r="Y146" s="142">
        <f>SUMPRODUCT($F27:$AS27,$F$174:$AS$174)*(1-Y$174)-SUM($F146:X146)</f>
        <v>0</v>
      </c>
      <c r="Z146" s="142">
        <f>SUMPRODUCT($F27:$AS27,$F$174:$AS$174)*(1-Z$174)-SUM($F146:Y146)</f>
        <v>0</v>
      </c>
      <c r="AA146" s="142">
        <f>SUMPRODUCT($F27:$AS27,$F$174:$AS$174)*(1-AA$174)-SUM($F146:Z146)</f>
        <v>0</v>
      </c>
      <c r="AB146" s="142">
        <f>SUMPRODUCT($F27:$AS27,$F$174:$AS$174)*(1-AB$174)-SUM($F146:AA146)</f>
        <v>0</v>
      </c>
      <c r="AC146" s="142">
        <f>SUMPRODUCT($F27:$AS27,$F$174:$AS$174)*(1-AC$174)-SUM($F146:AB146)</f>
        <v>0</v>
      </c>
      <c r="AD146" s="142">
        <f>SUMPRODUCT($F27:$AS27,$F$174:$AS$174)*(1-AD$174)-SUM($F146:AC146)</f>
        <v>0</v>
      </c>
      <c r="AE146" s="142">
        <f>SUMPRODUCT($F27:$AS27,$F$174:$AS$174)*(1-AE$174)-SUM($F146:AD146)</f>
        <v>0</v>
      </c>
      <c r="AF146" s="142">
        <f>SUMPRODUCT($F27:$AS27,$F$174:$AS$174)*(1-AF$174)-SUM($F146:AE146)</f>
        <v>0</v>
      </c>
      <c r="AG146" s="142">
        <f>SUMPRODUCT($F27:$AS27,$F$174:$AS$174)*(1-AG$174)-SUM($F146:AF146)</f>
        <v>0</v>
      </c>
      <c r="AH146" s="142">
        <f>SUMPRODUCT($F27:$AS27,$F$174:$AS$174)*(1-AH$174)-SUM($F146:AG146)</f>
        <v>0</v>
      </c>
      <c r="AI146" s="142">
        <f>SUMPRODUCT($F27:$AS27,$F$174:$AS$174)*(1-AI$174)-SUM($F146:AH146)</f>
        <v>0</v>
      </c>
      <c r="AJ146" s="142">
        <f>SUMPRODUCT($F27:$AS27,$F$174:$AS$174)*(1-AJ$174)-SUM($F146:AI146)</f>
        <v>0</v>
      </c>
      <c r="AK146" s="142">
        <f>SUMPRODUCT($F27:$AS27,$F$174:$AS$174)*(1-AK$174)-SUM($F146:AJ146)</f>
        <v>0</v>
      </c>
      <c r="AL146" s="142">
        <f>SUMPRODUCT($F27:$AS27,$F$174:$AS$174)*(1-AL$174)-SUM($F146:AK146)</f>
        <v>0</v>
      </c>
      <c r="AM146" s="142">
        <f>SUMPRODUCT($F27:$AS27,$F$174:$AS$174)*(1-AM$174)-SUM($F146:AL146)</f>
        <v>0</v>
      </c>
      <c r="AN146" s="142">
        <f>SUMPRODUCT($F27:$AS27,$F$174:$AS$174)*(1-AN$174)-SUM($F146:AM146)</f>
        <v>0</v>
      </c>
      <c r="AO146" s="142">
        <f>SUMPRODUCT($F27:$AS27,$F$174:$AS$174)*(1-AO$174)-SUM($F146:AN146)</f>
        <v>0</v>
      </c>
      <c r="AP146" s="142">
        <f>SUMPRODUCT($F27:$AS27,$F$174:$AS$174)*(1-AP$174)-SUM($F146:AO146)</f>
        <v>0</v>
      </c>
      <c r="AQ146" s="142">
        <f>SUMPRODUCT($F27:$AS27,$F$174:$AS$174)*(1-AQ$174)-SUM($F146:AP146)</f>
        <v>0</v>
      </c>
      <c r="AR146" s="142">
        <f>SUMPRODUCT($F27:$AS27,$F$174:$AS$174)*(1-AR$174)-SUM($F146:AQ146)</f>
        <v>0</v>
      </c>
      <c r="AS146" s="142">
        <f>SUMPRODUCT($F27:$AS27,$F$174:$AS$174)*(1-AS$174)-SUM($F146:AR146)</f>
        <v>0</v>
      </c>
      <c r="AT146" s="142">
        <f>SUMPRODUCT($F27:$AS27,$F$174:$AS$174)*(1-AT$174)-SUM($F146:AS146)</f>
        <v>0</v>
      </c>
      <c r="AU146" s="142">
        <f>SUMPRODUCT($F27:$AS27,$F$174:$AS$174)*(1-AU$174)-SUM($F146:AT146)</f>
        <v>0</v>
      </c>
      <c r="AV146" s="142">
        <f>SUMPRODUCT($F27:$AS27,$F$174:$AS$174)*(1-AV$174)-SUM($F146:AU146)</f>
        <v>0</v>
      </c>
      <c r="AW146" s="142">
        <f>SUMPRODUCT($F27:$AS27,$F$174:$AS$174)*(1-AW$174)-SUM($F146:AV146)</f>
        <v>0</v>
      </c>
      <c r="AX146" s="142">
        <f>SUMPRODUCT($F27:$AS27,$F$174:$AS$174)*(1-AX$174)-SUM($F146:AW146)</f>
        <v>0</v>
      </c>
      <c r="AY146" s="142">
        <f>SUMPRODUCT($F27:$AS27,$F$174:$AS$174)*(1-AY$174)-SUM($F146:AX146)</f>
        <v>0</v>
      </c>
      <c r="AZ146" s="142">
        <f>SUMPRODUCT($F27:$AS27,$F$174:$AS$174)*(1-AZ$174)-SUM($F146:AY146)</f>
        <v>0</v>
      </c>
      <c r="BA146" s="142">
        <f>SUMPRODUCT($F27:$AS27,$F$174:$AS$174)*(1-BA$174)-SUM($F146:AZ146)</f>
        <v>0</v>
      </c>
      <c r="BB146" s="142">
        <f>SUMPRODUCT($F27:$AS27,$F$174:$AS$174)*(1-BB$174)-SUM($F146:BA146)</f>
        <v>0</v>
      </c>
      <c r="BC146" s="142">
        <f>SUMPRODUCT($F27:$AS27,$F$174:$AS$174)*(1-BC$174)-SUM($F146:BB146)</f>
        <v>0</v>
      </c>
      <c r="BD146" s="142">
        <f>SUMPRODUCT($F27:$AS27,$F$174:$AS$174)*(1-BD$174)-SUM($F146:BC146)</f>
        <v>0</v>
      </c>
      <c r="BE146" s="142">
        <f>SUMPRODUCT($F27:$AS27,$F$174:$AS$174)*(1-BE$174)-SUM($F146:BD146)</f>
        <v>0</v>
      </c>
      <c r="BF146" s="142">
        <f>SUMPRODUCT($F27:$AS27,$F$174:$AS$174)*(1-BF$174)-SUM($F146:BE146)</f>
        <v>0</v>
      </c>
      <c r="BG146" s="142">
        <f>SUMPRODUCT($F27:$AS27,$F$174:$AS$174)*(1-BG$174)-SUM($F146:BF146)</f>
        <v>0</v>
      </c>
      <c r="BH146" s="142">
        <f>SUMPRODUCT($F27:$AS27,$F$174:$AS$174)*(1-BH$174)-SUM($F146:BG146)</f>
        <v>0</v>
      </c>
      <c r="BI146" s="142">
        <f>SUMPRODUCT($F27:$AS27,$F$174:$AS$174)*(1-BI$174)-SUM($F146:BH146)</f>
        <v>0</v>
      </c>
      <c r="BJ146" s="142">
        <f>SUMPRODUCT($F27:$AS27,$F$174:$AS$174)*(1-BJ$174)-SUM($F146:BI146)</f>
        <v>0</v>
      </c>
      <c r="BK146" s="142">
        <f>SUMPRODUCT($F27:$AS27,$F$174:$AS$174)*(1-BK$174)-SUM($F146:BJ146)</f>
        <v>0</v>
      </c>
      <c r="BL146" s="142">
        <f>SUMPRODUCT($F27:$AS27,$F$174:$AS$174)*(1-BL$174)-SUM($F146:BK146)</f>
        <v>0</v>
      </c>
      <c r="BM146" s="142">
        <f>SUMPRODUCT($F27:$AS27,$F$174:$AS$174)*(1-BM$174)-SUM($F146:BL146)</f>
        <v>0</v>
      </c>
    </row>
    <row r="147" spans="1:65" hidden="1" outlineLevel="1">
      <c r="A147" s="149"/>
      <c r="B147" s="27"/>
      <c r="C147" s="27"/>
      <c r="D147" s="158" t="str">
        <f t="shared" si="104"/>
        <v>ОФИСЫ</v>
      </c>
      <c r="E147" s="154">
        <f t="shared" si="83"/>
        <v>0</v>
      </c>
      <c r="F147" s="142"/>
      <c r="G147" s="142">
        <f>(SUMPRODUCT($F28:$AS28,$F$174:$AS$174)*(1-G$174)/(1+'TS2'!$J$84)-SUM($F147:F147))</f>
        <v>0</v>
      </c>
      <c r="H147" s="142">
        <f>(SUMPRODUCT($F28:$AS28,$F$174:$AS$174)*(1-H$174)/(1+'TS2'!$J$84)-SUM($F147:G147))</f>
        <v>0</v>
      </c>
      <c r="I147" s="142">
        <f>(SUMPRODUCT($F28:$AS28,$F$174:$AS$174)*(1-I$174)/(1+'TS2'!$J$84)-SUM($F147:H147))</f>
        <v>0</v>
      </c>
      <c r="J147" s="142">
        <f>(SUMPRODUCT($F28:$AS28,$F$174:$AS$174)*(1-J$174)/(1+'TS2'!$J$84)-SUM($F147:I147))</f>
        <v>0</v>
      </c>
      <c r="K147" s="142">
        <f>(SUMPRODUCT($F28:$AS28,$F$174:$AS$174)*(1-K$174)/(1+'TS2'!$J$84)-SUM($F147:J147))</f>
        <v>0</v>
      </c>
      <c r="L147" s="142">
        <f>(SUMPRODUCT($F28:$AS28,$F$174:$AS$174)*(1-L$174)/(1+'TS2'!$J$84)-SUM($F147:K147))</f>
        <v>0</v>
      </c>
      <c r="M147" s="142">
        <f>(SUMPRODUCT($F28:$AS28,$F$174:$AS$174)*(1-M$174)/(1+'TS2'!$J$84)-SUM($F147:L147))</f>
        <v>0</v>
      </c>
      <c r="N147" s="142">
        <f>(SUMPRODUCT($F28:$AS28,$F$174:$AS$174)*(1-N$174)/(1+'TS2'!$J$84)-SUM($F147:M147))</f>
        <v>0</v>
      </c>
      <c r="O147" s="142">
        <f>(SUMPRODUCT($F28:$AS28,$F$174:$AS$174)*(1-O$174)/(1+'TS2'!$J$84)-SUM($F147:N147))</f>
        <v>0</v>
      </c>
      <c r="P147" s="142">
        <f>(SUMPRODUCT($F28:$AS28,$F$174:$AS$174)*(1-P$174)/(1+'TS2'!$J$84)-SUM($F147:O147))</f>
        <v>0</v>
      </c>
      <c r="Q147" s="142">
        <f>(SUMPRODUCT($F28:$AS28,$F$174:$AS$174)*(1-Q$174)/(1+'TS2'!$J$84)-SUM($F147:P147))</f>
        <v>0</v>
      </c>
      <c r="R147" s="142">
        <f>(SUMPRODUCT($F28:$AS28,$F$174:$AS$174)*(1-R$174)/(1+'TS2'!$J$84)-SUM($F147:Q147))</f>
        <v>0</v>
      </c>
      <c r="S147" s="142">
        <f>(SUMPRODUCT($F28:$AS28,$F$174:$AS$174)*(1-S$174)/(1+'TS2'!$J$84)-SUM($F147:R147))</f>
        <v>0</v>
      </c>
      <c r="T147" s="142">
        <f>(SUMPRODUCT($F28:$AS28,$F$174:$AS$174)*(1-T$174)/(1+'TS2'!$J$84)-SUM($F147:S147))</f>
        <v>0</v>
      </c>
      <c r="U147" s="142">
        <f>(SUMPRODUCT($F28:$AS28,$F$174:$AS$174)*(1-U$174)/(1+'TS2'!$J$84)-SUM($F147:T147))</f>
        <v>0</v>
      </c>
      <c r="V147" s="142">
        <f>(SUMPRODUCT($F28:$AS28,$F$174:$AS$174)*(1-V$174)/(1+'TS2'!$J$84)-SUM($F147:U147))</f>
        <v>0</v>
      </c>
      <c r="W147" s="142">
        <f>(SUMPRODUCT($F28:$AS28,$F$174:$AS$174)*(1-W$174)/(1+'TS2'!$J$84)-SUM($F147:V147))</f>
        <v>0</v>
      </c>
      <c r="X147" s="142">
        <f>(SUMPRODUCT($F28:$AS28,$F$174:$AS$174)*(1-X$174)/(1+'TS2'!$J$84)-SUM($F147:W147))</f>
        <v>0</v>
      </c>
      <c r="Y147" s="142">
        <f>(SUMPRODUCT($F28:$AS28,$F$174:$AS$174)*(1-Y$174)/(1+'TS2'!$J$84)-SUM($F147:X147))</f>
        <v>0</v>
      </c>
      <c r="Z147" s="142">
        <f>(SUMPRODUCT($F28:$AS28,$F$174:$AS$174)*(1-Z$174)/(1+'TS2'!$J$84)-SUM($F147:Y147))</f>
        <v>0</v>
      </c>
      <c r="AA147" s="142">
        <f>(SUMPRODUCT($F28:$AS28,$F$174:$AS$174)*(1-AA$174)/(1+'TS2'!$J$84)-SUM($F147:Z147))</f>
        <v>0</v>
      </c>
      <c r="AB147" s="142">
        <f>(SUMPRODUCT($F28:$AS28,$F$174:$AS$174)*(1-AB$174)/(1+'TS2'!$J$84)-SUM($F147:AA147))</f>
        <v>0</v>
      </c>
      <c r="AC147" s="142">
        <f>(SUMPRODUCT($F28:$AS28,$F$174:$AS$174)*(1-AC$174)/(1+'TS2'!$J$84)-SUM($F147:AB147))</f>
        <v>0</v>
      </c>
      <c r="AD147" s="142">
        <f>(SUMPRODUCT($F28:$AS28,$F$174:$AS$174)*(1-AD$174)/(1+'TS2'!$J$84)-SUM($F147:AC147))</f>
        <v>0</v>
      </c>
      <c r="AE147" s="142">
        <f>(SUMPRODUCT($F28:$AS28,$F$174:$AS$174)*(1-AE$174)/(1+'TS2'!$J$84)-SUM($F147:AD147))</f>
        <v>0</v>
      </c>
      <c r="AF147" s="142">
        <f>(SUMPRODUCT($F28:$AS28,$F$174:$AS$174)*(1-AF$174)/(1+'TS2'!$J$84)-SUM($F147:AE147))</f>
        <v>0</v>
      </c>
      <c r="AG147" s="142">
        <f>(SUMPRODUCT($F28:$AS28,$F$174:$AS$174)*(1-AG$174)/(1+'TS2'!$J$84)-SUM($F147:AF147))</f>
        <v>0</v>
      </c>
      <c r="AH147" s="142">
        <f>(SUMPRODUCT($F28:$AS28,$F$174:$AS$174)*(1-AH$174)/(1+'TS2'!$J$84)-SUM($F147:AG147))</f>
        <v>0</v>
      </c>
      <c r="AI147" s="142">
        <f>(SUMPRODUCT($F28:$AS28,$F$174:$AS$174)*(1-AI$174)/(1+'TS2'!$J$84)-SUM($F147:AH147))</f>
        <v>0</v>
      </c>
      <c r="AJ147" s="142">
        <f>(SUMPRODUCT($F28:$AS28,$F$174:$AS$174)*(1-AJ$174)/(1+'TS2'!$J$84)-SUM($F147:AI147))</f>
        <v>0</v>
      </c>
      <c r="AK147" s="142">
        <f>(SUMPRODUCT($F28:$AS28,$F$174:$AS$174)*(1-AK$174)/(1+'TS2'!$J$84)-SUM($F147:AJ147))</f>
        <v>0</v>
      </c>
      <c r="AL147" s="142">
        <f>(SUMPRODUCT($F28:$AS28,$F$174:$AS$174)*(1-AL$174)/(1+'TS2'!$J$84)-SUM($F147:AK147))</f>
        <v>0</v>
      </c>
      <c r="AM147" s="142">
        <f>(SUMPRODUCT($F28:$AS28,$F$174:$AS$174)*(1-AM$174)/(1+'TS2'!$J$84)-SUM($F147:AL147))</f>
        <v>0</v>
      </c>
      <c r="AN147" s="142">
        <f>(SUMPRODUCT($F28:$AS28,$F$174:$AS$174)*(1-AN$174)/(1+'TS2'!$J$84)-SUM($F147:AM147))</f>
        <v>0</v>
      </c>
      <c r="AO147" s="142">
        <f>(SUMPRODUCT($F28:$AS28,$F$174:$AS$174)*(1-AO$174)/(1+'TS2'!$J$84)-SUM($F147:AN147))</f>
        <v>0</v>
      </c>
      <c r="AP147" s="142">
        <f>(SUMPRODUCT($F28:$AS28,$F$174:$AS$174)*(1-AP$174)/(1+'TS2'!$J$84)-SUM($F147:AO147))</f>
        <v>0</v>
      </c>
      <c r="AQ147" s="142">
        <f>(SUMPRODUCT($F28:$AS28,$F$174:$AS$174)*(1-AQ$174)/(1+'TS2'!$J$84)-SUM($F147:AP147))</f>
        <v>0</v>
      </c>
      <c r="AR147" s="142">
        <f>(SUMPRODUCT($F28:$AS28,$F$174:$AS$174)*(1-AR$174)/(1+'TS2'!$J$84)-SUM($F147:AQ147))</f>
        <v>0</v>
      </c>
      <c r="AS147" s="142">
        <f>(SUMPRODUCT($F28:$AS28,$F$174:$AS$174)*(1-AS$174)/(1+'TS2'!$J$84)-SUM($F147:AR147))</f>
        <v>0</v>
      </c>
      <c r="AT147" s="142">
        <f>(SUMPRODUCT($F28:$AS28,$F$174:$AS$174)*(1-AT$174)/(1+'TS2'!$J$84)-SUM($F147:AS147))</f>
        <v>0</v>
      </c>
      <c r="AU147" s="142">
        <f>(SUMPRODUCT($F28:$AS28,$F$174:$AS$174)*(1-AU$174)/(1+'TS2'!$J$84)-SUM($F147:AT147))</f>
        <v>0</v>
      </c>
      <c r="AV147" s="142">
        <f>(SUMPRODUCT($F28:$AS28,$F$174:$AS$174)*(1-AV$174)/(1+'TS2'!$J$84)-SUM($F147:AU147))</f>
        <v>0</v>
      </c>
      <c r="AW147" s="142">
        <f>(SUMPRODUCT($F28:$AS28,$F$174:$AS$174)*(1-AW$174)/(1+'TS2'!$J$84)-SUM($F147:AV147))</f>
        <v>0</v>
      </c>
      <c r="AX147" s="142">
        <f>(SUMPRODUCT($F28:$AS28,$F$174:$AS$174)*(1-AX$174)/(1+'TS2'!$J$84)-SUM($F147:AW147))</f>
        <v>0</v>
      </c>
      <c r="AY147" s="142">
        <f>(SUMPRODUCT($F28:$AS28,$F$174:$AS$174)*(1-AY$174)/(1+'TS2'!$J$84)-SUM($F147:AX147))</f>
        <v>0</v>
      </c>
      <c r="AZ147" s="142">
        <f>(SUMPRODUCT($F28:$AS28,$F$174:$AS$174)*(1-AZ$174)/(1+'TS2'!$J$84)-SUM($F147:AY147))</f>
        <v>0</v>
      </c>
      <c r="BA147" s="142">
        <f>(SUMPRODUCT($F28:$AS28,$F$174:$AS$174)*(1-BA$174)/(1+'TS2'!$J$84)-SUM($F147:AZ147))</f>
        <v>0</v>
      </c>
      <c r="BB147" s="142">
        <f>(SUMPRODUCT($F28:$AS28,$F$174:$AS$174)*(1-BB$174)/(1+'TS2'!$J$84)-SUM($F147:BA147))</f>
        <v>0</v>
      </c>
      <c r="BC147" s="142">
        <f>(SUMPRODUCT($F28:$AS28,$F$174:$AS$174)*(1-BC$174)/(1+'TS2'!$J$84)-SUM($F147:BB147))</f>
        <v>0</v>
      </c>
      <c r="BD147" s="142">
        <f>(SUMPRODUCT($F28:$AS28,$F$174:$AS$174)*(1-BD$174)/(1+'TS2'!$J$84)-SUM($F147:BC147))</f>
        <v>0</v>
      </c>
      <c r="BE147" s="142">
        <f>(SUMPRODUCT($F28:$AS28,$F$174:$AS$174)*(1-BE$174)/(1+'TS2'!$J$84)-SUM($F147:BD147))</f>
        <v>0</v>
      </c>
      <c r="BF147" s="142">
        <f>(SUMPRODUCT($F28:$AS28,$F$174:$AS$174)*(1-BF$174)/(1+'TS2'!$J$84)-SUM($F147:BE147))</f>
        <v>0</v>
      </c>
      <c r="BG147" s="142">
        <f>(SUMPRODUCT($F28:$AS28,$F$174:$AS$174)*(1-BG$174)/(1+'TS2'!$J$84)-SUM($F147:BF147))</f>
        <v>0</v>
      </c>
      <c r="BH147" s="142">
        <f>(SUMPRODUCT($F28:$AS28,$F$174:$AS$174)*(1-BH$174)/(1+'TS2'!$J$84)-SUM($F147:BG147))</f>
        <v>0</v>
      </c>
      <c r="BI147" s="142">
        <f>(SUMPRODUCT($F28:$AS28,$F$174:$AS$174)*(1-BI$174)/(1+'TS2'!$J$84)-SUM($F147:BH147))</f>
        <v>0</v>
      </c>
      <c r="BJ147" s="142">
        <f>(SUMPRODUCT($F28:$AS28,$F$174:$AS$174)*(1-BJ$174)/(1+'TS2'!$J$84)-SUM($F147:BI147))</f>
        <v>0</v>
      </c>
      <c r="BK147" s="142">
        <f>(SUMPRODUCT($F28:$AS28,$F$174:$AS$174)*(1-BK$174)/(1+'TS2'!$J$84)-SUM($F147:BJ147))</f>
        <v>0</v>
      </c>
      <c r="BL147" s="142">
        <f>(SUMPRODUCT($F28:$AS28,$F$174:$AS$174)*(1-BL$174)/(1+'TS2'!$J$84)-SUM($F147:BK147))</f>
        <v>0</v>
      </c>
      <c r="BM147" s="142">
        <f>(SUMPRODUCT($F28:$AS28,$F$174:$AS$174)*(1-BM$174)/(1+'TS2'!$J$84)-SUM($F147:BL147))</f>
        <v>0</v>
      </c>
    </row>
    <row r="148" spans="1:65" hidden="1" outlineLevel="1">
      <c r="A148" s="149"/>
      <c r="B148" s="27"/>
      <c r="C148" s="27"/>
      <c r="D148" s="158" t="str">
        <f t="shared" si="104"/>
        <v>РИТЕЙЛ</v>
      </c>
      <c r="E148" s="154">
        <f t="shared" si="83"/>
        <v>0</v>
      </c>
      <c r="F148" s="142"/>
      <c r="G148" s="142">
        <f>SUMPRODUCT($F29:$AS29,$F$174:$AS$174)*(1-G$174)-SUM($F148:F148)</f>
        <v>0</v>
      </c>
      <c r="H148" s="142">
        <f>SUMPRODUCT($F29:$AS29,$F$174:$AS$174)*(1-H$174)-SUM($F148:G148)</f>
        <v>0</v>
      </c>
      <c r="I148" s="142">
        <f>SUMPRODUCT($F29:$AS29,$F$174:$AS$174)*(1-I$174)-SUM($F148:H148)</f>
        <v>0</v>
      </c>
      <c r="J148" s="142">
        <f>SUMPRODUCT($F29:$AS29,$F$174:$AS$174)*(1-J$174)-SUM($F148:I148)</f>
        <v>0</v>
      </c>
      <c r="K148" s="142">
        <f>SUMPRODUCT($F29:$AS29,$F$174:$AS$174)*(1-K$174)-SUM($F148:J148)</f>
        <v>0</v>
      </c>
      <c r="L148" s="142">
        <f>SUMPRODUCT($F29:$AS29,$F$174:$AS$174)*(1-L$174)-SUM($F148:K148)</f>
        <v>0</v>
      </c>
      <c r="M148" s="142">
        <f>SUMPRODUCT($F29:$AS29,$F$174:$AS$174)*(1-M$174)-SUM($F148:L148)</f>
        <v>0</v>
      </c>
      <c r="N148" s="142">
        <f>SUMPRODUCT($F29:$AS29,$F$174:$AS$174)*(1-N$174)-SUM($F148:M148)</f>
        <v>0</v>
      </c>
      <c r="O148" s="142">
        <f>SUMPRODUCT($F29:$AS29,$F$174:$AS$174)*(1-O$174)-SUM($F148:N148)</f>
        <v>0</v>
      </c>
      <c r="P148" s="142">
        <f>SUMPRODUCT($F29:$AS29,$F$174:$AS$174)*(1-P$174)-SUM($F148:O148)</f>
        <v>0</v>
      </c>
      <c r="Q148" s="142">
        <f>SUMPRODUCT($F29:$AS29,$F$174:$AS$174)*(1-Q$174)-SUM($F148:P148)</f>
        <v>0</v>
      </c>
      <c r="R148" s="142">
        <f>SUMPRODUCT($F29:$AS29,$F$174:$AS$174)*(1-R$174)-SUM($F148:Q148)</f>
        <v>0</v>
      </c>
      <c r="S148" s="142">
        <f>SUMPRODUCT($F29:$AS29,$F$174:$AS$174)*(1-S$174)-SUM($F148:R148)</f>
        <v>0</v>
      </c>
      <c r="T148" s="142">
        <f>SUMPRODUCT($F29:$AS29,$F$174:$AS$174)*(1-T$174)-SUM($F148:S148)</f>
        <v>0</v>
      </c>
      <c r="U148" s="142">
        <f>SUMPRODUCT($F29:$AS29,$F$174:$AS$174)*(1-U$174)-SUM($F148:T148)</f>
        <v>0</v>
      </c>
      <c r="V148" s="142">
        <f>SUMPRODUCT($F29:$AS29,$F$174:$AS$174)*(1-V$174)-SUM($F148:U148)</f>
        <v>0</v>
      </c>
      <c r="W148" s="142">
        <f>SUMPRODUCT($F29:$AS29,$F$174:$AS$174)*(1-W$174)-SUM($F148:V148)</f>
        <v>0</v>
      </c>
      <c r="X148" s="142">
        <f>SUMPRODUCT($F29:$AS29,$F$174:$AS$174)*(1-X$174)-SUM($F148:W148)</f>
        <v>0</v>
      </c>
      <c r="Y148" s="142">
        <f>SUMPRODUCT($F29:$AS29,$F$174:$AS$174)*(1-Y$174)-SUM($F148:X148)</f>
        <v>0</v>
      </c>
      <c r="Z148" s="142">
        <f>SUMPRODUCT($F29:$AS29,$F$174:$AS$174)*(1-Z$174)-SUM($F148:Y148)</f>
        <v>0</v>
      </c>
      <c r="AA148" s="142">
        <f>SUMPRODUCT($F29:$AS29,$F$174:$AS$174)*(1-AA$174)-SUM($F148:Z148)</f>
        <v>0</v>
      </c>
      <c r="AB148" s="142">
        <f>SUMPRODUCT($F29:$AS29,$F$174:$AS$174)*(1-AB$174)-SUM($F148:AA148)</f>
        <v>0</v>
      </c>
      <c r="AC148" s="142">
        <f>SUMPRODUCT($F29:$AS29,$F$174:$AS$174)*(1-AC$174)-SUM($F148:AB148)</f>
        <v>0</v>
      </c>
      <c r="AD148" s="142">
        <f>SUMPRODUCT($F29:$AS29,$F$174:$AS$174)*(1-AD$174)-SUM($F148:AC148)</f>
        <v>0</v>
      </c>
      <c r="AE148" s="142">
        <f>SUMPRODUCT($F29:$AS29,$F$174:$AS$174)*(1-AE$174)-SUM($F148:AD148)</f>
        <v>0</v>
      </c>
      <c r="AF148" s="142">
        <f>SUMPRODUCT($F29:$AS29,$F$174:$AS$174)*(1-AF$174)-SUM($F148:AE148)</f>
        <v>0</v>
      </c>
      <c r="AG148" s="142">
        <f>SUMPRODUCT($F29:$AS29,$F$174:$AS$174)*(1-AG$174)-SUM($F148:AF148)</f>
        <v>0</v>
      </c>
      <c r="AH148" s="142">
        <f>SUMPRODUCT($F29:$AS29,$F$174:$AS$174)*(1-AH$174)-SUM($F148:AG148)</f>
        <v>0</v>
      </c>
      <c r="AI148" s="142">
        <f>SUMPRODUCT($F29:$AS29,$F$174:$AS$174)*(1-AI$174)-SUM($F148:AH148)</f>
        <v>0</v>
      </c>
      <c r="AJ148" s="142">
        <f>SUMPRODUCT($F29:$AS29,$F$174:$AS$174)*(1-AJ$174)-SUM($F148:AI148)</f>
        <v>0</v>
      </c>
      <c r="AK148" s="142">
        <f>SUMPRODUCT($F29:$AS29,$F$174:$AS$174)*(1-AK$174)-SUM($F148:AJ148)</f>
        <v>0</v>
      </c>
      <c r="AL148" s="142">
        <f>SUMPRODUCT($F29:$AS29,$F$174:$AS$174)*(1-AL$174)-SUM($F148:AK148)</f>
        <v>0</v>
      </c>
      <c r="AM148" s="142">
        <f>SUMPRODUCT($F29:$AS29,$F$174:$AS$174)*(1-AM$174)-SUM($F148:AL148)</f>
        <v>0</v>
      </c>
      <c r="AN148" s="142">
        <f>SUMPRODUCT($F29:$AS29,$F$174:$AS$174)*(1-AN$174)-SUM($F148:AM148)</f>
        <v>0</v>
      </c>
      <c r="AO148" s="142">
        <f>SUMPRODUCT($F29:$AS29,$F$174:$AS$174)*(1-AO$174)-SUM($F148:AN148)</f>
        <v>0</v>
      </c>
      <c r="AP148" s="142">
        <f>SUMPRODUCT($F29:$AS29,$F$174:$AS$174)*(1-AP$174)-SUM($F148:AO148)</f>
        <v>0</v>
      </c>
      <c r="AQ148" s="142">
        <f>SUMPRODUCT($F29:$AS29,$F$174:$AS$174)*(1-AQ$174)-SUM($F148:AP148)</f>
        <v>0</v>
      </c>
      <c r="AR148" s="142">
        <f>SUMPRODUCT($F29:$AS29,$F$174:$AS$174)*(1-AR$174)-SUM($F148:AQ148)</f>
        <v>0</v>
      </c>
      <c r="AS148" s="142">
        <f>SUMPRODUCT($F29:$AS29,$F$174:$AS$174)*(1-AS$174)-SUM($F148:AR148)</f>
        <v>0</v>
      </c>
      <c r="AT148" s="142">
        <f>SUMPRODUCT($F29:$AS29,$F$174:$AS$174)*(1-AT$174)-SUM($F148:AS148)</f>
        <v>0</v>
      </c>
      <c r="AU148" s="142">
        <f>SUMPRODUCT($F29:$AS29,$F$174:$AS$174)*(1-AU$174)-SUM($F148:AT148)</f>
        <v>0</v>
      </c>
      <c r="AV148" s="142">
        <f>SUMPRODUCT($F29:$AS29,$F$174:$AS$174)*(1-AV$174)-SUM($F148:AU148)</f>
        <v>0</v>
      </c>
      <c r="AW148" s="142">
        <f>SUMPRODUCT($F29:$AS29,$F$174:$AS$174)*(1-AW$174)-SUM($F148:AV148)</f>
        <v>0</v>
      </c>
      <c r="AX148" s="142">
        <f>SUMPRODUCT($F29:$AS29,$F$174:$AS$174)*(1-AX$174)-SUM($F148:AW148)</f>
        <v>0</v>
      </c>
      <c r="AY148" s="142">
        <f>SUMPRODUCT($F29:$AS29,$F$174:$AS$174)*(1-AY$174)-SUM($F148:AX148)</f>
        <v>0</v>
      </c>
      <c r="AZ148" s="142">
        <f>SUMPRODUCT($F29:$AS29,$F$174:$AS$174)*(1-AZ$174)-SUM($F148:AY148)</f>
        <v>0</v>
      </c>
      <c r="BA148" s="142">
        <f>SUMPRODUCT($F29:$AS29,$F$174:$AS$174)*(1-BA$174)-SUM($F148:AZ148)</f>
        <v>0</v>
      </c>
      <c r="BB148" s="142">
        <f>SUMPRODUCT($F29:$AS29,$F$174:$AS$174)*(1-BB$174)-SUM($F148:BA148)</f>
        <v>0</v>
      </c>
      <c r="BC148" s="142">
        <f>SUMPRODUCT($F29:$AS29,$F$174:$AS$174)*(1-BC$174)-SUM($F148:BB148)</f>
        <v>0</v>
      </c>
      <c r="BD148" s="142">
        <f>SUMPRODUCT($F29:$AS29,$F$174:$AS$174)*(1-BD$174)-SUM($F148:BC148)</f>
        <v>0</v>
      </c>
      <c r="BE148" s="142">
        <f>SUMPRODUCT($F29:$AS29,$F$174:$AS$174)*(1-BE$174)-SUM($F148:BD148)</f>
        <v>0</v>
      </c>
      <c r="BF148" s="142">
        <f>SUMPRODUCT($F29:$AS29,$F$174:$AS$174)*(1-BF$174)-SUM($F148:BE148)</f>
        <v>0</v>
      </c>
      <c r="BG148" s="142">
        <f>SUMPRODUCT($F29:$AS29,$F$174:$AS$174)*(1-BG$174)-SUM($F148:BF148)</f>
        <v>0</v>
      </c>
      <c r="BH148" s="142">
        <f>SUMPRODUCT($F29:$AS29,$F$174:$AS$174)*(1-BH$174)-SUM($F148:BG148)</f>
        <v>0</v>
      </c>
      <c r="BI148" s="142">
        <f>SUMPRODUCT($F29:$AS29,$F$174:$AS$174)*(1-BI$174)-SUM($F148:BH148)</f>
        <v>0</v>
      </c>
      <c r="BJ148" s="142">
        <f>SUMPRODUCT($F29:$AS29,$F$174:$AS$174)*(1-BJ$174)-SUM($F148:BI148)</f>
        <v>0</v>
      </c>
      <c r="BK148" s="142">
        <f>SUMPRODUCT($F29:$AS29,$F$174:$AS$174)*(1-BK$174)-SUM($F148:BJ148)</f>
        <v>0</v>
      </c>
      <c r="BL148" s="142">
        <f>SUMPRODUCT($F29:$AS29,$F$174:$AS$174)*(1-BL$174)-SUM($F148:BK148)</f>
        <v>0</v>
      </c>
      <c r="BM148" s="142">
        <f>SUMPRODUCT($F29:$AS29,$F$174:$AS$174)*(1-BM$174)-SUM($F148:BL148)</f>
        <v>0</v>
      </c>
    </row>
    <row r="149" spans="1:65" hidden="1" outlineLevel="1">
      <c r="A149" s="149"/>
      <c r="B149" s="27"/>
      <c r="C149" s="27"/>
      <c r="D149" s="158" t="str">
        <f t="shared" si="104"/>
        <v>ТЦ</v>
      </c>
      <c r="E149" s="154">
        <f t="shared" si="83"/>
        <v>0</v>
      </c>
      <c r="F149" s="142"/>
      <c r="G149" s="142">
        <f>(SUMPRODUCT($F30:$AS30,$F$174:$AS$174)*(1-G$174)/(1+'TS2'!$J$84)-SUM($F149:F149))</f>
        <v>0</v>
      </c>
      <c r="H149" s="142">
        <f>(SUMPRODUCT($F30:$AS30,$F$174:$AS$174)*(1-H$174)/(1+'TS2'!$J$84)-SUM($F149:G149))</f>
        <v>0</v>
      </c>
      <c r="I149" s="142">
        <f>(SUMPRODUCT($F30:$AS30,$F$174:$AS$174)*(1-I$174)/(1+'TS2'!$J$84)-SUM($F149:H149))</f>
        <v>0</v>
      </c>
      <c r="J149" s="142">
        <f>(SUMPRODUCT($F30:$AS30,$F$174:$AS$174)*(1-J$174)/(1+'TS2'!$J$84)-SUM($F149:I149))</f>
        <v>0</v>
      </c>
      <c r="K149" s="142">
        <f>(SUMPRODUCT($F30:$AS30,$F$174:$AS$174)*(1-K$174)/(1+'TS2'!$J$84)-SUM($F149:J149))</f>
        <v>0</v>
      </c>
      <c r="L149" s="142">
        <f>(SUMPRODUCT($F30:$AS30,$F$174:$AS$174)*(1-L$174)/(1+'TS2'!$J$84)-SUM($F149:K149))</f>
        <v>0</v>
      </c>
      <c r="M149" s="142">
        <f>(SUMPRODUCT($F30:$AS30,$F$174:$AS$174)*(1-M$174)/(1+'TS2'!$J$84)-SUM($F149:L149))</f>
        <v>0</v>
      </c>
      <c r="N149" s="142">
        <f>(SUMPRODUCT($F30:$AS30,$F$174:$AS$174)*(1-N$174)/(1+'TS2'!$J$84)-SUM($F149:M149))</f>
        <v>0</v>
      </c>
      <c r="O149" s="142">
        <f>(SUMPRODUCT($F30:$AS30,$F$174:$AS$174)*(1-O$174)/(1+'TS2'!$J$84)-SUM($F149:N149))</f>
        <v>0</v>
      </c>
      <c r="P149" s="142">
        <f>(SUMPRODUCT($F30:$AS30,$F$174:$AS$174)*(1-P$174)/(1+'TS2'!$J$84)-SUM($F149:O149))</f>
        <v>0</v>
      </c>
      <c r="Q149" s="142">
        <f>(SUMPRODUCT($F30:$AS30,$F$174:$AS$174)*(1-Q$174)/(1+'TS2'!$J$84)-SUM($F149:P149))</f>
        <v>0</v>
      </c>
      <c r="R149" s="142">
        <f>(SUMPRODUCT($F30:$AS30,$F$174:$AS$174)*(1-R$174)/(1+'TS2'!$J$84)-SUM($F149:Q149))</f>
        <v>0</v>
      </c>
      <c r="S149" s="142">
        <f>(SUMPRODUCT($F30:$AS30,$F$174:$AS$174)*(1-S$174)/(1+'TS2'!$J$84)-SUM($F149:R149))</f>
        <v>0</v>
      </c>
      <c r="T149" s="142">
        <f>(SUMPRODUCT($F30:$AS30,$F$174:$AS$174)*(1-T$174)/(1+'TS2'!$J$84)-SUM($F149:S149))</f>
        <v>0</v>
      </c>
      <c r="U149" s="142">
        <f>(SUMPRODUCT($F30:$AS30,$F$174:$AS$174)*(1-U$174)/(1+'TS2'!$J$84)-SUM($F149:T149))</f>
        <v>0</v>
      </c>
      <c r="V149" s="142">
        <f>(SUMPRODUCT($F30:$AS30,$F$174:$AS$174)*(1-V$174)/(1+'TS2'!$J$84)-SUM($F149:U149))</f>
        <v>0</v>
      </c>
      <c r="W149" s="142">
        <f>(SUMPRODUCT($F30:$AS30,$F$174:$AS$174)*(1-W$174)/(1+'TS2'!$J$84)-SUM($F149:V149))</f>
        <v>0</v>
      </c>
      <c r="X149" s="142">
        <f>(SUMPRODUCT($F30:$AS30,$F$174:$AS$174)*(1-X$174)/(1+'TS2'!$J$84)-SUM($F149:W149))</f>
        <v>0</v>
      </c>
      <c r="Y149" s="142">
        <f>(SUMPRODUCT($F30:$AS30,$F$174:$AS$174)*(1-Y$174)/(1+'TS2'!$J$84)-SUM($F149:X149))</f>
        <v>0</v>
      </c>
      <c r="Z149" s="142">
        <f>(SUMPRODUCT($F30:$AS30,$F$174:$AS$174)*(1-Z$174)/(1+'TS2'!$J$84)-SUM($F149:Y149))</f>
        <v>0</v>
      </c>
      <c r="AA149" s="142">
        <f>(SUMPRODUCT($F30:$AS30,$F$174:$AS$174)*(1-AA$174)/(1+'TS2'!$J$84)-SUM($F149:Z149))</f>
        <v>0</v>
      </c>
      <c r="AB149" s="142">
        <f>(SUMPRODUCT($F30:$AS30,$F$174:$AS$174)*(1-AB$174)/(1+'TS2'!$J$84)-SUM($F149:AA149))</f>
        <v>0</v>
      </c>
      <c r="AC149" s="142">
        <f>(SUMPRODUCT($F30:$AS30,$F$174:$AS$174)*(1-AC$174)/(1+'TS2'!$J$84)-SUM($F149:AB149))</f>
        <v>0</v>
      </c>
      <c r="AD149" s="142">
        <f>(SUMPRODUCT($F30:$AS30,$F$174:$AS$174)*(1-AD$174)/(1+'TS2'!$J$84)-SUM($F149:AC149))</f>
        <v>0</v>
      </c>
      <c r="AE149" s="142">
        <f>(SUMPRODUCT($F30:$AS30,$F$174:$AS$174)*(1-AE$174)/(1+'TS2'!$J$84)-SUM($F149:AD149))</f>
        <v>0</v>
      </c>
      <c r="AF149" s="142">
        <f>(SUMPRODUCT($F30:$AS30,$F$174:$AS$174)*(1-AF$174)/(1+'TS2'!$J$84)-SUM($F149:AE149))</f>
        <v>0</v>
      </c>
      <c r="AG149" s="142">
        <f>(SUMPRODUCT($F30:$AS30,$F$174:$AS$174)*(1-AG$174)/(1+'TS2'!$J$84)-SUM($F149:AF149))</f>
        <v>0</v>
      </c>
      <c r="AH149" s="142">
        <f>(SUMPRODUCT($F30:$AS30,$F$174:$AS$174)*(1-AH$174)/(1+'TS2'!$J$84)-SUM($F149:AG149))</f>
        <v>0</v>
      </c>
      <c r="AI149" s="142">
        <f>(SUMPRODUCT($F30:$AS30,$F$174:$AS$174)*(1-AI$174)/(1+'TS2'!$J$84)-SUM($F149:AH149))</f>
        <v>0</v>
      </c>
      <c r="AJ149" s="142">
        <f>(SUMPRODUCT($F30:$AS30,$F$174:$AS$174)*(1-AJ$174)/(1+'TS2'!$J$84)-SUM($F149:AI149))</f>
        <v>0</v>
      </c>
      <c r="AK149" s="142">
        <f>(SUMPRODUCT($F30:$AS30,$F$174:$AS$174)*(1-AK$174)/(1+'TS2'!$J$84)-SUM($F149:AJ149))</f>
        <v>0</v>
      </c>
      <c r="AL149" s="142">
        <f>(SUMPRODUCT($F30:$AS30,$F$174:$AS$174)*(1-AL$174)/(1+'TS2'!$J$84)-SUM($F149:AK149))</f>
        <v>0</v>
      </c>
      <c r="AM149" s="142">
        <f>(SUMPRODUCT($F30:$AS30,$F$174:$AS$174)*(1-AM$174)/(1+'TS2'!$J$84)-SUM($F149:AL149))</f>
        <v>0</v>
      </c>
      <c r="AN149" s="142">
        <f>(SUMPRODUCT($F30:$AS30,$F$174:$AS$174)*(1-AN$174)/(1+'TS2'!$J$84)-SUM($F149:AM149))</f>
        <v>0</v>
      </c>
      <c r="AO149" s="142">
        <f>(SUMPRODUCT($F30:$AS30,$F$174:$AS$174)*(1-AO$174)/(1+'TS2'!$J$84)-SUM($F149:AN149))</f>
        <v>0</v>
      </c>
      <c r="AP149" s="142">
        <f>(SUMPRODUCT($F30:$AS30,$F$174:$AS$174)*(1-AP$174)/(1+'TS2'!$J$84)-SUM($F149:AO149))</f>
        <v>0</v>
      </c>
      <c r="AQ149" s="142">
        <f>(SUMPRODUCT($F30:$AS30,$F$174:$AS$174)*(1-AQ$174)/(1+'TS2'!$J$84)-SUM($F149:AP149))</f>
        <v>0</v>
      </c>
      <c r="AR149" s="142">
        <f>(SUMPRODUCT($F30:$AS30,$F$174:$AS$174)*(1-AR$174)/(1+'TS2'!$J$84)-SUM($F149:AQ149))</f>
        <v>0</v>
      </c>
      <c r="AS149" s="142">
        <f>(SUMPRODUCT($F30:$AS30,$F$174:$AS$174)*(1-AS$174)/(1+'TS2'!$J$84)-SUM($F149:AR149))</f>
        <v>0</v>
      </c>
      <c r="AT149" s="142">
        <f>(SUMPRODUCT($F30:$AS30,$F$174:$AS$174)*(1-AT$174)/(1+'TS2'!$J$84)-SUM($F149:AS149))</f>
        <v>0</v>
      </c>
      <c r="AU149" s="142">
        <f>(SUMPRODUCT($F30:$AS30,$F$174:$AS$174)*(1-AU$174)/(1+'TS2'!$J$84)-SUM($F149:AT149))</f>
        <v>0</v>
      </c>
      <c r="AV149" s="142">
        <f>(SUMPRODUCT($F30:$AS30,$F$174:$AS$174)*(1-AV$174)/(1+'TS2'!$J$84)-SUM($F149:AU149))</f>
        <v>0</v>
      </c>
      <c r="AW149" s="142">
        <f>(SUMPRODUCT($F30:$AS30,$F$174:$AS$174)*(1-AW$174)/(1+'TS2'!$J$84)-SUM($F149:AV149))</f>
        <v>0</v>
      </c>
      <c r="AX149" s="142">
        <f>(SUMPRODUCT($F30:$AS30,$F$174:$AS$174)*(1-AX$174)/(1+'TS2'!$J$84)-SUM($F149:AW149))</f>
        <v>0</v>
      </c>
      <c r="AY149" s="142">
        <f>(SUMPRODUCT($F30:$AS30,$F$174:$AS$174)*(1-AY$174)/(1+'TS2'!$J$84)-SUM($F149:AX149))</f>
        <v>0</v>
      </c>
      <c r="AZ149" s="142">
        <f>(SUMPRODUCT($F30:$AS30,$F$174:$AS$174)*(1-AZ$174)/(1+'TS2'!$J$84)-SUM($F149:AY149))</f>
        <v>0</v>
      </c>
      <c r="BA149" s="142">
        <f>(SUMPRODUCT($F30:$AS30,$F$174:$AS$174)*(1-BA$174)/(1+'TS2'!$J$84)-SUM($F149:AZ149))</f>
        <v>0</v>
      </c>
      <c r="BB149" s="142">
        <f>(SUMPRODUCT($F30:$AS30,$F$174:$AS$174)*(1-BB$174)/(1+'TS2'!$J$84)-SUM($F149:BA149))</f>
        <v>0</v>
      </c>
      <c r="BC149" s="142">
        <f>(SUMPRODUCT($F30:$AS30,$F$174:$AS$174)*(1-BC$174)/(1+'TS2'!$J$84)-SUM($F149:BB149))</f>
        <v>0</v>
      </c>
      <c r="BD149" s="142">
        <f>(SUMPRODUCT($F30:$AS30,$F$174:$AS$174)*(1-BD$174)/(1+'TS2'!$J$84)-SUM($F149:BC149))</f>
        <v>0</v>
      </c>
      <c r="BE149" s="142">
        <f>(SUMPRODUCT($F30:$AS30,$F$174:$AS$174)*(1-BE$174)/(1+'TS2'!$J$84)-SUM($F149:BD149))</f>
        <v>0</v>
      </c>
      <c r="BF149" s="142">
        <f>(SUMPRODUCT($F30:$AS30,$F$174:$AS$174)*(1-BF$174)/(1+'TS2'!$J$84)-SUM($F149:BE149))</f>
        <v>0</v>
      </c>
      <c r="BG149" s="142">
        <f>(SUMPRODUCT($F30:$AS30,$F$174:$AS$174)*(1-BG$174)/(1+'TS2'!$J$84)-SUM($F149:BF149))</f>
        <v>0</v>
      </c>
      <c r="BH149" s="142">
        <f>(SUMPRODUCT($F30:$AS30,$F$174:$AS$174)*(1-BH$174)/(1+'TS2'!$J$84)-SUM($F149:BG149))</f>
        <v>0</v>
      </c>
      <c r="BI149" s="142">
        <f>(SUMPRODUCT($F30:$AS30,$F$174:$AS$174)*(1-BI$174)/(1+'TS2'!$J$84)-SUM($F149:BH149))</f>
        <v>0</v>
      </c>
      <c r="BJ149" s="142">
        <f>(SUMPRODUCT($F30:$AS30,$F$174:$AS$174)*(1-BJ$174)/(1+'TS2'!$J$84)-SUM($F149:BI149))</f>
        <v>0</v>
      </c>
      <c r="BK149" s="142">
        <f>(SUMPRODUCT($F30:$AS30,$F$174:$AS$174)*(1-BK$174)/(1+'TS2'!$J$84)-SUM($F149:BJ149))</f>
        <v>0</v>
      </c>
      <c r="BL149" s="142">
        <f>(SUMPRODUCT($F30:$AS30,$F$174:$AS$174)*(1-BL$174)/(1+'TS2'!$J$84)-SUM($F149:BK149))</f>
        <v>0</v>
      </c>
      <c r="BM149" s="142">
        <f>(SUMPRODUCT($F30:$AS30,$F$174:$AS$174)*(1-BM$174)/(1+'TS2'!$J$84)-SUM($F149:BL149))</f>
        <v>0</v>
      </c>
    </row>
    <row r="150" spans="1:65" hidden="1" outlineLevel="1">
      <c r="A150" s="149"/>
      <c r="B150" s="27"/>
      <c r="C150" s="27"/>
      <c r="D150" s="158" t="str">
        <f t="shared" si="104"/>
        <v>ПАРКИНГ ЖИЛЬЕ</v>
      </c>
      <c r="E150" s="154">
        <f t="shared" si="83"/>
        <v>1620</v>
      </c>
      <c r="F150" s="142"/>
      <c r="G150" s="142">
        <f>SUMPRODUCT($F31:$AS31,$F$174:$AS$174)*(1-G$174)-SUM($F150:F150)</f>
        <v>0</v>
      </c>
      <c r="H150" s="142">
        <f>SUMPRODUCT($F31:$AS31,$F$174:$AS$174)*(1-H$174)-SUM($F150:G150)</f>
        <v>0</v>
      </c>
      <c r="I150" s="142">
        <f>SUMPRODUCT($F31:$AS31,$F$174:$AS$174)*(1-I$174)-SUM($F150:H150)</f>
        <v>0</v>
      </c>
      <c r="J150" s="142">
        <f>SUMPRODUCT($F31:$AS31,$F$174:$AS$174)*(1-J$174)-SUM($F150:I150)</f>
        <v>0</v>
      </c>
      <c r="K150" s="142">
        <f>SUMPRODUCT($F31:$AS31,$F$174:$AS$174)*(1-K$174)-SUM($F150:J150)</f>
        <v>0</v>
      </c>
      <c r="L150" s="142">
        <f>SUMPRODUCT($F31:$AS31,$F$174:$AS$174)*(1-L$174)-SUM($F150:K150)</f>
        <v>0</v>
      </c>
      <c r="M150" s="142">
        <f>SUMPRODUCT($F31:$AS31,$F$174:$AS$174)*(1-M$174)-SUM($F150:L150)</f>
        <v>0</v>
      </c>
      <c r="N150" s="142">
        <f>SUMPRODUCT($F31:$AS31,$F$174:$AS$174)*(1-N$174)-SUM($F150:M150)</f>
        <v>0</v>
      </c>
      <c r="O150" s="142">
        <f>SUMPRODUCT($F31:$AS31,$F$174:$AS$174)*(1-O$174)-SUM($F150:N150)</f>
        <v>0</v>
      </c>
      <c r="P150" s="142">
        <f>SUMPRODUCT($F31:$AS31,$F$174:$AS$174)*(1-P$174)-SUM($F150:O150)</f>
        <v>0</v>
      </c>
      <c r="Q150" s="142">
        <f>SUMPRODUCT($F31:$AS31,$F$174:$AS$174)*(1-Q$174)-SUM($F150:P150)</f>
        <v>0</v>
      </c>
      <c r="R150" s="142">
        <f>SUMPRODUCT($F31:$AS31,$F$174:$AS$174)*(1-R$174)-SUM($F150:Q150)</f>
        <v>0</v>
      </c>
      <c r="S150" s="142">
        <f>SUMPRODUCT($F31:$AS31,$F$174:$AS$174)*(1-S$174)-SUM($F150:R150)</f>
        <v>0</v>
      </c>
      <c r="T150" s="142">
        <f>SUMPRODUCT($F31:$AS31,$F$174:$AS$174)*(1-T$174)-SUM($F150:S150)</f>
        <v>0</v>
      </c>
      <c r="U150" s="142">
        <f>SUMPRODUCT($F31:$AS31,$F$174:$AS$174)*(1-U$174)-SUM($F150:T150)</f>
        <v>0</v>
      </c>
      <c r="V150" s="142">
        <f>SUMPRODUCT($F31:$AS31,$F$174:$AS$174)*(1-V$174)-SUM($F150:U150)</f>
        <v>0</v>
      </c>
      <c r="W150" s="142">
        <f>SUMPRODUCT($F31:$AS31,$F$174:$AS$174)*(1-W$174)-SUM($F150:V150)</f>
        <v>0</v>
      </c>
      <c r="X150" s="142">
        <f>SUMPRODUCT($F31:$AS31,$F$174:$AS$174)*(1-X$174)-SUM($F150:W150)</f>
        <v>0</v>
      </c>
      <c r="Y150" s="142">
        <f>SUMPRODUCT($F31:$AS31,$F$174:$AS$174)*(1-Y$174)-SUM($F150:X150)</f>
        <v>0</v>
      </c>
      <c r="Z150" s="142">
        <f>SUMPRODUCT($F31:$AS31,$F$174:$AS$174)*(1-Z$174)-SUM($F150:Y150)</f>
        <v>0</v>
      </c>
      <c r="AA150" s="142">
        <f>SUMPRODUCT($F31:$AS31,$F$174:$AS$174)*(1-AA$174)-SUM($F150:Z150)</f>
        <v>0</v>
      </c>
      <c r="AB150" s="142">
        <f>SUMPRODUCT($F31:$AS31,$F$174:$AS$174)*(1-AB$174)-SUM($F150:AA150)</f>
        <v>0</v>
      </c>
      <c r="AC150" s="142">
        <f>SUMPRODUCT($F31:$AS31,$F$174:$AS$174)*(1-AC$174)-SUM($F150:AB150)</f>
        <v>0</v>
      </c>
      <c r="AD150" s="142">
        <f>SUMPRODUCT($F31:$AS31,$F$174:$AS$174)*(1-AD$174)-SUM($F150:AC150)</f>
        <v>0</v>
      </c>
      <c r="AE150" s="142">
        <f>SUMPRODUCT($F31:$AS31,$F$174:$AS$174)*(1-AE$174)-SUM($F150:AD150)</f>
        <v>0</v>
      </c>
      <c r="AF150" s="142">
        <f>SUMPRODUCT($F31:$AS31,$F$174:$AS$174)*(1-AF$174)-SUM($F150:AE150)</f>
        <v>0</v>
      </c>
      <c r="AG150" s="142">
        <f>SUMPRODUCT($F31:$AS31,$F$174:$AS$174)*(1-AG$174)-SUM($F150:AF150)</f>
        <v>0</v>
      </c>
      <c r="AH150" s="142">
        <f>SUMPRODUCT($F31:$AS31,$F$174:$AS$174)*(1-AH$174)-SUM($F150:AG150)</f>
        <v>0</v>
      </c>
      <c r="AI150" s="142">
        <f>SUMPRODUCT($F31:$AS31,$F$174:$AS$174)*(1-AI$174)-SUM($F150:AH150)</f>
        <v>0</v>
      </c>
      <c r="AJ150" s="142">
        <f>SUMPRODUCT($F31:$AS31,$F$174:$AS$174)*(1-AJ$174)-SUM($F150:AI150)</f>
        <v>1620</v>
      </c>
      <c r="AK150" s="142">
        <f>SUMPRODUCT($F31:$AS31,$F$174:$AS$174)*(1-AK$174)-SUM($F150:AJ150)</f>
        <v>0</v>
      </c>
      <c r="AL150" s="142">
        <f>SUMPRODUCT($F31:$AS31,$F$174:$AS$174)*(1-AL$174)-SUM($F150:AK150)</f>
        <v>0</v>
      </c>
      <c r="AM150" s="142">
        <f>SUMPRODUCT($F31:$AS31,$F$174:$AS$174)*(1-AM$174)-SUM($F150:AL150)</f>
        <v>0</v>
      </c>
      <c r="AN150" s="142">
        <f>SUMPRODUCT($F31:$AS31,$F$174:$AS$174)*(1-AN$174)-SUM($F150:AM150)</f>
        <v>0</v>
      </c>
      <c r="AO150" s="142">
        <f>SUMPRODUCT($F31:$AS31,$F$174:$AS$174)*(1-AO$174)-SUM($F150:AN150)</f>
        <v>0</v>
      </c>
      <c r="AP150" s="142">
        <f>SUMPRODUCT($F31:$AS31,$F$174:$AS$174)*(1-AP$174)-SUM($F150:AO150)</f>
        <v>0</v>
      </c>
      <c r="AQ150" s="142">
        <f>SUMPRODUCT($F31:$AS31,$F$174:$AS$174)*(1-AQ$174)-SUM($F150:AP150)</f>
        <v>0</v>
      </c>
      <c r="AR150" s="142">
        <f>SUMPRODUCT($F31:$AS31,$F$174:$AS$174)*(1-AR$174)-SUM($F150:AQ150)</f>
        <v>0</v>
      </c>
      <c r="AS150" s="142">
        <f>SUMPRODUCT($F31:$AS31,$F$174:$AS$174)*(1-AS$174)-SUM($F150:AR150)</f>
        <v>0</v>
      </c>
      <c r="AT150" s="142">
        <f>SUMPRODUCT($F31:$AS31,$F$174:$AS$174)*(1-AT$174)-SUM($F150:AS150)</f>
        <v>0</v>
      </c>
      <c r="AU150" s="142">
        <f>SUMPRODUCT($F31:$AS31,$F$174:$AS$174)*(1-AU$174)-SUM($F150:AT150)</f>
        <v>0</v>
      </c>
      <c r="AV150" s="142">
        <f>SUMPRODUCT($F31:$AS31,$F$174:$AS$174)*(1-AV$174)-SUM($F150:AU150)</f>
        <v>0</v>
      </c>
      <c r="AW150" s="142">
        <f>SUMPRODUCT($F31:$AS31,$F$174:$AS$174)*(1-AW$174)-SUM($F150:AV150)</f>
        <v>0</v>
      </c>
      <c r="AX150" s="142">
        <f>SUMPRODUCT($F31:$AS31,$F$174:$AS$174)*(1-AX$174)-SUM($F150:AW150)</f>
        <v>0</v>
      </c>
      <c r="AY150" s="142">
        <f>SUMPRODUCT($F31:$AS31,$F$174:$AS$174)*(1-AY$174)-SUM($F150:AX150)</f>
        <v>0</v>
      </c>
      <c r="AZ150" s="142">
        <f>SUMPRODUCT($F31:$AS31,$F$174:$AS$174)*(1-AZ$174)-SUM($F150:AY150)</f>
        <v>0</v>
      </c>
      <c r="BA150" s="142">
        <f>SUMPRODUCT($F31:$AS31,$F$174:$AS$174)*(1-BA$174)-SUM($F150:AZ150)</f>
        <v>0</v>
      </c>
      <c r="BB150" s="142">
        <f>SUMPRODUCT($F31:$AS31,$F$174:$AS$174)*(1-BB$174)-SUM($F150:BA150)</f>
        <v>0</v>
      </c>
      <c r="BC150" s="142">
        <f>SUMPRODUCT($F31:$AS31,$F$174:$AS$174)*(1-BC$174)-SUM($F150:BB150)</f>
        <v>0</v>
      </c>
      <c r="BD150" s="142">
        <f>SUMPRODUCT($F31:$AS31,$F$174:$AS$174)*(1-BD$174)-SUM($F150:BC150)</f>
        <v>0</v>
      </c>
      <c r="BE150" s="142">
        <f>SUMPRODUCT($F31:$AS31,$F$174:$AS$174)*(1-BE$174)-SUM($F150:BD150)</f>
        <v>0</v>
      </c>
      <c r="BF150" s="142">
        <f>SUMPRODUCT($F31:$AS31,$F$174:$AS$174)*(1-BF$174)-SUM($F150:BE150)</f>
        <v>0</v>
      </c>
      <c r="BG150" s="142">
        <f>SUMPRODUCT($F31:$AS31,$F$174:$AS$174)*(1-BG$174)-SUM($F150:BF150)</f>
        <v>0</v>
      </c>
      <c r="BH150" s="142">
        <f>SUMPRODUCT($F31:$AS31,$F$174:$AS$174)*(1-BH$174)-SUM($F150:BG150)</f>
        <v>0</v>
      </c>
      <c r="BI150" s="142">
        <f>SUMPRODUCT($F31:$AS31,$F$174:$AS$174)*(1-BI$174)-SUM($F150:BH150)</f>
        <v>0</v>
      </c>
      <c r="BJ150" s="142">
        <f>SUMPRODUCT($F31:$AS31,$F$174:$AS$174)*(1-BJ$174)-SUM($F150:BI150)</f>
        <v>0</v>
      </c>
      <c r="BK150" s="142">
        <f>SUMPRODUCT($F31:$AS31,$F$174:$AS$174)*(1-BK$174)-SUM($F150:BJ150)</f>
        <v>0</v>
      </c>
      <c r="BL150" s="142">
        <f>SUMPRODUCT($F31:$AS31,$F$174:$AS$174)*(1-BL$174)-SUM($F150:BK150)</f>
        <v>0</v>
      </c>
      <c r="BM150" s="142">
        <f>SUMPRODUCT($F31:$AS31,$F$174:$AS$174)*(1-BM$174)-SUM($F150:BL150)</f>
        <v>0</v>
      </c>
    </row>
    <row r="151" spans="1:65" hidden="1" outlineLevel="1">
      <c r="A151" s="149"/>
      <c r="B151" s="27"/>
      <c r="C151" s="27"/>
      <c r="D151" s="158" t="str">
        <f t="shared" si="104"/>
        <v>ПАРКИНГ ОФИС</v>
      </c>
      <c r="E151" s="154">
        <f t="shared" si="83"/>
        <v>0</v>
      </c>
      <c r="F151" s="142"/>
      <c r="G151" s="142">
        <f>(SUMPRODUCT($F32:$AS32,$F$174:$AS$174)*(1-G$174)/(1+'TS2'!$J$84)-SUM($F151:F151))</f>
        <v>0</v>
      </c>
      <c r="H151" s="142">
        <f>(SUMPRODUCT($F32:$AS32,$F$174:$AS$174)*(1-H$174)/(1+'TS2'!$J$84)-SUM($F151:G151))</f>
        <v>0</v>
      </c>
      <c r="I151" s="142">
        <f>(SUMPRODUCT($F32:$AS32,$F$174:$AS$174)*(1-I$174)/(1+'TS2'!$J$84)-SUM($F151:H151))</f>
        <v>0</v>
      </c>
      <c r="J151" s="142">
        <f>(SUMPRODUCT($F32:$AS32,$F$174:$AS$174)*(1-J$174)/(1+'TS2'!$J$84)-SUM($F151:I151))</f>
        <v>0</v>
      </c>
      <c r="K151" s="142">
        <f>(SUMPRODUCT($F32:$AS32,$F$174:$AS$174)*(1-K$174)/(1+'TS2'!$J$84)-SUM($F151:J151))</f>
        <v>0</v>
      </c>
      <c r="L151" s="142">
        <f>(SUMPRODUCT($F32:$AS32,$F$174:$AS$174)*(1-L$174)/(1+'TS2'!$J$84)-SUM($F151:K151))</f>
        <v>0</v>
      </c>
      <c r="M151" s="142">
        <f>(SUMPRODUCT($F32:$AS32,$F$174:$AS$174)*(1-M$174)/(1+'TS2'!$J$84)-SUM($F151:L151))</f>
        <v>0</v>
      </c>
      <c r="N151" s="142">
        <f>(SUMPRODUCT($F32:$AS32,$F$174:$AS$174)*(1-N$174)/(1+'TS2'!$J$84)-SUM($F151:M151))</f>
        <v>0</v>
      </c>
      <c r="O151" s="142">
        <f>(SUMPRODUCT($F32:$AS32,$F$174:$AS$174)*(1-O$174)/(1+'TS2'!$J$84)-SUM($F151:N151))</f>
        <v>0</v>
      </c>
      <c r="P151" s="142">
        <f>(SUMPRODUCT($F32:$AS32,$F$174:$AS$174)*(1-P$174)/(1+'TS2'!$J$84)-SUM($F151:O151))</f>
        <v>0</v>
      </c>
      <c r="Q151" s="142">
        <f>(SUMPRODUCT($F32:$AS32,$F$174:$AS$174)*(1-Q$174)/(1+'TS2'!$J$84)-SUM($F151:P151))</f>
        <v>0</v>
      </c>
      <c r="R151" s="142">
        <f>(SUMPRODUCT($F32:$AS32,$F$174:$AS$174)*(1-R$174)/(1+'TS2'!$J$84)-SUM($F151:Q151))</f>
        <v>0</v>
      </c>
      <c r="S151" s="142">
        <f>(SUMPRODUCT($F32:$AS32,$F$174:$AS$174)*(1-S$174)/(1+'TS2'!$J$84)-SUM($F151:R151))</f>
        <v>0</v>
      </c>
      <c r="T151" s="142">
        <f>(SUMPRODUCT($F32:$AS32,$F$174:$AS$174)*(1-T$174)/(1+'TS2'!$J$84)-SUM($F151:S151))</f>
        <v>0</v>
      </c>
      <c r="U151" s="142">
        <f>(SUMPRODUCT($F32:$AS32,$F$174:$AS$174)*(1-U$174)/(1+'TS2'!$J$84)-SUM($F151:T151))</f>
        <v>0</v>
      </c>
      <c r="V151" s="142">
        <f>(SUMPRODUCT($F32:$AS32,$F$174:$AS$174)*(1-V$174)/(1+'TS2'!$J$84)-SUM($F151:U151))</f>
        <v>0</v>
      </c>
      <c r="W151" s="142">
        <f>(SUMPRODUCT($F32:$AS32,$F$174:$AS$174)*(1-W$174)/(1+'TS2'!$J$84)-SUM($F151:V151))</f>
        <v>0</v>
      </c>
      <c r="X151" s="142">
        <f>(SUMPRODUCT($F32:$AS32,$F$174:$AS$174)*(1-X$174)/(1+'TS2'!$J$84)-SUM($F151:W151))</f>
        <v>0</v>
      </c>
      <c r="Y151" s="142">
        <f>(SUMPRODUCT($F32:$AS32,$F$174:$AS$174)*(1-Y$174)/(1+'TS2'!$J$84)-SUM($F151:X151))</f>
        <v>0</v>
      </c>
      <c r="Z151" s="142">
        <f>(SUMPRODUCT($F32:$AS32,$F$174:$AS$174)*(1-Z$174)/(1+'TS2'!$J$84)-SUM($F151:Y151))</f>
        <v>0</v>
      </c>
      <c r="AA151" s="142">
        <f>(SUMPRODUCT($F32:$AS32,$F$174:$AS$174)*(1-AA$174)/(1+'TS2'!$J$84)-SUM($F151:Z151))</f>
        <v>0</v>
      </c>
      <c r="AB151" s="142">
        <f>(SUMPRODUCT($F32:$AS32,$F$174:$AS$174)*(1-AB$174)/(1+'TS2'!$J$84)-SUM($F151:AA151))</f>
        <v>0</v>
      </c>
      <c r="AC151" s="142">
        <f>(SUMPRODUCT($F32:$AS32,$F$174:$AS$174)*(1-AC$174)/(1+'TS2'!$J$84)-SUM($F151:AB151))</f>
        <v>0</v>
      </c>
      <c r="AD151" s="142">
        <f>(SUMPRODUCT($F32:$AS32,$F$174:$AS$174)*(1-AD$174)/(1+'TS2'!$J$84)-SUM($F151:AC151))</f>
        <v>0</v>
      </c>
      <c r="AE151" s="142">
        <f>(SUMPRODUCT($F32:$AS32,$F$174:$AS$174)*(1-AE$174)/(1+'TS2'!$J$84)-SUM($F151:AD151))</f>
        <v>0</v>
      </c>
      <c r="AF151" s="142">
        <f>(SUMPRODUCT($F32:$AS32,$F$174:$AS$174)*(1-AF$174)/(1+'TS2'!$J$84)-SUM($F151:AE151))</f>
        <v>0</v>
      </c>
      <c r="AG151" s="142">
        <f>(SUMPRODUCT($F32:$AS32,$F$174:$AS$174)*(1-AG$174)/(1+'TS2'!$J$84)-SUM($F151:AF151))</f>
        <v>0</v>
      </c>
      <c r="AH151" s="142">
        <f>(SUMPRODUCT($F32:$AS32,$F$174:$AS$174)*(1-AH$174)/(1+'TS2'!$J$84)-SUM($F151:AG151))</f>
        <v>0</v>
      </c>
      <c r="AI151" s="142">
        <f>(SUMPRODUCT($F32:$AS32,$F$174:$AS$174)*(1-AI$174)/(1+'TS2'!$J$84)-SUM($F151:AH151))</f>
        <v>0</v>
      </c>
      <c r="AJ151" s="142">
        <f>(SUMPRODUCT($F32:$AS32,$F$174:$AS$174)*(1-AJ$174)/(1+'TS2'!$J$84)-SUM($F151:AI151))</f>
        <v>0</v>
      </c>
      <c r="AK151" s="142">
        <f>(SUMPRODUCT($F32:$AS32,$F$174:$AS$174)*(1-AK$174)/(1+'TS2'!$J$84)-SUM($F151:AJ151))</f>
        <v>0</v>
      </c>
      <c r="AL151" s="142">
        <f>(SUMPRODUCT($F32:$AS32,$F$174:$AS$174)*(1-AL$174)/(1+'TS2'!$J$84)-SUM($F151:AK151))</f>
        <v>0</v>
      </c>
      <c r="AM151" s="142">
        <f>(SUMPRODUCT($F32:$AS32,$F$174:$AS$174)*(1-AM$174)/(1+'TS2'!$J$84)-SUM($F151:AL151))</f>
        <v>0</v>
      </c>
      <c r="AN151" s="142">
        <f>(SUMPRODUCT($F32:$AS32,$F$174:$AS$174)*(1-AN$174)/(1+'TS2'!$J$84)-SUM($F151:AM151))</f>
        <v>0</v>
      </c>
      <c r="AO151" s="142">
        <f>(SUMPRODUCT($F32:$AS32,$F$174:$AS$174)*(1-AO$174)/(1+'TS2'!$J$84)-SUM($F151:AN151))</f>
        <v>0</v>
      </c>
      <c r="AP151" s="142">
        <f>(SUMPRODUCT($F32:$AS32,$F$174:$AS$174)*(1-AP$174)/(1+'TS2'!$J$84)-SUM($F151:AO151))</f>
        <v>0</v>
      </c>
      <c r="AQ151" s="142">
        <f>(SUMPRODUCT($F32:$AS32,$F$174:$AS$174)*(1-AQ$174)/(1+'TS2'!$J$84)-SUM($F151:AP151))</f>
        <v>0</v>
      </c>
      <c r="AR151" s="142">
        <f>(SUMPRODUCT($F32:$AS32,$F$174:$AS$174)*(1-AR$174)/(1+'TS2'!$J$84)-SUM($F151:AQ151))</f>
        <v>0</v>
      </c>
      <c r="AS151" s="142">
        <f>(SUMPRODUCT($F32:$AS32,$F$174:$AS$174)*(1-AS$174)/(1+'TS2'!$J$84)-SUM($F151:AR151))</f>
        <v>0</v>
      </c>
      <c r="AT151" s="142">
        <f>(SUMPRODUCT($F32:$AS32,$F$174:$AS$174)*(1-AT$174)/(1+'TS2'!$J$84)-SUM($F151:AS151))</f>
        <v>0</v>
      </c>
      <c r="AU151" s="142">
        <f>(SUMPRODUCT($F32:$AS32,$F$174:$AS$174)*(1-AU$174)/(1+'TS2'!$J$84)-SUM($F151:AT151))</f>
        <v>0</v>
      </c>
      <c r="AV151" s="142">
        <f>(SUMPRODUCT($F32:$AS32,$F$174:$AS$174)*(1-AV$174)/(1+'TS2'!$J$84)-SUM($F151:AU151))</f>
        <v>0</v>
      </c>
      <c r="AW151" s="142">
        <f>(SUMPRODUCT($F32:$AS32,$F$174:$AS$174)*(1-AW$174)/(1+'TS2'!$J$84)-SUM($F151:AV151))</f>
        <v>0</v>
      </c>
      <c r="AX151" s="142">
        <f>(SUMPRODUCT($F32:$AS32,$F$174:$AS$174)*(1-AX$174)/(1+'TS2'!$J$84)-SUM($F151:AW151))</f>
        <v>0</v>
      </c>
      <c r="AY151" s="142">
        <f>(SUMPRODUCT($F32:$AS32,$F$174:$AS$174)*(1-AY$174)/(1+'TS2'!$J$84)-SUM($F151:AX151))</f>
        <v>0</v>
      </c>
      <c r="AZ151" s="142">
        <f>(SUMPRODUCT($F32:$AS32,$F$174:$AS$174)*(1-AZ$174)/(1+'TS2'!$J$84)-SUM($F151:AY151))</f>
        <v>0</v>
      </c>
      <c r="BA151" s="142">
        <f>(SUMPRODUCT($F32:$AS32,$F$174:$AS$174)*(1-BA$174)/(1+'TS2'!$J$84)-SUM($F151:AZ151))</f>
        <v>0</v>
      </c>
      <c r="BB151" s="142">
        <f>(SUMPRODUCT($F32:$AS32,$F$174:$AS$174)*(1-BB$174)/(1+'TS2'!$J$84)-SUM($F151:BA151))</f>
        <v>0</v>
      </c>
      <c r="BC151" s="142">
        <f>(SUMPRODUCT($F32:$AS32,$F$174:$AS$174)*(1-BC$174)/(1+'TS2'!$J$84)-SUM($F151:BB151))</f>
        <v>0</v>
      </c>
      <c r="BD151" s="142">
        <f>(SUMPRODUCT($F32:$AS32,$F$174:$AS$174)*(1-BD$174)/(1+'TS2'!$J$84)-SUM($F151:BC151))</f>
        <v>0</v>
      </c>
      <c r="BE151" s="142">
        <f>(SUMPRODUCT($F32:$AS32,$F$174:$AS$174)*(1-BE$174)/(1+'TS2'!$J$84)-SUM($F151:BD151))</f>
        <v>0</v>
      </c>
      <c r="BF151" s="142">
        <f>(SUMPRODUCT($F32:$AS32,$F$174:$AS$174)*(1-BF$174)/(1+'TS2'!$J$84)-SUM($F151:BE151))</f>
        <v>0</v>
      </c>
      <c r="BG151" s="142">
        <f>(SUMPRODUCT($F32:$AS32,$F$174:$AS$174)*(1-BG$174)/(1+'TS2'!$J$84)-SUM($F151:BF151))</f>
        <v>0</v>
      </c>
      <c r="BH151" s="142">
        <f>(SUMPRODUCT($F32:$AS32,$F$174:$AS$174)*(1-BH$174)/(1+'TS2'!$J$84)-SUM($F151:BG151))</f>
        <v>0</v>
      </c>
      <c r="BI151" s="142">
        <f>(SUMPRODUCT($F32:$AS32,$F$174:$AS$174)*(1-BI$174)/(1+'TS2'!$J$84)-SUM($F151:BH151))</f>
        <v>0</v>
      </c>
      <c r="BJ151" s="142">
        <f>(SUMPRODUCT($F32:$AS32,$F$174:$AS$174)*(1-BJ$174)/(1+'TS2'!$J$84)-SUM($F151:BI151))</f>
        <v>0</v>
      </c>
      <c r="BK151" s="142">
        <f>(SUMPRODUCT($F32:$AS32,$F$174:$AS$174)*(1-BK$174)/(1+'TS2'!$J$84)-SUM($F151:BJ151))</f>
        <v>0</v>
      </c>
      <c r="BL151" s="142">
        <f>(SUMPRODUCT($F32:$AS32,$F$174:$AS$174)*(1-BL$174)/(1+'TS2'!$J$84)-SUM($F151:BK151))</f>
        <v>0</v>
      </c>
      <c r="BM151" s="142">
        <f>(SUMPRODUCT($F32:$AS32,$F$174:$AS$174)*(1-BM$174)/(1+'TS2'!$J$84)-SUM($F151:BL151))</f>
        <v>0</v>
      </c>
    </row>
    <row r="152" spans="1:65" s="151" customFormat="1" hidden="1" outlineLevel="1">
      <c r="B152" s="152"/>
      <c r="C152" s="152" t="s">
        <v>97</v>
      </c>
      <c r="D152" s="153"/>
      <c r="E152" s="154">
        <f t="shared" si="83"/>
        <v>0</v>
      </c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155"/>
      <c r="AI152" s="155"/>
      <c r="AJ152" s="155"/>
      <c r="AK152" s="155"/>
      <c r="AL152" s="155"/>
      <c r="AM152" s="155"/>
      <c r="AN152" s="155"/>
      <c r="AO152" s="155"/>
      <c r="AP152" s="155"/>
      <c r="AQ152" s="155"/>
      <c r="AR152" s="155"/>
      <c r="AS152" s="155"/>
      <c r="AT152" s="155"/>
      <c r="AU152" s="155"/>
      <c r="AV152" s="155"/>
      <c r="AW152" s="155"/>
      <c r="AX152" s="155"/>
      <c r="AY152" s="155"/>
      <c r="AZ152" s="155"/>
      <c r="BA152" s="155"/>
      <c r="BB152" s="155"/>
      <c r="BC152" s="155"/>
      <c r="BD152" s="155"/>
      <c r="BE152" s="155"/>
      <c r="BF152" s="155"/>
      <c r="BG152" s="155"/>
      <c r="BH152" s="155"/>
      <c r="BI152" s="155"/>
      <c r="BJ152" s="155"/>
      <c r="BK152" s="155"/>
      <c r="BL152" s="155"/>
      <c r="BM152" s="155"/>
    </row>
    <row r="153" spans="1:65" hidden="1" outlineLevel="1">
      <c r="A153" s="149"/>
      <c r="B153" s="27"/>
      <c r="C153" s="157"/>
      <c r="D153" s="158" t="str">
        <f t="shared" ref="D153:D159" si="105">D145</f>
        <v>КВАРТИРЫ</v>
      </c>
      <c r="E153" s="154">
        <f t="shared" si="83"/>
        <v>10571.194906501596</v>
      </c>
      <c r="F153" s="142"/>
      <c r="G153" s="142">
        <f t="shared" ref="G153:AL153" si="106">G26*(1-G$174)</f>
        <v>0</v>
      </c>
      <c r="H153" s="142">
        <f t="shared" si="106"/>
        <v>0</v>
      </c>
      <c r="I153" s="142">
        <f t="shared" si="106"/>
        <v>0</v>
      </c>
      <c r="J153" s="142">
        <f t="shared" si="106"/>
        <v>0</v>
      </c>
      <c r="K153" s="142">
        <f t="shared" si="106"/>
        <v>0</v>
      </c>
      <c r="L153" s="142">
        <f t="shared" si="106"/>
        <v>0</v>
      </c>
      <c r="M153" s="142">
        <f t="shared" si="106"/>
        <v>0</v>
      </c>
      <c r="N153" s="142">
        <f t="shared" si="106"/>
        <v>0</v>
      </c>
      <c r="O153" s="142">
        <f t="shared" si="106"/>
        <v>0</v>
      </c>
      <c r="P153" s="142">
        <f t="shared" si="106"/>
        <v>0</v>
      </c>
      <c r="Q153" s="142">
        <f t="shared" si="106"/>
        <v>0</v>
      </c>
      <c r="R153" s="142">
        <f t="shared" si="106"/>
        <v>0</v>
      </c>
      <c r="S153" s="142">
        <f t="shared" si="106"/>
        <v>0</v>
      </c>
      <c r="T153" s="142">
        <f t="shared" si="106"/>
        <v>0</v>
      </c>
      <c r="U153" s="142">
        <f t="shared" si="106"/>
        <v>0</v>
      </c>
      <c r="V153" s="142">
        <f t="shared" si="106"/>
        <v>0</v>
      </c>
      <c r="W153" s="142">
        <f t="shared" si="106"/>
        <v>0</v>
      </c>
      <c r="X153" s="142">
        <f t="shared" si="106"/>
        <v>0</v>
      </c>
      <c r="Y153" s="142">
        <f t="shared" si="106"/>
        <v>0</v>
      </c>
      <c r="Z153" s="142">
        <f t="shared" si="106"/>
        <v>0</v>
      </c>
      <c r="AA153" s="142">
        <f t="shared" si="106"/>
        <v>0</v>
      </c>
      <c r="AB153" s="142">
        <f t="shared" si="106"/>
        <v>0</v>
      </c>
      <c r="AC153" s="142">
        <f t="shared" si="106"/>
        <v>0</v>
      </c>
      <c r="AD153" s="142">
        <f t="shared" si="106"/>
        <v>0</v>
      </c>
      <c r="AE153" s="142">
        <f t="shared" si="106"/>
        <v>0</v>
      </c>
      <c r="AF153" s="142">
        <f t="shared" si="106"/>
        <v>0</v>
      </c>
      <c r="AG153" s="142">
        <f t="shared" si="106"/>
        <v>0</v>
      </c>
      <c r="AH153" s="142">
        <f t="shared" si="106"/>
        <v>0</v>
      </c>
      <c r="AI153" s="142">
        <f t="shared" si="106"/>
        <v>0</v>
      </c>
      <c r="AJ153" s="142">
        <f t="shared" si="106"/>
        <v>2131.6699878582335</v>
      </c>
      <c r="AK153" s="142">
        <f t="shared" si="106"/>
        <v>2131.6699878582335</v>
      </c>
      <c r="AL153" s="142">
        <f t="shared" si="106"/>
        <v>2131.6699878582335</v>
      </c>
      <c r="AM153" s="142">
        <f t="shared" ref="AM153:BM153" si="107">AM26*(1-AM$174)</f>
        <v>2131.6699878582335</v>
      </c>
      <c r="AN153" s="142">
        <f t="shared" si="107"/>
        <v>2044.5149550686615</v>
      </c>
      <c r="AO153" s="142">
        <f t="shared" si="107"/>
        <v>0</v>
      </c>
      <c r="AP153" s="142">
        <f t="shared" si="107"/>
        <v>0</v>
      </c>
      <c r="AQ153" s="142">
        <f t="shared" si="107"/>
        <v>0</v>
      </c>
      <c r="AR153" s="142">
        <f t="shared" si="107"/>
        <v>0</v>
      </c>
      <c r="AS153" s="142">
        <f t="shared" si="107"/>
        <v>0</v>
      </c>
      <c r="AT153" s="142">
        <f t="shared" si="107"/>
        <v>0</v>
      </c>
      <c r="AU153" s="142">
        <f t="shared" si="107"/>
        <v>0</v>
      </c>
      <c r="AV153" s="142">
        <f t="shared" si="107"/>
        <v>0</v>
      </c>
      <c r="AW153" s="142">
        <f t="shared" si="107"/>
        <v>0</v>
      </c>
      <c r="AX153" s="142">
        <f t="shared" si="107"/>
        <v>0</v>
      </c>
      <c r="AY153" s="142">
        <f t="shared" si="107"/>
        <v>0</v>
      </c>
      <c r="AZ153" s="142">
        <f t="shared" si="107"/>
        <v>0</v>
      </c>
      <c r="BA153" s="142">
        <f t="shared" si="107"/>
        <v>0</v>
      </c>
      <c r="BB153" s="142">
        <f t="shared" si="107"/>
        <v>0</v>
      </c>
      <c r="BC153" s="142">
        <f t="shared" si="107"/>
        <v>0</v>
      </c>
      <c r="BD153" s="142">
        <f t="shared" si="107"/>
        <v>0</v>
      </c>
      <c r="BE153" s="142">
        <f t="shared" si="107"/>
        <v>0</v>
      </c>
      <c r="BF153" s="142">
        <f t="shared" si="107"/>
        <v>0</v>
      </c>
      <c r="BG153" s="142">
        <f t="shared" si="107"/>
        <v>0</v>
      </c>
      <c r="BH153" s="142">
        <f t="shared" si="107"/>
        <v>0</v>
      </c>
      <c r="BI153" s="142">
        <f t="shared" si="107"/>
        <v>0</v>
      </c>
      <c r="BJ153" s="142">
        <f t="shared" si="107"/>
        <v>0</v>
      </c>
      <c r="BK153" s="142">
        <f t="shared" si="107"/>
        <v>0</v>
      </c>
      <c r="BL153" s="142">
        <f t="shared" si="107"/>
        <v>0</v>
      </c>
      <c r="BM153" s="142">
        <f t="shared" si="107"/>
        <v>0</v>
      </c>
    </row>
    <row r="154" spans="1:65" hidden="1" outlineLevel="1">
      <c r="A154" s="149"/>
      <c r="B154" s="27"/>
      <c r="C154" s="157"/>
      <c r="D154" s="158" t="str">
        <f t="shared" si="105"/>
        <v>АПАРТАМЕНТЫ</v>
      </c>
      <c r="E154" s="154">
        <f t="shared" si="83"/>
        <v>0</v>
      </c>
      <c r="F154" s="142"/>
      <c r="G154" s="161">
        <f>G27*(1-G$174)/(1+'TS2'!$J$84)</f>
        <v>0</v>
      </c>
      <c r="H154" s="161">
        <f>H27*(1-H$174)/(1+'TS2'!$J$84)</f>
        <v>0</v>
      </c>
      <c r="I154" s="161">
        <f>I27*(1-I$174)/(1+'TS2'!$J$84)</f>
        <v>0</v>
      </c>
      <c r="J154" s="161">
        <f>J27*(1-J$174)/(1+'TS2'!$J$84)</f>
        <v>0</v>
      </c>
      <c r="K154" s="161">
        <f>K27*(1-K$174)/(1+'TS2'!$J$84)</f>
        <v>0</v>
      </c>
      <c r="L154" s="161">
        <f>L27*(1-L$174)/(1+'TS2'!$J$84)</f>
        <v>0</v>
      </c>
      <c r="M154" s="161">
        <f>M27*(1-M$174)/(1+'TS2'!$J$84)</f>
        <v>0</v>
      </c>
      <c r="N154" s="161">
        <f>N27*(1-N$174)/(1+'TS2'!$J$84)</f>
        <v>0</v>
      </c>
      <c r="O154" s="161">
        <f>O27*(1-O$174)/(1+'TS2'!$J$84)</f>
        <v>0</v>
      </c>
      <c r="P154" s="161">
        <f>P27*(1-P$174)/(1+'TS2'!$J$84)</f>
        <v>0</v>
      </c>
      <c r="Q154" s="161">
        <f>Q27*(1-Q$174)/(1+'TS2'!$J$84)</f>
        <v>0</v>
      </c>
      <c r="R154" s="161">
        <f>R27*(1-R$174)/(1+'TS2'!$J$84)</f>
        <v>0</v>
      </c>
      <c r="S154" s="161">
        <f>S27*(1-S$174)/(1+'TS2'!$J$84)</f>
        <v>0</v>
      </c>
      <c r="T154" s="161">
        <f>T27*(1-T$174)/(1+'TS2'!$J$84)</f>
        <v>0</v>
      </c>
      <c r="U154" s="161">
        <f>U27*(1-U$174)/(1+'TS2'!$J$84)</f>
        <v>0</v>
      </c>
      <c r="V154" s="161">
        <f>V27*(1-V$174)/(1+'TS2'!$J$84)</f>
        <v>0</v>
      </c>
      <c r="W154" s="161">
        <f>W27*(1-W$174)/(1+'TS2'!$J$84)</f>
        <v>0</v>
      </c>
      <c r="X154" s="161">
        <f>X27*(1-X$174)/(1+'TS2'!$J$84)</f>
        <v>0</v>
      </c>
      <c r="Y154" s="161">
        <f>Y27*(1-Y$174)/(1+'TS2'!$J$84)</f>
        <v>0</v>
      </c>
      <c r="Z154" s="161">
        <f>Z27*(1-Z$174)/(1+'TS2'!$J$84)</f>
        <v>0</v>
      </c>
      <c r="AA154" s="161">
        <f>AA27*(1-AA$174)/(1+'TS2'!$J$84)</f>
        <v>0</v>
      </c>
      <c r="AB154" s="161">
        <f>AB27*(1-AB$174)/(1+'TS2'!$J$84)</f>
        <v>0</v>
      </c>
      <c r="AC154" s="161">
        <f>AC27*(1-AC$174)/(1+'TS2'!$J$84)</f>
        <v>0</v>
      </c>
      <c r="AD154" s="161">
        <f>AD27*(1-AD$174)/(1+'TS2'!$J$84)</f>
        <v>0</v>
      </c>
      <c r="AE154" s="161">
        <f>AE27*(1-AE$174)/(1+'TS2'!$J$84)</f>
        <v>0</v>
      </c>
      <c r="AF154" s="161">
        <f>AF27*(1-AF$174)/(1+'TS2'!$J$84)</f>
        <v>0</v>
      </c>
      <c r="AG154" s="161">
        <f>AG27*(1-AG$174)/(1+'TS2'!$J$84)</f>
        <v>0</v>
      </c>
      <c r="AH154" s="161">
        <f>AH27*(1-AH$174)/(1+'TS2'!$J$84)</f>
        <v>0</v>
      </c>
      <c r="AI154" s="161">
        <f>AI27*(1-AI$174)/(1+'TS2'!$J$84)</f>
        <v>0</v>
      </c>
      <c r="AJ154" s="161">
        <f>AJ27*(1-AJ$174)/(1+'TS2'!$J$84)</f>
        <v>0</v>
      </c>
      <c r="AK154" s="161">
        <f>AK27*(1-AK$174)/(1+'TS2'!$J$84)</f>
        <v>0</v>
      </c>
      <c r="AL154" s="161">
        <f>AL27*(1-AL$174)/(1+'TS2'!$J$84)</f>
        <v>0</v>
      </c>
      <c r="AM154" s="161">
        <f>AM27*(1-AM$174)/(1+'TS2'!$J$84)</f>
        <v>0</v>
      </c>
      <c r="AN154" s="161">
        <f>AN27*(1-AN$174)/(1+'TS2'!$J$84)</f>
        <v>0</v>
      </c>
      <c r="AO154" s="161">
        <f>AO27*(1-AO$174)/(1+'TS2'!$J$84)</f>
        <v>0</v>
      </c>
      <c r="AP154" s="161">
        <f>AP27*(1-AP$174)/(1+'TS2'!$J$84)</f>
        <v>0</v>
      </c>
      <c r="AQ154" s="161">
        <f>AQ27*(1-AQ$174)/(1+'TS2'!$J$84)</f>
        <v>0</v>
      </c>
      <c r="AR154" s="161">
        <f>AR27*(1-AR$174)/(1+'TS2'!$J$84)</f>
        <v>0</v>
      </c>
      <c r="AS154" s="161">
        <f>AS27*(1-AS$174)/(1+'TS2'!$J$84)</f>
        <v>0</v>
      </c>
      <c r="AT154" s="161">
        <f>AT27*(1-AT$174)/(1+'TS2'!$J$84)</f>
        <v>0</v>
      </c>
      <c r="AU154" s="161">
        <f>AU27*(1-AU$174)/(1+'TS2'!$J$84)</f>
        <v>0</v>
      </c>
      <c r="AV154" s="161">
        <f>AV27*(1-AV$174)/(1+'TS2'!$J$84)</f>
        <v>0</v>
      </c>
      <c r="AW154" s="161">
        <f>AW27*(1-AW$174)/(1+'TS2'!$J$84)</f>
        <v>0</v>
      </c>
      <c r="AX154" s="161">
        <f>AX27*(1-AX$174)/(1+'TS2'!$J$84)</f>
        <v>0</v>
      </c>
      <c r="AY154" s="161">
        <f>AY27*(1-AY$174)/(1+'TS2'!$J$84)</f>
        <v>0</v>
      </c>
      <c r="AZ154" s="161">
        <f>AZ27*(1-AZ$174)/(1+'TS2'!$J$84)</f>
        <v>0</v>
      </c>
      <c r="BA154" s="161">
        <f>BA27*(1-BA$174)/(1+'TS2'!$J$84)</f>
        <v>0</v>
      </c>
      <c r="BB154" s="161">
        <f>BB27*(1-BB$174)/(1+'TS2'!$J$84)</f>
        <v>0</v>
      </c>
      <c r="BC154" s="161">
        <f>BC27*(1-BC$174)/(1+'TS2'!$J$84)</f>
        <v>0</v>
      </c>
      <c r="BD154" s="161">
        <f>BD27*(1-BD$174)/(1+'TS2'!$J$84)</f>
        <v>0</v>
      </c>
      <c r="BE154" s="161">
        <f>BE27*(1-BE$174)/(1+'TS2'!$J$84)</f>
        <v>0</v>
      </c>
      <c r="BF154" s="161">
        <f>BF27*(1-BF$174)/(1+'TS2'!$J$84)</f>
        <v>0</v>
      </c>
      <c r="BG154" s="161">
        <f>BG27*(1-BG$174)/(1+'TS2'!$J$84)</f>
        <v>0</v>
      </c>
      <c r="BH154" s="161">
        <f>BH27*(1-BH$174)/(1+'TS2'!$J$84)</f>
        <v>0</v>
      </c>
      <c r="BI154" s="161">
        <f>BI27*(1-BI$174)/(1+'TS2'!$J$84)</f>
        <v>0</v>
      </c>
      <c r="BJ154" s="161">
        <f>BJ27*(1-BJ$174)/(1+'TS2'!$J$84)</f>
        <v>0</v>
      </c>
      <c r="BK154" s="161">
        <f>BK27*(1-BK$174)/(1+'TS2'!$J$84)</f>
        <v>0</v>
      </c>
      <c r="BL154" s="161">
        <f>BL27*(1-BL$174)/(1+'TS2'!$J$84)</f>
        <v>0</v>
      </c>
      <c r="BM154" s="161">
        <f>BM27*(1-BM$174)/(1+'TS2'!$J$84)</f>
        <v>0</v>
      </c>
    </row>
    <row r="155" spans="1:65" hidden="1" outlineLevel="1">
      <c r="A155" s="149"/>
      <c r="B155" s="27"/>
      <c r="C155" s="157"/>
      <c r="D155" s="158" t="str">
        <f t="shared" si="105"/>
        <v>ОФИСЫ</v>
      </c>
      <c r="E155" s="154">
        <f t="shared" si="83"/>
        <v>0</v>
      </c>
      <c r="F155" s="142"/>
      <c r="G155" s="161">
        <f>G28*(1-G$174)/(1+'TS2'!$J$84)</f>
        <v>0</v>
      </c>
      <c r="H155" s="161">
        <f>H28*(1-H$174)/(1+'TS2'!$J$84)</f>
        <v>0</v>
      </c>
      <c r="I155" s="161">
        <f>I28*(1-I$174)/(1+'TS2'!$J$84)</f>
        <v>0</v>
      </c>
      <c r="J155" s="161">
        <f>J28*(1-J$174)/(1+'TS2'!$J$84)</f>
        <v>0</v>
      </c>
      <c r="K155" s="161">
        <f>K28*(1-K$174)/(1+'TS2'!$J$84)</f>
        <v>0</v>
      </c>
      <c r="L155" s="161">
        <f>L28*(1-L$174)/(1+'TS2'!$J$84)</f>
        <v>0</v>
      </c>
      <c r="M155" s="161">
        <f>M28*(1-M$174)/(1+'TS2'!$J$84)</f>
        <v>0</v>
      </c>
      <c r="N155" s="161">
        <f>N28*(1-N$174)/(1+'TS2'!$J$84)</f>
        <v>0</v>
      </c>
      <c r="O155" s="161">
        <f>O28*(1-O$174)/(1+'TS2'!$J$84)</f>
        <v>0</v>
      </c>
      <c r="P155" s="161">
        <f>P28*(1-P$174)/(1+'TS2'!$J$84)</f>
        <v>0</v>
      </c>
      <c r="Q155" s="161">
        <f>Q28*(1-Q$174)/(1+'TS2'!$J$84)</f>
        <v>0</v>
      </c>
      <c r="R155" s="161">
        <f>R28*(1-R$174)/(1+'TS2'!$J$84)</f>
        <v>0</v>
      </c>
      <c r="S155" s="161">
        <f>S28*(1-S$174)/(1+'TS2'!$J$84)</f>
        <v>0</v>
      </c>
      <c r="T155" s="161">
        <f>T28*(1-T$174)/(1+'TS2'!$J$84)</f>
        <v>0</v>
      </c>
      <c r="U155" s="161">
        <f>U28*(1-U$174)/(1+'TS2'!$J$84)</f>
        <v>0</v>
      </c>
      <c r="V155" s="161">
        <f>V28*(1-V$174)/(1+'TS2'!$J$84)</f>
        <v>0</v>
      </c>
      <c r="W155" s="161">
        <f>W28*(1-W$174)/(1+'TS2'!$J$84)</f>
        <v>0</v>
      </c>
      <c r="X155" s="161">
        <f>X28*(1-X$174)/(1+'TS2'!$J$84)</f>
        <v>0</v>
      </c>
      <c r="Y155" s="161">
        <f>Y28*(1-Y$174)/(1+'TS2'!$J$84)</f>
        <v>0</v>
      </c>
      <c r="Z155" s="161">
        <f>Z28*(1-Z$174)/(1+'TS2'!$J$84)</f>
        <v>0</v>
      </c>
      <c r="AA155" s="161">
        <f>AA28*(1-AA$174)/(1+'TS2'!$J$84)</f>
        <v>0</v>
      </c>
      <c r="AB155" s="161">
        <f>AB28*(1-AB$174)/(1+'TS2'!$J$84)</f>
        <v>0</v>
      </c>
      <c r="AC155" s="161">
        <f>AC28*(1-AC$174)/(1+'TS2'!$J$84)</f>
        <v>0</v>
      </c>
      <c r="AD155" s="161">
        <f>AD28*(1-AD$174)/(1+'TS2'!$J$84)</f>
        <v>0</v>
      </c>
      <c r="AE155" s="161">
        <f>AE28*(1-AE$174)/(1+'TS2'!$J$84)</f>
        <v>0</v>
      </c>
      <c r="AF155" s="161">
        <f>AF28*(1-AF$174)/(1+'TS2'!$J$84)</f>
        <v>0</v>
      </c>
      <c r="AG155" s="161">
        <f>AG28*(1-AG$174)/(1+'TS2'!$J$84)</f>
        <v>0</v>
      </c>
      <c r="AH155" s="161">
        <f>AH28*(1-AH$174)/(1+'TS2'!$J$84)</f>
        <v>0</v>
      </c>
      <c r="AI155" s="161">
        <f>AI28*(1-AI$174)/(1+'TS2'!$J$84)</f>
        <v>0</v>
      </c>
      <c r="AJ155" s="161">
        <f>AJ28*(1-AJ$174)/(1+'TS2'!$J$84)</f>
        <v>0</v>
      </c>
      <c r="AK155" s="161">
        <f>AK28*(1-AK$174)/(1+'TS2'!$J$84)</f>
        <v>0</v>
      </c>
      <c r="AL155" s="161">
        <f>AL28*(1-AL$174)/(1+'TS2'!$J$84)</f>
        <v>0</v>
      </c>
      <c r="AM155" s="161">
        <f>AM28*(1-AM$174)/(1+'TS2'!$J$84)</f>
        <v>0</v>
      </c>
      <c r="AN155" s="161">
        <f>AN28*(1-AN$174)/(1+'TS2'!$J$84)</f>
        <v>0</v>
      </c>
      <c r="AO155" s="161">
        <f>AO28*(1-AO$174)/(1+'TS2'!$J$84)</f>
        <v>0</v>
      </c>
      <c r="AP155" s="161">
        <f>AP28*(1-AP$174)/(1+'TS2'!$J$84)</f>
        <v>0</v>
      </c>
      <c r="AQ155" s="161">
        <f>AQ28*(1-AQ$174)/(1+'TS2'!$J$84)</f>
        <v>0</v>
      </c>
      <c r="AR155" s="161">
        <f>AR28*(1-AR$174)/(1+'TS2'!$J$84)</f>
        <v>0</v>
      </c>
      <c r="AS155" s="161">
        <f>AS28*(1-AS$174)/(1+'TS2'!$J$84)</f>
        <v>0</v>
      </c>
      <c r="AT155" s="161">
        <f>AT28*(1-AT$174)/(1+'TS2'!$J$84)</f>
        <v>0</v>
      </c>
      <c r="AU155" s="161">
        <f>AU28*(1-AU$174)/(1+'TS2'!$J$84)</f>
        <v>0</v>
      </c>
      <c r="AV155" s="161">
        <f>AV28*(1-AV$174)/(1+'TS2'!$J$84)</f>
        <v>0</v>
      </c>
      <c r="AW155" s="161">
        <f>AW28*(1-AW$174)/(1+'TS2'!$J$84)</f>
        <v>0</v>
      </c>
      <c r="AX155" s="161">
        <f>AX28*(1-AX$174)/(1+'TS2'!$J$84)</f>
        <v>0</v>
      </c>
      <c r="AY155" s="161">
        <f>AY28*(1-AY$174)/(1+'TS2'!$J$84)</f>
        <v>0</v>
      </c>
      <c r="AZ155" s="161">
        <f>AZ28*(1-AZ$174)/(1+'TS2'!$J$84)</f>
        <v>0</v>
      </c>
      <c r="BA155" s="161">
        <f>BA28*(1-BA$174)/(1+'TS2'!$J$84)</f>
        <v>0</v>
      </c>
      <c r="BB155" s="161">
        <f>BB28*(1-BB$174)/(1+'TS2'!$J$84)</f>
        <v>0</v>
      </c>
      <c r="BC155" s="161">
        <f>BC28*(1-BC$174)/(1+'TS2'!$J$84)</f>
        <v>0</v>
      </c>
      <c r="BD155" s="161">
        <f>BD28*(1-BD$174)/(1+'TS2'!$J$84)</f>
        <v>0</v>
      </c>
      <c r="BE155" s="161">
        <f>BE28*(1-BE$174)/(1+'TS2'!$J$84)</f>
        <v>0</v>
      </c>
      <c r="BF155" s="161">
        <f>BF28*(1-BF$174)/(1+'TS2'!$J$84)</f>
        <v>0</v>
      </c>
      <c r="BG155" s="161">
        <f>BG28*(1-BG$174)/(1+'TS2'!$J$84)</f>
        <v>0</v>
      </c>
      <c r="BH155" s="161">
        <f>BH28*(1-BH$174)/(1+'TS2'!$J$84)</f>
        <v>0</v>
      </c>
      <c r="BI155" s="161">
        <f>BI28*(1-BI$174)/(1+'TS2'!$J$84)</f>
        <v>0</v>
      </c>
      <c r="BJ155" s="161">
        <f>BJ28*(1-BJ$174)/(1+'TS2'!$J$84)</f>
        <v>0</v>
      </c>
      <c r="BK155" s="161">
        <f>BK28*(1-BK$174)/(1+'TS2'!$J$84)</f>
        <v>0</v>
      </c>
      <c r="BL155" s="161">
        <f>BL28*(1-BL$174)/(1+'TS2'!$J$84)</f>
        <v>0</v>
      </c>
      <c r="BM155" s="161">
        <f>BM28*(1-BM$174)/(1+'TS2'!$J$84)</f>
        <v>0</v>
      </c>
    </row>
    <row r="156" spans="1:65" hidden="1" outlineLevel="1">
      <c r="A156" s="149"/>
      <c r="B156" s="27"/>
      <c r="C156" s="157"/>
      <c r="D156" s="158" t="str">
        <f t="shared" si="105"/>
        <v>РИТЕЙЛ</v>
      </c>
      <c r="E156" s="154">
        <f t="shared" si="83"/>
        <v>1491.0341249999997</v>
      </c>
      <c r="F156" s="142"/>
      <c r="G156" s="161">
        <f>G29*(1-G$174)/(1+'TS2'!$J$84)</f>
        <v>0</v>
      </c>
      <c r="H156" s="161">
        <f>H29*(1-H$174)/(1+'TS2'!$J$84)</f>
        <v>0</v>
      </c>
      <c r="I156" s="161">
        <f>I29*(1-I$174)/(1+'TS2'!$J$84)</f>
        <v>0</v>
      </c>
      <c r="J156" s="161">
        <f>J29*(1-J$174)/(1+'TS2'!$J$84)</f>
        <v>0</v>
      </c>
      <c r="K156" s="161">
        <f>K29*(1-K$174)/(1+'TS2'!$J$84)</f>
        <v>0</v>
      </c>
      <c r="L156" s="161">
        <f>L29*(1-L$174)/(1+'TS2'!$J$84)</f>
        <v>0</v>
      </c>
      <c r="M156" s="161">
        <f>M29*(1-M$174)/(1+'TS2'!$J$84)</f>
        <v>0</v>
      </c>
      <c r="N156" s="161">
        <f>N29*(1-N$174)/(1+'TS2'!$J$84)</f>
        <v>0</v>
      </c>
      <c r="O156" s="161">
        <f>O29*(1-O$174)/(1+'TS2'!$J$84)</f>
        <v>0</v>
      </c>
      <c r="P156" s="161">
        <f>P29*(1-P$174)/(1+'TS2'!$J$84)</f>
        <v>0</v>
      </c>
      <c r="Q156" s="161">
        <f>Q29*(1-Q$174)/(1+'TS2'!$J$84)</f>
        <v>0</v>
      </c>
      <c r="R156" s="161">
        <f>R29*(1-R$174)/(1+'TS2'!$J$84)</f>
        <v>0</v>
      </c>
      <c r="S156" s="161">
        <f>S29*(1-S$174)/(1+'TS2'!$J$84)</f>
        <v>0</v>
      </c>
      <c r="T156" s="161">
        <f>T29*(1-T$174)/(1+'TS2'!$J$84)</f>
        <v>0</v>
      </c>
      <c r="U156" s="161">
        <f>U29*(1-U$174)/(1+'TS2'!$J$84)</f>
        <v>0</v>
      </c>
      <c r="V156" s="161">
        <f>V29*(1-V$174)/(1+'TS2'!$J$84)</f>
        <v>0</v>
      </c>
      <c r="W156" s="161">
        <f>W29*(1-W$174)/(1+'TS2'!$J$84)</f>
        <v>0</v>
      </c>
      <c r="X156" s="161">
        <f>X29*(1-X$174)/(1+'TS2'!$J$84)</f>
        <v>0</v>
      </c>
      <c r="Y156" s="161">
        <f>Y29*(1-Y$174)/(1+'TS2'!$J$84)</f>
        <v>0</v>
      </c>
      <c r="Z156" s="161">
        <f>Z29*(1-Z$174)/(1+'TS2'!$J$84)</f>
        <v>0</v>
      </c>
      <c r="AA156" s="161">
        <f>AA29*(1-AA$174)/(1+'TS2'!$J$84)</f>
        <v>0</v>
      </c>
      <c r="AB156" s="161">
        <f>AB29*(1-AB$174)/(1+'TS2'!$J$84)</f>
        <v>0</v>
      </c>
      <c r="AC156" s="161">
        <f>AC29*(1-AC$174)/(1+'TS2'!$J$84)</f>
        <v>0</v>
      </c>
      <c r="AD156" s="161">
        <f>AD29*(1-AD$174)/(1+'TS2'!$J$84)</f>
        <v>0</v>
      </c>
      <c r="AE156" s="161">
        <f>AE29*(1-AE$174)/(1+'TS2'!$J$84)</f>
        <v>0</v>
      </c>
      <c r="AF156" s="161">
        <f>AF29*(1-AF$174)/(1+'TS2'!$J$84)</f>
        <v>0</v>
      </c>
      <c r="AG156" s="161">
        <f>AG29*(1-AG$174)/(1+'TS2'!$J$84)</f>
        <v>0</v>
      </c>
      <c r="AH156" s="161">
        <f>AH29*(1-AH$174)/(1+'TS2'!$J$84)</f>
        <v>0</v>
      </c>
      <c r="AI156" s="161">
        <f>AI29*(1-AI$174)/(1+'TS2'!$J$84)</f>
        <v>0</v>
      </c>
      <c r="AJ156" s="161">
        <f>AJ29*(1-AJ$174)/(1+'TS2'!$J$84)</f>
        <v>0</v>
      </c>
      <c r="AK156" s="161">
        <f>AK29*(1-AK$174)/(1+'TS2'!$J$84)</f>
        <v>745.51706249999984</v>
      </c>
      <c r="AL156" s="161">
        <f>AL29*(1-AL$174)/(1+'TS2'!$J$84)</f>
        <v>745.51706249999984</v>
      </c>
      <c r="AM156" s="161">
        <f>AM29*(1-AM$174)/(1+'TS2'!$J$84)</f>
        <v>0</v>
      </c>
      <c r="AN156" s="161">
        <f>AN29*(1-AN$174)/(1+'TS2'!$J$84)</f>
        <v>0</v>
      </c>
      <c r="AO156" s="161">
        <f>AO29*(1-AO$174)/(1+'TS2'!$J$84)</f>
        <v>0</v>
      </c>
      <c r="AP156" s="161">
        <f>AP29*(1-AP$174)/(1+'TS2'!$J$84)</f>
        <v>0</v>
      </c>
      <c r="AQ156" s="161">
        <f>AQ29*(1-AQ$174)/(1+'TS2'!$J$84)</f>
        <v>0</v>
      </c>
      <c r="AR156" s="161">
        <f>AR29*(1-AR$174)/(1+'TS2'!$J$84)</f>
        <v>0</v>
      </c>
      <c r="AS156" s="161">
        <f>AS29*(1-AS$174)/(1+'TS2'!$J$84)</f>
        <v>0</v>
      </c>
      <c r="AT156" s="161">
        <f>AT29*(1-AT$174)/(1+'TS2'!$J$84)</f>
        <v>0</v>
      </c>
      <c r="AU156" s="161">
        <f>AU29*(1-AU$174)/(1+'TS2'!$J$84)</f>
        <v>0</v>
      </c>
      <c r="AV156" s="161">
        <f>AV29*(1-AV$174)/(1+'TS2'!$J$84)</f>
        <v>0</v>
      </c>
      <c r="AW156" s="161">
        <f>AW29*(1-AW$174)/(1+'TS2'!$J$84)</f>
        <v>0</v>
      </c>
      <c r="AX156" s="161">
        <f>AX29*(1-AX$174)/(1+'TS2'!$J$84)</f>
        <v>0</v>
      </c>
      <c r="AY156" s="161">
        <f>AY29*(1-AY$174)/(1+'TS2'!$J$84)</f>
        <v>0</v>
      </c>
      <c r="AZ156" s="161">
        <f>AZ29*(1-AZ$174)/(1+'TS2'!$J$84)</f>
        <v>0</v>
      </c>
      <c r="BA156" s="161">
        <f>BA29*(1-BA$174)/(1+'TS2'!$J$84)</f>
        <v>0</v>
      </c>
      <c r="BB156" s="161">
        <f>BB29*(1-BB$174)/(1+'TS2'!$J$84)</f>
        <v>0</v>
      </c>
      <c r="BC156" s="161">
        <f>BC29*(1-BC$174)/(1+'TS2'!$J$84)</f>
        <v>0</v>
      </c>
      <c r="BD156" s="161">
        <f>BD29*(1-BD$174)/(1+'TS2'!$J$84)</f>
        <v>0</v>
      </c>
      <c r="BE156" s="161">
        <f>BE29*(1-BE$174)/(1+'TS2'!$J$84)</f>
        <v>0</v>
      </c>
      <c r="BF156" s="161">
        <f>BF29*(1-BF$174)/(1+'TS2'!$J$84)</f>
        <v>0</v>
      </c>
      <c r="BG156" s="161">
        <f>BG29*(1-BG$174)/(1+'TS2'!$J$84)</f>
        <v>0</v>
      </c>
      <c r="BH156" s="161">
        <f>BH29*(1-BH$174)/(1+'TS2'!$J$84)</f>
        <v>0</v>
      </c>
      <c r="BI156" s="161">
        <f>BI29*(1-BI$174)/(1+'TS2'!$J$84)</f>
        <v>0</v>
      </c>
      <c r="BJ156" s="161">
        <f>BJ29*(1-BJ$174)/(1+'TS2'!$J$84)</f>
        <v>0</v>
      </c>
      <c r="BK156" s="161">
        <f>BK29*(1-BK$174)/(1+'TS2'!$J$84)</f>
        <v>0</v>
      </c>
      <c r="BL156" s="161">
        <f>BL29*(1-BL$174)/(1+'TS2'!$J$84)</f>
        <v>0</v>
      </c>
      <c r="BM156" s="161">
        <f>BM29*(1-BM$174)/(1+'TS2'!$J$84)</f>
        <v>0</v>
      </c>
    </row>
    <row r="157" spans="1:65" hidden="1" outlineLevel="1">
      <c r="A157" s="149"/>
      <c r="B157" s="27"/>
      <c r="C157" s="157"/>
      <c r="D157" s="158" t="str">
        <f t="shared" si="105"/>
        <v>ТЦ</v>
      </c>
      <c r="E157" s="154">
        <f t="shared" si="83"/>
        <v>0</v>
      </c>
      <c r="F157" s="142"/>
      <c r="G157" s="161">
        <f>G30*(1-G$174)/(1+'TS2'!$J$84)</f>
        <v>0</v>
      </c>
      <c r="H157" s="161">
        <f>H30*(1-H$174)/(1+'TS2'!$J$84)</f>
        <v>0</v>
      </c>
      <c r="I157" s="161">
        <f>I30*(1-I$174)/(1+'TS2'!$J$84)</f>
        <v>0</v>
      </c>
      <c r="J157" s="161">
        <f>J30*(1-J$174)/(1+'TS2'!$J$84)</f>
        <v>0</v>
      </c>
      <c r="K157" s="161">
        <f>K30*(1-K$174)/(1+'TS2'!$J$84)</f>
        <v>0</v>
      </c>
      <c r="L157" s="161">
        <f>L30*(1-L$174)/(1+'TS2'!$J$84)</f>
        <v>0</v>
      </c>
      <c r="M157" s="161">
        <f>M30*(1-M$174)/(1+'TS2'!$J$84)</f>
        <v>0</v>
      </c>
      <c r="N157" s="161">
        <f>N30*(1-N$174)/(1+'TS2'!$J$84)</f>
        <v>0</v>
      </c>
      <c r="O157" s="161">
        <f>O30*(1-O$174)/(1+'TS2'!$J$84)</f>
        <v>0</v>
      </c>
      <c r="P157" s="161">
        <f>P30*(1-P$174)/(1+'TS2'!$J$84)</f>
        <v>0</v>
      </c>
      <c r="Q157" s="161">
        <f>Q30*(1-Q$174)/(1+'TS2'!$J$84)</f>
        <v>0</v>
      </c>
      <c r="R157" s="161">
        <f>R30*(1-R$174)/(1+'TS2'!$J$84)</f>
        <v>0</v>
      </c>
      <c r="S157" s="161">
        <f>S30*(1-S$174)/(1+'TS2'!$J$84)</f>
        <v>0</v>
      </c>
      <c r="T157" s="161">
        <f>T30*(1-T$174)/(1+'TS2'!$J$84)</f>
        <v>0</v>
      </c>
      <c r="U157" s="161">
        <f>U30*(1-U$174)/(1+'TS2'!$J$84)</f>
        <v>0</v>
      </c>
      <c r="V157" s="161">
        <f>V30*(1-V$174)/(1+'TS2'!$J$84)</f>
        <v>0</v>
      </c>
      <c r="W157" s="161">
        <f>W30*(1-W$174)/(1+'TS2'!$J$84)</f>
        <v>0</v>
      </c>
      <c r="X157" s="161">
        <f>X30*(1-X$174)/(1+'TS2'!$J$84)</f>
        <v>0</v>
      </c>
      <c r="Y157" s="161">
        <f>Y30*(1-Y$174)/(1+'TS2'!$J$84)</f>
        <v>0</v>
      </c>
      <c r="Z157" s="161">
        <f>Z30*(1-Z$174)/(1+'TS2'!$J$84)</f>
        <v>0</v>
      </c>
      <c r="AA157" s="161">
        <f>AA30*(1-AA$174)/(1+'TS2'!$J$84)</f>
        <v>0</v>
      </c>
      <c r="AB157" s="161">
        <f>AB30*(1-AB$174)/(1+'TS2'!$J$84)</f>
        <v>0</v>
      </c>
      <c r="AC157" s="161">
        <f>AC30*(1-AC$174)/(1+'TS2'!$J$84)</f>
        <v>0</v>
      </c>
      <c r="AD157" s="161">
        <f>AD30*(1-AD$174)/(1+'TS2'!$J$84)</f>
        <v>0</v>
      </c>
      <c r="AE157" s="161">
        <f>AE30*(1-AE$174)/(1+'TS2'!$J$84)</f>
        <v>0</v>
      </c>
      <c r="AF157" s="161">
        <f>AF30*(1-AF$174)/(1+'TS2'!$J$84)</f>
        <v>0</v>
      </c>
      <c r="AG157" s="161">
        <f>AG30*(1-AG$174)/(1+'TS2'!$J$84)</f>
        <v>0</v>
      </c>
      <c r="AH157" s="161">
        <f>AH30*(1-AH$174)/(1+'TS2'!$J$84)</f>
        <v>0</v>
      </c>
      <c r="AI157" s="161">
        <f>AI30*(1-AI$174)/(1+'TS2'!$J$84)</f>
        <v>0</v>
      </c>
      <c r="AJ157" s="161">
        <f>AJ30*(1-AJ$174)/(1+'TS2'!$J$84)</f>
        <v>0</v>
      </c>
      <c r="AK157" s="161">
        <f>AK30*(1-AK$174)/(1+'TS2'!$J$84)</f>
        <v>0</v>
      </c>
      <c r="AL157" s="161">
        <f>AL30*(1-AL$174)/(1+'TS2'!$J$84)</f>
        <v>0</v>
      </c>
      <c r="AM157" s="161">
        <f>AM30*(1-AM$174)/(1+'TS2'!$J$84)</f>
        <v>0</v>
      </c>
      <c r="AN157" s="161">
        <f>AN30*(1-AN$174)/(1+'TS2'!$J$84)</f>
        <v>0</v>
      </c>
      <c r="AO157" s="161">
        <f>AO30*(1-AO$174)/(1+'TS2'!$J$84)</f>
        <v>0</v>
      </c>
      <c r="AP157" s="161">
        <f>AP30*(1-AP$174)/(1+'TS2'!$J$84)</f>
        <v>0</v>
      </c>
      <c r="AQ157" s="161">
        <f>AQ30*(1-AQ$174)/(1+'TS2'!$J$84)</f>
        <v>0</v>
      </c>
      <c r="AR157" s="161">
        <f>AR30*(1-AR$174)/(1+'TS2'!$J$84)</f>
        <v>0</v>
      </c>
      <c r="AS157" s="161">
        <f>AS30*(1-AS$174)/(1+'TS2'!$J$84)</f>
        <v>0</v>
      </c>
      <c r="AT157" s="161">
        <f>AT30*(1-AT$174)/(1+'TS2'!$J$84)</f>
        <v>0</v>
      </c>
      <c r="AU157" s="161">
        <f>AU30*(1-AU$174)/(1+'TS2'!$J$84)</f>
        <v>0</v>
      </c>
      <c r="AV157" s="161">
        <f>AV30*(1-AV$174)/(1+'TS2'!$J$84)</f>
        <v>0</v>
      </c>
      <c r="AW157" s="161">
        <f>AW30*(1-AW$174)/(1+'TS2'!$J$84)</f>
        <v>0</v>
      </c>
      <c r="AX157" s="161">
        <f>AX30*(1-AX$174)/(1+'TS2'!$J$84)</f>
        <v>0</v>
      </c>
      <c r="AY157" s="161">
        <f>AY30*(1-AY$174)/(1+'TS2'!$J$84)</f>
        <v>0</v>
      </c>
      <c r="AZ157" s="161">
        <f>AZ30*(1-AZ$174)/(1+'TS2'!$J$84)</f>
        <v>0</v>
      </c>
      <c r="BA157" s="161">
        <f>BA30*(1-BA$174)/(1+'TS2'!$J$84)</f>
        <v>0</v>
      </c>
      <c r="BB157" s="161">
        <f>BB30*(1-BB$174)/(1+'TS2'!$J$84)</f>
        <v>0</v>
      </c>
      <c r="BC157" s="161">
        <f>BC30*(1-BC$174)/(1+'TS2'!$J$84)</f>
        <v>0</v>
      </c>
      <c r="BD157" s="161">
        <f>BD30*(1-BD$174)/(1+'TS2'!$J$84)</f>
        <v>0</v>
      </c>
      <c r="BE157" s="161">
        <f>BE30*(1-BE$174)/(1+'TS2'!$J$84)</f>
        <v>0</v>
      </c>
      <c r="BF157" s="161">
        <f>BF30*(1-BF$174)/(1+'TS2'!$J$84)</f>
        <v>0</v>
      </c>
      <c r="BG157" s="161">
        <f>BG30*(1-BG$174)/(1+'TS2'!$J$84)</f>
        <v>0</v>
      </c>
      <c r="BH157" s="161">
        <f>BH30*(1-BH$174)/(1+'TS2'!$J$84)</f>
        <v>0</v>
      </c>
      <c r="BI157" s="161">
        <f>BI30*(1-BI$174)/(1+'TS2'!$J$84)</f>
        <v>0</v>
      </c>
      <c r="BJ157" s="161">
        <f>BJ30*(1-BJ$174)/(1+'TS2'!$J$84)</f>
        <v>0</v>
      </c>
      <c r="BK157" s="161">
        <f>BK30*(1-BK$174)/(1+'TS2'!$J$84)</f>
        <v>0</v>
      </c>
      <c r="BL157" s="161">
        <f>BL30*(1-BL$174)/(1+'TS2'!$J$84)</f>
        <v>0</v>
      </c>
      <c r="BM157" s="161">
        <f>BM30*(1-BM$174)/(1+'TS2'!$J$84)</f>
        <v>0</v>
      </c>
    </row>
    <row r="158" spans="1:65" hidden="1" outlineLevel="1">
      <c r="A158" s="149"/>
      <c r="B158" s="27"/>
      <c r="C158" s="157"/>
      <c r="D158" s="158" t="str">
        <f t="shared" si="105"/>
        <v>ПАРКИНГ ЖИЛЬЕ</v>
      </c>
      <c r="E158" s="154">
        <f t="shared" si="83"/>
        <v>573.75</v>
      </c>
      <c r="F158" s="142"/>
      <c r="G158" s="161">
        <f>G31*(1-G$174)/(1+'TS2'!$J$84)</f>
        <v>0</v>
      </c>
      <c r="H158" s="161">
        <f>H31*(1-H$174)/(1+'TS2'!$J$84)</f>
        <v>0</v>
      </c>
      <c r="I158" s="161">
        <f>I31*(1-I$174)/(1+'TS2'!$J$84)</f>
        <v>0</v>
      </c>
      <c r="J158" s="161">
        <f>J31*(1-J$174)/(1+'TS2'!$J$84)</f>
        <v>0</v>
      </c>
      <c r="K158" s="161">
        <f>K31*(1-K$174)/(1+'TS2'!$J$84)</f>
        <v>0</v>
      </c>
      <c r="L158" s="161">
        <f>L31*(1-L$174)/(1+'TS2'!$J$84)</f>
        <v>0</v>
      </c>
      <c r="M158" s="161">
        <f>M31*(1-M$174)/(1+'TS2'!$J$84)</f>
        <v>0</v>
      </c>
      <c r="N158" s="161">
        <f>N31*(1-N$174)/(1+'TS2'!$J$84)</f>
        <v>0</v>
      </c>
      <c r="O158" s="161">
        <f>O31*(1-O$174)/(1+'TS2'!$J$84)</f>
        <v>0</v>
      </c>
      <c r="P158" s="161">
        <f>P31*(1-P$174)/(1+'TS2'!$J$84)</f>
        <v>0</v>
      </c>
      <c r="Q158" s="161">
        <f>Q31*(1-Q$174)/(1+'TS2'!$J$84)</f>
        <v>0</v>
      </c>
      <c r="R158" s="161">
        <f>R31*(1-R$174)/(1+'TS2'!$J$84)</f>
        <v>0</v>
      </c>
      <c r="S158" s="161">
        <f>S31*(1-S$174)/(1+'TS2'!$J$84)</f>
        <v>0</v>
      </c>
      <c r="T158" s="161">
        <f>T31*(1-T$174)/(1+'TS2'!$J$84)</f>
        <v>0</v>
      </c>
      <c r="U158" s="161">
        <f>U31*(1-U$174)/(1+'TS2'!$J$84)</f>
        <v>0</v>
      </c>
      <c r="V158" s="161">
        <f>V31*(1-V$174)/(1+'TS2'!$J$84)</f>
        <v>0</v>
      </c>
      <c r="W158" s="161">
        <f>W31*(1-W$174)/(1+'TS2'!$J$84)</f>
        <v>0</v>
      </c>
      <c r="X158" s="161">
        <f>X31*(1-X$174)/(1+'TS2'!$J$84)</f>
        <v>0</v>
      </c>
      <c r="Y158" s="161">
        <f>Y31*(1-Y$174)/(1+'TS2'!$J$84)</f>
        <v>0</v>
      </c>
      <c r="Z158" s="161">
        <f>Z31*(1-Z$174)/(1+'TS2'!$J$84)</f>
        <v>0</v>
      </c>
      <c r="AA158" s="161">
        <f>AA31*(1-AA$174)/(1+'TS2'!$J$84)</f>
        <v>0</v>
      </c>
      <c r="AB158" s="161">
        <f>AB31*(1-AB$174)/(1+'TS2'!$J$84)</f>
        <v>0</v>
      </c>
      <c r="AC158" s="161">
        <f>AC31*(1-AC$174)/(1+'TS2'!$J$84)</f>
        <v>0</v>
      </c>
      <c r="AD158" s="161">
        <f>AD31*(1-AD$174)/(1+'TS2'!$J$84)</f>
        <v>0</v>
      </c>
      <c r="AE158" s="161">
        <f>AE31*(1-AE$174)/(1+'TS2'!$J$84)</f>
        <v>0</v>
      </c>
      <c r="AF158" s="161">
        <f>AF31*(1-AF$174)/(1+'TS2'!$J$84)</f>
        <v>0</v>
      </c>
      <c r="AG158" s="161">
        <f>AG31*(1-AG$174)/(1+'TS2'!$J$84)</f>
        <v>0</v>
      </c>
      <c r="AH158" s="161">
        <f>AH31*(1-AH$174)/(1+'TS2'!$J$84)</f>
        <v>0</v>
      </c>
      <c r="AI158" s="161">
        <f>AI31*(1-AI$174)/(1+'TS2'!$J$84)</f>
        <v>0</v>
      </c>
      <c r="AJ158" s="161">
        <f>AJ31*(1-AJ$174)/(1+'TS2'!$J$84)</f>
        <v>112.5</v>
      </c>
      <c r="AK158" s="161">
        <f>AK31*(1-AK$174)/(1+'TS2'!$J$84)</f>
        <v>112.5</v>
      </c>
      <c r="AL158" s="161">
        <f>AL31*(1-AL$174)/(1+'TS2'!$J$84)</f>
        <v>112.5</v>
      </c>
      <c r="AM158" s="161">
        <f>AM31*(1-AM$174)/(1+'TS2'!$J$84)</f>
        <v>112.5</v>
      </c>
      <c r="AN158" s="161">
        <f>AN31*(1-AN$174)/(1+'TS2'!$J$84)</f>
        <v>123.75</v>
      </c>
      <c r="AO158" s="161">
        <f>AO31*(1-AO$174)/(1+'TS2'!$J$84)</f>
        <v>0</v>
      </c>
      <c r="AP158" s="161">
        <f>AP31*(1-AP$174)/(1+'TS2'!$J$84)</f>
        <v>0</v>
      </c>
      <c r="AQ158" s="161">
        <f>AQ31*(1-AQ$174)/(1+'TS2'!$J$84)</f>
        <v>0</v>
      </c>
      <c r="AR158" s="161">
        <f>AR31*(1-AR$174)/(1+'TS2'!$J$84)</f>
        <v>0</v>
      </c>
      <c r="AS158" s="161">
        <f>AS31*(1-AS$174)/(1+'TS2'!$J$84)</f>
        <v>0</v>
      </c>
      <c r="AT158" s="161">
        <f>AT31*(1-AT$174)/(1+'TS2'!$J$84)</f>
        <v>0</v>
      </c>
      <c r="AU158" s="161">
        <f>AU31*(1-AU$174)/(1+'TS2'!$J$84)</f>
        <v>0</v>
      </c>
      <c r="AV158" s="161">
        <f>AV31*(1-AV$174)/(1+'TS2'!$J$84)</f>
        <v>0</v>
      </c>
      <c r="AW158" s="161">
        <f>AW31*(1-AW$174)/(1+'TS2'!$J$84)</f>
        <v>0</v>
      </c>
      <c r="AX158" s="161">
        <f>AX31*(1-AX$174)/(1+'TS2'!$J$84)</f>
        <v>0</v>
      </c>
      <c r="AY158" s="161">
        <f>AY31*(1-AY$174)/(1+'TS2'!$J$84)</f>
        <v>0</v>
      </c>
      <c r="AZ158" s="161">
        <f>AZ31*(1-AZ$174)/(1+'TS2'!$J$84)</f>
        <v>0</v>
      </c>
      <c r="BA158" s="161">
        <f>BA31*(1-BA$174)/(1+'TS2'!$J$84)</f>
        <v>0</v>
      </c>
      <c r="BB158" s="161">
        <f>BB31*(1-BB$174)/(1+'TS2'!$J$84)</f>
        <v>0</v>
      </c>
      <c r="BC158" s="161">
        <f>BC31*(1-BC$174)/(1+'TS2'!$J$84)</f>
        <v>0</v>
      </c>
      <c r="BD158" s="161">
        <f>BD31*(1-BD$174)/(1+'TS2'!$J$84)</f>
        <v>0</v>
      </c>
      <c r="BE158" s="161">
        <f>BE31*(1-BE$174)/(1+'TS2'!$J$84)</f>
        <v>0</v>
      </c>
      <c r="BF158" s="161">
        <f>BF31*(1-BF$174)/(1+'TS2'!$J$84)</f>
        <v>0</v>
      </c>
      <c r="BG158" s="161">
        <f>BG31*(1-BG$174)/(1+'TS2'!$J$84)</f>
        <v>0</v>
      </c>
      <c r="BH158" s="161">
        <f>BH31*(1-BH$174)/(1+'TS2'!$J$84)</f>
        <v>0</v>
      </c>
      <c r="BI158" s="161">
        <f>BI31*(1-BI$174)/(1+'TS2'!$J$84)</f>
        <v>0</v>
      </c>
      <c r="BJ158" s="161">
        <f>BJ31*(1-BJ$174)/(1+'TS2'!$J$84)</f>
        <v>0</v>
      </c>
      <c r="BK158" s="161">
        <f>BK31*(1-BK$174)/(1+'TS2'!$J$84)</f>
        <v>0</v>
      </c>
      <c r="BL158" s="161">
        <f>BL31*(1-BL$174)/(1+'TS2'!$J$84)</f>
        <v>0</v>
      </c>
      <c r="BM158" s="161">
        <f>BM31*(1-BM$174)/(1+'TS2'!$J$84)</f>
        <v>0</v>
      </c>
    </row>
    <row r="159" spans="1:65" hidden="1" outlineLevel="1">
      <c r="A159" s="149"/>
      <c r="B159" s="27"/>
      <c r="C159" s="157"/>
      <c r="D159" s="158" t="str">
        <f t="shared" si="105"/>
        <v>ПАРКИНГ ОФИС</v>
      </c>
      <c r="E159" s="154">
        <f t="shared" si="83"/>
        <v>0</v>
      </c>
      <c r="F159" s="142"/>
      <c r="G159" s="161">
        <f>G32*(1-G$174)/(1+'TS2'!$J$84)</f>
        <v>0</v>
      </c>
      <c r="H159" s="161">
        <f>H32*(1-H$174)/(1+'TS2'!$J$84)</f>
        <v>0</v>
      </c>
      <c r="I159" s="161">
        <f>I32*(1-I$174)/(1+'TS2'!$J$84)</f>
        <v>0</v>
      </c>
      <c r="J159" s="161">
        <f>J32*(1-J$174)/(1+'TS2'!$J$84)</f>
        <v>0</v>
      </c>
      <c r="K159" s="161">
        <f>K32*(1-K$174)/(1+'TS2'!$J$84)</f>
        <v>0</v>
      </c>
      <c r="L159" s="161">
        <f>L32*(1-L$174)/(1+'TS2'!$J$84)</f>
        <v>0</v>
      </c>
      <c r="M159" s="161">
        <f>M32*(1-M$174)/(1+'TS2'!$J$84)</f>
        <v>0</v>
      </c>
      <c r="N159" s="161">
        <f>N32*(1-N$174)/(1+'TS2'!$J$84)</f>
        <v>0</v>
      </c>
      <c r="O159" s="161">
        <f>O32*(1-O$174)/(1+'TS2'!$J$84)</f>
        <v>0</v>
      </c>
      <c r="P159" s="161">
        <f>P32*(1-P$174)/(1+'TS2'!$J$84)</f>
        <v>0</v>
      </c>
      <c r="Q159" s="161">
        <f>Q32*(1-Q$174)/(1+'TS2'!$J$84)</f>
        <v>0</v>
      </c>
      <c r="R159" s="161">
        <f>R32*(1-R$174)/(1+'TS2'!$J$84)</f>
        <v>0</v>
      </c>
      <c r="S159" s="161">
        <f>S32*(1-S$174)/(1+'TS2'!$J$84)</f>
        <v>0</v>
      </c>
      <c r="T159" s="161">
        <f>T32*(1-T$174)/(1+'TS2'!$J$84)</f>
        <v>0</v>
      </c>
      <c r="U159" s="161">
        <f>U32*(1-U$174)/(1+'TS2'!$J$84)</f>
        <v>0</v>
      </c>
      <c r="V159" s="161">
        <f>V32*(1-V$174)/(1+'TS2'!$J$84)</f>
        <v>0</v>
      </c>
      <c r="W159" s="161">
        <f>W32*(1-W$174)/(1+'TS2'!$J$84)</f>
        <v>0</v>
      </c>
      <c r="X159" s="161">
        <f>X32*(1-X$174)/(1+'TS2'!$J$84)</f>
        <v>0</v>
      </c>
      <c r="Y159" s="161">
        <f>Y32*(1-Y$174)/(1+'TS2'!$J$84)</f>
        <v>0</v>
      </c>
      <c r="Z159" s="161">
        <f>Z32*(1-Z$174)/(1+'TS2'!$J$84)</f>
        <v>0</v>
      </c>
      <c r="AA159" s="161">
        <f>AA32*(1-AA$174)/(1+'TS2'!$J$84)</f>
        <v>0</v>
      </c>
      <c r="AB159" s="161">
        <f>AB32*(1-AB$174)/(1+'TS2'!$J$84)</f>
        <v>0</v>
      </c>
      <c r="AC159" s="161">
        <f>AC32*(1-AC$174)/(1+'TS2'!$J$84)</f>
        <v>0</v>
      </c>
      <c r="AD159" s="161">
        <f>AD32*(1-AD$174)/(1+'TS2'!$J$84)</f>
        <v>0</v>
      </c>
      <c r="AE159" s="161">
        <f>AE32*(1-AE$174)/(1+'TS2'!$J$84)</f>
        <v>0</v>
      </c>
      <c r="AF159" s="161">
        <f>AF32*(1-AF$174)/(1+'TS2'!$J$84)</f>
        <v>0</v>
      </c>
      <c r="AG159" s="161">
        <f>AG32*(1-AG$174)/(1+'TS2'!$J$84)</f>
        <v>0</v>
      </c>
      <c r="AH159" s="161">
        <f>AH32*(1-AH$174)/(1+'TS2'!$J$84)</f>
        <v>0</v>
      </c>
      <c r="AI159" s="161">
        <f>AI32*(1-AI$174)/(1+'TS2'!$J$84)</f>
        <v>0</v>
      </c>
      <c r="AJ159" s="161">
        <f>AJ32*(1-AJ$174)/(1+'TS2'!$J$84)</f>
        <v>0</v>
      </c>
      <c r="AK159" s="161">
        <f>AK32*(1-AK$174)/(1+'TS2'!$J$84)</f>
        <v>0</v>
      </c>
      <c r="AL159" s="161">
        <f>AL32*(1-AL$174)/(1+'TS2'!$J$84)</f>
        <v>0</v>
      </c>
      <c r="AM159" s="161">
        <f>AM32*(1-AM$174)/(1+'TS2'!$J$84)</f>
        <v>0</v>
      </c>
      <c r="AN159" s="161">
        <f>AN32*(1-AN$174)/(1+'TS2'!$J$84)</f>
        <v>0</v>
      </c>
      <c r="AO159" s="161">
        <f>AO32*(1-AO$174)/(1+'TS2'!$J$84)</f>
        <v>0</v>
      </c>
      <c r="AP159" s="161">
        <f>AP32*(1-AP$174)/(1+'TS2'!$J$84)</f>
        <v>0</v>
      </c>
      <c r="AQ159" s="161">
        <f>AQ32*(1-AQ$174)/(1+'TS2'!$J$84)</f>
        <v>0</v>
      </c>
      <c r="AR159" s="161">
        <f>AR32*(1-AR$174)/(1+'TS2'!$J$84)</f>
        <v>0</v>
      </c>
      <c r="AS159" s="161">
        <f>AS32*(1-AS$174)/(1+'TS2'!$J$84)</f>
        <v>0</v>
      </c>
      <c r="AT159" s="161">
        <f>AT32*(1-AT$174)/(1+'TS2'!$J$84)</f>
        <v>0</v>
      </c>
      <c r="AU159" s="161">
        <f>AU32*(1-AU$174)/(1+'TS2'!$J$84)</f>
        <v>0</v>
      </c>
      <c r="AV159" s="161">
        <f>AV32*(1-AV$174)/(1+'TS2'!$J$84)</f>
        <v>0</v>
      </c>
      <c r="AW159" s="161">
        <f>AW32*(1-AW$174)/(1+'TS2'!$J$84)</f>
        <v>0</v>
      </c>
      <c r="AX159" s="161">
        <f>AX32*(1-AX$174)/(1+'TS2'!$J$84)</f>
        <v>0</v>
      </c>
      <c r="AY159" s="161">
        <f>AY32*(1-AY$174)/(1+'TS2'!$J$84)</f>
        <v>0</v>
      </c>
      <c r="AZ159" s="161">
        <f>AZ32*(1-AZ$174)/(1+'TS2'!$J$84)</f>
        <v>0</v>
      </c>
      <c r="BA159" s="161">
        <f>BA32*(1-BA$174)/(1+'TS2'!$J$84)</f>
        <v>0</v>
      </c>
      <c r="BB159" s="161">
        <f>BB32*(1-BB$174)/(1+'TS2'!$J$84)</f>
        <v>0</v>
      </c>
      <c r="BC159" s="161">
        <f>BC32*(1-BC$174)/(1+'TS2'!$J$84)</f>
        <v>0</v>
      </c>
      <c r="BD159" s="161">
        <f>BD32*(1-BD$174)/(1+'TS2'!$J$84)</f>
        <v>0</v>
      </c>
      <c r="BE159" s="161">
        <f>BE32*(1-BE$174)/(1+'TS2'!$J$84)</f>
        <v>0</v>
      </c>
      <c r="BF159" s="161">
        <f>BF32*(1-BF$174)/(1+'TS2'!$J$84)</f>
        <v>0</v>
      </c>
      <c r="BG159" s="161">
        <f>BG32*(1-BG$174)/(1+'TS2'!$J$84)</f>
        <v>0</v>
      </c>
      <c r="BH159" s="161">
        <f>BH32*(1-BH$174)/(1+'TS2'!$J$84)</f>
        <v>0</v>
      </c>
      <c r="BI159" s="161">
        <f>BI32*(1-BI$174)/(1+'TS2'!$J$84)</f>
        <v>0</v>
      </c>
      <c r="BJ159" s="161">
        <f>BJ32*(1-BJ$174)/(1+'TS2'!$J$84)</f>
        <v>0</v>
      </c>
      <c r="BK159" s="161">
        <f>BK32*(1-BK$174)/(1+'TS2'!$J$84)</f>
        <v>0</v>
      </c>
      <c r="BL159" s="161">
        <f>BL32*(1-BL$174)/(1+'TS2'!$J$84)</f>
        <v>0</v>
      </c>
      <c r="BM159" s="161">
        <f>BM32*(1-BM$174)/(1+'TS2'!$J$84)</f>
        <v>0</v>
      </c>
    </row>
    <row r="160" spans="1:65" s="151" customFormat="1" hidden="1" outlineLevel="1">
      <c r="B160" s="152"/>
      <c r="C160" s="152" t="s">
        <v>93</v>
      </c>
      <c r="D160" s="153"/>
      <c r="E160" s="154">
        <f t="shared" si="83"/>
        <v>-19383.277805232439</v>
      </c>
      <c r="F160" s="155">
        <f>-SUM(F129*'TS2'!$AS$103,'CF2'!F130*'TS2'!$AS$104,'CF2'!F131*'TS2'!$AS$105,'CF2'!F132*'TS2'!$AS$106,'CF2'!F133*'TS2'!$AS$107,'CF2'!F134*'TS2'!$AS$108,'CF2'!F135*'TS2'!$AS$109)/10^6-SUM(F137*'TS2'!$AT$103,'CF2'!F138*'TS2'!$AT$104,'CF2'!F139*'TS2'!$AT$105,'CF2'!F140*'TS2'!$AT$106,'CF2'!F141*'TS2'!$AT$107,'CF2'!F142*'TS2'!$AT$108,'CF2'!F143*'TS2'!$AT$109)/10^6</f>
        <v>0</v>
      </c>
      <c r="G160" s="155">
        <f>-SUM(G129*'TS2'!$AS$103,'CF2'!G130*'TS2'!$AS$104,'CF2'!G131*'TS2'!$AS$105,'CF2'!G132*'TS2'!$AS$106,'CF2'!G133*'TS2'!$AS$107,'CF2'!G134*'TS2'!$AS$108,'CF2'!G135*'TS2'!$AS$109)/10^6-SUM(G137*'TS2'!$AT$103,'CF2'!G138*'TS2'!$AT$104,'CF2'!G139*'TS2'!$AT$105,'CF2'!G140*'TS2'!$AT$106,'CF2'!G141*'TS2'!$AT$107,'CF2'!G142*'TS2'!$AT$108,'CF2'!G143*'TS2'!$AT$109)/10^6</f>
        <v>0</v>
      </c>
      <c r="H160" s="155">
        <f>-SUM(H129*'TS2'!$AS$103,'CF2'!H130*'TS2'!$AS$104,'CF2'!H131*'TS2'!$AS$105,'CF2'!H132*'TS2'!$AS$106,'CF2'!H133*'TS2'!$AS$107,'CF2'!H134*'TS2'!$AS$108,'CF2'!H135*'TS2'!$AS$109)/10^6-SUM(H137*'TS2'!$AT$103,'CF2'!H138*'TS2'!$AT$104,'CF2'!H139*'TS2'!$AT$105,'CF2'!H140*'TS2'!$AT$106,'CF2'!H141*'TS2'!$AT$107,'CF2'!H142*'TS2'!$AT$108,'CF2'!H143*'TS2'!$AT$109)/10^6</f>
        <v>0</v>
      </c>
      <c r="I160" s="155">
        <f>-SUM(I129*'TS2'!$AS$103,'CF2'!I130*'TS2'!$AS$104,'CF2'!I131*'TS2'!$AS$105,'CF2'!I132*'TS2'!$AS$106,'CF2'!I133*'TS2'!$AS$107,'CF2'!I134*'TS2'!$AS$108,'CF2'!I135*'TS2'!$AS$109)/10^6-SUM(I137*'TS2'!$AT$103,'CF2'!I138*'TS2'!$AT$104,'CF2'!I139*'TS2'!$AT$105,'CF2'!I140*'TS2'!$AT$106,'CF2'!I141*'TS2'!$AT$107,'CF2'!I142*'TS2'!$AT$108,'CF2'!I143*'TS2'!$AT$109)/10^6</f>
        <v>0</v>
      </c>
      <c r="J160" s="155">
        <f>-SUM(J129*'TS2'!$AS$103,'CF2'!J130*'TS2'!$AS$104,'CF2'!J131*'TS2'!$AS$105,'CF2'!J132*'TS2'!$AS$106,'CF2'!J133*'TS2'!$AS$107,'CF2'!J134*'TS2'!$AS$108,'CF2'!J135*'TS2'!$AS$109)/10^6-SUM(J137*'TS2'!$AT$103,'CF2'!J138*'TS2'!$AT$104,'CF2'!J139*'TS2'!$AT$105,'CF2'!J140*'TS2'!$AT$106,'CF2'!J141*'TS2'!$AT$107,'CF2'!J142*'TS2'!$AT$108,'CF2'!J143*'TS2'!$AT$109)/10^6</f>
        <v>0</v>
      </c>
      <c r="K160" s="155">
        <f>-SUM(K129*'TS2'!$AS$103,'CF2'!K130*'TS2'!$AS$104,'CF2'!K131*'TS2'!$AS$105,'CF2'!K132*'TS2'!$AS$106,'CF2'!K133*'TS2'!$AS$107,'CF2'!K134*'TS2'!$AS$108,'CF2'!K135*'TS2'!$AS$109)/10^6-SUM(K137*'TS2'!$AT$103,'CF2'!K138*'TS2'!$AT$104,'CF2'!K139*'TS2'!$AT$105,'CF2'!K140*'TS2'!$AT$106,'CF2'!K141*'TS2'!$AT$107,'CF2'!K142*'TS2'!$AT$108,'CF2'!K143*'TS2'!$AT$109)/10^6</f>
        <v>0</v>
      </c>
      <c r="L160" s="155">
        <f>-SUM(L129*'TS2'!$AS$103,'CF2'!L130*'TS2'!$AS$104,'CF2'!L131*'TS2'!$AS$105,'CF2'!L132*'TS2'!$AS$106,'CF2'!L133*'TS2'!$AS$107,'CF2'!L134*'TS2'!$AS$108,'CF2'!L135*'TS2'!$AS$109)/10^6-SUM(L137*'TS2'!$AT$103,'CF2'!L138*'TS2'!$AT$104,'CF2'!L139*'TS2'!$AT$105,'CF2'!L140*'TS2'!$AT$106,'CF2'!L141*'TS2'!$AT$107,'CF2'!L142*'TS2'!$AT$108,'CF2'!L143*'TS2'!$AT$109)/10^6</f>
        <v>0</v>
      </c>
      <c r="M160" s="155">
        <f>-SUM(M129*'TS2'!$AS$103,'CF2'!M130*'TS2'!$AS$104,'CF2'!M131*'TS2'!$AS$105,'CF2'!M132*'TS2'!$AS$106,'CF2'!M133*'TS2'!$AS$107,'CF2'!M134*'TS2'!$AS$108,'CF2'!M135*'TS2'!$AS$109)/10^6-SUM(M137*'TS2'!$AT$103,'CF2'!M138*'TS2'!$AT$104,'CF2'!M139*'TS2'!$AT$105,'CF2'!M140*'TS2'!$AT$106,'CF2'!M141*'TS2'!$AT$107,'CF2'!M142*'TS2'!$AT$108,'CF2'!M143*'TS2'!$AT$109)/10^6</f>
        <v>0</v>
      </c>
      <c r="N160" s="155">
        <f>-SUM(N129*'TS2'!$AS$103,'CF2'!N130*'TS2'!$AS$104,'CF2'!N131*'TS2'!$AS$105,'CF2'!N132*'TS2'!$AS$106,'CF2'!N133*'TS2'!$AS$107,'CF2'!N134*'TS2'!$AS$108,'CF2'!N135*'TS2'!$AS$109)/10^6-SUM(N137*'TS2'!$AT$103,'CF2'!N138*'TS2'!$AT$104,'CF2'!N139*'TS2'!$AT$105,'CF2'!N140*'TS2'!$AT$106,'CF2'!N141*'TS2'!$AT$107,'CF2'!N142*'TS2'!$AT$108,'CF2'!N143*'TS2'!$AT$109)/10^6</f>
        <v>0</v>
      </c>
      <c r="O160" s="155">
        <f>-SUM(O129*'TS2'!$AS$103,'CF2'!O130*'TS2'!$AS$104,'CF2'!O131*'TS2'!$AS$105,'CF2'!O132*'TS2'!$AS$106,'CF2'!O133*'TS2'!$AS$107,'CF2'!O134*'TS2'!$AS$108,'CF2'!O135*'TS2'!$AS$109)/10^6-SUM(O137*'TS2'!$AT$103,'CF2'!O138*'TS2'!$AT$104,'CF2'!O139*'TS2'!$AT$105,'CF2'!O140*'TS2'!$AT$106,'CF2'!O141*'TS2'!$AT$107,'CF2'!O142*'TS2'!$AT$108,'CF2'!O143*'TS2'!$AT$109)/10^6</f>
        <v>0</v>
      </c>
      <c r="P160" s="155">
        <f>-SUM(P129*'TS2'!$AS$103,'CF2'!P130*'TS2'!$AS$104,'CF2'!P131*'TS2'!$AS$105,'CF2'!P132*'TS2'!$AS$106,'CF2'!P133*'TS2'!$AS$107,'CF2'!P134*'TS2'!$AS$108,'CF2'!P135*'TS2'!$AS$109)/10^6-SUM(P137*'TS2'!$AT$103,'CF2'!P138*'TS2'!$AT$104,'CF2'!P139*'TS2'!$AT$105,'CF2'!P140*'TS2'!$AT$106,'CF2'!P141*'TS2'!$AT$107,'CF2'!P142*'TS2'!$AT$108,'CF2'!P143*'TS2'!$AT$109)/10^6</f>
        <v>0</v>
      </c>
      <c r="Q160" s="155">
        <f>-SUM(Q129*'TS2'!$AS$103,'CF2'!Q130*'TS2'!$AS$104,'CF2'!Q131*'TS2'!$AS$105,'CF2'!Q132*'TS2'!$AS$106,'CF2'!Q133*'TS2'!$AS$107,'CF2'!Q134*'TS2'!$AS$108,'CF2'!Q135*'TS2'!$AS$109)/10^6-SUM(Q137*'TS2'!$AT$103,'CF2'!Q138*'TS2'!$AT$104,'CF2'!Q139*'TS2'!$AT$105,'CF2'!Q140*'TS2'!$AT$106,'CF2'!Q141*'TS2'!$AT$107,'CF2'!Q142*'TS2'!$AT$108,'CF2'!Q143*'TS2'!$AT$109)/10^6</f>
        <v>0</v>
      </c>
      <c r="R160" s="155">
        <f>-SUM(R129*'TS2'!$AS$103,'CF2'!R130*'TS2'!$AS$104,'CF2'!R131*'TS2'!$AS$105,'CF2'!R132*'TS2'!$AS$106,'CF2'!R133*'TS2'!$AS$107,'CF2'!R134*'TS2'!$AS$108,'CF2'!R135*'TS2'!$AS$109)/10^6-SUM(R137*'TS2'!$AT$103,'CF2'!R138*'TS2'!$AT$104,'CF2'!R139*'TS2'!$AT$105,'CF2'!R140*'TS2'!$AT$106,'CF2'!R141*'TS2'!$AT$107,'CF2'!R142*'TS2'!$AT$108,'CF2'!R143*'TS2'!$AT$109)/10^6</f>
        <v>0</v>
      </c>
      <c r="S160" s="155">
        <f>-SUM(S129*'TS2'!$AS$103,'CF2'!S130*'TS2'!$AS$104,'CF2'!S131*'TS2'!$AS$105,'CF2'!S132*'TS2'!$AS$106,'CF2'!S133*'TS2'!$AS$107,'CF2'!S134*'TS2'!$AS$108,'CF2'!S135*'TS2'!$AS$109)/10^6-SUM(S137*'TS2'!$AT$103,'CF2'!S138*'TS2'!$AT$104,'CF2'!S139*'TS2'!$AT$105,'CF2'!S140*'TS2'!$AT$106,'CF2'!S141*'TS2'!$AT$107,'CF2'!S142*'TS2'!$AT$108,'CF2'!S143*'TS2'!$AT$109)/10^6</f>
        <v>0</v>
      </c>
      <c r="T160" s="155">
        <f>-SUM(T129*'TS2'!$AS$103,'CF2'!T130*'TS2'!$AS$104,'CF2'!T131*'TS2'!$AS$105,'CF2'!T132*'TS2'!$AS$106,'CF2'!T133*'TS2'!$AS$107,'CF2'!T134*'TS2'!$AS$108,'CF2'!T135*'TS2'!$AS$109)/10^6-SUM(T137*'TS2'!$AT$103,'CF2'!T138*'TS2'!$AT$104,'CF2'!T139*'TS2'!$AT$105,'CF2'!T140*'TS2'!$AT$106,'CF2'!T141*'TS2'!$AT$107,'CF2'!T142*'TS2'!$AT$108,'CF2'!T143*'TS2'!$AT$109)/10^6</f>
        <v>0</v>
      </c>
      <c r="U160" s="155">
        <f>-SUM(U129*'TS2'!$AS$103,'CF2'!U130*'TS2'!$AS$104,'CF2'!U131*'TS2'!$AS$105,'CF2'!U132*'TS2'!$AS$106,'CF2'!U133*'TS2'!$AS$107,'CF2'!U134*'TS2'!$AS$108,'CF2'!U135*'TS2'!$AS$109)/10^6-SUM(U137*'TS2'!$AT$103,'CF2'!U138*'TS2'!$AT$104,'CF2'!U139*'TS2'!$AT$105,'CF2'!U140*'TS2'!$AT$106,'CF2'!U141*'TS2'!$AT$107,'CF2'!U142*'TS2'!$AT$108,'CF2'!U143*'TS2'!$AT$109)/10^6</f>
        <v>0</v>
      </c>
      <c r="V160" s="155">
        <f>-SUM(V129*'TS2'!$AS$103,'CF2'!V130*'TS2'!$AS$104,'CF2'!V131*'TS2'!$AS$105,'CF2'!V132*'TS2'!$AS$106,'CF2'!V133*'TS2'!$AS$107,'CF2'!V134*'TS2'!$AS$108,'CF2'!V135*'TS2'!$AS$109)/10^6-SUM(V137*'TS2'!$AT$103,'CF2'!V138*'TS2'!$AT$104,'CF2'!V139*'TS2'!$AT$105,'CF2'!V140*'TS2'!$AT$106,'CF2'!V141*'TS2'!$AT$107,'CF2'!V142*'TS2'!$AT$108,'CF2'!V143*'TS2'!$AT$109)/10^6</f>
        <v>0</v>
      </c>
      <c r="W160" s="155">
        <f>-SUM(W129*'TS2'!$AS$103,'CF2'!W130*'TS2'!$AS$104,'CF2'!W131*'TS2'!$AS$105,'CF2'!W132*'TS2'!$AS$106,'CF2'!W133*'TS2'!$AS$107,'CF2'!W134*'TS2'!$AS$108,'CF2'!W135*'TS2'!$AS$109)/10^6-SUM(W137*'TS2'!$AT$103,'CF2'!W138*'TS2'!$AT$104,'CF2'!W139*'TS2'!$AT$105,'CF2'!W140*'TS2'!$AT$106,'CF2'!W141*'TS2'!$AT$107,'CF2'!W142*'TS2'!$AT$108,'CF2'!W143*'TS2'!$AT$109)/10^6</f>
        <v>0</v>
      </c>
      <c r="X160" s="155">
        <f>-SUM(X129*'TS2'!$AS$103,'CF2'!X130*'TS2'!$AS$104,'CF2'!X131*'TS2'!$AS$105,'CF2'!X132*'TS2'!$AS$106,'CF2'!X133*'TS2'!$AS$107,'CF2'!X134*'TS2'!$AS$108,'CF2'!X135*'TS2'!$AS$109)/10^6-SUM(X137*'TS2'!$AT$103,'CF2'!X138*'TS2'!$AT$104,'CF2'!X139*'TS2'!$AT$105,'CF2'!X140*'TS2'!$AT$106,'CF2'!X141*'TS2'!$AT$107,'CF2'!X142*'TS2'!$AT$108,'CF2'!X143*'TS2'!$AT$109)/10^6</f>
        <v>0</v>
      </c>
      <c r="Y160" s="155">
        <f>-SUM(Y129*'TS2'!$AS$103,'CF2'!Y130*'TS2'!$AS$104,'CF2'!Y131*'TS2'!$AS$105,'CF2'!Y132*'TS2'!$AS$106,'CF2'!Y133*'TS2'!$AS$107,'CF2'!Y134*'TS2'!$AS$108,'CF2'!Y135*'TS2'!$AS$109)/10^6-SUM(Y137*'TS2'!$AT$103,'CF2'!Y138*'TS2'!$AT$104,'CF2'!Y139*'TS2'!$AT$105,'CF2'!Y140*'TS2'!$AT$106,'CF2'!Y141*'TS2'!$AT$107,'CF2'!Y142*'TS2'!$AT$108,'CF2'!Y143*'TS2'!$AT$109)/10^6</f>
        <v>0</v>
      </c>
      <c r="Z160" s="155">
        <f>-SUM(Z129*'TS2'!$AS$103,'CF2'!Z130*'TS2'!$AS$104,'CF2'!Z131*'TS2'!$AS$105,'CF2'!Z132*'TS2'!$AS$106,'CF2'!Z133*'TS2'!$AS$107,'CF2'!Z134*'TS2'!$AS$108,'CF2'!Z135*'TS2'!$AS$109)/10^6-SUM(Z137*'TS2'!$AT$103,'CF2'!Z138*'TS2'!$AT$104,'CF2'!Z139*'TS2'!$AT$105,'CF2'!Z140*'TS2'!$AT$106,'CF2'!Z141*'TS2'!$AT$107,'CF2'!Z142*'TS2'!$AT$108,'CF2'!Z143*'TS2'!$AT$109)/10^6</f>
        <v>0</v>
      </c>
      <c r="AA160" s="155">
        <f>-SUM(AA129*'TS2'!$AS$103,'CF2'!AA130*'TS2'!$AS$104,'CF2'!AA131*'TS2'!$AS$105,'CF2'!AA132*'TS2'!$AS$106,'CF2'!AA133*'TS2'!$AS$107,'CF2'!AA134*'TS2'!$AS$108,'CF2'!AA135*'TS2'!$AS$109)/10^6-SUM(AA137*'TS2'!$AT$103,'CF2'!AA138*'TS2'!$AT$104,'CF2'!AA139*'TS2'!$AT$105,'CF2'!AA140*'TS2'!$AT$106,'CF2'!AA141*'TS2'!$AT$107,'CF2'!AA142*'TS2'!$AT$108,'CF2'!AA143*'TS2'!$AT$109)/10^6</f>
        <v>0</v>
      </c>
      <c r="AB160" s="155">
        <f>-SUM(AB129*'TS2'!$AS$103,'CF2'!AB130*'TS2'!$AS$104,'CF2'!AB131*'TS2'!$AS$105,'CF2'!AB132*'TS2'!$AS$106,'CF2'!AB133*'TS2'!$AS$107,'CF2'!AB134*'TS2'!$AS$108,'CF2'!AB135*'TS2'!$AS$109)/10^6-SUM(AB137*'TS2'!$AT$103,'CF2'!AB138*'TS2'!$AT$104,'CF2'!AB139*'TS2'!$AT$105,'CF2'!AB140*'TS2'!$AT$106,'CF2'!AB141*'TS2'!$AT$107,'CF2'!AB142*'TS2'!$AT$108,'CF2'!AB143*'TS2'!$AT$109)/10^6</f>
        <v>0</v>
      </c>
      <c r="AC160" s="155">
        <f>-SUM(AC129*'TS2'!$AS$103,'CF2'!AC130*'TS2'!$AS$104,'CF2'!AC131*'TS2'!$AS$105,'CF2'!AC132*'TS2'!$AS$106,'CF2'!AC133*'TS2'!$AS$107,'CF2'!AC134*'TS2'!$AS$108,'CF2'!AC135*'TS2'!$AS$109)/10^6-SUM(AC137*'TS2'!$AT$103,'CF2'!AC138*'TS2'!$AT$104,'CF2'!AC139*'TS2'!$AT$105,'CF2'!AC140*'TS2'!$AT$106,'CF2'!AC141*'TS2'!$AT$107,'CF2'!AC142*'TS2'!$AT$108,'CF2'!AC143*'TS2'!$AT$109)/10^6</f>
        <v>0</v>
      </c>
      <c r="AD160" s="155">
        <f>-SUM(AD129*'TS2'!$AS$103,'CF2'!AD130*'TS2'!$AS$104,'CF2'!AD131*'TS2'!$AS$105,'CF2'!AD132*'TS2'!$AS$106,'CF2'!AD133*'TS2'!$AS$107,'CF2'!AD134*'TS2'!$AS$108,'CF2'!AD135*'TS2'!$AS$109)/10^6-SUM(AD137*'TS2'!$AT$103,'CF2'!AD138*'TS2'!$AT$104,'CF2'!AD139*'TS2'!$AT$105,'CF2'!AD140*'TS2'!$AT$106,'CF2'!AD141*'TS2'!$AT$107,'CF2'!AD142*'TS2'!$AT$108,'CF2'!AD143*'TS2'!$AT$109)/10^6</f>
        <v>0</v>
      </c>
      <c r="AE160" s="155">
        <f>-SUM(AE129*'TS2'!$AS$103,'CF2'!AE130*'TS2'!$AS$104,'CF2'!AE131*'TS2'!$AS$105,'CF2'!AE132*'TS2'!$AS$106,'CF2'!AE133*'TS2'!$AS$107,'CF2'!AE134*'TS2'!$AS$108,'CF2'!AE135*'TS2'!$AS$109)/10^6-SUM(AE137*'TS2'!$AT$103,'CF2'!AE138*'TS2'!$AT$104,'CF2'!AE139*'TS2'!$AT$105,'CF2'!AE140*'TS2'!$AT$106,'CF2'!AE141*'TS2'!$AT$107,'CF2'!AE142*'TS2'!$AT$108,'CF2'!AE143*'TS2'!$AT$109)/10^6</f>
        <v>0</v>
      </c>
      <c r="AF160" s="155">
        <f>-SUM(AF129*'TS2'!$AS$103,'CF2'!AF130*'TS2'!$AS$104,'CF2'!AF131*'TS2'!$AS$105,'CF2'!AF132*'TS2'!$AS$106,'CF2'!AF133*'TS2'!$AS$107,'CF2'!AF134*'TS2'!$AS$108,'CF2'!AF135*'TS2'!$AS$109)/10^6-SUM(AF137*'TS2'!$AT$103,'CF2'!AF138*'TS2'!$AT$104,'CF2'!AF139*'TS2'!$AT$105,'CF2'!AF140*'TS2'!$AT$106,'CF2'!AF141*'TS2'!$AT$107,'CF2'!AF142*'TS2'!$AT$108,'CF2'!AF143*'TS2'!$AT$109)/10^6</f>
        <v>0</v>
      </c>
      <c r="AG160" s="155">
        <f>-SUM(AG129*'TS2'!$AS$103,'CF2'!AG130*'TS2'!$AS$104,'CF2'!AG131*'TS2'!$AS$105,'CF2'!AG132*'TS2'!$AS$106,'CF2'!AG133*'TS2'!$AS$107,'CF2'!AG134*'TS2'!$AS$108,'CF2'!AG135*'TS2'!$AS$109)/10^6-SUM(AG137*'TS2'!$AT$103,'CF2'!AG138*'TS2'!$AT$104,'CF2'!AG139*'TS2'!$AT$105,'CF2'!AG140*'TS2'!$AT$106,'CF2'!AG141*'TS2'!$AT$107,'CF2'!AG142*'TS2'!$AT$108,'CF2'!AG143*'TS2'!$AT$109)/10^6</f>
        <v>0</v>
      </c>
      <c r="AH160" s="155">
        <f>-SUM(AH129*'TS2'!$AS$103,'CF2'!AH130*'TS2'!$AS$104,'CF2'!AH131*'TS2'!$AS$105,'CF2'!AH132*'TS2'!$AS$106,'CF2'!AH133*'TS2'!$AS$107,'CF2'!AH134*'TS2'!$AS$108,'CF2'!AH135*'TS2'!$AS$109)/10^6-SUM(AH137*'TS2'!$AT$103,'CF2'!AH138*'TS2'!$AT$104,'CF2'!AH139*'TS2'!$AT$105,'CF2'!AH140*'TS2'!$AT$106,'CF2'!AH141*'TS2'!$AT$107,'CF2'!AH142*'TS2'!$AT$108,'CF2'!AH143*'TS2'!$AT$109)/10^6</f>
        <v>0</v>
      </c>
      <c r="AI160" s="155">
        <f>-SUM(AI129*'TS2'!$AS$103,'CF2'!AI130*'TS2'!$AS$104,'CF2'!AI131*'TS2'!$AS$105,'CF2'!AI132*'TS2'!$AS$106,'CF2'!AI133*'TS2'!$AS$107,'CF2'!AI134*'TS2'!$AS$108,'CF2'!AI135*'TS2'!$AS$109)/10^6-SUM(AI137*'TS2'!$AT$103,'CF2'!AI138*'TS2'!$AT$104,'CF2'!AI139*'TS2'!$AT$105,'CF2'!AI140*'TS2'!$AT$106,'CF2'!AI141*'TS2'!$AT$107,'CF2'!AI142*'TS2'!$AT$108,'CF2'!AI143*'TS2'!$AT$109)/10^6</f>
        <v>0</v>
      </c>
      <c r="AJ160" s="155">
        <f>-SUM(AJ129*'TS2'!$AS$103,'CF2'!AJ130*'TS2'!$AS$104,'CF2'!AJ131*'TS2'!$AS$105,'CF2'!AJ132*'TS2'!$AS$106,'CF2'!AJ133*'TS2'!$AS$107,'CF2'!AJ134*'TS2'!$AS$108,'CF2'!AJ135*'TS2'!$AS$109)/10^6-SUM(AJ137*'TS2'!$AT$103,'CF2'!AJ138*'TS2'!$AT$104,'CF2'!AJ139*'TS2'!$AT$105,'CF2'!AJ140*'TS2'!$AT$106,'CF2'!AJ141*'TS2'!$AT$107,'CF2'!AJ142*'TS2'!$AT$108,'CF2'!AJ143*'TS2'!$AT$109)/10^6</f>
        <v>-14381.765936823705</v>
      </c>
      <c r="AK160" s="155">
        <f>-SUM(AK129*'TS2'!$AS$103,'CF2'!AK130*'TS2'!$AS$104,'CF2'!AK131*'TS2'!$AS$105,'CF2'!AK132*'TS2'!$AS$106,'CF2'!AK133*'TS2'!$AS$107,'CF2'!AK134*'TS2'!$AS$108,'CF2'!AK135*'TS2'!$AS$109)/10^6-SUM(AK137*'TS2'!$AT$103,'CF2'!AK138*'TS2'!$AT$104,'CF2'!AK139*'TS2'!$AT$105,'CF2'!AK140*'TS2'!$AT$106,'CF2'!AK141*'TS2'!$AT$107,'CF2'!AK142*'TS2'!$AT$108,'CF2'!AK143*'TS2'!$AT$109)/10^6</f>
        <v>-1429.5018374194574</v>
      </c>
      <c r="AL160" s="155">
        <f>-SUM(AL129*'TS2'!$AS$103,'CF2'!AL130*'TS2'!$AS$104,'CF2'!AL131*'TS2'!$AS$105,'CF2'!AL132*'TS2'!$AS$106,'CF2'!AL133*'TS2'!$AS$107,'CF2'!AL134*'TS2'!$AS$108,'CF2'!AL135*'TS2'!$AS$109)/10^6-SUM(AL137*'TS2'!$AT$103,'CF2'!AL138*'TS2'!$AT$104,'CF2'!AL139*'TS2'!$AT$105,'CF2'!AL140*'TS2'!$AT$106,'CF2'!AL141*'TS2'!$AT$107,'CF2'!AL142*'TS2'!$AT$108,'CF2'!AL143*'TS2'!$AT$109)/10^6</f>
        <v>-1429.5018374194574</v>
      </c>
      <c r="AM160" s="155">
        <f>-SUM(AM129*'TS2'!$AS$103,'CF2'!AM130*'TS2'!$AS$104,'CF2'!AM131*'TS2'!$AS$105,'CF2'!AM132*'TS2'!$AS$106,'CF2'!AM133*'TS2'!$AS$107,'CF2'!AM134*'TS2'!$AS$108,'CF2'!AM135*'TS2'!$AS$109)/10^6-SUM(AM137*'TS2'!$AT$103,'CF2'!AM138*'TS2'!$AT$104,'CF2'!AM139*'TS2'!$AT$105,'CF2'!AM140*'TS2'!$AT$106,'CF2'!AM141*'TS2'!$AT$107,'CF2'!AM142*'TS2'!$AT$108,'CF2'!AM143*'TS2'!$AT$109)/10^6</f>
        <v>-1085.5204566787468</v>
      </c>
      <c r="AN160" s="155">
        <f>-SUM(AN129*'TS2'!$AS$103,'CF2'!AN130*'TS2'!$AS$104,'CF2'!AN131*'TS2'!$AS$105,'CF2'!AN132*'TS2'!$AS$106,'CF2'!AN133*'TS2'!$AS$107,'CF2'!AN134*'TS2'!$AS$108,'CF2'!AN135*'TS2'!$AS$109)/10^6-SUM(AN137*'TS2'!$AT$103,'CF2'!AN138*'TS2'!$AT$104,'CF2'!AN139*'TS2'!$AT$105,'CF2'!AN140*'TS2'!$AT$106,'CF2'!AN141*'TS2'!$AT$107,'CF2'!AN142*'TS2'!$AT$108,'CF2'!AN143*'TS2'!$AT$109)/10^6</f>
        <v>-1056.987736891072</v>
      </c>
      <c r="AO160" s="155">
        <f>-SUM(AO129*'TS2'!$AS$103,'CF2'!AO130*'TS2'!$AS$104,'CF2'!AO131*'TS2'!$AS$105,'CF2'!AO132*'TS2'!$AS$106,'CF2'!AO133*'TS2'!$AS$107,'CF2'!AO134*'TS2'!$AS$108,'CF2'!AO135*'TS2'!$AS$109)/10^6-SUM(AO137*'TS2'!$AT$103,'CF2'!AO138*'TS2'!$AT$104,'CF2'!AO139*'TS2'!$AT$105,'CF2'!AO140*'TS2'!$AT$106,'CF2'!AO141*'TS2'!$AT$107,'CF2'!AO142*'TS2'!$AT$108,'CF2'!AO143*'TS2'!$AT$109)/10^6</f>
        <v>0</v>
      </c>
      <c r="AP160" s="155">
        <f>-SUM(AP129*'TS2'!$AS$103,'CF2'!AP130*'TS2'!$AS$104,'CF2'!AP131*'TS2'!$AS$105,'CF2'!AP132*'TS2'!$AS$106,'CF2'!AP133*'TS2'!$AS$107,'CF2'!AP134*'TS2'!$AS$108,'CF2'!AP135*'TS2'!$AS$109)/10^6-SUM(AP137*'TS2'!$AT$103,'CF2'!AP138*'TS2'!$AT$104,'CF2'!AP139*'TS2'!$AT$105,'CF2'!AP140*'TS2'!$AT$106,'CF2'!AP141*'TS2'!$AT$107,'CF2'!AP142*'TS2'!$AT$108,'CF2'!AP143*'TS2'!$AT$109)/10^6</f>
        <v>0</v>
      </c>
      <c r="AQ160" s="155">
        <f>-SUM(AQ129*'TS2'!$AS$103,'CF2'!AQ130*'TS2'!$AS$104,'CF2'!AQ131*'TS2'!$AS$105,'CF2'!AQ132*'TS2'!$AS$106,'CF2'!AQ133*'TS2'!$AS$107,'CF2'!AQ134*'TS2'!$AS$108,'CF2'!AQ135*'TS2'!$AS$109)/10^6-SUM(AQ137*'TS2'!$AT$103,'CF2'!AQ138*'TS2'!$AT$104,'CF2'!AQ139*'TS2'!$AT$105,'CF2'!AQ140*'TS2'!$AT$106,'CF2'!AQ141*'TS2'!$AT$107,'CF2'!AQ142*'TS2'!$AT$108,'CF2'!AQ143*'TS2'!$AT$109)/10^6</f>
        <v>0</v>
      </c>
      <c r="AR160" s="155">
        <f>-SUM(AR129*'TS2'!$AS$103,'CF2'!AR130*'TS2'!$AS$104,'CF2'!AR131*'TS2'!$AS$105,'CF2'!AR132*'TS2'!$AS$106,'CF2'!AR133*'TS2'!$AS$107,'CF2'!AR134*'TS2'!$AS$108,'CF2'!AR135*'TS2'!$AS$109)/10^6-SUM(AR137*'TS2'!$AT$103,'CF2'!AR138*'TS2'!$AT$104,'CF2'!AR139*'TS2'!$AT$105,'CF2'!AR140*'TS2'!$AT$106,'CF2'!AR141*'TS2'!$AT$107,'CF2'!AR142*'TS2'!$AT$108,'CF2'!AR143*'TS2'!$AT$109)/10^6</f>
        <v>0</v>
      </c>
      <c r="AS160" s="155">
        <f>-SUM(AS129*'TS2'!$AS$103,'CF2'!AS130*'TS2'!$AS$104,'CF2'!AS131*'TS2'!$AS$105,'CF2'!AS132*'TS2'!$AS$106,'CF2'!AS133*'TS2'!$AS$107,'CF2'!AS134*'TS2'!$AS$108,'CF2'!AS135*'TS2'!$AS$109)/10^6-SUM(AS137*'TS2'!$AT$103,'CF2'!AS138*'TS2'!$AT$104,'CF2'!AS139*'TS2'!$AT$105,'CF2'!AS140*'TS2'!$AT$106,'CF2'!AS141*'TS2'!$AT$107,'CF2'!AS142*'TS2'!$AT$108,'CF2'!AS143*'TS2'!$AT$109)/10^6</f>
        <v>0</v>
      </c>
      <c r="AT160" s="155">
        <f>-SUM(AT129*'TS2'!$AS$103,'CF2'!AT130*'TS2'!$AS$104,'CF2'!AT131*'TS2'!$AS$105,'CF2'!AT132*'TS2'!$AS$106,'CF2'!AT133*'TS2'!$AS$107,'CF2'!AT134*'TS2'!$AS$108,'CF2'!AT135*'TS2'!$AS$109)/10^6-SUM(AT137*'TS2'!$AT$103,'CF2'!AT138*'TS2'!$AT$104,'CF2'!AT139*'TS2'!$AT$105,'CF2'!AT140*'TS2'!$AT$106,'CF2'!AT141*'TS2'!$AT$107,'CF2'!AT142*'TS2'!$AT$108,'CF2'!AT143*'TS2'!$AT$109)/10^6</f>
        <v>0</v>
      </c>
      <c r="AU160" s="155">
        <f>-SUM(AU129*'TS2'!$AS$103,'CF2'!AU130*'TS2'!$AS$104,'CF2'!AU131*'TS2'!$AS$105,'CF2'!AU132*'TS2'!$AS$106,'CF2'!AU133*'TS2'!$AS$107,'CF2'!AU134*'TS2'!$AS$108,'CF2'!AU135*'TS2'!$AS$109)/10^6-SUM(AU137*'TS2'!$AT$103,'CF2'!AU138*'TS2'!$AT$104,'CF2'!AU139*'TS2'!$AT$105,'CF2'!AU140*'TS2'!$AT$106,'CF2'!AU141*'TS2'!$AT$107,'CF2'!AU142*'TS2'!$AT$108,'CF2'!AU143*'TS2'!$AT$109)/10^6</f>
        <v>0</v>
      </c>
      <c r="AV160" s="155">
        <f>-SUM(AV129*'TS2'!$AS$103,'CF2'!AV130*'TS2'!$AS$104,'CF2'!AV131*'TS2'!$AS$105,'CF2'!AV132*'TS2'!$AS$106,'CF2'!AV133*'TS2'!$AS$107,'CF2'!AV134*'TS2'!$AS$108,'CF2'!AV135*'TS2'!$AS$109)/10^6-SUM(AV137*'TS2'!$AT$103,'CF2'!AV138*'TS2'!$AT$104,'CF2'!AV139*'TS2'!$AT$105,'CF2'!AV140*'TS2'!$AT$106,'CF2'!AV141*'TS2'!$AT$107,'CF2'!AV142*'TS2'!$AT$108,'CF2'!AV143*'TS2'!$AT$109)/10^6</f>
        <v>0</v>
      </c>
      <c r="AW160" s="155">
        <f>-SUM(AW129*'TS2'!$AS$103,'CF2'!AW130*'TS2'!$AS$104,'CF2'!AW131*'TS2'!$AS$105,'CF2'!AW132*'TS2'!$AS$106,'CF2'!AW133*'TS2'!$AS$107,'CF2'!AW134*'TS2'!$AS$108,'CF2'!AW135*'TS2'!$AS$109)/10^6-SUM(AW137*'TS2'!$AT$103,'CF2'!AW138*'TS2'!$AT$104,'CF2'!AW139*'TS2'!$AT$105,'CF2'!AW140*'TS2'!$AT$106,'CF2'!AW141*'TS2'!$AT$107,'CF2'!AW142*'TS2'!$AT$108,'CF2'!AW143*'TS2'!$AT$109)/10^6</f>
        <v>0</v>
      </c>
      <c r="AX160" s="155">
        <f>-SUM(AX129*'TS2'!$AS$103,'CF2'!AX130*'TS2'!$AS$104,'CF2'!AX131*'TS2'!$AS$105,'CF2'!AX132*'TS2'!$AS$106,'CF2'!AX133*'TS2'!$AS$107,'CF2'!AX134*'TS2'!$AS$108,'CF2'!AX135*'TS2'!$AS$109)/10^6-SUM(AX137*'TS2'!$AT$103,'CF2'!AX138*'TS2'!$AT$104,'CF2'!AX139*'TS2'!$AT$105,'CF2'!AX140*'TS2'!$AT$106,'CF2'!AX141*'TS2'!$AT$107,'CF2'!AX142*'TS2'!$AT$108,'CF2'!AX143*'TS2'!$AT$109)/10^6</f>
        <v>0</v>
      </c>
      <c r="AY160" s="155">
        <f>-SUM(AY129*'TS2'!$AS$103,'CF2'!AY130*'TS2'!$AS$104,'CF2'!AY131*'TS2'!$AS$105,'CF2'!AY132*'TS2'!$AS$106,'CF2'!AY133*'TS2'!$AS$107,'CF2'!AY134*'TS2'!$AS$108,'CF2'!AY135*'TS2'!$AS$109)/10^6-SUM(AY137*'TS2'!$AT$103,'CF2'!AY138*'TS2'!$AT$104,'CF2'!AY139*'TS2'!$AT$105,'CF2'!AY140*'TS2'!$AT$106,'CF2'!AY141*'TS2'!$AT$107,'CF2'!AY142*'TS2'!$AT$108,'CF2'!AY143*'TS2'!$AT$109)/10^6</f>
        <v>0</v>
      </c>
      <c r="AZ160" s="155">
        <f>-SUM(AZ129*'TS2'!$AS$103,'CF2'!AZ130*'TS2'!$AS$104,'CF2'!AZ131*'TS2'!$AS$105,'CF2'!AZ132*'TS2'!$AS$106,'CF2'!AZ133*'TS2'!$AS$107,'CF2'!AZ134*'TS2'!$AS$108,'CF2'!AZ135*'TS2'!$AS$109)/10^6-SUM(AZ137*'TS2'!$AT$103,'CF2'!AZ138*'TS2'!$AT$104,'CF2'!AZ139*'TS2'!$AT$105,'CF2'!AZ140*'TS2'!$AT$106,'CF2'!AZ141*'TS2'!$AT$107,'CF2'!AZ142*'TS2'!$AT$108,'CF2'!AZ143*'TS2'!$AT$109)/10^6</f>
        <v>0</v>
      </c>
      <c r="BA160" s="155">
        <f>-SUM(BA129*'TS2'!$AS$103,'CF2'!BA130*'TS2'!$AS$104,'CF2'!BA131*'TS2'!$AS$105,'CF2'!BA132*'TS2'!$AS$106,'CF2'!BA133*'TS2'!$AS$107,'CF2'!BA134*'TS2'!$AS$108,'CF2'!BA135*'TS2'!$AS$109)/10^6-SUM(BA137*'TS2'!$AT$103,'CF2'!BA138*'TS2'!$AT$104,'CF2'!BA139*'TS2'!$AT$105,'CF2'!BA140*'TS2'!$AT$106,'CF2'!BA141*'TS2'!$AT$107,'CF2'!BA142*'TS2'!$AT$108,'CF2'!BA143*'TS2'!$AT$109)/10^6</f>
        <v>0</v>
      </c>
      <c r="BB160" s="155">
        <f>-SUM(BB129*'TS2'!$AS$103,'CF2'!BB130*'TS2'!$AS$104,'CF2'!BB131*'TS2'!$AS$105,'CF2'!BB132*'TS2'!$AS$106,'CF2'!BB133*'TS2'!$AS$107,'CF2'!BB134*'TS2'!$AS$108,'CF2'!BB135*'TS2'!$AS$109)/10^6-SUM(BB137*'TS2'!$AT$103,'CF2'!BB138*'TS2'!$AT$104,'CF2'!BB139*'TS2'!$AT$105,'CF2'!BB140*'TS2'!$AT$106,'CF2'!BB141*'TS2'!$AT$107,'CF2'!BB142*'TS2'!$AT$108,'CF2'!BB143*'TS2'!$AT$109)/10^6</f>
        <v>0</v>
      </c>
      <c r="BC160" s="155">
        <f>-SUM(BC129*'TS2'!$AS$103,'CF2'!BC130*'TS2'!$AS$104,'CF2'!BC131*'TS2'!$AS$105,'CF2'!BC132*'TS2'!$AS$106,'CF2'!BC133*'TS2'!$AS$107,'CF2'!BC134*'TS2'!$AS$108,'CF2'!BC135*'TS2'!$AS$109)/10^6-SUM(BC137*'TS2'!$AT$103,'CF2'!BC138*'TS2'!$AT$104,'CF2'!BC139*'TS2'!$AT$105,'CF2'!BC140*'TS2'!$AT$106,'CF2'!BC141*'TS2'!$AT$107,'CF2'!BC142*'TS2'!$AT$108,'CF2'!BC143*'TS2'!$AT$109)/10^6</f>
        <v>0</v>
      </c>
      <c r="BD160" s="155">
        <f>-SUM(BD129*'TS2'!$AS$103,'CF2'!BD130*'TS2'!$AS$104,'CF2'!BD131*'TS2'!$AS$105,'CF2'!BD132*'TS2'!$AS$106,'CF2'!BD133*'TS2'!$AS$107,'CF2'!BD134*'TS2'!$AS$108,'CF2'!BD135*'TS2'!$AS$109)/10^6-SUM(BD137*'TS2'!$AT$103,'CF2'!BD138*'TS2'!$AT$104,'CF2'!BD139*'TS2'!$AT$105,'CF2'!BD140*'TS2'!$AT$106,'CF2'!BD141*'TS2'!$AT$107,'CF2'!BD142*'TS2'!$AT$108,'CF2'!BD143*'TS2'!$AT$109)/10^6</f>
        <v>0</v>
      </c>
      <c r="BE160" s="155">
        <f>-SUM(BE129*'TS2'!$AS$103,'CF2'!BE130*'TS2'!$AS$104,'CF2'!BE131*'TS2'!$AS$105,'CF2'!BE132*'TS2'!$AS$106,'CF2'!BE133*'TS2'!$AS$107,'CF2'!BE134*'TS2'!$AS$108,'CF2'!BE135*'TS2'!$AS$109)/10^6-SUM(BE137*'TS2'!$AT$103,'CF2'!BE138*'TS2'!$AT$104,'CF2'!BE139*'TS2'!$AT$105,'CF2'!BE140*'TS2'!$AT$106,'CF2'!BE141*'TS2'!$AT$107,'CF2'!BE142*'TS2'!$AT$108,'CF2'!BE143*'TS2'!$AT$109)/10^6</f>
        <v>0</v>
      </c>
      <c r="BF160" s="155">
        <f>-SUM(BF129*'TS2'!$AS$103,'CF2'!BF130*'TS2'!$AS$104,'CF2'!BF131*'TS2'!$AS$105,'CF2'!BF132*'TS2'!$AS$106,'CF2'!BF133*'TS2'!$AS$107,'CF2'!BF134*'TS2'!$AS$108,'CF2'!BF135*'TS2'!$AS$109)/10^6-SUM(BF137*'TS2'!$AT$103,'CF2'!BF138*'TS2'!$AT$104,'CF2'!BF139*'TS2'!$AT$105,'CF2'!BF140*'TS2'!$AT$106,'CF2'!BF141*'TS2'!$AT$107,'CF2'!BF142*'TS2'!$AT$108,'CF2'!BF143*'TS2'!$AT$109)/10^6</f>
        <v>0</v>
      </c>
      <c r="BG160" s="155">
        <f>-SUM(BG129*'TS2'!$AS$103,'CF2'!BG130*'TS2'!$AS$104,'CF2'!BG131*'TS2'!$AS$105,'CF2'!BG132*'TS2'!$AS$106,'CF2'!BG133*'TS2'!$AS$107,'CF2'!BG134*'TS2'!$AS$108,'CF2'!BG135*'TS2'!$AS$109)/10^6-SUM(BG137*'TS2'!$AT$103,'CF2'!BG138*'TS2'!$AT$104,'CF2'!BG139*'TS2'!$AT$105,'CF2'!BG140*'TS2'!$AT$106,'CF2'!BG141*'TS2'!$AT$107,'CF2'!BG142*'TS2'!$AT$108,'CF2'!BG143*'TS2'!$AT$109)/10^6</f>
        <v>0</v>
      </c>
      <c r="BH160" s="155">
        <f>-SUM(BH129*'TS2'!$AS$103,'CF2'!BH130*'TS2'!$AS$104,'CF2'!BH131*'TS2'!$AS$105,'CF2'!BH132*'TS2'!$AS$106,'CF2'!BH133*'TS2'!$AS$107,'CF2'!BH134*'TS2'!$AS$108,'CF2'!BH135*'TS2'!$AS$109)/10^6-SUM(BH137*'TS2'!$AT$103,'CF2'!BH138*'TS2'!$AT$104,'CF2'!BH139*'TS2'!$AT$105,'CF2'!BH140*'TS2'!$AT$106,'CF2'!BH141*'TS2'!$AT$107,'CF2'!BH142*'TS2'!$AT$108,'CF2'!BH143*'TS2'!$AT$109)/10^6</f>
        <v>0</v>
      </c>
      <c r="BI160" s="155">
        <f>-SUM(BI129*'TS2'!$AS$103,'CF2'!BI130*'TS2'!$AS$104,'CF2'!BI131*'TS2'!$AS$105,'CF2'!BI132*'TS2'!$AS$106,'CF2'!BI133*'TS2'!$AS$107,'CF2'!BI134*'TS2'!$AS$108,'CF2'!BI135*'TS2'!$AS$109)/10^6-SUM(BI137*'TS2'!$AT$103,'CF2'!BI138*'TS2'!$AT$104,'CF2'!BI139*'TS2'!$AT$105,'CF2'!BI140*'TS2'!$AT$106,'CF2'!BI141*'TS2'!$AT$107,'CF2'!BI142*'TS2'!$AT$108,'CF2'!BI143*'TS2'!$AT$109)/10^6</f>
        <v>0</v>
      </c>
      <c r="BJ160" s="155">
        <f>-SUM(BJ129*'TS2'!$AS$103,'CF2'!BJ130*'TS2'!$AS$104,'CF2'!BJ131*'TS2'!$AS$105,'CF2'!BJ132*'TS2'!$AS$106,'CF2'!BJ133*'TS2'!$AS$107,'CF2'!BJ134*'TS2'!$AS$108,'CF2'!BJ135*'TS2'!$AS$109)/10^6-SUM(BJ137*'TS2'!$AT$103,'CF2'!BJ138*'TS2'!$AT$104,'CF2'!BJ139*'TS2'!$AT$105,'CF2'!BJ140*'TS2'!$AT$106,'CF2'!BJ141*'TS2'!$AT$107,'CF2'!BJ142*'TS2'!$AT$108,'CF2'!BJ143*'TS2'!$AT$109)/10^6</f>
        <v>0</v>
      </c>
      <c r="BK160" s="155">
        <f>-SUM(BK129*'TS2'!$AS$103,'CF2'!BK130*'TS2'!$AS$104,'CF2'!BK131*'TS2'!$AS$105,'CF2'!BK132*'TS2'!$AS$106,'CF2'!BK133*'TS2'!$AS$107,'CF2'!BK134*'TS2'!$AS$108,'CF2'!BK135*'TS2'!$AS$109)/10^6-SUM(BK137*'TS2'!$AT$103,'CF2'!BK138*'TS2'!$AT$104,'CF2'!BK139*'TS2'!$AT$105,'CF2'!BK140*'TS2'!$AT$106,'CF2'!BK141*'TS2'!$AT$107,'CF2'!BK142*'TS2'!$AT$108,'CF2'!BK143*'TS2'!$AT$109)/10^6</f>
        <v>0</v>
      </c>
      <c r="BL160" s="155">
        <f>-SUM(BL129*'TS2'!$AS$103,'CF2'!BL130*'TS2'!$AS$104,'CF2'!BL131*'TS2'!$AS$105,'CF2'!BL132*'TS2'!$AS$106,'CF2'!BL133*'TS2'!$AS$107,'CF2'!BL134*'TS2'!$AS$108,'CF2'!BL135*'TS2'!$AS$109)/10^6-SUM(BL137*'TS2'!$AT$103,'CF2'!BL138*'TS2'!$AT$104,'CF2'!BL139*'TS2'!$AT$105,'CF2'!BL140*'TS2'!$AT$106,'CF2'!BL141*'TS2'!$AT$107,'CF2'!BL142*'TS2'!$AT$108,'CF2'!BL143*'TS2'!$AT$109)/10^6</f>
        <v>0</v>
      </c>
      <c r="BM160" s="155">
        <f>-SUM(BM129*'TS2'!$AS$103,'CF2'!BM130*'TS2'!$AS$104,'CF2'!BM131*'TS2'!$AS$105,'CF2'!BM132*'TS2'!$AS$106,'CF2'!BM133*'TS2'!$AS$107,'CF2'!BM134*'TS2'!$AS$108,'CF2'!BM135*'TS2'!$AS$109)/10^6-SUM(BM137*'TS2'!$AT$103,'CF2'!BM138*'TS2'!$AT$104,'CF2'!BM139*'TS2'!$AT$105,'CF2'!BM140*'TS2'!$AT$106,'CF2'!BM141*'TS2'!$AT$107,'CF2'!BM142*'TS2'!$AT$108,'CF2'!BM143*'TS2'!$AT$109)/10^6</f>
        <v>0</v>
      </c>
    </row>
    <row r="161" spans="2:65" s="151" customFormat="1" hidden="1" outlineLevel="1">
      <c r="B161" s="152"/>
      <c r="C161" s="152" t="s">
        <v>30</v>
      </c>
      <c r="D161" s="153"/>
      <c r="E161" s="154">
        <f t="shared" si="83"/>
        <v>-2760.3490754946247</v>
      </c>
      <c r="F161" s="155">
        <f t="shared" ref="F161:AK161" si="108">F50</f>
        <v>0</v>
      </c>
      <c r="G161" s="155">
        <f t="shared" si="108"/>
        <v>0</v>
      </c>
      <c r="H161" s="155">
        <f t="shared" si="108"/>
        <v>0</v>
      </c>
      <c r="I161" s="155">
        <f t="shared" si="108"/>
        <v>0</v>
      </c>
      <c r="J161" s="155">
        <f t="shared" si="108"/>
        <v>0</v>
      </c>
      <c r="K161" s="155">
        <f t="shared" si="108"/>
        <v>0</v>
      </c>
      <c r="L161" s="155">
        <f t="shared" si="108"/>
        <v>0</v>
      </c>
      <c r="M161" s="155">
        <f t="shared" si="108"/>
        <v>0</v>
      </c>
      <c r="N161" s="155">
        <f t="shared" si="108"/>
        <v>-3</v>
      </c>
      <c r="O161" s="155">
        <f t="shared" si="108"/>
        <v>-3</v>
      </c>
      <c r="P161" s="155">
        <f t="shared" si="108"/>
        <v>-3</v>
      </c>
      <c r="Q161" s="155">
        <f t="shared" si="108"/>
        <v>-3</v>
      </c>
      <c r="R161" s="155">
        <f t="shared" si="108"/>
        <v>-3</v>
      </c>
      <c r="S161" s="155">
        <f t="shared" si="108"/>
        <v>-3</v>
      </c>
      <c r="T161" s="155">
        <f t="shared" si="108"/>
        <v>-3</v>
      </c>
      <c r="U161" s="155">
        <f t="shared" si="108"/>
        <v>-3</v>
      </c>
      <c r="V161" s="155">
        <f t="shared" si="108"/>
        <v>-3</v>
      </c>
      <c r="W161" s="155">
        <f t="shared" si="108"/>
        <v>-3</v>
      </c>
      <c r="X161" s="155">
        <f t="shared" si="108"/>
        <v>-69.39305459813545</v>
      </c>
      <c r="Y161" s="155">
        <f t="shared" si="108"/>
        <v>-122.47662550722636</v>
      </c>
      <c r="Z161" s="155">
        <f t="shared" si="108"/>
        <v>-131.54451802523693</v>
      </c>
      <c r="AA161" s="155">
        <f t="shared" si="108"/>
        <v>-134.49656494846204</v>
      </c>
      <c r="AB161" s="155">
        <f t="shared" si="108"/>
        <v>-137.69502737820517</v>
      </c>
      <c r="AC161" s="155">
        <f t="shared" si="108"/>
        <v>-141.2103097449002</v>
      </c>
      <c r="AD161" s="155">
        <f t="shared" si="108"/>
        <v>-149.48451329890756</v>
      </c>
      <c r="AE161" s="155">
        <f t="shared" si="108"/>
        <v>-153.06755124282236</v>
      </c>
      <c r="AF161" s="155">
        <f t="shared" si="108"/>
        <v>-157.24198640238058</v>
      </c>
      <c r="AG161" s="155">
        <f t="shared" si="108"/>
        <v>-162.40208358801115</v>
      </c>
      <c r="AH161" s="155">
        <f t="shared" si="108"/>
        <v>-175.21075077195994</v>
      </c>
      <c r="AI161" s="155">
        <f t="shared" si="108"/>
        <v>-193.27772035212445</v>
      </c>
      <c r="AJ161" s="155">
        <f t="shared" si="108"/>
        <v>-167.14041377812447</v>
      </c>
      <c r="AK161" s="155">
        <f t="shared" si="108"/>
        <v>-172.56864552268129</v>
      </c>
      <c r="AL161" s="155">
        <f t="shared" ref="AL161:BM161" si="109">AL50</f>
        <v>-202.55066281318128</v>
      </c>
      <c r="AM161" s="155">
        <f t="shared" si="109"/>
        <v>-202.16725403818126</v>
      </c>
      <c r="AN161" s="155">
        <f t="shared" si="109"/>
        <v>-164.61376537120015</v>
      </c>
      <c r="AO161" s="155">
        <f t="shared" si="109"/>
        <v>-91.936528112883764</v>
      </c>
      <c r="AP161" s="155">
        <f t="shared" si="109"/>
        <v>-1.8711000000000075</v>
      </c>
      <c r="AQ161" s="155">
        <f t="shared" si="109"/>
        <v>0</v>
      </c>
      <c r="AR161" s="155">
        <f t="shared" si="109"/>
        <v>0</v>
      </c>
      <c r="AS161" s="155">
        <f t="shared" si="109"/>
        <v>0</v>
      </c>
      <c r="AT161" s="155">
        <f t="shared" si="109"/>
        <v>0</v>
      </c>
      <c r="AU161" s="155">
        <f t="shared" si="109"/>
        <v>0</v>
      </c>
      <c r="AV161" s="155">
        <f t="shared" si="109"/>
        <v>0</v>
      </c>
      <c r="AW161" s="155">
        <f t="shared" si="109"/>
        <v>0</v>
      </c>
      <c r="AX161" s="155">
        <f t="shared" si="109"/>
        <v>0</v>
      </c>
      <c r="AY161" s="155">
        <f t="shared" si="109"/>
        <v>0</v>
      </c>
      <c r="AZ161" s="155">
        <f t="shared" si="109"/>
        <v>0</v>
      </c>
      <c r="BA161" s="155">
        <f t="shared" si="109"/>
        <v>0</v>
      </c>
      <c r="BB161" s="155">
        <f t="shared" si="109"/>
        <v>0</v>
      </c>
      <c r="BC161" s="155">
        <f t="shared" si="109"/>
        <v>0</v>
      </c>
      <c r="BD161" s="155">
        <f t="shared" si="109"/>
        <v>0</v>
      </c>
      <c r="BE161" s="155">
        <f t="shared" si="109"/>
        <v>0</v>
      </c>
      <c r="BF161" s="155">
        <f t="shared" si="109"/>
        <v>0</v>
      </c>
      <c r="BG161" s="155">
        <f t="shared" si="109"/>
        <v>0</v>
      </c>
      <c r="BH161" s="155">
        <f t="shared" si="109"/>
        <v>0</v>
      </c>
      <c r="BI161" s="155">
        <f t="shared" si="109"/>
        <v>0</v>
      </c>
      <c r="BJ161" s="155">
        <f t="shared" si="109"/>
        <v>0</v>
      </c>
      <c r="BK161" s="155">
        <f t="shared" si="109"/>
        <v>0</v>
      </c>
      <c r="BL161" s="155">
        <f t="shared" si="109"/>
        <v>0</v>
      </c>
      <c r="BM161" s="155">
        <f t="shared" si="109"/>
        <v>0</v>
      </c>
    </row>
    <row r="162" spans="2:65" s="151" customFormat="1" hidden="1" outlineLevel="1">
      <c r="B162" s="152"/>
      <c r="C162" s="152" t="s">
        <v>84</v>
      </c>
      <c r="D162" s="153"/>
      <c r="E162" s="154">
        <f t="shared" si="83"/>
        <v>-3780.186235391935</v>
      </c>
      <c r="F162" s="155"/>
      <c r="G162" s="155">
        <f t="shared" ref="G162:BM162" si="110">-F103-F100-F98-F92-F90-F84</f>
        <v>0</v>
      </c>
      <c r="H162" s="155">
        <f t="shared" si="110"/>
        <v>0</v>
      </c>
      <c r="I162" s="155">
        <f t="shared" si="110"/>
        <v>0</v>
      </c>
      <c r="J162" s="155">
        <f t="shared" si="110"/>
        <v>0</v>
      </c>
      <c r="K162" s="155">
        <f t="shared" si="110"/>
        <v>0</v>
      </c>
      <c r="L162" s="155">
        <f t="shared" si="110"/>
        <v>0</v>
      </c>
      <c r="M162" s="155">
        <f t="shared" si="110"/>
        <v>0</v>
      </c>
      <c r="N162" s="155">
        <f t="shared" si="110"/>
        <v>0</v>
      </c>
      <c r="O162" s="155">
        <f t="shared" si="110"/>
        <v>-2.1047103222050616</v>
      </c>
      <c r="P162" s="155">
        <f t="shared" si="110"/>
        <v>-3.9674999177198864</v>
      </c>
      <c r="Q162" s="155">
        <f t="shared" si="110"/>
        <v>-181.5918059262147</v>
      </c>
      <c r="R162" s="155">
        <f t="shared" si="110"/>
        <v>-44.62810416690364</v>
      </c>
      <c r="S162" s="155">
        <f t="shared" si="110"/>
        <v>-43.460842895373887</v>
      </c>
      <c r="T162" s="155">
        <f t="shared" si="110"/>
        <v>-42.561715348713435</v>
      </c>
      <c r="U162" s="155">
        <f t="shared" si="110"/>
        <v>-45.308391690875688</v>
      </c>
      <c r="V162" s="155">
        <f t="shared" si="110"/>
        <v>-55.953592240374206</v>
      </c>
      <c r="W162" s="155">
        <f t="shared" si="110"/>
        <v>-74.615447142988344</v>
      </c>
      <c r="X162" s="155">
        <f t="shared" si="110"/>
        <v>-93.023311805517437</v>
      </c>
      <c r="Y162" s="155">
        <f t="shared" si="110"/>
        <v>-133.62883204036152</v>
      </c>
      <c r="Z162" s="155">
        <f t="shared" si="110"/>
        <v>-171.10441745038571</v>
      </c>
      <c r="AA162" s="155">
        <f t="shared" si="110"/>
        <v>-204.66891951155361</v>
      </c>
      <c r="AB162" s="155">
        <f t="shared" si="110"/>
        <v>-225.08560948784293</v>
      </c>
      <c r="AC162" s="155">
        <f t="shared" si="110"/>
        <v>-242.16715380234922</v>
      </c>
      <c r="AD162" s="155">
        <f t="shared" si="110"/>
        <v>-254.4097414931727</v>
      </c>
      <c r="AE162" s="155">
        <f t="shared" si="110"/>
        <v>-261.60295293479402</v>
      </c>
      <c r="AF162" s="155">
        <f t="shared" si="110"/>
        <v>-279.09031081291607</v>
      </c>
      <c r="AG162" s="155">
        <f t="shared" si="110"/>
        <v>-359.55927203110434</v>
      </c>
      <c r="AH162" s="155">
        <f t="shared" si="110"/>
        <v>-313.7541517601415</v>
      </c>
      <c r="AI162" s="155">
        <f t="shared" si="110"/>
        <v>-293.07084812368106</v>
      </c>
      <c r="AJ162" s="155">
        <f t="shared" si="110"/>
        <v>-300.94548932414011</v>
      </c>
      <c r="AK162" s="155">
        <f t="shared" si="110"/>
        <v>-118.78271350297108</v>
      </c>
      <c r="AL162" s="155">
        <f t="shared" si="110"/>
        <v>-35.100401659634727</v>
      </c>
      <c r="AM162" s="155">
        <f t="shared" si="110"/>
        <v>0</v>
      </c>
      <c r="AN162" s="155">
        <f t="shared" si="110"/>
        <v>0</v>
      </c>
      <c r="AO162" s="155">
        <f t="shared" si="110"/>
        <v>0</v>
      </c>
      <c r="AP162" s="155">
        <f t="shared" si="110"/>
        <v>0</v>
      </c>
      <c r="AQ162" s="155">
        <f t="shared" si="110"/>
        <v>0</v>
      </c>
      <c r="AR162" s="155">
        <f t="shared" si="110"/>
        <v>0</v>
      </c>
      <c r="AS162" s="155">
        <f t="shared" si="110"/>
        <v>0</v>
      </c>
      <c r="AT162" s="155">
        <f t="shared" si="110"/>
        <v>0</v>
      </c>
      <c r="AU162" s="155">
        <f t="shared" si="110"/>
        <v>0</v>
      </c>
      <c r="AV162" s="155">
        <f t="shared" si="110"/>
        <v>0</v>
      </c>
      <c r="AW162" s="155">
        <f t="shared" si="110"/>
        <v>0</v>
      </c>
      <c r="AX162" s="155">
        <f t="shared" si="110"/>
        <v>0</v>
      </c>
      <c r="AY162" s="155">
        <f t="shared" si="110"/>
        <v>0</v>
      </c>
      <c r="AZ162" s="155">
        <f t="shared" si="110"/>
        <v>0</v>
      </c>
      <c r="BA162" s="155">
        <f t="shared" si="110"/>
        <v>0</v>
      </c>
      <c r="BB162" s="155">
        <f t="shared" si="110"/>
        <v>0</v>
      </c>
      <c r="BC162" s="155">
        <f t="shared" si="110"/>
        <v>0</v>
      </c>
      <c r="BD162" s="155">
        <f t="shared" si="110"/>
        <v>0</v>
      </c>
      <c r="BE162" s="155">
        <f t="shared" si="110"/>
        <v>0</v>
      </c>
      <c r="BF162" s="155">
        <f t="shared" si="110"/>
        <v>0</v>
      </c>
      <c r="BG162" s="155">
        <f t="shared" si="110"/>
        <v>0</v>
      </c>
      <c r="BH162" s="155">
        <f t="shared" si="110"/>
        <v>0</v>
      </c>
      <c r="BI162" s="155">
        <f t="shared" si="110"/>
        <v>0</v>
      </c>
      <c r="BJ162" s="155">
        <f t="shared" si="110"/>
        <v>0</v>
      </c>
      <c r="BK162" s="155">
        <f t="shared" si="110"/>
        <v>0</v>
      </c>
      <c r="BL162" s="155">
        <f t="shared" si="110"/>
        <v>0</v>
      </c>
      <c r="BM162" s="155">
        <f t="shared" si="110"/>
        <v>0</v>
      </c>
    </row>
    <row r="163" spans="2:65" s="151" customFormat="1" hidden="1" outlineLevel="1">
      <c r="B163" s="152"/>
      <c r="C163" s="152" t="s">
        <v>98</v>
      </c>
      <c r="D163" s="153"/>
      <c r="E163" s="154">
        <f t="shared" si="83"/>
        <v>9813.6968468810228</v>
      </c>
      <c r="F163" s="155">
        <f t="shared" ref="F163:AS163" si="111">SUM(F144:F162)</f>
        <v>0</v>
      </c>
      <c r="G163" s="155">
        <f t="shared" si="111"/>
        <v>0</v>
      </c>
      <c r="H163" s="155">
        <f t="shared" si="111"/>
        <v>0</v>
      </c>
      <c r="I163" s="155">
        <f t="shared" si="111"/>
        <v>0</v>
      </c>
      <c r="J163" s="155">
        <f t="shared" si="111"/>
        <v>0</v>
      </c>
      <c r="K163" s="155">
        <f t="shared" si="111"/>
        <v>0</v>
      </c>
      <c r="L163" s="155">
        <f t="shared" si="111"/>
        <v>0</v>
      </c>
      <c r="M163" s="155">
        <f t="shared" si="111"/>
        <v>0</v>
      </c>
      <c r="N163" s="155">
        <f t="shared" si="111"/>
        <v>-3</v>
      </c>
      <c r="O163" s="155">
        <f t="shared" si="111"/>
        <v>-5.1047103222050616</v>
      </c>
      <c r="P163" s="155">
        <f t="shared" si="111"/>
        <v>-6.967499917719886</v>
      </c>
      <c r="Q163" s="155">
        <f t="shared" si="111"/>
        <v>-184.5918059262147</v>
      </c>
      <c r="R163" s="155">
        <f t="shared" si="111"/>
        <v>-47.62810416690364</v>
      </c>
      <c r="S163" s="155">
        <f t="shared" si="111"/>
        <v>-46.460842895373887</v>
      </c>
      <c r="T163" s="155">
        <f t="shared" si="111"/>
        <v>-45.561715348713435</v>
      </c>
      <c r="U163" s="155">
        <f t="shared" si="111"/>
        <v>-48.308391690875688</v>
      </c>
      <c r="V163" s="155">
        <f t="shared" si="111"/>
        <v>-58.953592240374206</v>
      </c>
      <c r="W163" s="155">
        <f t="shared" si="111"/>
        <v>-77.615447142988344</v>
      </c>
      <c r="X163" s="155">
        <f t="shared" si="111"/>
        <v>-162.41636640365289</v>
      </c>
      <c r="Y163" s="155">
        <f t="shared" si="111"/>
        <v>-256.10545754758789</v>
      </c>
      <c r="Z163" s="155">
        <f t="shared" si="111"/>
        <v>-302.64893547562264</v>
      </c>
      <c r="AA163" s="155">
        <f t="shared" si="111"/>
        <v>-339.16548446001565</v>
      </c>
      <c r="AB163" s="155">
        <f t="shared" si="111"/>
        <v>-362.7806368660481</v>
      </c>
      <c r="AC163" s="155">
        <f t="shared" si="111"/>
        <v>-383.37746354724942</v>
      </c>
      <c r="AD163" s="155">
        <f t="shared" si="111"/>
        <v>-403.89425479208023</v>
      </c>
      <c r="AE163" s="155">
        <f t="shared" si="111"/>
        <v>-414.67050417761641</v>
      </c>
      <c r="AF163" s="155">
        <f t="shared" si="111"/>
        <v>-436.33229721529665</v>
      </c>
      <c r="AG163" s="155">
        <f t="shared" si="111"/>
        <v>-521.96135561911547</v>
      </c>
      <c r="AH163" s="155">
        <f t="shared" si="111"/>
        <v>-488.96490253210141</v>
      </c>
      <c r="AI163" s="155">
        <f t="shared" si="111"/>
        <v>-486.34856847580551</v>
      </c>
      <c r="AJ163" s="155">
        <f t="shared" si="111"/>
        <v>10495.849079430689</v>
      </c>
      <c r="AK163" s="155">
        <f t="shared" si="111"/>
        <v>1268.8338539131234</v>
      </c>
      <c r="AL163" s="155">
        <f t="shared" si="111"/>
        <v>1322.5341484659596</v>
      </c>
      <c r="AM163" s="155">
        <f t="shared" si="111"/>
        <v>956.48227714130553</v>
      </c>
      <c r="AN163" s="155">
        <f t="shared" si="111"/>
        <v>946.66345280638939</v>
      </c>
      <c r="AO163" s="155">
        <f t="shared" si="111"/>
        <v>-91.936528112883764</v>
      </c>
      <c r="AP163" s="155">
        <f t="shared" si="111"/>
        <v>-1.8711000000000075</v>
      </c>
      <c r="AQ163" s="155">
        <f t="shared" si="111"/>
        <v>0</v>
      </c>
      <c r="AR163" s="155">
        <f t="shared" si="111"/>
        <v>0</v>
      </c>
      <c r="AS163" s="155">
        <f t="shared" si="111"/>
        <v>0</v>
      </c>
      <c r="AT163" s="155">
        <f t="shared" ref="AT163:BM163" si="112">SUM(AT144:AT162)</f>
        <v>0</v>
      </c>
      <c r="AU163" s="155">
        <f t="shared" si="112"/>
        <v>0</v>
      </c>
      <c r="AV163" s="155">
        <f t="shared" si="112"/>
        <v>0</v>
      </c>
      <c r="AW163" s="155">
        <f t="shared" si="112"/>
        <v>0</v>
      </c>
      <c r="AX163" s="155">
        <f t="shared" si="112"/>
        <v>0</v>
      </c>
      <c r="AY163" s="155">
        <f t="shared" si="112"/>
        <v>0</v>
      </c>
      <c r="AZ163" s="155">
        <f t="shared" si="112"/>
        <v>0</v>
      </c>
      <c r="BA163" s="155">
        <f t="shared" si="112"/>
        <v>0</v>
      </c>
      <c r="BB163" s="155">
        <f t="shared" si="112"/>
        <v>0</v>
      </c>
      <c r="BC163" s="155">
        <f t="shared" si="112"/>
        <v>0</v>
      </c>
      <c r="BD163" s="155">
        <f t="shared" si="112"/>
        <v>0</v>
      </c>
      <c r="BE163" s="155">
        <f t="shared" si="112"/>
        <v>0</v>
      </c>
      <c r="BF163" s="155">
        <f t="shared" si="112"/>
        <v>0</v>
      </c>
      <c r="BG163" s="155">
        <f t="shared" si="112"/>
        <v>0</v>
      </c>
      <c r="BH163" s="155">
        <f t="shared" si="112"/>
        <v>0</v>
      </c>
      <c r="BI163" s="155">
        <f t="shared" si="112"/>
        <v>0</v>
      </c>
      <c r="BJ163" s="155">
        <f t="shared" si="112"/>
        <v>0</v>
      </c>
      <c r="BK163" s="155">
        <f t="shared" si="112"/>
        <v>0</v>
      </c>
      <c r="BL163" s="155">
        <f t="shared" si="112"/>
        <v>0</v>
      </c>
      <c r="BM163" s="155">
        <f t="shared" si="112"/>
        <v>0</v>
      </c>
    </row>
    <row r="164" spans="2:65" s="151" customFormat="1" hidden="1" outlineLevel="1">
      <c r="B164" s="152"/>
      <c r="C164" s="152" t="s">
        <v>101</v>
      </c>
      <c r="D164" s="153"/>
      <c r="E164" s="154"/>
      <c r="F164" s="155">
        <f>F163</f>
        <v>0</v>
      </c>
      <c r="G164" s="155">
        <f>IF(G163&lt;0,F164+G163,IF(F164&lt;=0,IF(ABS(F164)&gt;G163,F164+G163/2,F164+ABS(F164))))</f>
        <v>0</v>
      </c>
      <c r="H164" s="155">
        <f t="shared" ref="H164:BM164" si="113">IF(H163&lt;0,G164+H163,IF(G164&lt;=0,IF(ABS(G164)&gt;H163,G164+H163/2,G164+ABS(G164))))</f>
        <v>0</v>
      </c>
      <c r="I164" s="155">
        <f t="shared" si="113"/>
        <v>0</v>
      </c>
      <c r="J164" s="155">
        <f t="shared" si="113"/>
        <v>0</v>
      </c>
      <c r="K164" s="155">
        <f t="shared" si="113"/>
        <v>0</v>
      </c>
      <c r="L164" s="155">
        <f t="shared" si="113"/>
        <v>0</v>
      </c>
      <c r="M164" s="155">
        <f t="shared" si="113"/>
        <v>0</v>
      </c>
      <c r="N164" s="155">
        <f t="shared" si="113"/>
        <v>-3</v>
      </c>
      <c r="O164" s="155">
        <f t="shared" si="113"/>
        <v>-8.1047103222050616</v>
      </c>
      <c r="P164" s="155">
        <f t="shared" si="113"/>
        <v>-15.072210239924948</v>
      </c>
      <c r="Q164" s="155">
        <f t="shared" si="113"/>
        <v>-199.66401616613965</v>
      </c>
      <c r="R164" s="155">
        <f t="shared" si="113"/>
        <v>-247.29212033304327</v>
      </c>
      <c r="S164" s="155">
        <f t="shared" si="113"/>
        <v>-293.75296322841717</v>
      </c>
      <c r="T164" s="155">
        <f t="shared" si="113"/>
        <v>-339.31467857713062</v>
      </c>
      <c r="U164" s="155">
        <f t="shared" si="113"/>
        <v>-387.6230702680063</v>
      </c>
      <c r="V164" s="155">
        <f t="shared" si="113"/>
        <v>-446.57666250838054</v>
      </c>
      <c r="W164" s="155">
        <f t="shared" si="113"/>
        <v>-524.19210965136892</v>
      </c>
      <c r="X164" s="155">
        <f t="shared" si="113"/>
        <v>-686.60847605502181</v>
      </c>
      <c r="Y164" s="155">
        <f t="shared" si="113"/>
        <v>-942.7139336026097</v>
      </c>
      <c r="Z164" s="155">
        <f t="shared" si="113"/>
        <v>-1245.3628690782323</v>
      </c>
      <c r="AA164" s="155">
        <f t="shared" si="113"/>
        <v>-1584.528353538248</v>
      </c>
      <c r="AB164" s="155">
        <f t="shared" si="113"/>
        <v>-1947.3089904042961</v>
      </c>
      <c r="AC164" s="155">
        <f t="shared" si="113"/>
        <v>-2330.6864539515454</v>
      </c>
      <c r="AD164" s="155">
        <f t="shared" si="113"/>
        <v>-2734.5807087436256</v>
      </c>
      <c r="AE164" s="155">
        <f t="shared" si="113"/>
        <v>-3149.2512129212419</v>
      </c>
      <c r="AF164" s="155">
        <f t="shared" si="113"/>
        <v>-3585.5835101365383</v>
      </c>
      <c r="AG164" s="155">
        <f t="shared" si="113"/>
        <v>-4107.5448657556535</v>
      </c>
      <c r="AH164" s="155">
        <f t="shared" si="113"/>
        <v>-4596.5097682877549</v>
      </c>
      <c r="AI164" s="155">
        <f t="shared" si="113"/>
        <v>-5082.8583367635601</v>
      </c>
      <c r="AJ164" s="155">
        <f t="shared" si="113"/>
        <v>0</v>
      </c>
      <c r="AK164" s="155">
        <f t="shared" si="113"/>
        <v>0</v>
      </c>
      <c r="AL164" s="155">
        <f t="shared" si="113"/>
        <v>0</v>
      </c>
      <c r="AM164" s="155">
        <f t="shared" si="113"/>
        <v>0</v>
      </c>
      <c r="AN164" s="155">
        <f t="shared" si="113"/>
        <v>0</v>
      </c>
      <c r="AO164" s="155">
        <f t="shared" si="113"/>
        <v>-91.936528112883764</v>
      </c>
      <c r="AP164" s="155">
        <f t="shared" si="113"/>
        <v>-93.807628112883776</v>
      </c>
      <c r="AQ164" s="155">
        <f t="shared" si="113"/>
        <v>-93.807628112883776</v>
      </c>
      <c r="AR164" s="155">
        <f t="shared" si="113"/>
        <v>-93.807628112883776</v>
      </c>
      <c r="AS164" s="155">
        <f t="shared" si="113"/>
        <v>-93.807628112883776</v>
      </c>
      <c r="AT164" s="155">
        <f t="shared" si="113"/>
        <v>-93.807628112883776</v>
      </c>
      <c r="AU164" s="155">
        <f t="shared" si="113"/>
        <v>-93.807628112883776</v>
      </c>
      <c r="AV164" s="155">
        <f t="shared" si="113"/>
        <v>-93.807628112883776</v>
      </c>
      <c r="AW164" s="155">
        <f t="shared" si="113"/>
        <v>-93.807628112883776</v>
      </c>
      <c r="AX164" s="155">
        <f t="shared" si="113"/>
        <v>-93.807628112883776</v>
      </c>
      <c r="AY164" s="155">
        <f t="shared" si="113"/>
        <v>-93.807628112883776</v>
      </c>
      <c r="AZ164" s="155">
        <f t="shared" si="113"/>
        <v>-93.807628112883776</v>
      </c>
      <c r="BA164" s="155">
        <f t="shared" si="113"/>
        <v>-93.807628112883776</v>
      </c>
      <c r="BB164" s="155">
        <f t="shared" si="113"/>
        <v>-93.807628112883776</v>
      </c>
      <c r="BC164" s="155">
        <f t="shared" si="113"/>
        <v>-93.807628112883776</v>
      </c>
      <c r="BD164" s="155">
        <f t="shared" si="113"/>
        <v>-93.807628112883776</v>
      </c>
      <c r="BE164" s="155">
        <f t="shared" si="113"/>
        <v>-93.807628112883776</v>
      </c>
      <c r="BF164" s="155">
        <f t="shared" si="113"/>
        <v>-93.807628112883776</v>
      </c>
      <c r="BG164" s="155">
        <f t="shared" si="113"/>
        <v>-93.807628112883776</v>
      </c>
      <c r="BH164" s="155">
        <f t="shared" si="113"/>
        <v>-93.807628112883776</v>
      </c>
      <c r="BI164" s="155">
        <f t="shared" si="113"/>
        <v>-93.807628112883776</v>
      </c>
      <c r="BJ164" s="155">
        <f t="shared" si="113"/>
        <v>-93.807628112883776</v>
      </c>
      <c r="BK164" s="155">
        <f t="shared" si="113"/>
        <v>-93.807628112883776</v>
      </c>
      <c r="BL164" s="155">
        <f t="shared" si="113"/>
        <v>-93.807628112883776</v>
      </c>
      <c r="BM164" s="155">
        <f t="shared" si="113"/>
        <v>-93.807628112883776</v>
      </c>
    </row>
    <row r="165" spans="2:65" s="151" customFormat="1" hidden="1" outlineLevel="1">
      <c r="B165" s="152"/>
      <c r="C165" s="152" t="s">
        <v>90</v>
      </c>
      <c r="D165" s="153"/>
      <c r="E165" s="154">
        <f>SUM(F165:AS165)</f>
        <v>9907.5044749939061</v>
      </c>
      <c r="F165" s="155">
        <f>F163+(E164-F164)</f>
        <v>0</v>
      </c>
      <c r="G165" s="155">
        <f>G163+(F164-G164)</f>
        <v>0</v>
      </c>
      <c r="H165" s="155">
        <f t="shared" ref="H165:BM165" si="114">H163+(G164-H164)</f>
        <v>0</v>
      </c>
      <c r="I165" s="155">
        <f t="shared" si="114"/>
        <v>0</v>
      </c>
      <c r="J165" s="155">
        <f t="shared" si="114"/>
        <v>0</v>
      </c>
      <c r="K165" s="155">
        <f t="shared" si="114"/>
        <v>0</v>
      </c>
      <c r="L165" s="155">
        <f t="shared" si="114"/>
        <v>0</v>
      </c>
      <c r="M165" s="155">
        <f t="shared" si="114"/>
        <v>0</v>
      </c>
      <c r="N165" s="155">
        <f t="shared" si="114"/>
        <v>0</v>
      </c>
      <c r="O165" s="155">
        <f t="shared" si="114"/>
        <v>0</v>
      </c>
      <c r="P165" s="155">
        <f t="shared" si="114"/>
        <v>0</v>
      </c>
      <c r="Q165" s="155">
        <f t="shared" si="114"/>
        <v>0</v>
      </c>
      <c r="R165" s="155">
        <f t="shared" si="114"/>
        <v>0</v>
      </c>
      <c r="S165" s="155">
        <f t="shared" si="114"/>
        <v>0</v>
      </c>
      <c r="T165" s="155">
        <f t="shared" si="114"/>
        <v>0</v>
      </c>
      <c r="U165" s="155">
        <f t="shared" si="114"/>
        <v>0</v>
      </c>
      <c r="V165" s="155">
        <f t="shared" si="114"/>
        <v>0</v>
      </c>
      <c r="W165" s="155">
        <f t="shared" si="114"/>
        <v>0</v>
      </c>
      <c r="X165" s="155">
        <f t="shared" si="114"/>
        <v>0</v>
      </c>
      <c r="Y165" s="155">
        <f t="shared" si="114"/>
        <v>0</v>
      </c>
      <c r="Z165" s="155">
        <f t="shared" si="114"/>
        <v>0</v>
      </c>
      <c r="AA165" s="155">
        <f t="shared" si="114"/>
        <v>0</v>
      </c>
      <c r="AB165" s="155">
        <f t="shared" si="114"/>
        <v>0</v>
      </c>
      <c r="AC165" s="155">
        <f t="shared" si="114"/>
        <v>0</v>
      </c>
      <c r="AD165" s="155">
        <f t="shared" si="114"/>
        <v>0</v>
      </c>
      <c r="AE165" s="155">
        <f t="shared" si="114"/>
        <v>0</v>
      </c>
      <c r="AF165" s="155">
        <f t="shared" si="114"/>
        <v>0</v>
      </c>
      <c r="AG165" s="155">
        <f t="shared" si="114"/>
        <v>0</v>
      </c>
      <c r="AH165" s="155">
        <f t="shared" si="114"/>
        <v>0</v>
      </c>
      <c r="AI165" s="155">
        <f t="shared" si="114"/>
        <v>0</v>
      </c>
      <c r="AJ165" s="155">
        <f t="shared" si="114"/>
        <v>5412.9907426671289</v>
      </c>
      <c r="AK165" s="155">
        <f t="shared" si="114"/>
        <v>1268.8338539131234</v>
      </c>
      <c r="AL165" s="155">
        <f t="shared" si="114"/>
        <v>1322.5341484659596</v>
      </c>
      <c r="AM165" s="155">
        <f t="shared" si="114"/>
        <v>956.48227714130553</v>
      </c>
      <c r="AN165" s="155">
        <f t="shared" si="114"/>
        <v>946.66345280638939</v>
      </c>
      <c r="AO165" s="155">
        <f t="shared" si="114"/>
        <v>0</v>
      </c>
      <c r="AP165" s="155">
        <f t="shared" si="114"/>
        <v>5.1070259132757201E-15</v>
      </c>
      <c r="AQ165" s="155">
        <f t="shared" si="114"/>
        <v>0</v>
      </c>
      <c r="AR165" s="155">
        <f t="shared" si="114"/>
        <v>0</v>
      </c>
      <c r="AS165" s="155">
        <f t="shared" si="114"/>
        <v>0</v>
      </c>
      <c r="AT165" s="155">
        <f t="shared" si="114"/>
        <v>0</v>
      </c>
      <c r="AU165" s="155">
        <f t="shared" si="114"/>
        <v>0</v>
      </c>
      <c r="AV165" s="155">
        <f t="shared" si="114"/>
        <v>0</v>
      </c>
      <c r="AW165" s="155">
        <f t="shared" si="114"/>
        <v>0</v>
      </c>
      <c r="AX165" s="155">
        <f t="shared" si="114"/>
        <v>0</v>
      </c>
      <c r="AY165" s="155">
        <f t="shared" si="114"/>
        <v>0</v>
      </c>
      <c r="AZ165" s="155">
        <f t="shared" si="114"/>
        <v>0</v>
      </c>
      <c r="BA165" s="155">
        <f t="shared" si="114"/>
        <v>0</v>
      </c>
      <c r="BB165" s="155">
        <f t="shared" si="114"/>
        <v>0</v>
      </c>
      <c r="BC165" s="155">
        <f t="shared" si="114"/>
        <v>0</v>
      </c>
      <c r="BD165" s="155">
        <f t="shared" si="114"/>
        <v>0</v>
      </c>
      <c r="BE165" s="155">
        <f t="shared" si="114"/>
        <v>0</v>
      </c>
      <c r="BF165" s="155">
        <f t="shared" si="114"/>
        <v>0</v>
      </c>
      <c r="BG165" s="155">
        <f t="shared" si="114"/>
        <v>0</v>
      </c>
      <c r="BH165" s="155">
        <f t="shared" si="114"/>
        <v>0</v>
      </c>
      <c r="BI165" s="155">
        <f t="shared" si="114"/>
        <v>0</v>
      </c>
      <c r="BJ165" s="155">
        <f t="shared" si="114"/>
        <v>0</v>
      </c>
      <c r="BK165" s="155">
        <f t="shared" si="114"/>
        <v>0</v>
      </c>
      <c r="BL165" s="155">
        <f t="shared" si="114"/>
        <v>0</v>
      </c>
      <c r="BM165" s="155">
        <f t="shared" si="114"/>
        <v>0</v>
      </c>
    </row>
    <row r="166" spans="2:65" s="151" customFormat="1" collapsed="1">
      <c r="D166" s="162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  <c r="AS166" s="136"/>
      <c r="AT166" s="136"/>
      <c r="AU166" s="136"/>
      <c r="AV166" s="136"/>
      <c r="AW166" s="136"/>
      <c r="AX166" s="136"/>
      <c r="AY166" s="136"/>
      <c r="AZ166" s="136"/>
      <c r="BA166" s="136"/>
      <c r="BB166" s="136"/>
      <c r="BC166" s="136"/>
      <c r="BD166" s="136"/>
      <c r="BE166" s="136"/>
      <c r="BF166" s="136"/>
      <c r="BG166" s="136"/>
      <c r="BH166" s="136"/>
      <c r="BI166" s="136"/>
      <c r="BJ166" s="136"/>
      <c r="BK166" s="136"/>
      <c r="BL166" s="136"/>
      <c r="BM166" s="136"/>
    </row>
    <row r="167" spans="2:65">
      <c r="B167" s="181" t="s">
        <v>103</v>
      </c>
      <c r="C167" s="181"/>
      <c r="D167" s="175"/>
      <c r="E167" s="180">
        <f>SUM(F167:BM167)</f>
        <v>4377.4982326156332</v>
      </c>
      <c r="F167" s="180"/>
      <c r="G167" s="180">
        <f>IF(G5&gt;'DB2'!$U$27,SUM(F169+G76+G79+G111+IF(SUM(H76,H79)&lt;0,SUM(H76,H79),0),0),0)-SUM($F$167:F167)</f>
        <v>0</v>
      </c>
      <c r="H167" s="180">
        <f>IF(H5&gt;'DB2'!$U$27,SUM(G169+H76+H79+H111+IF(SUM(I76,I79)&lt;0,SUM(I76,I79),0),0),0)-SUM($F$167:G167)</f>
        <v>0</v>
      </c>
      <c r="I167" s="180">
        <f>IF(I5&gt;'DB2'!$U$27,SUM(H169+I76+I79+I111+IF(SUM(J76,J79)&lt;0,SUM(J76,J79),0),0),0)-SUM($F$167:H167)</f>
        <v>0</v>
      </c>
      <c r="J167" s="180">
        <f>IF(J5&gt;'DB2'!$U$27,SUM(I169+J76+J79+J111+IF(SUM(K76,K79)&lt;0,SUM(K76,K79),0),0),0)-SUM($F$167:I167)</f>
        <v>0</v>
      </c>
      <c r="K167" s="180">
        <f>IF(K5&gt;'DB2'!$U$27,SUM(J169+K76+K79+K111+IF(SUM(L76,L79)&lt;0,SUM(L76,L79),0),0),0)-SUM($F$167:J167)</f>
        <v>0</v>
      </c>
      <c r="L167" s="180">
        <f>IF(L5&gt;'DB2'!$U$27,SUM(K169+L76+L79+L111+IF(SUM(M76,M79)&lt;0,SUM(M76,M79),0),0),0)-SUM($F$167:K167)</f>
        <v>0</v>
      </c>
      <c r="M167" s="180">
        <f>IF(M5&gt;'DB2'!$U$27,SUM(L169+M76+M79+M111+IF(SUM(N76,N79)&lt;0,SUM(N76,N79),0),0),0)-SUM($F$167:L167)</f>
        <v>0</v>
      </c>
      <c r="N167" s="180">
        <f>IF(N5&gt;'DB2'!$U$27,SUM(M169+N76+N79+N111+IF(SUM(O76,O79)&lt;0,SUM(O76,O79),0),0),0)-SUM($F$167:M167)</f>
        <v>0</v>
      </c>
      <c r="O167" s="180">
        <f>IF(O5&gt;'DB2'!$U$27,SUM(N169+O76+O79+O111+IF(SUM(P76,P79)&lt;0,SUM(P76,P79),0),0),0)-SUM($F$167:N167)</f>
        <v>0</v>
      </c>
      <c r="P167" s="180">
        <f>IF(P5&gt;'DB2'!$U$27,SUM(O169+P76+P79+P111+IF(SUM(Q76,Q79)&lt;0,SUM(Q76,Q79),0),0),0)-SUM($F$167:O167)</f>
        <v>0</v>
      </c>
      <c r="Q167" s="180">
        <f>IF(Q5&gt;'DB2'!$U$27,SUM(P169+Q76+Q79+Q111+IF(SUM(R76,R79)&lt;0,SUM(R76,R79),0),0),0)-SUM($F$167:P167)</f>
        <v>0</v>
      </c>
      <c r="R167" s="180">
        <f>IF(R5&gt;'DB2'!$U$27,SUM(Q169+R76+R79+R111+IF(SUM(S76,S79)&lt;0,SUM(S76,S79),0),0),0)-SUM($F$167:Q167)</f>
        <v>0</v>
      </c>
      <c r="S167" s="180">
        <f>IF(S5&gt;'DB2'!$U$27,SUM(R169+S76+S79+S111+IF(SUM(T76,T79)&lt;0,SUM(T76,T79),0),0),0)-SUM($F$167:R167)</f>
        <v>0</v>
      </c>
      <c r="T167" s="180">
        <f>IF(T5&gt;'DB2'!$U$27,SUM(S169+T76+T79+T111+IF(SUM(U76,U79)&lt;0,SUM(U76,U79),0),0),0)-SUM($F$167:S167)</f>
        <v>0</v>
      </c>
      <c r="U167" s="180">
        <f>IF(U5&gt;'DB2'!$U$27,SUM(T169+U76+U79+U111+IF(SUM(V76,V79)&lt;0,SUM(V76,V79),0),0),0)-SUM($F$167:T167)</f>
        <v>0</v>
      </c>
      <c r="V167" s="180">
        <f>IF(V5&gt;'DB2'!$U$27,SUM(U169+V76+V79+V111+IF(SUM(W76,W79)&lt;0,SUM(W76,W79),0),0),0)-SUM($F$167:U167)</f>
        <v>0</v>
      </c>
      <c r="W167" s="180">
        <f>IF(W5&gt;'DB2'!$U$27,SUM(V169+W76+W79+W111+IF(SUM(X76,X79)&lt;0,SUM(X76,X79),0),0),0)-SUM($F$167:V167)</f>
        <v>0</v>
      </c>
      <c r="X167" s="180">
        <f>IF(X5&gt;'DB2'!$U$27,SUM(W169+X76+X79+X111+IF(SUM(Y76,Y79)&lt;0,SUM(Y76,Y79),0),0),0)-SUM($F$167:W167)</f>
        <v>0</v>
      </c>
      <c r="Y167" s="180">
        <f>IF(Y5&gt;'DB2'!$U$27,SUM(X169+Y76+Y79+Y111+IF(SUM(Z76,Z79)&lt;0,SUM(Z76,Z79),0),0),0)-SUM($F$167:X167)</f>
        <v>0</v>
      </c>
      <c r="Z167" s="180">
        <f>IF(Z5&gt;'DB2'!$U$27,SUM(Y169+Z76+Z79+Z111+IF(SUM(AA76,AA79)&lt;0,SUM(AA76,AA79),0),0),0)-SUM($F$167:Y167)</f>
        <v>0</v>
      </c>
      <c r="AA167" s="180">
        <f>IF(AA5&gt;'DB2'!$U$27,SUM(Z169+AA76+AA79+AA111+IF(SUM(AB76,AB79)&lt;0,SUM(AB76,AB79),0),0),0)-SUM($F$167:Z167)</f>
        <v>0</v>
      </c>
      <c r="AB167" s="180">
        <f>IF(AB5&gt;'DB2'!$U$27,SUM(AA169+AB76+AB79+AB111+IF(SUM(AC76,AC79)&lt;0,SUM(AC76,AC79),0),0),0)-SUM($F$167:AA167)</f>
        <v>0</v>
      </c>
      <c r="AC167" s="180">
        <f>IF(AC5&gt;'DB2'!$U$27,SUM(AB169+AC76+AC79+AC111+IF(SUM(AD76,AD79)&lt;0,SUM(AD76,AD79),0),0),0)-SUM($F$167:AB167)</f>
        <v>0</v>
      </c>
      <c r="AD167" s="180">
        <f>IF(AD5&gt;'DB2'!$U$27,SUM(AC169+AD76+AD79+AD111+IF(SUM(AE76,AE79)&lt;0,SUM(AE76,AE79),0),0),0)-SUM($F$167:AC167)</f>
        <v>0</v>
      </c>
      <c r="AE167" s="180">
        <f>IF(AE5&gt;'DB2'!$U$27,SUM(AD169+AE76+AE79+AE111+IF(SUM(AF76,AF79)&lt;0,SUM(AF76,AF79),0),0),0)-SUM($F$167:AD167)</f>
        <v>0</v>
      </c>
      <c r="AF167" s="180">
        <f>IF(AF5&gt;'DB2'!$U$27,SUM(AE169+AF76+AF79+AF111+IF(SUM(AG76,AG79)&lt;0,SUM(AG76,AG79),0),0),0)-SUM($F$167:AE167)</f>
        <v>0</v>
      </c>
      <c r="AG167" s="180">
        <f>IF(AG5&gt;'DB2'!$U$27,SUM(AF169+AG76+AG79+AG111+IF(SUM(AH76,AH79)&lt;0,SUM(AH76,AH79),0),0),0)-SUM($F$167:AF167)</f>
        <v>0</v>
      </c>
      <c r="AH167" s="180">
        <f>IF(AH5&gt;'DB2'!$U$27,SUM(AG169+AH76+AH79+AH111+IF(SUM(AI76,AI79)&lt;0,SUM(AI76,AI79),0),0),0)-SUM($F$167:AG167)</f>
        <v>0</v>
      </c>
      <c r="AI167" s="180">
        <f>IF(AI5&gt;'DB2'!$U$27,SUM(AH169+AI76+AI79+AI111+IF(SUM(AJ76,AJ79)&lt;0,SUM(AJ76,AJ79),0),0),0)-SUM($F$167:AH167)</f>
        <v>0</v>
      </c>
      <c r="AJ167" s="180">
        <f>IF(AJ5&gt;'DB2'!$U$27,SUM(AI169+AJ76+AJ79+AJ111+IF(SUM(AK76,AK79)&lt;0,SUM(AK76,AK79),0),0),0)-SUM($F$167:AI167)</f>
        <v>-4.5474735088646412E-13</v>
      </c>
      <c r="AK167" s="180">
        <f>IF(AK5&gt;'DB2'!$U$27,SUM(AJ169+AK76+AK79+AK111+IF(SUM(AL76,AL79)&lt;0,SUM(AL76,AL79),0),0),0)-SUM($F$167:AJ167)</f>
        <v>5.1159076974727213E-13</v>
      </c>
      <c r="AL167" s="180">
        <f>IF(AL5&gt;'DB2'!$U$27,SUM(AK169+AL76+AL79+AL111+IF(SUM(AM76,AM79)&lt;0,SUM(AM76,AM79),0),0),0)-SUM($F$167:AK167)</f>
        <v>892.25696144403241</v>
      </c>
      <c r="AM167" s="180">
        <f>IF(AM5&gt;'DB2'!$U$27,SUM(AL169+AM76+AM79+AM111+IF(SUM(AN76,AN79)&lt;0,SUM(AN76,AN79),0),0),0)-SUM($F$167:AL167)</f>
        <v>1746.8135727886131</v>
      </c>
      <c r="AN167" s="180">
        <f>IF(AN5&gt;'DB2'!$U$27,SUM(AM169+AN76+AN79+AN111+IF(SUM(AO76,AO79)&lt;0,SUM(AO76,AO79),0),0),0)-SUM($F$167:AM167)</f>
        <v>1740.298798382988</v>
      </c>
      <c r="AO167" s="180">
        <f>IF(AO5&gt;'DB2'!$U$27,SUM(AN169+AO76+AO79+AO111+IF(SUM(AP76,AP79)&lt;0,SUM(AP76,AP79),0),0),0)-SUM($F$167:AN167)</f>
        <v>-1.8711000000002969</v>
      </c>
      <c r="AP167" s="180">
        <f>IF(AP5&gt;'DB2'!$U$27,SUM(AO169+AP76+AP79+AP111+IF(SUM(AQ76,AQ79)&lt;0,SUM(AQ76,AQ79),0),0),0)-SUM($F$167:AO167)</f>
        <v>0</v>
      </c>
      <c r="AQ167" s="180">
        <f>IF(AQ5&gt;'DB2'!$U$27,SUM(AP169+AQ76+AQ79+AQ111+IF(SUM(AR76,AR79)&lt;0,SUM(AR76,AR79),0),0),0)-SUM($F$167:AP167)</f>
        <v>0</v>
      </c>
      <c r="AR167" s="180">
        <f>IF(AR5&gt;'DB2'!$U$27,SUM(AQ169+AR76+AR79+AR111+IF(SUM(AS76,AS79)&lt;0,SUM(AS76,AS79),0),0),0)-SUM($F$167:AQ167)</f>
        <v>0</v>
      </c>
      <c r="AS167" s="180">
        <f>IF(AS5&gt;'DB2'!$U$27,SUM(AR169+AS76+AS79+AS111+IF(SUM(AT76,AT79)&lt;0,SUM(AT76,AT79),0),0),0)-SUM($F$167:AR167)</f>
        <v>0</v>
      </c>
      <c r="AT167" s="180">
        <f>IF(AT5&gt;'DB2'!$U$27,SUM(AS169+AT76+AT79+AT111+IF(SUM(AU76,AU79)&lt;0,SUM(AU76,AU79),0),0),0)-SUM($F$167:AS167)</f>
        <v>0</v>
      </c>
      <c r="AU167" s="180">
        <f>IF(AU5&gt;'DB2'!$U$27,SUM(AT169+AU76+AU79+AU111+IF(SUM(AV76,AV79)&lt;0,SUM(AV76,AV79),0),0),0)-SUM($F$167:AT167)</f>
        <v>0</v>
      </c>
      <c r="AV167" s="180">
        <f>IF(AV5&gt;'DB2'!$U$27,SUM(AU169+AV76+AV79+AV111+IF(SUM(AW76,AW79)&lt;0,SUM(AW76,AW79),0),0),0)-SUM($F$167:AU167)</f>
        <v>0</v>
      </c>
      <c r="AW167" s="180">
        <f>IF(AW5&gt;'DB2'!$U$27,SUM(AV169+AW76+AW79+AW111+IF(SUM(AX76,AX79)&lt;0,SUM(AX76,AX79),0),0),0)-SUM($F$167:AV167)</f>
        <v>0</v>
      </c>
      <c r="AX167" s="180">
        <f>IF(AX5&gt;'DB2'!$U$27,SUM(AW169+AX76+AX79+AX111+IF(SUM(AY76,AY79)&lt;0,SUM(AY76,AY79),0),0),0)-SUM($F$167:AW167)</f>
        <v>0</v>
      </c>
      <c r="AY167" s="180">
        <f>IF(AY5&gt;'DB2'!$U$27,SUM(AX169+AY76+AY79+AY111+IF(SUM(AZ76,AZ79)&lt;0,SUM(AZ76,AZ79),0),0),0)-SUM($F$167:AX167)</f>
        <v>0</v>
      </c>
      <c r="AZ167" s="180">
        <f>IF(AZ5&gt;'DB2'!$U$27,SUM(AY169+AZ76+AZ79+AZ111+IF(SUM(BA76,BA79)&lt;0,SUM(BA76,BA79),0),0),0)-SUM($F$167:AY167)</f>
        <v>0</v>
      </c>
      <c r="BA167" s="180">
        <f>IF(BA5&gt;'DB2'!$U$27,SUM(AZ169+BA76+BA79+BA111+IF(SUM(BB76,BB79)&lt;0,SUM(BB76,BB79),0),0),0)-SUM($F$167:AZ167)</f>
        <v>0</v>
      </c>
      <c r="BB167" s="180">
        <f>IF(BB5&gt;'DB2'!$U$27,SUM(BA169+BB76+BB79+BB111+IF(SUM(BC76,BC79)&lt;0,SUM(BC76,BC79),0),0),0)-SUM($F$167:BA167)</f>
        <v>0</v>
      </c>
      <c r="BC167" s="180">
        <f>IF(BC5&gt;'DB2'!$U$27,SUM(BB169+BC76+BC79+BC111+IF(SUM(BD76,BD79)&lt;0,SUM(BD76,BD79),0),0),0)-SUM($F$167:BB167)</f>
        <v>0</v>
      </c>
      <c r="BD167" s="180">
        <f>IF(BD5&gt;'DB2'!$U$27,SUM(BC169+BD76+BD79+BD111+IF(SUM(BE76,BE79)&lt;0,SUM(BE76,BE79),0),0),0)-SUM($F$167:BC167)</f>
        <v>0</v>
      </c>
      <c r="BE167" s="180">
        <f>IF(BE5&gt;'DB2'!$U$27,SUM(BD169+BE76+BE79+BE111+IF(SUM(BF76,BF79)&lt;0,SUM(BF76,BF79),0),0),0)-SUM($F$167:BD167)</f>
        <v>0</v>
      </c>
      <c r="BF167" s="180">
        <f>IF(BF5&gt;'DB2'!$U$27,SUM(BE169+BF76+BF79+BF111+IF(SUM(BG76,BG79)&lt;0,SUM(BG76,BG79),0),0),0)-SUM($F$167:BE167)</f>
        <v>0</v>
      </c>
      <c r="BG167" s="180">
        <f>IF(BG5&gt;'DB2'!$U$27,SUM(BF169+BG76+BG79+BG111+IF(SUM(BH76,BH79)&lt;0,SUM(BH76,BH79),0),0),0)-SUM($F$167:BF167)</f>
        <v>0</v>
      </c>
      <c r="BH167" s="180">
        <f>IF(BH5&gt;'DB2'!$U$27,SUM(BG169+BH76+BH79+BH111+IF(SUM(BI76,BI79)&lt;0,SUM(BI76,BI79),0),0),0)-SUM($F$167:BG167)</f>
        <v>0</v>
      </c>
      <c r="BI167" s="180">
        <f>IF(BI5&gt;'DB2'!$U$27,SUM(BH169+BI76+BI79+BI111+IF(SUM(BJ76,BJ79)&lt;0,SUM(BJ76,BJ79),0),0),0)-SUM($F$167:BH167)</f>
        <v>0</v>
      </c>
      <c r="BJ167" s="180">
        <f>IF(BJ5&gt;'DB2'!$U$27,SUM(BI169+BJ76+BJ79+BJ111+IF(SUM(BK76,BK79)&lt;0,SUM(BK76,BK79),0),0),0)-SUM($F$167:BI167)</f>
        <v>0</v>
      </c>
      <c r="BK167" s="180">
        <f>IF(BK5&gt;'DB2'!$U$27,SUM(BJ169+BK76+BK79+BK111+IF(SUM(BL76,BL79)&lt;0,SUM(BL76,BL79),0),0),0)-SUM($F$167:BJ167)</f>
        <v>0</v>
      </c>
      <c r="BL167" s="180">
        <f>IF(BL5&gt;'DB2'!$U$27,SUM(BK169+BL76+BL79+BL111+IF(SUM(BM76,BM79)&lt;0,SUM(BM76,BM79),0),0),0)-SUM($F$167:BK167)</f>
        <v>0</v>
      </c>
      <c r="BM167" s="180">
        <f>IF(BM5&gt;'DB2'!$U$27,SUM(BL169+BM76+BM79+BM111+IF(SUM(BN76,BN79)&lt;0,SUM(BN76,BN79),0),0),0)-SUM($F$167:BL167)</f>
        <v>0</v>
      </c>
    </row>
    <row r="168" spans="2:65">
      <c r="E168" s="148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  <c r="AC168" s="149"/>
      <c r="AD168" s="149"/>
      <c r="AE168" s="149"/>
      <c r="AF168" s="149"/>
      <c r="AG168" s="149"/>
      <c r="AH168" s="149"/>
      <c r="AI168" s="149"/>
      <c r="AJ168" s="149"/>
      <c r="AK168" s="149"/>
      <c r="AL168" s="149"/>
      <c r="AM168" s="149"/>
      <c r="AN168" s="149"/>
      <c r="AO168" s="149"/>
      <c r="AP168" s="149"/>
      <c r="AQ168" s="149"/>
      <c r="AR168" s="149"/>
      <c r="AS168" s="149"/>
      <c r="AT168" s="149"/>
      <c r="AU168" s="149"/>
      <c r="AV168" s="149"/>
      <c r="AW168" s="149"/>
      <c r="AX168" s="149"/>
      <c r="AY168" s="149"/>
      <c r="AZ168" s="149"/>
      <c r="BA168" s="149"/>
      <c r="BB168" s="149"/>
      <c r="BC168" s="149"/>
      <c r="BD168" s="149"/>
      <c r="BE168" s="149"/>
      <c r="BF168" s="149"/>
      <c r="BG168" s="149"/>
      <c r="BH168" s="149"/>
      <c r="BI168" s="149"/>
      <c r="BJ168" s="149"/>
      <c r="BK168" s="149"/>
      <c r="BL168" s="149"/>
      <c r="BM168" s="149"/>
    </row>
    <row r="169" spans="2:65">
      <c r="B169" s="181" t="s">
        <v>68</v>
      </c>
      <c r="C169" s="181"/>
      <c r="D169" s="175"/>
      <c r="E169" s="180"/>
      <c r="F169" s="180">
        <f>E169+F76+F79+F111</f>
        <v>0</v>
      </c>
      <c r="G169" s="180">
        <f t="shared" ref="G169:BM169" si="115">F169+G76+G79+G111</f>
        <v>0</v>
      </c>
      <c r="H169" s="180">
        <f t="shared" si="115"/>
        <v>0</v>
      </c>
      <c r="I169" s="180">
        <f t="shared" si="115"/>
        <v>0</v>
      </c>
      <c r="J169" s="180">
        <f t="shared" si="115"/>
        <v>0</v>
      </c>
      <c r="K169" s="180">
        <f t="shared" si="115"/>
        <v>0</v>
      </c>
      <c r="L169" s="180">
        <f t="shared" si="115"/>
        <v>0</v>
      </c>
      <c r="M169" s="180">
        <f t="shared" si="115"/>
        <v>0</v>
      </c>
      <c r="N169" s="180">
        <f t="shared" si="115"/>
        <v>0</v>
      </c>
      <c r="O169" s="180">
        <f t="shared" si="115"/>
        <v>0</v>
      </c>
      <c r="P169" s="180">
        <f t="shared" si="115"/>
        <v>0</v>
      </c>
      <c r="Q169" s="180">
        <f t="shared" si="115"/>
        <v>0</v>
      </c>
      <c r="R169" s="180">
        <f t="shared" si="115"/>
        <v>0</v>
      </c>
      <c r="S169" s="180">
        <f t="shared" si="115"/>
        <v>0</v>
      </c>
      <c r="T169" s="180">
        <f t="shared" si="115"/>
        <v>0</v>
      </c>
      <c r="U169" s="180">
        <f t="shared" si="115"/>
        <v>0</v>
      </c>
      <c r="V169" s="180">
        <f t="shared" si="115"/>
        <v>0</v>
      </c>
      <c r="W169" s="180">
        <f t="shared" si="115"/>
        <v>0</v>
      </c>
      <c r="X169" s="180">
        <f t="shared" si="115"/>
        <v>-6.8212102632969618E-13</v>
      </c>
      <c r="Y169" s="180">
        <f t="shared" si="115"/>
        <v>0</v>
      </c>
      <c r="Z169" s="180">
        <f t="shared" si="115"/>
        <v>0</v>
      </c>
      <c r="AA169" s="180">
        <f t="shared" si="115"/>
        <v>0</v>
      </c>
      <c r="AB169" s="180">
        <f t="shared" si="115"/>
        <v>0</v>
      </c>
      <c r="AC169" s="180">
        <f t="shared" si="115"/>
        <v>0</v>
      </c>
      <c r="AD169" s="180">
        <f t="shared" si="115"/>
        <v>0</v>
      </c>
      <c r="AE169" s="180">
        <f t="shared" si="115"/>
        <v>0</v>
      </c>
      <c r="AF169" s="180">
        <f t="shared" si="115"/>
        <v>0</v>
      </c>
      <c r="AG169" s="180">
        <f t="shared" si="115"/>
        <v>0</v>
      </c>
      <c r="AH169" s="180">
        <f t="shared" si="115"/>
        <v>0</v>
      </c>
      <c r="AI169" s="180">
        <f t="shared" si="115"/>
        <v>0</v>
      </c>
      <c r="AJ169" s="180">
        <f t="shared" si="115"/>
        <v>0</v>
      </c>
      <c r="AK169" s="180">
        <f t="shared" si="115"/>
        <v>0</v>
      </c>
      <c r="AL169" s="180">
        <f t="shared" si="115"/>
        <v>892.25696144403241</v>
      </c>
      <c r="AM169" s="180">
        <f t="shared" si="115"/>
        <v>2639.0705342326455</v>
      </c>
      <c r="AN169" s="180">
        <f t="shared" si="115"/>
        <v>4426.7558607285146</v>
      </c>
      <c r="AO169" s="180">
        <f t="shared" si="115"/>
        <v>4379.3693326156335</v>
      </c>
      <c r="AP169" s="180">
        <f t="shared" si="115"/>
        <v>4377.4982326156332</v>
      </c>
      <c r="AQ169" s="180">
        <f t="shared" si="115"/>
        <v>4377.4982326156332</v>
      </c>
      <c r="AR169" s="180">
        <f t="shared" si="115"/>
        <v>4377.4982326156332</v>
      </c>
      <c r="AS169" s="180">
        <f t="shared" si="115"/>
        <v>4377.4982326156332</v>
      </c>
      <c r="AT169" s="180">
        <f t="shared" si="115"/>
        <v>4377.4982326156332</v>
      </c>
      <c r="AU169" s="180">
        <f t="shared" si="115"/>
        <v>4377.4982326156332</v>
      </c>
      <c r="AV169" s="180">
        <f t="shared" si="115"/>
        <v>4377.4982326156332</v>
      </c>
      <c r="AW169" s="180">
        <f t="shared" si="115"/>
        <v>4377.4982326156332</v>
      </c>
      <c r="AX169" s="180">
        <f t="shared" si="115"/>
        <v>4377.4982326156332</v>
      </c>
      <c r="AY169" s="180">
        <f t="shared" si="115"/>
        <v>4377.4982326156332</v>
      </c>
      <c r="AZ169" s="180">
        <f t="shared" si="115"/>
        <v>4377.4982326156332</v>
      </c>
      <c r="BA169" s="180">
        <f t="shared" si="115"/>
        <v>4377.4982326156332</v>
      </c>
      <c r="BB169" s="180">
        <f t="shared" si="115"/>
        <v>4377.4982326156332</v>
      </c>
      <c r="BC169" s="180">
        <f t="shared" si="115"/>
        <v>4377.4982326156332</v>
      </c>
      <c r="BD169" s="180">
        <f t="shared" si="115"/>
        <v>4377.4982326156332</v>
      </c>
      <c r="BE169" s="180">
        <f t="shared" si="115"/>
        <v>4377.4982326156332</v>
      </c>
      <c r="BF169" s="180">
        <f t="shared" si="115"/>
        <v>4377.4982326156332</v>
      </c>
      <c r="BG169" s="180">
        <f t="shared" si="115"/>
        <v>4377.4982326156332</v>
      </c>
      <c r="BH169" s="180">
        <f t="shared" si="115"/>
        <v>4377.4982326156332</v>
      </c>
      <c r="BI169" s="180">
        <f t="shared" si="115"/>
        <v>4377.4982326156332</v>
      </c>
      <c r="BJ169" s="180">
        <f t="shared" si="115"/>
        <v>4377.4982326156332</v>
      </c>
      <c r="BK169" s="180">
        <f t="shared" si="115"/>
        <v>4377.4982326156332</v>
      </c>
      <c r="BL169" s="180">
        <f t="shared" si="115"/>
        <v>4377.4982326156332</v>
      </c>
      <c r="BM169" s="180">
        <f t="shared" si="115"/>
        <v>4377.4982326156332</v>
      </c>
    </row>
    <row r="171" spans="2:65">
      <c r="B171" s="181" t="s">
        <v>104</v>
      </c>
      <c r="C171" s="181"/>
      <c r="D171" s="175"/>
      <c r="E171" s="180">
        <f>SUM(F171:BM171)</f>
        <v>4519.698867969103</v>
      </c>
      <c r="F171" s="180">
        <f t="shared" ref="F171:BM171" si="116">-F81-F82-F85+IF(F76+F79+F111,F76+F79+F111,0)</f>
        <v>0</v>
      </c>
      <c r="G171" s="180">
        <f t="shared" si="116"/>
        <v>0</v>
      </c>
      <c r="H171" s="180">
        <f t="shared" si="116"/>
        <v>0</v>
      </c>
      <c r="I171" s="180">
        <f t="shared" si="116"/>
        <v>0</v>
      </c>
      <c r="J171" s="180">
        <f t="shared" si="116"/>
        <v>0</v>
      </c>
      <c r="K171" s="180">
        <f t="shared" si="116"/>
        <v>0</v>
      </c>
      <c r="L171" s="180">
        <f t="shared" si="116"/>
        <v>0</v>
      </c>
      <c r="M171" s="180">
        <f t="shared" si="116"/>
        <v>0</v>
      </c>
      <c r="N171" s="180">
        <f t="shared" si="116"/>
        <v>-38.707316270437914</v>
      </c>
      <c r="O171" s="180">
        <f t="shared" si="116"/>
        <v>-38.707316270437914</v>
      </c>
      <c r="P171" s="180">
        <f t="shared" si="116"/>
        <v>-136.53967019161266</v>
      </c>
      <c r="Q171" s="180">
        <f t="shared" si="116"/>
        <v>0</v>
      </c>
      <c r="R171" s="180">
        <f t="shared" si="116"/>
        <v>0</v>
      </c>
      <c r="S171" s="180">
        <f t="shared" si="116"/>
        <v>0</v>
      </c>
      <c r="T171" s="180">
        <f t="shared" si="116"/>
        <v>0</v>
      </c>
      <c r="U171" s="180">
        <f t="shared" si="116"/>
        <v>0</v>
      </c>
      <c r="V171" s="180">
        <f t="shared" si="116"/>
        <v>0</v>
      </c>
      <c r="W171" s="180">
        <f t="shared" si="116"/>
        <v>0</v>
      </c>
      <c r="X171" s="180">
        <f t="shared" si="116"/>
        <v>-6.8212102632969618E-13</v>
      </c>
      <c r="Y171" s="180">
        <f t="shared" si="116"/>
        <v>6.8212102632969618E-13</v>
      </c>
      <c r="Z171" s="180">
        <f t="shared" si="116"/>
        <v>0</v>
      </c>
      <c r="AA171" s="180">
        <f t="shared" si="116"/>
        <v>0</v>
      </c>
      <c r="AB171" s="180">
        <f t="shared" si="116"/>
        <v>0</v>
      </c>
      <c r="AC171" s="180">
        <f t="shared" si="116"/>
        <v>0</v>
      </c>
      <c r="AD171" s="180">
        <f t="shared" si="116"/>
        <v>0</v>
      </c>
      <c r="AE171" s="180">
        <f t="shared" si="116"/>
        <v>0</v>
      </c>
      <c r="AF171" s="180">
        <f t="shared" si="116"/>
        <v>0</v>
      </c>
      <c r="AG171" s="180">
        <f t="shared" si="116"/>
        <v>0</v>
      </c>
      <c r="AH171" s="180">
        <f t="shared" si="116"/>
        <v>0</v>
      </c>
      <c r="AI171" s="180">
        <f t="shared" si="116"/>
        <v>0</v>
      </c>
      <c r="AJ171" s="180">
        <f t="shared" si="116"/>
        <v>-4.5474735088646412E-13</v>
      </c>
      <c r="AK171" s="180">
        <f t="shared" si="116"/>
        <v>5.6843418860808015E-14</v>
      </c>
      <c r="AL171" s="180">
        <f t="shared" si="116"/>
        <v>1248.4118995299916</v>
      </c>
      <c r="AM171" s="180">
        <f t="shared" si="116"/>
        <v>1746.8135727886131</v>
      </c>
      <c r="AN171" s="180">
        <f t="shared" si="116"/>
        <v>1787.6853264958688</v>
      </c>
      <c r="AO171" s="180">
        <f t="shared" si="116"/>
        <v>-47.386528112880853</v>
      </c>
      <c r="AP171" s="180">
        <f t="shared" si="116"/>
        <v>-1.8711000000000089</v>
      </c>
      <c r="AQ171" s="180">
        <f t="shared" si="116"/>
        <v>0</v>
      </c>
      <c r="AR171" s="180">
        <f t="shared" si="116"/>
        <v>0</v>
      </c>
      <c r="AS171" s="180">
        <f t="shared" si="116"/>
        <v>0</v>
      </c>
      <c r="AT171" s="180">
        <f t="shared" si="116"/>
        <v>0</v>
      </c>
      <c r="AU171" s="180">
        <f t="shared" si="116"/>
        <v>0</v>
      </c>
      <c r="AV171" s="180">
        <f t="shared" si="116"/>
        <v>0</v>
      </c>
      <c r="AW171" s="180">
        <f t="shared" si="116"/>
        <v>0</v>
      </c>
      <c r="AX171" s="180">
        <f t="shared" si="116"/>
        <v>0</v>
      </c>
      <c r="AY171" s="180">
        <f t="shared" si="116"/>
        <v>0</v>
      </c>
      <c r="AZ171" s="180">
        <f t="shared" si="116"/>
        <v>0</v>
      </c>
      <c r="BA171" s="180">
        <f t="shared" si="116"/>
        <v>0</v>
      </c>
      <c r="BB171" s="180">
        <f t="shared" si="116"/>
        <v>0</v>
      </c>
      <c r="BC171" s="180">
        <f t="shared" si="116"/>
        <v>0</v>
      </c>
      <c r="BD171" s="180">
        <f t="shared" si="116"/>
        <v>0</v>
      </c>
      <c r="BE171" s="180">
        <f t="shared" si="116"/>
        <v>0</v>
      </c>
      <c r="BF171" s="180">
        <f t="shared" si="116"/>
        <v>0</v>
      </c>
      <c r="BG171" s="180">
        <f t="shared" si="116"/>
        <v>0</v>
      </c>
      <c r="BH171" s="180">
        <f t="shared" si="116"/>
        <v>0</v>
      </c>
      <c r="BI171" s="180">
        <f t="shared" si="116"/>
        <v>0</v>
      </c>
      <c r="BJ171" s="180">
        <f t="shared" si="116"/>
        <v>0</v>
      </c>
      <c r="BK171" s="180">
        <f t="shared" si="116"/>
        <v>0</v>
      </c>
      <c r="BL171" s="180">
        <f t="shared" si="116"/>
        <v>0</v>
      </c>
      <c r="BM171" s="180">
        <f t="shared" si="116"/>
        <v>0</v>
      </c>
    </row>
    <row r="172" spans="2:65">
      <c r="F172" s="149"/>
    </row>
    <row r="173" spans="2:65" s="164" customFormat="1" hidden="1" outlineLevel="1">
      <c r="B173" s="163" t="s">
        <v>74</v>
      </c>
      <c r="D173" s="165"/>
      <c r="E173" s="163"/>
    </row>
    <row r="174" spans="2:65" s="164" customFormat="1" ht="12.75" hidden="1" customHeight="1" outlineLevel="1">
      <c r="B174" s="166" t="s">
        <v>71</v>
      </c>
      <c r="C174" s="167"/>
      <c r="D174" s="168"/>
      <c r="E174" s="24"/>
      <c r="F174" s="24">
        <f>IF(SUM(E$175:$F175)=0,1,0)</f>
        <v>1</v>
      </c>
      <c r="G174" s="24">
        <f>IF(SUM($F$175:F175)=0,1,0)</f>
        <v>1</v>
      </c>
      <c r="H174" s="24">
        <f>IF(SUM($F$175:G175)=0,1,0)</f>
        <v>1</v>
      </c>
      <c r="I174" s="24">
        <f>IF(SUM($F$175:H175)=0,1,0)</f>
        <v>1</v>
      </c>
      <c r="J174" s="24">
        <f>IF(SUM($F$175:I175)=0,1,0)</f>
        <v>1</v>
      </c>
      <c r="K174" s="24">
        <f>IF(SUM($F$175:J175)=0,1,0)</f>
        <v>1</v>
      </c>
      <c r="L174" s="24">
        <f>IF(SUM($F$175:K175)=0,1,0)</f>
        <v>1</v>
      </c>
      <c r="M174" s="24">
        <f>IF(SUM($F$175:L175)=0,1,0)</f>
        <v>1</v>
      </c>
      <c r="N174" s="24">
        <f>IF(SUM($F$175:M175)=0,1,0)</f>
        <v>1</v>
      </c>
      <c r="O174" s="24">
        <f>IF(SUM($F$175:N175)=0,1,0)</f>
        <v>1</v>
      </c>
      <c r="P174" s="24">
        <f>IF(SUM($F$175:O175)=0,1,0)</f>
        <v>1</v>
      </c>
      <c r="Q174" s="24">
        <f>IF(SUM($F$175:P175)=0,1,0)</f>
        <v>1</v>
      </c>
      <c r="R174" s="24">
        <f>IF(SUM($F$175:Q175)=0,1,0)</f>
        <v>1</v>
      </c>
      <c r="S174" s="24">
        <f>IF(SUM($F$175:R175)=0,1,0)</f>
        <v>1</v>
      </c>
      <c r="T174" s="24">
        <f>IF(SUM($F$175:S175)=0,1,0)</f>
        <v>1</v>
      </c>
      <c r="U174" s="24">
        <f>IF(SUM($F$175:T175)=0,1,0)</f>
        <v>1</v>
      </c>
      <c r="V174" s="24">
        <f>IF(SUM($F$175:U175)=0,1,0)</f>
        <v>1</v>
      </c>
      <c r="W174" s="24">
        <f>IF(SUM($F$175:V175)=0,1,0)</f>
        <v>1</v>
      </c>
      <c r="X174" s="24">
        <f>IF(SUM($F$175:W175)=0,1,0)</f>
        <v>1</v>
      </c>
      <c r="Y174" s="24">
        <f>IF(SUM($F$175:X175)=0,1,0)</f>
        <v>1</v>
      </c>
      <c r="Z174" s="24">
        <f>IF(SUM($F$175:Y175)=0,1,0)</f>
        <v>1</v>
      </c>
      <c r="AA174" s="24">
        <f>IF(SUM($F$175:Z175)=0,1,0)</f>
        <v>1</v>
      </c>
      <c r="AB174" s="24">
        <f>IF(SUM($F$175:AA175)=0,1,0)</f>
        <v>1</v>
      </c>
      <c r="AC174" s="24">
        <f>IF(SUM($F$175:AB175)=0,1,0)</f>
        <v>1</v>
      </c>
      <c r="AD174" s="24">
        <f>IF(SUM($F$175:AC175)=0,1,0)</f>
        <v>1</v>
      </c>
      <c r="AE174" s="24">
        <f>IF(SUM($F$175:AD175)=0,1,0)</f>
        <v>1</v>
      </c>
      <c r="AF174" s="24">
        <f>IF(SUM($F$175:AE175)=0,1,0)</f>
        <v>1</v>
      </c>
      <c r="AG174" s="24">
        <f>IF(SUM($F$175:AF175)=0,1,0)</f>
        <v>1</v>
      </c>
      <c r="AH174" s="24">
        <f>IF(SUM($F$175:AG175)=0,1,0)</f>
        <v>1</v>
      </c>
      <c r="AI174" s="24">
        <f>IF(SUM($F$175:AH175)=0,1,0)</f>
        <v>1</v>
      </c>
      <c r="AJ174" s="24">
        <f>IF(SUM($F$175:AI175)=0,1,0)</f>
        <v>0</v>
      </c>
      <c r="AK174" s="24">
        <f>IF(SUM($F$175:AJ175)=0,1,0)</f>
        <v>0</v>
      </c>
      <c r="AL174" s="24">
        <f>IF(SUM($F$175:AK175)=0,1,0)</f>
        <v>0</v>
      </c>
      <c r="AM174" s="24">
        <f>IF(SUM($F$175:AL175)=0,1,0)</f>
        <v>0</v>
      </c>
      <c r="AN174" s="24">
        <f>IF(SUM($F$175:AM175)=0,1,0)</f>
        <v>0</v>
      </c>
      <c r="AO174" s="24">
        <f>IF(SUM($F$175:AN175)=0,1,0)</f>
        <v>0</v>
      </c>
      <c r="AP174" s="24">
        <f>IF(SUM($F$175:AO175)=0,1,0)</f>
        <v>0</v>
      </c>
      <c r="AQ174" s="24">
        <f>IF(SUM($F$175:AP175)=0,1,0)</f>
        <v>0</v>
      </c>
      <c r="AR174" s="24">
        <f>IF(SUM($F$175:AQ175)=0,1,0)</f>
        <v>0</v>
      </c>
      <c r="AS174" s="24">
        <f>IF(SUM($F$175:AR175)=0,1,0)</f>
        <v>0</v>
      </c>
      <c r="AT174" s="24">
        <f>IF(SUM($F$175:AS175)=0,1,0)</f>
        <v>0</v>
      </c>
      <c r="AU174" s="24">
        <f>IF(SUM($F$175:AT175)=0,1,0)</f>
        <v>0</v>
      </c>
      <c r="AV174" s="24">
        <f>IF(SUM($F$175:AU175)=0,1,0)</f>
        <v>0</v>
      </c>
      <c r="AW174" s="24">
        <f>IF(SUM($F$175:AV175)=0,1,0)</f>
        <v>0</v>
      </c>
      <c r="AX174" s="24">
        <f>IF(SUM($F$175:AW175)=0,1,0)</f>
        <v>0</v>
      </c>
      <c r="AY174" s="24">
        <f>IF(SUM($F$175:AX175)=0,1,0)</f>
        <v>0</v>
      </c>
      <c r="AZ174" s="24">
        <f>IF(SUM($F$175:AY175)=0,1,0)</f>
        <v>0</v>
      </c>
      <c r="BA174" s="24">
        <f>IF(SUM($F$175:AZ175)=0,1,0)</f>
        <v>0</v>
      </c>
      <c r="BB174" s="24">
        <f>IF(SUM($F$175:BA175)=0,1,0)</f>
        <v>0</v>
      </c>
      <c r="BC174" s="24">
        <f>IF(SUM($F$175:BB175)=0,1,0)</f>
        <v>0</v>
      </c>
      <c r="BD174" s="24">
        <f>IF(SUM($F$175:BC175)=0,1,0)</f>
        <v>0</v>
      </c>
      <c r="BE174" s="24">
        <f>IF(SUM($F$175:BD175)=0,1,0)</f>
        <v>0</v>
      </c>
      <c r="BF174" s="24">
        <f>IF(SUM($F$175:BE175)=0,1,0)</f>
        <v>0</v>
      </c>
      <c r="BG174" s="24">
        <f>IF(SUM($F$175:BF175)=0,1,0)</f>
        <v>0</v>
      </c>
      <c r="BH174" s="24">
        <f>IF(SUM($F$175:BG175)=0,1,0)</f>
        <v>0</v>
      </c>
      <c r="BI174" s="24">
        <f>IF(SUM($F$175:BH175)=0,1,0)</f>
        <v>0</v>
      </c>
      <c r="BJ174" s="24">
        <f>IF(SUM($F$175:BI175)=0,1,0)</f>
        <v>0</v>
      </c>
      <c r="BK174" s="24">
        <f>IF(SUM($F$175:BJ175)=0,1,0)</f>
        <v>0</v>
      </c>
      <c r="BL174" s="24">
        <f>IF(SUM($F$175:BK175)=0,1,0)</f>
        <v>0</v>
      </c>
      <c r="BM174" s="24">
        <f>IF(SUM($F$175:BL175)=0,1,0)</f>
        <v>0</v>
      </c>
    </row>
    <row r="175" spans="2:65" s="164" customFormat="1" ht="12.75" hidden="1" customHeight="1" outlineLevel="1">
      <c r="B175" s="166" t="s">
        <v>70</v>
      </c>
      <c r="C175" s="167"/>
      <c r="D175" s="168"/>
      <c r="E175" s="24"/>
      <c r="F175" s="24">
        <f>IF(AND('DB2'!$U$27&gt;'CF2'!E6,'DB2'!$U$27&lt;='CF2'!F5),1,0)</f>
        <v>0</v>
      </c>
      <c r="G175" s="24">
        <f>IF(AND('DB2'!$U$27&gt;'CF2'!F5,'DB2'!$U$27&lt;='CF2'!G5),1,0)</f>
        <v>0</v>
      </c>
      <c r="H175" s="24">
        <f>IF(AND('DB2'!$U$27&gt;'CF2'!G5,'DB2'!$U$27&lt;='CF2'!H5),1,0)</f>
        <v>0</v>
      </c>
      <c r="I175" s="24">
        <f>IF(AND('DB2'!$U$27&gt;'CF2'!H5,'DB2'!$U$27&lt;='CF2'!I5),1,0)</f>
        <v>0</v>
      </c>
      <c r="J175" s="24">
        <f>IF(AND('DB2'!$U$27&gt;'CF2'!I5,'DB2'!$U$27&lt;='CF2'!J5),1,0)</f>
        <v>0</v>
      </c>
      <c r="K175" s="24">
        <f>IF(AND('DB2'!$U$27&gt;'CF2'!J5,'DB2'!$U$27&lt;='CF2'!K5),1,0)</f>
        <v>0</v>
      </c>
      <c r="L175" s="24">
        <f>IF(AND('DB2'!$U$27&gt;'CF2'!K5,'DB2'!$U$27&lt;='CF2'!L5),1,0)</f>
        <v>0</v>
      </c>
      <c r="M175" s="24">
        <f>IF(AND('DB2'!$U$27&gt;'CF2'!L5,'DB2'!$U$27&lt;='CF2'!M5),1,0)</f>
        <v>0</v>
      </c>
      <c r="N175" s="24">
        <f>IF(AND('DB2'!$U$27&gt;'CF2'!M5,'DB2'!$U$27&lt;='CF2'!N5),1,0)</f>
        <v>0</v>
      </c>
      <c r="O175" s="24">
        <f>IF(AND('DB2'!$U$27&gt;'CF2'!N5,'DB2'!$U$27&lt;='CF2'!O5),1,0)</f>
        <v>0</v>
      </c>
      <c r="P175" s="24">
        <f>IF(AND('DB2'!$U$27&gt;'CF2'!O5,'DB2'!$U$27&lt;='CF2'!P5),1,0)</f>
        <v>0</v>
      </c>
      <c r="Q175" s="24">
        <f>IF(AND('DB2'!$U$27&gt;'CF2'!P5,'DB2'!$U$27&lt;='CF2'!Q5),1,0)</f>
        <v>0</v>
      </c>
      <c r="R175" s="24">
        <f>IF(AND('DB2'!$U$27&gt;'CF2'!Q5,'DB2'!$U$27&lt;='CF2'!R5),1,0)</f>
        <v>0</v>
      </c>
      <c r="S175" s="24">
        <f>IF(AND('DB2'!$U$27&gt;'CF2'!R5,'DB2'!$U$27&lt;='CF2'!S5),1,0)</f>
        <v>0</v>
      </c>
      <c r="T175" s="24">
        <f>IF(AND('DB2'!$U$27&gt;'CF2'!S5,'DB2'!$U$27&lt;='CF2'!T5),1,0)</f>
        <v>0</v>
      </c>
      <c r="U175" s="24">
        <f>IF(AND('DB2'!$U$27&gt;'CF2'!T5,'DB2'!$U$27&lt;='CF2'!U5),1,0)</f>
        <v>0</v>
      </c>
      <c r="V175" s="24">
        <f>IF(AND('DB2'!$U$27&gt;'CF2'!U5,'DB2'!$U$27&lt;='CF2'!V5),1,0)</f>
        <v>0</v>
      </c>
      <c r="W175" s="24">
        <f>IF(AND('DB2'!$U$27&gt;'CF2'!V5,'DB2'!$U$27&lt;='CF2'!W5),1,0)</f>
        <v>0</v>
      </c>
      <c r="X175" s="24">
        <f>IF(AND('DB2'!$U$27&gt;'CF2'!W5,'DB2'!$U$27&lt;='CF2'!X5),1,0)</f>
        <v>0</v>
      </c>
      <c r="Y175" s="24">
        <f>IF(AND('DB2'!$U$27&gt;'CF2'!X5,'DB2'!$U$27&lt;='CF2'!Y5),1,0)</f>
        <v>0</v>
      </c>
      <c r="Z175" s="24">
        <f>IF(AND('DB2'!$U$27&gt;'CF2'!Y5,'DB2'!$U$27&lt;='CF2'!Z5),1,0)</f>
        <v>0</v>
      </c>
      <c r="AA175" s="24">
        <f>IF(AND('DB2'!$U$27&gt;'CF2'!Z5,'DB2'!$U$27&lt;='CF2'!AA5),1,0)</f>
        <v>0</v>
      </c>
      <c r="AB175" s="24">
        <f>IF(AND('DB2'!$U$27&gt;'CF2'!AA5,'DB2'!$U$27&lt;='CF2'!AB5),1,0)</f>
        <v>0</v>
      </c>
      <c r="AC175" s="24">
        <f>IF(AND('DB2'!$U$27&gt;'CF2'!AB5,'DB2'!$U$27&lt;='CF2'!AC5),1,0)</f>
        <v>0</v>
      </c>
      <c r="AD175" s="24">
        <f>IF(AND('DB2'!$U$27&gt;'CF2'!AC5,'DB2'!$U$27&lt;='CF2'!AD5),1,0)</f>
        <v>0</v>
      </c>
      <c r="AE175" s="24">
        <f>IF(AND('DB2'!$U$27&gt;'CF2'!AD5,'DB2'!$U$27&lt;='CF2'!AE5),1,0)</f>
        <v>0</v>
      </c>
      <c r="AF175" s="24">
        <f>IF(AND('DB2'!$U$27&gt;'CF2'!AE5,'DB2'!$U$27&lt;='CF2'!AF5),1,0)</f>
        <v>0</v>
      </c>
      <c r="AG175" s="24">
        <f>IF(AND('DB2'!$U$27&gt;'CF2'!AF5,'DB2'!$U$27&lt;='CF2'!AG5),1,0)</f>
        <v>0</v>
      </c>
      <c r="AH175" s="24">
        <f>IF(AND('DB2'!$U$27&gt;'CF2'!AG5,'DB2'!$U$27&lt;='CF2'!AH5),1,0)</f>
        <v>0</v>
      </c>
      <c r="AI175" s="24">
        <f>IF(AND('DB2'!$U$27&gt;'CF2'!AH5,'DB2'!$U$27&lt;='CF2'!AI5),1,0)</f>
        <v>1</v>
      </c>
      <c r="AJ175" s="24">
        <f>IF(AND('DB2'!$U$27&gt;'CF2'!AI5,'DB2'!$U$27&lt;='CF2'!AJ5),1,0)</f>
        <v>0</v>
      </c>
      <c r="AK175" s="24">
        <f>IF(AND('DB2'!$U$27&gt;'CF2'!AJ5,'DB2'!$U$27&lt;='CF2'!AK5),1,0)</f>
        <v>0</v>
      </c>
      <c r="AL175" s="24">
        <f>IF(AND('DB2'!$U$27&gt;'CF2'!AK5,'DB2'!$U$27&lt;='CF2'!AL5),1,0)</f>
        <v>0</v>
      </c>
      <c r="AM175" s="24">
        <f>IF(AND('DB2'!$U$27&gt;'CF2'!AL5,'DB2'!$U$27&lt;='CF2'!AM5),1,0)</f>
        <v>0</v>
      </c>
      <c r="AN175" s="24">
        <f>IF(AND('DB2'!$U$27&gt;'CF2'!AM5,'DB2'!$U$27&lt;='CF2'!AN5),1,0)</f>
        <v>0</v>
      </c>
      <c r="AO175" s="24">
        <f>IF(AND('DB2'!$U$27&gt;'CF2'!AN5,'DB2'!$U$27&lt;='CF2'!AO5),1,0)</f>
        <v>0</v>
      </c>
      <c r="AP175" s="24">
        <f>IF(AND('DB2'!$U$27&gt;'CF2'!AO5,'DB2'!$U$27&lt;='CF2'!AP5),1,0)</f>
        <v>0</v>
      </c>
      <c r="AQ175" s="24">
        <f>IF(AND('DB2'!$U$27&gt;'CF2'!AP5,'DB2'!$U$27&lt;='CF2'!AQ5),1,0)</f>
        <v>0</v>
      </c>
      <c r="AR175" s="24">
        <f>IF(AND('DB2'!$U$27&gt;'CF2'!AQ5,'DB2'!$U$27&lt;='CF2'!AR5),1,0)</f>
        <v>0</v>
      </c>
      <c r="AS175" s="24">
        <f>IF(AND('DB2'!$U$27&gt;'CF2'!AR5,'DB2'!$U$27&lt;='CF2'!AS5),1,0)</f>
        <v>0</v>
      </c>
      <c r="AT175" s="24">
        <f>IF(AND('DB2'!$U$27&gt;'CF2'!AS5,'DB2'!$U$27&lt;='CF2'!AT5),1,0)</f>
        <v>0</v>
      </c>
      <c r="AU175" s="24">
        <f>IF(AND('DB2'!$U$27&gt;'CF2'!AT5,'DB2'!$U$27&lt;='CF2'!AU5),1,0)</f>
        <v>0</v>
      </c>
      <c r="AV175" s="24">
        <f>IF(AND('DB2'!$U$27&gt;'CF2'!AU5,'DB2'!$U$27&lt;='CF2'!AV5),1,0)</f>
        <v>0</v>
      </c>
      <c r="AW175" s="24">
        <f>IF(AND('DB2'!$U$27&gt;'CF2'!AV5,'DB2'!$U$27&lt;='CF2'!AW5),1,0)</f>
        <v>0</v>
      </c>
      <c r="AX175" s="24">
        <f>IF(AND('DB2'!$U$27&gt;'CF2'!AW5,'DB2'!$U$27&lt;='CF2'!AX5),1,0)</f>
        <v>0</v>
      </c>
      <c r="AY175" s="24">
        <f>IF(AND('DB2'!$U$27&gt;'CF2'!AX5,'DB2'!$U$27&lt;='CF2'!AY5),1,0)</f>
        <v>0</v>
      </c>
      <c r="AZ175" s="24">
        <f>IF(AND('DB2'!$U$27&gt;'CF2'!AY5,'DB2'!$U$27&lt;='CF2'!AZ5),1,0)</f>
        <v>0</v>
      </c>
      <c r="BA175" s="24">
        <f>IF(AND('DB2'!$U$27&gt;'CF2'!AZ5,'DB2'!$U$27&lt;='CF2'!BA5),1,0)</f>
        <v>0</v>
      </c>
      <c r="BB175" s="24">
        <f>IF(AND('DB2'!$U$27&gt;'CF2'!BA5,'DB2'!$U$27&lt;='CF2'!BB5),1,0)</f>
        <v>0</v>
      </c>
      <c r="BC175" s="24">
        <f>IF(AND('DB2'!$U$27&gt;'CF2'!BB5,'DB2'!$U$27&lt;='CF2'!BC5),1,0)</f>
        <v>0</v>
      </c>
      <c r="BD175" s="24">
        <f>IF(AND('DB2'!$U$27&gt;'CF2'!BC5,'DB2'!$U$27&lt;='CF2'!BD5),1,0)</f>
        <v>0</v>
      </c>
      <c r="BE175" s="24">
        <f>IF(AND('DB2'!$U$27&gt;'CF2'!BD5,'DB2'!$U$27&lt;='CF2'!BE5),1,0)</f>
        <v>0</v>
      </c>
      <c r="BF175" s="24">
        <f>IF(AND('DB2'!$U$27&gt;'CF2'!BE5,'DB2'!$U$27&lt;='CF2'!BF5),1,0)</f>
        <v>0</v>
      </c>
      <c r="BG175" s="24">
        <f>IF(AND('DB2'!$U$27&gt;'CF2'!BF5,'DB2'!$U$27&lt;='CF2'!BG5),1,0)</f>
        <v>0</v>
      </c>
      <c r="BH175" s="24">
        <f>IF(AND('DB2'!$U$27&gt;'CF2'!BG5,'DB2'!$U$27&lt;='CF2'!BH5),1,0)</f>
        <v>0</v>
      </c>
      <c r="BI175" s="24">
        <f>IF(AND('DB2'!$U$27&gt;'CF2'!BH5,'DB2'!$U$27&lt;='CF2'!BI5),1,0)</f>
        <v>0</v>
      </c>
      <c r="BJ175" s="24">
        <f>IF(AND('DB2'!$U$27&gt;'CF2'!BI5,'DB2'!$U$27&lt;='CF2'!BJ5),1,0)</f>
        <v>0</v>
      </c>
      <c r="BK175" s="24">
        <f>IF(AND('DB2'!$U$27&gt;'CF2'!BJ5,'DB2'!$U$27&lt;='CF2'!BK5),1,0)</f>
        <v>0</v>
      </c>
      <c r="BL175" s="24">
        <f>IF(AND('DB2'!$U$27&gt;'CF2'!BK5,'DB2'!$U$27&lt;='CF2'!BL5),1,0)</f>
        <v>0</v>
      </c>
      <c r="BM175" s="24">
        <f>IF(AND('DB2'!$U$27&gt;'CF2'!BL5,'DB2'!$U$27&lt;='CF2'!BM5),1,0)</f>
        <v>0</v>
      </c>
    </row>
    <row r="176" spans="2:65" hidden="1" outlineLevel="1"/>
    <row r="177" spans="1:68" hidden="1" outlineLevel="1">
      <c r="B177" s="124" t="s">
        <v>78</v>
      </c>
    </row>
    <row r="178" spans="1:68" s="164" customFormat="1" ht="12.75" hidden="1" customHeight="1" outlineLevel="1">
      <c r="B178" s="166" t="s">
        <v>69</v>
      </c>
      <c r="C178" s="167"/>
      <c r="D178" s="168"/>
      <c r="E178" s="24"/>
      <c r="F178" s="24">
        <f t="shared" ref="F178:T178" si="117">E169+F76+F111+F104+F81+F106+F107</f>
        <v>0</v>
      </c>
      <c r="G178" s="24">
        <f t="shared" si="117"/>
        <v>0</v>
      </c>
      <c r="H178" s="24">
        <f t="shared" si="117"/>
        <v>0</v>
      </c>
      <c r="I178" s="24">
        <f t="shared" si="117"/>
        <v>0</v>
      </c>
      <c r="J178" s="24">
        <f t="shared" si="117"/>
        <v>0</v>
      </c>
      <c r="K178" s="24">
        <f t="shared" si="117"/>
        <v>0</v>
      </c>
      <c r="L178" s="24">
        <f t="shared" si="117"/>
        <v>0</v>
      </c>
      <c r="M178" s="24">
        <f t="shared" si="117"/>
        <v>0</v>
      </c>
      <c r="N178" s="24">
        <f t="shared" si="117"/>
        <v>0</v>
      </c>
      <c r="O178" s="24">
        <f t="shared" si="117"/>
        <v>0</v>
      </c>
      <c r="P178" s="24">
        <f t="shared" si="117"/>
        <v>-570.20731627043801</v>
      </c>
      <c r="Q178" s="24">
        <f t="shared" si="117"/>
        <v>-38.707316270437914</v>
      </c>
      <c r="R178" s="24">
        <f t="shared" si="117"/>
        <v>-39.074516270437911</v>
      </c>
      <c r="S178" s="24">
        <f t="shared" si="117"/>
        <v>-62.623187828437914</v>
      </c>
      <c r="T178" s="24">
        <f t="shared" si="117"/>
        <v>-190.97998782843791</v>
      </c>
      <c r="U178" s="24">
        <f t="shared" ref="U178:BM178" si="118">T169+U76+U111+U104+U81+U105</f>
        <v>-461.8715878284379</v>
      </c>
      <c r="V178" s="24">
        <f t="shared" si="118"/>
        <v>-808.57621109643799</v>
      </c>
      <c r="W178" s="24">
        <f t="shared" si="118"/>
        <v>-842.58954340317382</v>
      </c>
      <c r="X178" s="24">
        <f t="shared" si="118"/>
        <v>-1956.1787502887046</v>
      </c>
      <c r="Y178" s="24">
        <f t="shared" si="118"/>
        <v>-2012.0252460277961</v>
      </c>
      <c r="Z178" s="24">
        <f t="shared" si="118"/>
        <v>-2021.0931385458061</v>
      </c>
      <c r="AA178" s="24">
        <f t="shared" si="118"/>
        <v>-1632.7577808375977</v>
      </c>
      <c r="AB178" s="24">
        <f t="shared" si="118"/>
        <v>-1643.5482859268407</v>
      </c>
      <c r="AC178" s="24">
        <f t="shared" si="118"/>
        <v>-1633.4934949235358</v>
      </c>
      <c r="AD178" s="24">
        <f t="shared" si="118"/>
        <v>-1655.3377718475431</v>
      </c>
      <c r="AE178" s="24">
        <f t="shared" si="118"/>
        <v>-1658.9208097914579</v>
      </c>
      <c r="AF178" s="24">
        <f t="shared" si="118"/>
        <v>-1731.8872876105161</v>
      </c>
      <c r="AG178" s="24">
        <f t="shared" si="118"/>
        <v>-1729.5355925521467</v>
      </c>
      <c r="AH178" s="24">
        <f t="shared" si="118"/>
        <v>-1742.3442597360954</v>
      </c>
      <c r="AI178" s="24">
        <f t="shared" si="118"/>
        <v>-1706.7230215602599</v>
      </c>
      <c r="AJ178" s="24">
        <f t="shared" si="118"/>
        <v>23748.108786328743</v>
      </c>
      <c r="AK178" s="24">
        <f t="shared" si="118"/>
        <v>2615.0722451042607</v>
      </c>
      <c r="AL178" s="24">
        <f t="shared" si="118"/>
        <v>2525.1519043883782</v>
      </c>
      <c r="AM178" s="24">
        <f t="shared" si="118"/>
        <v>2639.0705342326455</v>
      </c>
      <c r="AN178" s="24">
        <f t="shared" si="118"/>
        <v>4426.7558607285146</v>
      </c>
      <c r="AO178" s="24">
        <f t="shared" si="118"/>
        <v>4379.3693326156335</v>
      </c>
      <c r="AP178" s="24">
        <f t="shared" si="118"/>
        <v>4377.4982326156332</v>
      </c>
      <c r="AQ178" s="24">
        <f t="shared" si="118"/>
        <v>4377.4982326156332</v>
      </c>
      <c r="AR178" s="24">
        <f t="shared" si="118"/>
        <v>4377.4982326156332</v>
      </c>
      <c r="AS178" s="24">
        <f t="shared" si="118"/>
        <v>4377.4982326156332</v>
      </c>
      <c r="AT178" s="24">
        <f t="shared" si="118"/>
        <v>4377.4982326156332</v>
      </c>
      <c r="AU178" s="24">
        <f t="shared" si="118"/>
        <v>4377.4982326156332</v>
      </c>
      <c r="AV178" s="24">
        <f t="shared" si="118"/>
        <v>4377.4982326156332</v>
      </c>
      <c r="AW178" s="24">
        <f t="shared" si="118"/>
        <v>4377.4982326156332</v>
      </c>
      <c r="AX178" s="24">
        <f t="shared" si="118"/>
        <v>4377.4982326156332</v>
      </c>
      <c r="AY178" s="24">
        <f t="shared" si="118"/>
        <v>4377.4982326156332</v>
      </c>
      <c r="AZ178" s="24">
        <f t="shared" si="118"/>
        <v>4377.4982326156332</v>
      </c>
      <c r="BA178" s="24">
        <f t="shared" si="118"/>
        <v>4377.4982326156332</v>
      </c>
      <c r="BB178" s="24">
        <f t="shared" si="118"/>
        <v>4377.4982326156332</v>
      </c>
      <c r="BC178" s="24">
        <f t="shared" si="118"/>
        <v>4377.4982326156332</v>
      </c>
      <c r="BD178" s="24">
        <f t="shared" si="118"/>
        <v>4377.4982326156332</v>
      </c>
      <c r="BE178" s="24">
        <f t="shared" si="118"/>
        <v>4377.4982326156332</v>
      </c>
      <c r="BF178" s="24">
        <f t="shared" si="118"/>
        <v>4377.4982326156332</v>
      </c>
      <c r="BG178" s="24">
        <f t="shared" si="118"/>
        <v>4377.4982326156332</v>
      </c>
      <c r="BH178" s="24">
        <f t="shared" si="118"/>
        <v>4377.4982326156332</v>
      </c>
      <c r="BI178" s="24">
        <f t="shared" si="118"/>
        <v>4377.4982326156332</v>
      </c>
      <c r="BJ178" s="24">
        <f t="shared" si="118"/>
        <v>4377.4982326156332</v>
      </c>
      <c r="BK178" s="24">
        <f t="shared" si="118"/>
        <v>4377.4982326156332</v>
      </c>
      <c r="BL178" s="24">
        <f t="shared" si="118"/>
        <v>4377.4982326156332</v>
      </c>
      <c r="BM178" s="24">
        <f t="shared" si="118"/>
        <v>4377.4982326156332</v>
      </c>
    </row>
    <row r="179" spans="1:68" s="164" customFormat="1" ht="12.75" hidden="1" customHeight="1" outlineLevel="1">
      <c r="B179" s="166" t="s">
        <v>77</v>
      </c>
      <c r="C179" s="167"/>
      <c r="D179" s="168"/>
      <c r="E179" s="24"/>
      <c r="F179" s="24">
        <f t="shared" ref="F179:BM179" si="119">F178+F88</f>
        <v>0</v>
      </c>
      <c r="G179" s="24">
        <f t="shared" si="119"/>
        <v>0</v>
      </c>
      <c r="H179" s="24">
        <f t="shared" si="119"/>
        <v>0</v>
      </c>
      <c r="I179" s="24">
        <f t="shared" si="119"/>
        <v>0</v>
      </c>
      <c r="J179" s="24">
        <f t="shared" si="119"/>
        <v>0</v>
      </c>
      <c r="K179" s="24">
        <f t="shared" si="119"/>
        <v>0</v>
      </c>
      <c r="L179" s="24">
        <f t="shared" si="119"/>
        <v>0</v>
      </c>
      <c r="M179" s="24">
        <f t="shared" si="119"/>
        <v>0</v>
      </c>
      <c r="N179" s="24">
        <f t="shared" si="119"/>
        <v>0</v>
      </c>
      <c r="O179" s="24">
        <f t="shared" si="119"/>
        <v>0</v>
      </c>
      <c r="P179" s="24">
        <f t="shared" si="119"/>
        <v>-570.20731627043801</v>
      </c>
      <c r="Q179" s="24">
        <f t="shared" si="119"/>
        <v>-38.707316270437914</v>
      </c>
      <c r="R179" s="24">
        <f t="shared" si="119"/>
        <v>-39.074516270437911</v>
      </c>
      <c r="S179" s="24">
        <f t="shared" si="119"/>
        <v>-62.623187828437914</v>
      </c>
      <c r="T179" s="24">
        <f t="shared" si="119"/>
        <v>-190.97998782843791</v>
      </c>
      <c r="U179" s="24">
        <f t="shared" si="119"/>
        <v>-461.8715878284379</v>
      </c>
      <c r="V179" s="24">
        <f t="shared" si="119"/>
        <v>-808.57621109643799</v>
      </c>
      <c r="W179" s="24">
        <f t="shared" si="119"/>
        <v>-842.58954340317382</v>
      </c>
      <c r="X179" s="24">
        <f t="shared" si="119"/>
        <v>-4970.8084170849443</v>
      </c>
      <c r="Y179" s="24">
        <f t="shared" si="119"/>
        <v>-2012.0252460277961</v>
      </c>
      <c r="Z179" s="24">
        <f t="shared" si="119"/>
        <v>-2021.0931385458061</v>
      </c>
      <c r="AA179" s="24">
        <f t="shared" si="119"/>
        <v>-1632.7577808375977</v>
      </c>
      <c r="AB179" s="24">
        <f t="shared" si="119"/>
        <v>-1643.5482859268407</v>
      </c>
      <c r="AC179" s="24">
        <f t="shared" si="119"/>
        <v>-1633.4934949235358</v>
      </c>
      <c r="AD179" s="24">
        <f t="shared" si="119"/>
        <v>-1655.3377718475431</v>
      </c>
      <c r="AE179" s="24">
        <f t="shared" si="119"/>
        <v>-1658.9208097914579</v>
      </c>
      <c r="AF179" s="24">
        <f t="shared" si="119"/>
        <v>-1731.8872876105161</v>
      </c>
      <c r="AG179" s="24">
        <f t="shared" si="119"/>
        <v>-1729.5355925521467</v>
      </c>
      <c r="AH179" s="24">
        <f t="shared" si="119"/>
        <v>-1742.3442597360954</v>
      </c>
      <c r="AI179" s="24">
        <f t="shared" si="119"/>
        <v>-1706.7230215602599</v>
      </c>
      <c r="AJ179" s="24">
        <f t="shared" si="119"/>
        <v>23748.108786328743</v>
      </c>
      <c r="AK179" s="24">
        <f t="shared" si="119"/>
        <v>2615.0722451042607</v>
      </c>
      <c r="AL179" s="24">
        <f t="shared" si="119"/>
        <v>2525.1519043883782</v>
      </c>
      <c r="AM179" s="24">
        <f t="shared" si="119"/>
        <v>2639.0705342326455</v>
      </c>
      <c r="AN179" s="24">
        <f t="shared" si="119"/>
        <v>4426.7558607285146</v>
      </c>
      <c r="AO179" s="24">
        <f t="shared" si="119"/>
        <v>4379.3693326156335</v>
      </c>
      <c r="AP179" s="24">
        <f t="shared" si="119"/>
        <v>4377.4982326156332</v>
      </c>
      <c r="AQ179" s="24">
        <f t="shared" si="119"/>
        <v>4377.4982326156332</v>
      </c>
      <c r="AR179" s="24">
        <f t="shared" si="119"/>
        <v>4377.4982326156332</v>
      </c>
      <c r="AS179" s="24">
        <f t="shared" si="119"/>
        <v>4377.4982326156332</v>
      </c>
      <c r="AT179" s="24">
        <f t="shared" si="119"/>
        <v>4377.4982326156332</v>
      </c>
      <c r="AU179" s="24">
        <f t="shared" si="119"/>
        <v>4377.4982326156332</v>
      </c>
      <c r="AV179" s="24">
        <f t="shared" si="119"/>
        <v>4377.4982326156332</v>
      </c>
      <c r="AW179" s="24">
        <f t="shared" si="119"/>
        <v>4377.4982326156332</v>
      </c>
      <c r="AX179" s="24">
        <f t="shared" si="119"/>
        <v>4377.4982326156332</v>
      </c>
      <c r="AY179" s="24">
        <f t="shared" si="119"/>
        <v>4377.4982326156332</v>
      </c>
      <c r="AZ179" s="24">
        <f t="shared" si="119"/>
        <v>4377.4982326156332</v>
      </c>
      <c r="BA179" s="24">
        <f t="shared" si="119"/>
        <v>4377.4982326156332</v>
      </c>
      <c r="BB179" s="24">
        <f t="shared" si="119"/>
        <v>4377.4982326156332</v>
      </c>
      <c r="BC179" s="24">
        <f t="shared" si="119"/>
        <v>4377.4982326156332</v>
      </c>
      <c r="BD179" s="24">
        <f t="shared" si="119"/>
        <v>4377.4982326156332</v>
      </c>
      <c r="BE179" s="24">
        <f t="shared" si="119"/>
        <v>4377.4982326156332</v>
      </c>
      <c r="BF179" s="24">
        <f t="shared" si="119"/>
        <v>4377.4982326156332</v>
      </c>
      <c r="BG179" s="24">
        <f t="shared" si="119"/>
        <v>4377.4982326156332</v>
      </c>
      <c r="BH179" s="24">
        <f t="shared" si="119"/>
        <v>4377.4982326156332</v>
      </c>
      <c r="BI179" s="24">
        <f t="shared" si="119"/>
        <v>4377.4982326156332</v>
      </c>
      <c r="BJ179" s="24">
        <f t="shared" si="119"/>
        <v>4377.4982326156332</v>
      </c>
      <c r="BK179" s="24">
        <f t="shared" si="119"/>
        <v>4377.4982326156332</v>
      </c>
      <c r="BL179" s="24">
        <f t="shared" si="119"/>
        <v>4377.4982326156332</v>
      </c>
      <c r="BM179" s="24">
        <f t="shared" si="119"/>
        <v>4377.4982326156332</v>
      </c>
    </row>
    <row r="180" spans="1:68" s="164" customFormat="1" ht="12.75" hidden="1" customHeight="1" outlineLevel="1">
      <c r="B180" s="166" t="s">
        <v>76</v>
      </c>
      <c r="C180" s="167"/>
      <c r="D180" s="168"/>
      <c r="E180" s="24"/>
      <c r="F180" s="24">
        <f t="shared" ref="F180:BM180" si="120">F179+F91</f>
        <v>0</v>
      </c>
      <c r="G180" s="24">
        <f t="shared" si="120"/>
        <v>0</v>
      </c>
      <c r="H180" s="24">
        <f t="shared" si="120"/>
        <v>0</v>
      </c>
      <c r="I180" s="24">
        <f t="shared" si="120"/>
        <v>0</v>
      </c>
      <c r="J180" s="24">
        <f t="shared" si="120"/>
        <v>0</v>
      </c>
      <c r="K180" s="24">
        <f t="shared" si="120"/>
        <v>0</v>
      </c>
      <c r="L180" s="24">
        <f t="shared" si="120"/>
        <v>0</v>
      </c>
      <c r="M180" s="24">
        <f t="shared" si="120"/>
        <v>0</v>
      </c>
      <c r="N180" s="24">
        <f t="shared" si="120"/>
        <v>0</v>
      </c>
      <c r="O180" s="24">
        <f t="shared" si="120"/>
        <v>0</v>
      </c>
      <c r="P180" s="24">
        <f t="shared" si="120"/>
        <v>-570.20731627043801</v>
      </c>
      <c r="Q180" s="24">
        <f t="shared" si="120"/>
        <v>-38.707316270437914</v>
      </c>
      <c r="R180" s="24">
        <f t="shared" si="120"/>
        <v>-39.074516270437911</v>
      </c>
      <c r="S180" s="24">
        <f t="shared" si="120"/>
        <v>-62.623187828437914</v>
      </c>
      <c r="T180" s="24">
        <f t="shared" si="120"/>
        <v>-190.97998782843791</v>
      </c>
      <c r="U180" s="24">
        <f t="shared" si="120"/>
        <v>-461.8715878284379</v>
      </c>
      <c r="V180" s="24">
        <f t="shared" si="120"/>
        <v>-808.57621109643799</v>
      </c>
      <c r="W180" s="24">
        <f t="shared" si="120"/>
        <v>-842.58954340317382</v>
      </c>
      <c r="X180" s="24">
        <f t="shared" si="120"/>
        <v>-5311.0123717130664</v>
      </c>
      <c r="Y180" s="24">
        <f t="shared" si="120"/>
        <v>-2012.0252460277961</v>
      </c>
      <c r="Z180" s="24">
        <f t="shared" si="120"/>
        <v>-2021.0931385458061</v>
      </c>
      <c r="AA180" s="24">
        <f t="shared" si="120"/>
        <v>-1632.7577808375977</v>
      </c>
      <c r="AB180" s="24">
        <f t="shared" si="120"/>
        <v>-1643.5482859268407</v>
      </c>
      <c r="AC180" s="24">
        <f t="shared" si="120"/>
        <v>-1633.4934949235358</v>
      </c>
      <c r="AD180" s="24">
        <f t="shared" si="120"/>
        <v>-1655.3377718475431</v>
      </c>
      <c r="AE180" s="24">
        <f t="shared" si="120"/>
        <v>-1658.9208097914579</v>
      </c>
      <c r="AF180" s="24">
        <f t="shared" si="120"/>
        <v>-1731.8872876105161</v>
      </c>
      <c r="AG180" s="24">
        <f t="shared" si="120"/>
        <v>-1729.5355925521467</v>
      </c>
      <c r="AH180" s="24">
        <f t="shared" si="120"/>
        <v>-1742.3442597360954</v>
      </c>
      <c r="AI180" s="24">
        <f t="shared" si="120"/>
        <v>-1706.7230215602599</v>
      </c>
      <c r="AJ180" s="24">
        <f t="shared" si="120"/>
        <v>23748.108786328743</v>
      </c>
      <c r="AK180" s="24">
        <f t="shared" si="120"/>
        <v>2615.0722451042607</v>
      </c>
      <c r="AL180" s="24">
        <f t="shared" si="120"/>
        <v>2525.1519043883782</v>
      </c>
      <c r="AM180" s="24">
        <f t="shared" si="120"/>
        <v>2639.0705342326455</v>
      </c>
      <c r="AN180" s="24">
        <f t="shared" si="120"/>
        <v>4426.7558607285146</v>
      </c>
      <c r="AO180" s="24">
        <f t="shared" si="120"/>
        <v>4379.3693326156335</v>
      </c>
      <c r="AP180" s="24">
        <f t="shared" si="120"/>
        <v>4377.4982326156332</v>
      </c>
      <c r="AQ180" s="24">
        <f t="shared" si="120"/>
        <v>4377.4982326156332</v>
      </c>
      <c r="AR180" s="24">
        <f t="shared" si="120"/>
        <v>4377.4982326156332</v>
      </c>
      <c r="AS180" s="24">
        <f t="shared" si="120"/>
        <v>4377.4982326156332</v>
      </c>
      <c r="AT180" s="24">
        <f t="shared" si="120"/>
        <v>4377.4982326156332</v>
      </c>
      <c r="AU180" s="24">
        <f t="shared" si="120"/>
        <v>4377.4982326156332</v>
      </c>
      <c r="AV180" s="24">
        <f t="shared" si="120"/>
        <v>4377.4982326156332</v>
      </c>
      <c r="AW180" s="24">
        <f t="shared" si="120"/>
        <v>4377.4982326156332</v>
      </c>
      <c r="AX180" s="24">
        <f t="shared" si="120"/>
        <v>4377.4982326156332</v>
      </c>
      <c r="AY180" s="24">
        <f t="shared" si="120"/>
        <v>4377.4982326156332</v>
      </c>
      <c r="AZ180" s="24">
        <f t="shared" si="120"/>
        <v>4377.4982326156332</v>
      </c>
      <c r="BA180" s="24">
        <f t="shared" si="120"/>
        <v>4377.4982326156332</v>
      </c>
      <c r="BB180" s="24">
        <f t="shared" si="120"/>
        <v>4377.4982326156332</v>
      </c>
      <c r="BC180" s="24">
        <f t="shared" si="120"/>
        <v>4377.4982326156332</v>
      </c>
      <c r="BD180" s="24">
        <f t="shared" si="120"/>
        <v>4377.4982326156332</v>
      </c>
      <c r="BE180" s="24">
        <f t="shared" si="120"/>
        <v>4377.4982326156332</v>
      </c>
      <c r="BF180" s="24">
        <f t="shared" si="120"/>
        <v>4377.4982326156332</v>
      </c>
      <c r="BG180" s="24">
        <f t="shared" si="120"/>
        <v>4377.4982326156332</v>
      </c>
      <c r="BH180" s="24">
        <f t="shared" si="120"/>
        <v>4377.4982326156332</v>
      </c>
      <c r="BI180" s="24">
        <f t="shared" si="120"/>
        <v>4377.4982326156332</v>
      </c>
      <c r="BJ180" s="24">
        <f t="shared" si="120"/>
        <v>4377.4982326156332</v>
      </c>
      <c r="BK180" s="24">
        <f t="shared" si="120"/>
        <v>4377.4982326156332</v>
      </c>
      <c r="BL180" s="24">
        <f t="shared" si="120"/>
        <v>4377.4982326156332</v>
      </c>
      <c r="BM180" s="24">
        <f t="shared" si="120"/>
        <v>4377.4982326156332</v>
      </c>
    </row>
    <row r="181" spans="1:68" s="164" customFormat="1" ht="12.75" hidden="1" customHeight="1" outlineLevel="1">
      <c r="B181" s="166" t="s">
        <v>79</v>
      </c>
      <c r="C181" s="167"/>
      <c r="D181" s="168"/>
      <c r="E181" s="24"/>
      <c r="F181" s="24"/>
      <c r="G181" s="24">
        <f t="shared" ref="G181:BM181" si="121">F169+G76+G87+G104+G81+G106+G107</f>
        <v>0</v>
      </c>
      <c r="H181" s="24">
        <f t="shared" si="121"/>
        <v>0</v>
      </c>
      <c r="I181" s="24">
        <f t="shared" si="121"/>
        <v>0</v>
      </c>
      <c r="J181" s="24">
        <f t="shared" si="121"/>
        <v>0</v>
      </c>
      <c r="K181" s="24">
        <f t="shared" si="121"/>
        <v>0</v>
      </c>
      <c r="L181" s="24">
        <f t="shared" si="121"/>
        <v>0</v>
      </c>
      <c r="M181" s="24">
        <f t="shared" si="121"/>
        <v>0</v>
      </c>
      <c r="N181" s="24">
        <f t="shared" si="121"/>
        <v>0</v>
      </c>
      <c r="O181" s="24">
        <f t="shared" si="121"/>
        <v>0</v>
      </c>
      <c r="P181" s="665"/>
      <c r="Q181" s="24">
        <f t="shared" si="121"/>
        <v>0</v>
      </c>
      <c r="R181" s="24">
        <f t="shared" si="121"/>
        <v>0</v>
      </c>
      <c r="S181" s="24">
        <f t="shared" si="121"/>
        <v>0</v>
      </c>
      <c r="T181" s="24">
        <f t="shared" si="121"/>
        <v>0</v>
      </c>
      <c r="U181" s="24">
        <f t="shared" si="121"/>
        <v>0</v>
      </c>
      <c r="V181" s="24">
        <f t="shared" si="121"/>
        <v>0</v>
      </c>
      <c r="W181" s="24">
        <f t="shared" si="121"/>
        <v>0</v>
      </c>
      <c r="X181" s="24">
        <f t="shared" si="121"/>
        <v>-1956.1787502887046</v>
      </c>
      <c r="Y181" s="24">
        <f t="shared" si="121"/>
        <v>-2012.0252460277961</v>
      </c>
      <c r="Z181" s="24">
        <f t="shared" si="121"/>
        <v>-2021.0931385458061</v>
      </c>
      <c r="AA181" s="24">
        <f t="shared" si="121"/>
        <v>-1632.7577808375977</v>
      </c>
      <c r="AB181" s="24">
        <f t="shared" si="121"/>
        <v>-1643.5482859268407</v>
      </c>
      <c r="AC181" s="24">
        <f t="shared" si="121"/>
        <v>-1633.4934949235358</v>
      </c>
      <c r="AD181" s="24">
        <f t="shared" si="121"/>
        <v>-1655.3377718475431</v>
      </c>
      <c r="AE181" s="24">
        <f t="shared" si="121"/>
        <v>-1658.9208097914579</v>
      </c>
      <c r="AF181" s="24">
        <f t="shared" si="121"/>
        <v>-1731.8872876105161</v>
      </c>
      <c r="AG181" s="24">
        <f t="shared" si="121"/>
        <v>-1729.5355925521467</v>
      </c>
      <c r="AH181" s="24">
        <f t="shared" si="121"/>
        <v>-1742.3442597360954</v>
      </c>
      <c r="AI181" s="24">
        <f t="shared" si="121"/>
        <v>-1706.7230215602599</v>
      </c>
      <c r="AJ181" s="24">
        <f t="shared" si="121"/>
        <v>25101.356471995525</v>
      </c>
      <c r="AK181" s="24">
        <f t="shared" si="121"/>
        <v>2932.2807085825416</v>
      </c>
      <c r="AL181" s="24">
        <f t="shared" si="121"/>
        <v>2934.3540332509801</v>
      </c>
      <c r="AM181" s="24">
        <f t="shared" si="121"/>
        <v>2956.7596952640843</v>
      </c>
      <c r="AN181" s="24">
        <f t="shared" si="121"/>
        <v>4663.4217239301115</v>
      </c>
      <c r="AO181" s="24">
        <f t="shared" si="121"/>
        <v>4379.3693326156335</v>
      </c>
      <c r="AP181" s="24">
        <f t="shared" si="121"/>
        <v>4377.4982326156332</v>
      </c>
      <c r="AQ181" s="24">
        <f t="shared" si="121"/>
        <v>4377.4982326156332</v>
      </c>
      <c r="AR181" s="24">
        <f t="shared" si="121"/>
        <v>4377.4982326156332</v>
      </c>
      <c r="AS181" s="24">
        <f t="shared" si="121"/>
        <v>4377.4982326156332</v>
      </c>
      <c r="AT181" s="24">
        <f t="shared" si="121"/>
        <v>4377.4982326156332</v>
      </c>
      <c r="AU181" s="24">
        <f t="shared" si="121"/>
        <v>4377.4982326156332</v>
      </c>
      <c r="AV181" s="24">
        <f t="shared" si="121"/>
        <v>4377.4982326156332</v>
      </c>
      <c r="AW181" s="24">
        <f t="shared" si="121"/>
        <v>4377.4982326156332</v>
      </c>
      <c r="AX181" s="24">
        <f t="shared" si="121"/>
        <v>4377.4982326156332</v>
      </c>
      <c r="AY181" s="24">
        <f t="shared" si="121"/>
        <v>4377.4982326156332</v>
      </c>
      <c r="AZ181" s="24">
        <f t="shared" si="121"/>
        <v>4377.4982326156332</v>
      </c>
      <c r="BA181" s="24">
        <f t="shared" si="121"/>
        <v>4377.4982326156332</v>
      </c>
      <c r="BB181" s="24">
        <f t="shared" si="121"/>
        <v>4377.4982326156332</v>
      </c>
      <c r="BC181" s="24">
        <f t="shared" si="121"/>
        <v>4377.4982326156332</v>
      </c>
      <c r="BD181" s="24">
        <f t="shared" si="121"/>
        <v>4377.4982326156332</v>
      </c>
      <c r="BE181" s="24">
        <f t="shared" si="121"/>
        <v>4377.4982326156332</v>
      </c>
      <c r="BF181" s="24">
        <f t="shared" si="121"/>
        <v>4377.4982326156332</v>
      </c>
      <c r="BG181" s="24">
        <f t="shared" si="121"/>
        <v>4377.4982326156332</v>
      </c>
      <c r="BH181" s="24">
        <f t="shared" si="121"/>
        <v>4377.4982326156332</v>
      </c>
      <c r="BI181" s="24">
        <f t="shared" si="121"/>
        <v>4377.4982326156332</v>
      </c>
      <c r="BJ181" s="24">
        <f t="shared" si="121"/>
        <v>4377.4982326156332</v>
      </c>
      <c r="BK181" s="24">
        <f t="shared" si="121"/>
        <v>4377.4982326156332</v>
      </c>
      <c r="BL181" s="24">
        <f t="shared" si="121"/>
        <v>4377.4982326156332</v>
      </c>
      <c r="BM181" s="24">
        <f t="shared" si="121"/>
        <v>4377.4982326156332</v>
      </c>
    </row>
    <row r="182" spans="1:68" s="164" customFormat="1" ht="12.75" hidden="1" customHeight="1" outlineLevel="1">
      <c r="B182" s="166" t="s">
        <v>80</v>
      </c>
      <c r="C182" s="167"/>
      <c r="D182" s="168"/>
      <c r="E182" s="24"/>
      <c r="F182" s="24">
        <f t="shared" ref="F182:BM182" si="122">F180+F93</f>
        <v>0</v>
      </c>
      <c r="G182" s="24">
        <f t="shared" si="122"/>
        <v>0</v>
      </c>
      <c r="H182" s="24">
        <f t="shared" si="122"/>
        <v>0</v>
      </c>
      <c r="I182" s="24">
        <f t="shared" si="122"/>
        <v>0</v>
      </c>
      <c r="J182" s="24">
        <f t="shared" si="122"/>
        <v>0</v>
      </c>
      <c r="K182" s="24">
        <f t="shared" si="122"/>
        <v>0</v>
      </c>
      <c r="L182" s="24">
        <f t="shared" si="122"/>
        <v>0</v>
      </c>
      <c r="M182" s="24">
        <f t="shared" si="122"/>
        <v>0</v>
      </c>
      <c r="N182" s="24">
        <f t="shared" si="122"/>
        <v>0</v>
      </c>
      <c r="O182" s="24">
        <f t="shared" si="122"/>
        <v>0</v>
      </c>
      <c r="P182" s="24">
        <f t="shared" si="122"/>
        <v>-570.20731627043801</v>
      </c>
      <c r="Q182" s="24">
        <f t="shared" si="122"/>
        <v>-38.707316270437914</v>
      </c>
      <c r="R182" s="24">
        <f t="shared" si="122"/>
        <v>-39.074516270437911</v>
      </c>
      <c r="S182" s="24">
        <f t="shared" si="122"/>
        <v>-62.623187828437914</v>
      </c>
      <c r="T182" s="24">
        <f t="shared" si="122"/>
        <v>-190.97998782843791</v>
      </c>
      <c r="U182" s="24">
        <f t="shared" si="122"/>
        <v>-461.8715878284379</v>
      </c>
      <c r="V182" s="24">
        <f t="shared" si="122"/>
        <v>-808.57621109643799</v>
      </c>
      <c r="W182" s="24">
        <f t="shared" si="122"/>
        <v>-842.58954340317382</v>
      </c>
      <c r="X182" s="24">
        <f t="shared" si="122"/>
        <v>-5354.1675389531183</v>
      </c>
      <c r="Y182" s="24">
        <f t="shared" si="122"/>
        <v>-2012.0252460277961</v>
      </c>
      <c r="Z182" s="24">
        <f t="shared" si="122"/>
        <v>-2021.0931385458061</v>
      </c>
      <c r="AA182" s="24">
        <f t="shared" si="122"/>
        <v>-1632.7577808375977</v>
      </c>
      <c r="AB182" s="24">
        <f t="shared" si="122"/>
        <v>-1643.5482859268407</v>
      </c>
      <c r="AC182" s="24">
        <f t="shared" si="122"/>
        <v>-1633.4934949235358</v>
      </c>
      <c r="AD182" s="24">
        <f t="shared" si="122"/>
        <v>-1655.3377718475431</v>
      </c>
      <c r="AE182" s="24">
        <f t="shared" si="122"/>
        <v>-1658.9208097914579</v>
      </c>
      <c r="AF182" s="24">
        <f t="shared" si="122"/>
        <v>-1731.8872876105161</v>
      </c>
      <c r="AG182" s="24">
        <f t="shared" si="122"/>
        <v>-1729.5355925521467</v>
      </c>
      <c r="AH182" s="24">
        <f t="shared" si="122"/>
        <v>-1742.3442597360954</v>
      </c>
      <c r="AI182" s="24">
        <f t="shared" si="122"/>
        <v>-1706.7230215602599</v>
      </c>
      <c r="AJ182" s="24">
        <f t="shared" si="122"/>
        <v>23748.108786328743</v>
      </c>
      <c r="AK182" s="24">
        <f t="shared" si="122"/>
        <v>2615.0722451042607</v>
      </c>
      <c r="AL182" s="24">
        <f t="shared" si="122"/>
        <v>2525.1519043883782</v>
      </c>
      <c r="AM182" s="24">
        <f t="shared" si="122"/>
        <v>2639.0705342326455</v>
      </c>
      <c r="AN182" s="24">
        <f t="shared" si="122"/>
        <v>4426.7558607285146</v>
      </c>
      <c r="AO182" s="24">
        <f t="shared" si="122"/>
        <v>4379.3693326156335</v>
      </c>
      <c r="AP182" s="24">
        <f t="shared" si="122"/>
        <v>4377.4982326156332</v>
      </c>
      <c r="AQ182" s="24">
        <f t="shared" si="122"/>
        <v>4377.4982326156332</v>
      </c>
      <c r="AR182" s="24">
        <f t="shared" si="122"/>
        <v>4377.4982326156332</v>
      </c>
      <c r="AS182" s="24">
        <f t="shared" si="122"/>
        <v>4377.4982326156332</v>
      </c>
      <c r="AT182" s="24">
        <f t="shared" si="122"/>
        <v>4377.4982326156332</v>
      </c>
      <c r="AU182" s="24">
        <f t="shared" si="122"/>
        <v>4377.4982326156332</v>
      </c>
      <c r="AV182" s="24">
        <f t="shared" si="122"/>
        <v>4377.4982326156332</v>
      </c>
      <c r="AW182" s="24">
        <f t="shared" si="122"/>
        <v>4377.4982326156332</v>
      </c>
      <c r="AX182" s="24">
        <f t="shared" si="122"/>
        <v>4377.4982326156332</v>
      </c>
      <c r="AY182" s="24">
        <f t="shared" si="122"/>
        <v>4377.4982326156332</v>
      </c>
      <c r="AZ182" s="24">
        <f t="shared" si="122"/>
        <v>4377.4982326156332</v>
      </c>
      <c r="BA182" s="24">
        <f t="shared" si="122"/>
        <v>4377.4982326156332</v>
      </c>
      <c r="BB182" s="24">
        <f t="shared" si="122"/>
        <v>4377.4982326156332</v>
      </c>
      <c r="BC182" s="24">
        <f t="shared" si="122"/>
        <v>4377.4982326156332</v>
      </c>
      <c r="BD182" s="24">
        <f t="shared" si="122"/>
        <v>4377.4982326156332</v>
      </c>
      <c r="BE182" s="24">
        <f t="shared" si="122"/>
        <v>4377.4982326156332</v>
      </c>
      <c r="BF182" s="24">
        <f t="shared" si="122"/>
        <v>4377.4982326156332</v>
      </c>
      <c r="BG182" s="24">
        <f t="shared" si="122"/>
        <v>4377.4982326156332</v>
      </c>
      <c r="BH182" s="24">
        <f t="shared" si="122"/>
        <v>4377.4982326156332</v>
      </c>
      <c r="BI182" s="24">
        <f t="shared" si="122"/>
        <v>4377.4982326156332</v>
      </c>
      <c r="BJ182" s="24">
        <f t="shared" si="122"/>
        <v>4377.4982326156332</v>
      </c>
      <c r="BK182" s="24">
        <f t="shared" si="122"/>
        <v>4377.4982326156332</v>
      </c>
      <c r="BL182" s="24">
        <f t="shared" si="122"/>
        <v>4377.4982326156332</v>
      </c>
      <c r="BM182" s="24">
        <f t="shared" si="122"/>
        <v>4377.4982326156332</v>
      </c>
    </row>
    <row r="183" spans="1:68" s="164" customFormat="1" ht="12.75" hidden="1" customHeight="1" outlineLevel="1">
      <c r="B183" s="166" t="s">
        <v>81</v>
      </c>
      <c r="C183" s="167"/>
      <c r="D183" s="168"/>
      <c r="E183" s="24"/>
      <c r="F183" s="24">
        <f t="shared" ref="F183:BM183" si="123">F182+F96</f>
        <v>0</v>
      </c>
      <c r="G183" s="24">
        <f t="shared" si="123"/>
        <v>0</v>
      </c>
      <c r="H183" s="24">
        <f t="shared" si="123"/>
        <v>0</v>
      </c>
      <c r="I183" s="24">
        <f t="shared" si="123"/>
        <v>0</v>
      </c>
      <c r="J183" s="24">
        <f t="shared" si="123"/>
        <v>0</v>
      </c>
      <c r="K183" s="24">
        <f t="shared" si="123"/>
        <v>0</v>
      </c>
      <c r="L183" s="24">
        <f t="shared" si="123"/>
        <v>0</v>
      </c>
      <c r="M183" s="24">
        <f t="shared" si="123"/>
        <v>0</v>
      </c>
      <c r="N183" s="24">
        <f t="shared" si="123"/>
        <v>0</v>
      </c>
      <c r="O183" s="24">
        <f t="shared" si="123"/>
        <v>0</v>
      </c>
      <c r="P183" s="24">
        <f t="shared" si="123"/>
        <v>-570.20731627043801</v>
      </c>
      <c r="Q183" s="24">
        <f t="shared" si="123"/>
        <v>-38.707316270437914</v>
      </c>
      <c r="R183" s="24">
        <f t="shared" si="123"/>
        <v>-39.074516270437911</v>
      </c>
      <c r="S183" s="24">
        <f t="shared" si="123"/>
        <v>-62.623187828437914</v>
      </c>
      <c r="T183" s="24">
        <f t="shared" si="123"/>
        <v>-190.97998782843791</v>
      </c>
      <c r="U183" s="24">
        <f t="shared" si="123"/>
        <v>-461.8715878284379</v>
      </c>
      <c r="V183" s="24">
        <f t="shared" si="123"/>
        <v>-808.57621109643799</v>
      </c>
      <c r="W183" s="24">
        <f t="shared" si="123"/>
        <v>-842.58954340317382</v>
      </c>
      <c r="X183" s="24">
        <f t="shared" si="123"/>
        <v>-5354.1675389531183</v>
      </c>
      <c r="Y183" s="24">
        <f t="shared" si="123"/>
        <v>-2012.0252460277961</v>
      </c>
      <c r="Z183" s="24">
        <f t="shared" si="123"/>
        <v>-2021.0931385458061</v>
      </c>
      <c r="AA183" s="24">
        <f t="shared" si="123"/>
        <v>-1632.7577808375977</v>
      </c>
      <c r="AB183" s="24">
        <f t="shared" si="123"/>
        <v>-1643.5482859268407</v>
      </c>
      <c r="AC183" s="24">
        <f t="shared" si="123"/>
        <v>-1633.4934949235358</v>
      </c>
      <c r="AD183" s="24">
        <f t="shared" si="123"/>
        <v>-1655.3377718475431</v>
      </c>
      <c r="AE183" s="24">
        <f t="shared" si="123"/>
        <v>-1658.9208097914579</v>
      </c>
      <c r="AF183" s="24">
        <f t="shared" si="123"/>
        <v>-1731.8872876105161</v>
      </c>
      <c r="AG183" s="24">
        <f t="shared" si="123"/>
        <v>-1729.5355925521467</v>
      </c>
      <c r="AH183" s="24">
        <f t="shared" si="123"/>
        <v>-1742.3442597360954</v>
      </c>
      <c r="AI183" s="24">
        <f t="shared" si="123"/>
        <v>-1706.7230215602599</v>
      </c>
      <c r="AJ183" s="24">
        <f t="shared" si="123"/>
        <v>0</v>
      </c>
      <c r="AK183" s="24">
        <f t="shared" si="123"/>
        <v>1841.3468031202906</v>
      </c>
      <c r="AL183" s="24">
        <f t="shared" si="123"/>
        <v>2525.1519043883782</v>
      </c>
      <c r="AM183" s="24">
        <f t="shared" si="123"/>
        <v>2639.0705342326455</v>
      </c>
      <c r="AN183" s="24">
        <f t="shared" si="123"/>
        <v>4426.7558607285146</v>
      </c>
      <c r="AO183" s="24">
        <f t="shared" si="123"/>
        <v>4379.3693326156335</v>
      </c>
      <c r="AP183" s="24">
        <f t="shared" si="123"/>
        <v>4377.4982326156332</v>
      </c>
      <c r="AQ183" s="24">
        <f t="shared" si="123"/>
        <v>4377.4982326156332</v>
      </c>
      <c r="AR183" s="24">
        <f t="shared" si="123"/>
        <v>4377.4982326156332</v>
      </c>
      <c r="AS183" s="24">
        <f t="shared" si="123"/>
        <v>4377.4982326156332</v>
      </c>
      <c r="AT183" s="24">
        <f t="shared" si="123"/>
        <v>4377.4982326156332</v>
      </c>
      <c r="AU183" s="24">
        <f t="shared" si="123"/>
        <v>4377.4982326156332</v>
      </c>
      <c r="AV183" s="24">
        <f t="shared" si="123"/>
        <v>4377.4982326156332</v>
      </c>
      <c r="AW183" s="24">
        <f t="shared" si="123"/>
        <v>4377.4982326156332</v>
      </c>
      <c r="AX183" s="24">
        <f t="shared" si="123"/>
        <v>4377.4982326156332</v>
      </c>
      <c r="AY183" s="24">
        <f t="shared" si="123"/>
        <v>4377.4982326156332</v>
      </c>
      <c r="AZ183" s="24">
        <f t="shared" si="123"/>
        <v>4377.4982326156332</v>
      </c>
      <c r="BA183" s="24">
        <f t="shared" si="123"/>
        <v>4377.4982326156332</v>
      </c>
      <c r="BB183" s="24">
        <f t="shared" si="123"/>
        <v>4377.4982326156332</v>
      </c>
      <c r="BC183" s="24">
        <f t="shared" si="123"/>
        <v>4377.4982326156332</v>
      </c>
      <c r="BD183" s="24">
        <f t="shared" si="123"/>
        <v>4377.4982326156332</v>
      </c>
      <c r="BE183" s="24">
        <f t="shared" si="123"/>
        <v>4377.4982326156332</v>
      </c>
      <c r="BF183" s="24">
        <f t="shared" si="123"/>
        <v>4377.4982326156332</v>
      </c>
      <c r="BG183" s="24">
        <f t="shared" si="123"/>
        <v>4377.4982326156332</v>
      </c>
      <c r="BH183" s="24">
        <f t="shared" si="123"/>
        <v>4377.4982326156332</v>
      </c>
      <c r="BI183" s="24">
        <f t="shared" si="123"/>
        <v>4377.4982326156332</v>
      </c>
      <c r="BJ183" s="24">
        <f t="shared" si="123"/>
        <v>4377.4982326156332</v>
      </c>
      <c r="BK183" s="24">
        <f t="shared" si="123"/>
        <v>4377.4982326156332</v>
      </c>
      <c r="BL183" s="24">
        <f t="shared" si="123"/>
        <v>4377.4982326156332</v>
      </c>
      <c r="BM183" s="24">
        <f t="shared" si="123"/>
        <v>4377.4982326156332</v>
      </c>
    </row>
    <row r="184" spans="1:68" s="164" customFormat="1" ht="12.75" hidden="1" customHeight="1" outlineLevel="1">
      <c r="B184" s="166" t="s">
        <v>82</v>
      </c>
      <c r="C184" s="167"/>
      <c r="D184" s="168"/>
      <c r="E184" s="24"/>
      <c r="F184" s="24">
        <f t="shared" ref="F184:BM184" si="124">F183+F99</f>
        <v>0</v>
      </c>
      <c r="G184" s="24">
        <f t="shared" si="124"/>
        <v>0</v>
      </c>
      <c r="H184" s="24">
        <f t="shared" si="124"/>
        <v>0</v>
      </c>
      <c r="I184" s="24">
        <f t="shared" si="124"/>
        <v>0</v>
      </c>
      <c r="J184" s="24">
        <f t="shared" si="124"/>
        <v>0</v>
      </c>
      <c r="K184" s="24">
        <f t="shared" si="124"/>
        <v>0</v>
      </c>
      <c r="L184" s="24">
        <f t="shared" si="124"/>
        <v>0</v>
      </c>
      <c r="M184" s="24">
        <f t="shared" si="124"/>
        <v>0</v>
      </c>
      <c r="N184" s="24">
        <f t="shared" si="124"/>
        <v>0</v>
      </c>
      <c r="O184" s="24">
        <f t="shared" si="124"/>
        <v>0</v>
      </c>
      <c r="P184" s="24">
        <f t="shared" si="124"/>
        <v>-570.20731627043801</v>
      </c>
      <c r="Q184" s="24">
        <f t="shared" si="124"/>
        <v>-38.707316270437914</v>
      </c>
      <c r="R184" s="24">
        <f t="shared" si="124"/>
        <v>-39.074516270437911</v>
      </c>
      <c r="S184" s="24">
        <f t="shared" si="124"/>
        <v>-62.623187828437914</v>
      </c>
      <c r="T184" s="24">
        <f t="shared" si="124"/>
        <v>-190.97998782843791</v>
      </c>
      <c r="U184" s="24">
        <f t="shared" si="124"/>
        <v>-461.8715878284379</v>
      </c>
      <c r="V184" s="24">
        <f t="shared" si="124"/>
        <v>-808.57621109643799</v>
      </c>
      <c r="W184" s="24">
        <f t="shared" si="124"/>
        <v>-842.58954340317382</v>
      </c>
      <c r="X184" s="24">
        <f t="shared" si="124"/>
        <v>-5354.1675389531183</v>
      </c>
      <c r="Y184" s="24">
        <f t="shared" si="124"/>
        <v>-2012.0252460277961</v>
      </c>
      <c r="Z184" s="24">
        <f t="shared" si="124"/>
        <v>-2021.0931385458061</v>
      </c>
      <c r="AA184" s="24">
        <f t="shared" si="124"/>
        <v>-1632.7577808375977</v>
      </c>
      <c r="AB184" s="24">
        <f t="shared" si="124"/>
        <v>-1643.5482859268407</v>
      </c>
      <c r="AC184" s="24">
        <f t="shared" si="124"/>
        <v>-1633.4934949235358</v>
      </c>
      <c r="AD184" s="24">
        <f t="shared" si="124"/>
        <v>-1655.3377718475431</v>
      </c>
      <c r="AE184" s="24">
        <f t="shared" si="124"/>
        <v>-1658.9208097914579</v>
      </c>
      <c r="AF184" s="24">
        <f t="shared" si="124"/>
        <v>-1731.8872876105161</v>
      </c>
      <c r="AG184" s="24">
        <f t="shared" si="124"/>
        <v>-1729.5355925521467</v>
      </c>
      <c r="AH184" s="24">
        <f t="shared" si="124"/>
        <v>-1742.3442597360954</v>
      </c>
      <c r="AI184" s="24">
        <f t="shared" si="124"/>
        <v>-1706.7230215602599</v>
      </c>
      <c r="AJ184" s="24">
        <f t="shared" si="124"/>
        <v>0</v>
      </c>
      <c r="AK184" s="24">
        <f t="shared" si="124"/>
        <v>0</v>
      </c>
      <c r="AL184" s="24">
        <f t="shared" si="124"/>
        <v>1595.4161515345495</v>
      </c>
      <c r="AM184" s="24">
        <f t="shared" si="124"/>
        <v>2639.0705342326455</v>
      </c>
      <c r="AN184" s="24">
        <f t="shared" si="124"/>
        <v>4426.7558607285146</v>
      </c>
      <c r="AO184" s="24">
        <f t="shared" si="124"/>
        <v>4379.3693326156335</v>
      </c>
      <c r="AP184" s="24">
        <f t="shared" si="124"/>
        <v>4377.4982326156332</v>
      </c>
      <c r="AQ184" s="24">
        <f t="shared" si="124"/>
        <v>4377.4982326156332</v>
      </c>
      <c r="AR184" s="24">
        <f t="shared" si="124"/>
        <v>4377.4982326156332</v>
      </c>
      <c r="AS184" s="24">
        <f t="shared" si="124"/>
        <v>4377.4982326156332</v>
      </c>
      <c r="AT184" s="24">
        <f t="shared" si="124"/>
        <v>4377.4982326156332</v>
      </c>
      <c r="AU184" s="24">
        <f t="shared" si="124"/>
        <v>4377.4982326156332</v>
      </c>
      <c r="AV184" s="24">
        <f t="shared" si="124"/>
        <v>4377.4982326156332</v>
      </c>
      <c r="AW184" s="24">
        <f t="shared" si="124"/>
        <v>4377.4982326156332</v>
      </c>
      <c r="AX184" s="24">
        <f t="shared" si="124"/>
        <v>4377.4982326156332</v>
      </c>
      <c r="AY184" s="24">
        <f t="shared" si="124"/>
        <v>4377.4982326156332</v>
      </c>
      <c r="AZ184" s="24">
        <f t="shared" si="124"/>
        <v>4377.4982326156332</v>
      </c>
      <c r="BA184" s="24">
        <f t="shared" si="124"/>
        <v>4377.4982326156332</v>
      </c>
      <c r="BB184" s="24">
        <f t="shared" si="124"/>
        <v>4377.4982326156332</v>
      </c>
      <c r="BC184" s="24">
        <f t="shared" si="124"/>
        <v>4377.4982326156332</v>
      </c>
      <c r="BD184" s="24">
        <f t="shared" si="124"/>
        <v>4377.4982326156332</v>
      </c>
      <c r="BE184" s="24">
        <f t="shared" si="124"/>
        <v>4377.4982326156332</v>
      </c>
      <c r="BF184" s="24">
        <f t="shared" si="124"/>
        <v>4377.4982326156332</v>
      </c>
      <c r="BG184" s="24">
        <f t="shared" si="124"/>
        <v>4377.4982326156332</v>
      </c>
      <c r="BH184" s="24">
        <f t="shared" si="124"/>
        <v>4377.4982326156332</v>
      </c>
      <c r="BI184" s="24">
        <f t="shared" si="124"/>
        <v>4377.4982326156332</v>
      </c>
      <c r="BJ184" s="24">
        <f t="shared" si="124"/>
        <v>4377.4982326156332</v>
      </c>
      <c r="BK184" s="24">
        <f t="shared" si="124"/>
        <v>4377.4982326156332</v>
      </c>
      <c r="BL184" s="24">
        <f t="shared" si="124"/>
        <v>4377.4982326156332</v>
      </c>
      <c r="BM184" s="24">
        <f t="shared" si="124"/>
        <v>4377.4982326156332</v>
      </c>
    </row>
    <row r="185" spans="1:68" s="164" customFormat="1" ht="12.75" hidden="1" customHeight="1" outlineLevel="1">
      <c r="B185" s="166" t="s">
        <v>75</v>
      </c>
      <c r="C185" s="167"/>
      <c r="D185" s="168"/>
      <c r="E185" s="24"/>
      <c r="F185" s="24">
        <f t="shared" ref="F185:BM185" si="125">F184+F101</f>
        <v>0</v>
      </c>
      <c r="G185" s="24">
        <f t="shared" si="125"/>
        <v>0</v>
      </c>
      <c r="H185" s="24">
        <f t="shared" si="125"/>
        <v>0</v>
      </c>
      <c r="I185" s="24">
        <f t="shared" si="125"/>
        <v>0</v>
      </c>
      <c r="J185" s="24">
        <f t="shared" si="125"/>
        <v>0</v>
      </c>
      <c r="K185" s="24">
        <f t="shared" si="125"/>
        <v>0</v>
      </c>
      <c r="L185" s="24">
        <f t="shared" si="125"/>
        <v>0</v>
      </c>
      <c r="M185" s="24">
        <f t="shared" si="125"/>
        <v>0</v>
      </c>
      <c r="N185" s="24">
        <f t="shared" si="125"/>
        <v>0</v>
      </c>
      <c r="O185" s="24">
        <f t="shared" si="125"/>
        <v>0</v>
      </c>
      <c r="P185" s="24">
        <f t="shared" si="125"/>
        <v>-570.20731627043801</v>
      </c>
      <c r="Q185" s="24">
        <f t="shared" si="125"/>
        <v>-38.707316270437914</v>
      </c>
      <c r="R185" s="24">
        <f t="shared" si="125"/>
        <v>-39.074516270437911</v>
      </c>
      <c r="S185" s="24">
        <f t="shared" si="125"/>
        <v>-62.623187828437914</v>
      </c>
      <c r="T185" s="24">
        <f t="shared" si="125"/>
        <v>-190.97998782843791</v>
      </c>
      <c r="U185" s="24">
        <f t="shared" si="125"/>
        <v>-461.8715878284379</v>
      </c>
      <c r="V185" s="24">
        <f t="shared" si="125"/>
        <v>-808.57621109643799</v>
      </c>
      <c r="W185" s="24">
        <f t="shared" si="125"/>
        <v>-842.58954340317382</v>
      </c>
      <c r="X185" s="24">
        <f t="shared" si="125"/>
        <v>-5354.1675389531183</v>
      </c>
      <c r="Y185" s="24">
        <f t="shared" si="125"/>
        <v>-2012.0252460277961</v>
      </c>
      <c r="Z185" s="24">
        <f t="shared" si="125"/>
        <v>-2021.0931385458061</v>
      </c>
      <c r="AA185" s="24">
        <f t="shared" si="125"/>
        <v>-1632.7577808375977</v>
      </c>
      <c r="AB185" s="24">
        <f t="shared" si="125"/>
        <v>-1643.5482859268407</v>
      </c>
      <c r="AC185" s="24">
        <f t="shared" si="125"/>
        <v>-1633.4934949235358</v>
      </c>
      <c r="AD185" s="24">
        <f t="shared" si="125"/>
        <v>-1655.3377718475431</v>
      </c>
      <c r="AE185" s="24">
        <f t="shared" si="125"/>
        <v>-1658.9208097914579</v>
      </c>
      <c r="AF185" s="24">
        <f t="shared" si="125"/>
        <v>-1731.8872876105161</v>
      </c>
      <c r="AG185" s="24">
        <f t="shared" si="125"/>
        <v>-1729.5355925521467</v>
      </c>
      <c r="AH185" s="24">
        <f t="shared" si="125"/>
        <v>-1742.3442597360954</v>
      </c>
      <c r="AI185" s="24">
        <f t="shared" si="125"/>
        <v>-1706.7230215602599</v>
      </c>
      <c r="AJ185" s="24">
        <f t="shared" si="125"/>
        <v>0</v>
      </c>
      <c r="AK185" s="24">
        <f t="shared" si="125"/>
        <v>0</v>
      </c>
      <c r="AL185" s="24">
        <f t="shared" si="125"/>
        <v>1248.4118995299916</v>
      </c>
      <c r="AM185" s="24">
        <f t="shared" si="125"/>
        <v>2639.0705342326455</v>
      </c>
      <c r="AN185" s="24">
        <f t="shared" si="125"/>
        <v>4426.7558607285146</v>
      </c>
      <c r="AO185" s="24">
        <f t="shared" si="125"/>
        <v>4379.3693326156335</v>
      </c>
      <c r="AP185" s="24">
        <f t="shared" si="125"/>
        <v>4377.4982326156332</v>
      </c>
      <c r="AQ185" s="24">
        <f t="shared" si="125"/>
        <v>4377.4982326156332</v>
      </c>
      <c r="AR185" s="24">
        <f t="shared" si="125"/>
        <v>4377.4982326156332</v>
      </c>
      <c r="AS185" s="24">
        <f t="shared" si="125"/>
        <v>4377.4982326156332</v>
      </c>
      <c r="AT185" s="24">
        <f t="shared" si="125"/>
        <v>4377.4982326156332</v>
      </c>
      <c r="AU185" s="24">
        <f t="shared" si="125"/>
        <v>4377.4982326156332</v>
      </c>
      <c r="AV185" s="24">
        <f t="shared" si="125"/>
        <v>4377.4982326156332</v>
      </c>
      <c r="AW185" s="24">
        <f t="shared" si="125"/>
        <v>4377.4982326156332</v>
      </c>
      <c r="AX185" s="24">
        <f t="shared" si="125"/>
        <v>4377.4982326156332</v>
      </c>
      <c r="AY185" s="24">
        <f t="shared" si="125"/>
        <v>4377.4982326156332</v>
      </c>
      <c r="AZ185" s="24">
        <f t="shared" si="125"/>
        <v>4377.4982326156332</v>
      </c>
      <c r="BA185" s="24">
        <f t="shared" si="125"/>
        <v>4377.4982326156332</v>
      </c>
      <c r="BB185" s="24">
        <f t="shared" si="125"/>
        <v>4377.4982326156332</v>
      </c>
      <c r="BC185" s="24">
        <f t="shared" si="125"/>
        <v>4377.4982326156332</v>
      </c>
      <c r="BD185" s="24">
        <f t="shared" si="125"/>
        <v>4377.4982326156332</v>
      </c>
      <c r="BE185" s="24">
        <f t="shared" si="125"/>
        <v>4377.4982326156332</v>
      </c>
      <c r="BF185" s="24">
        <f t="shared" si="125"/>
        <v>4377.4982326156332</v>
      </c>
      <c r="BG185" s="24">
        <f t="shared" si="125"/>
        <v>4377.4982326156332</v>
      </c>
      <c r="BH185" s="24">
        <f t="shared" si="125"/>
        <v>4377.4982326156332</v>
      </c>
      <c r="BI185" s="24">
        <f t="shared" si="125"/>
        <v>4377.4982326156332</v>
      </c>
      <c r="BJ185" s="24">
        <f t="shared" si="125"/>
        <v>4377.4982326156332</v>
      </c>
      <c r="BK185" s="24">
        <f t="shared" si="125"/>
        <v>4377.4982326156332</v>
      </c>
      <c r="BL185" s="24">
        <f t="shared" si="125"/>
        <v>4377.4982326156332</v>
      </c>
      <c r="BM185" s="24">
        <f t="shared" si="125"/>
        <v>4377.4982326156332</v>
      </c>
    </row>
    <row r="186" spans="1:68" s="164" customFormat="1" ht="12.75" hidden="1" customHeight="1" outlineLevel="1">
      <c r="B186" s="166" t="s">
        <v>83</v>
      </c>
      <c r="C186" s="167"/>
      <c r="D186" s="168"/>
      <c r="E186" s="24"/>
      <c r="F186" s="24">
        <f t="shared" ref="F186:BM186" si="126">F185+F82</f>
        <v>0</v>
      </c>
      <c r="G186" s="24">
        <f t="shared" si="126"/>
        <v>0</v>
      </c>
      <c r="H186" s="24">
        <f t="shared" si="126"/>
        <v>0</v>
      </c>
      <c r="I186" s="24">
        <f t="shared" si="126"/>
        <v>0</v>
      </c>
      <c r="J186" s="24">
        <f t="shared" si="126"/>
        <v>0</v>
      </c>
      <c r="K186" s="24">
        <f t="shared" si="126"/>
        <v>0</v>
      </c>
      <c r="L186" s="24">
        <f t="shared" si="126"/>
        <v>0</v>
      </c>
      <c r="M186" s="24">
        <f t="shared" si="126"/>
        <v>0</v>
      </c>
      <c r="N186" s="24">
        <f t="shared" si="126"/>
        <v>0</v>
      </c>
      <c r="O186" s="24">
        <f t="shared" si="126"/>
        <v>0</v>
      </c>
      <c r="P186" s="24">
        <f t="shared" si="126"/>
        <v>-570.20731627043801</v>
      </c>
      <c r="Q186" s="24">
        <f t="shared" si="126"/>
        <v>-38.707316270437914</v>
      </c>
      <c r="R186" s="24">
        <f t="shared" si="126"/>
        <v>-39.074516270437911</v>
      </c>
      <c r="S186" s="24">
        <f t="shared" si="126"/>
        <v>-62.623187828437914</v>
      </c>
      <c r="T186" s="24">
        <f t="shared" si="126"/>
        <v>-190.97998782843791</v>
      </c>
      <c r="U186" s="24">
        <f t="shared" si="126"/>
        <v>-461.8715878284379</v>
      </c>
      <c r="V186" s="24">
        <f t="shared" si="126"/>
        <v>-808.57621109643799</v>
      </c>
      <c r="W186" s="24">
        <f t="shared" si="126"/>
        <v>-842.58954340317382</v>
      </c>
      <c r="X186" s="24">
        <f t="shared" si="126"/>
        <v>-5354.1675389531183</v>
      </c>
      <c r="Y186" s="24">
        <f t="shared" si="126"/>
        <v>-2012.0252460277961</v>
      </c>
      <c r="Z186" s="24">
        <f t="shared" si="126"/>
        <v>-2021.0931385458061</v>
      </c>
      <c r="AA186" s="24">
        <f t="shared" si="126"/>
        <v>-1632.7577808375977</v>
      </c>
      <c r="AB186" s="24">
        <f t="shared" si="126"/>
        <v>-1643.5482859268407</v>
      </c>
      <c r="AC186" s="24">
        <f t="shared" si="126"/>
        <v>-1633.4934949235358</v>
      </c>
      <c r="AD186" s="24">
        <f t="shared" si="126"/>
        <v>-1655.3377718475431</v>
      </c>
      <c r="AE186" s="24">
        <f t="shared" si="126"/>
        <v>-1658.9208097914579</v>
      </c>
      <c r="AF186" s="24">
        <f t="shared" si="126"/>
        <v>-1731.8872876105161</v>
      </c>
      <c r="AG186" s="24">
        <f t="shared" si="126"/>
        <v>-1729.5355925521467</v>
      </c>
      <c r="AH186" s="24">
        <f t="shared" si="126"/>
        <v>-1742.3442597360954</v>
      </c>
      <c r="AI186" s="24">
        <f t="shared" si="126"/>
        <v>-1706.7230215602599</v>
      </c>
      <c r="AJ186" s="24">
        <f t="shared" si="126"/>
        <v>0</v>
      </c>
      <c r="AK186" s="24">
        <f t="shared" si="126"/>
        <v>0</v>
      </c>
      <c r="AL186" s="24">
        <f t="shared" si="126"/>
        <v>1034.4575967975031</v>
      </c>
      <c r="AM186" s="24">
        <f t="shared" si="126"/>
        <v>2639.0705342326455</v>
      </c>
      <c r="AN186" s="24">
        <f t="shared" si="126"/>
        <v>4426.7558607285146</v>
      </c>
      <c r="AO186" s="24">
        <f t="shared" si="126"/>
        <v>4379.3693326156335</v>
      </c>
      <c r="AP186" s="24">
        <f t="shared" si="126"/>
        <v>4377.4982326156332</v>
      </c>
      <c r="AQ186" s="24">
        <f t="shared" si="126"/>
        <v>4377.4982326156332</v>
      </c>
      <c r="AR186" s="24">
        <f t="shared" si="126"/>
        <v>4377.4982326156332</v>
      </c>
      <c r="AS186" s="24">
        <f t="shared" si="126"/>
        <v>4377.4982326156332</v>
      </c>
      <c r="AT186" s="24">
        <f t="shared" si="126"/>
        <v>4377.4982326156332</v>
      </c>
      <c r="AU186" s="24">
        <f t="shared" si="126"/>
        <v>4377.4982326156332</v>
      </c>
      <c r="AV186" s="24">
        <f t="shared" si="126"/>
        <v>4377.4982326156332</v>
      </c>
      <c r="AW186" s="24">
        <f t="shared" si="126"/>
        <v>4377.4982326156332</v>
      </c>
      <c r="AX186" s="24">
        <f t="shared" si="126"/>
        <v>4377.4982326156332</v>
      </c>
      <c r="AY186" s="24">
        <f t="shared" si="126"/>
        <v>4377.4982326156332</v>
      </c>
      <c r="AZ186" s="24">
        <f t="shared" si="126"/>
        <v>4377.4982326156332</v>
      </c>
      <c r="BA186" s="24">
        <f t="shared" si="126"/>
        <v>4377.4982326156332</v>
      </c>
      <c r="BB186" s="24">
        <f t="shared" si="126"/>
        <v>4377.4982326156332</v>
      </c>
      <c r="BC186" s="24">
        <f t="shared" si="126"/>
        <v>4377.4982326156332</v>
      </c>
      <c r="BD186" s="24">
        <f t="shared" si="126"/>
        <v>4377.4982326156332</v>
      </c>
      <c r="BE186" s="24">
        <f t="shared" si="126"/>
        <v>4377.4982326156332</v>
      </c>
      <c r="BF186" s="24">
        <f t="shared" si="126"/>
        <v>4377.4982326156332</v>
      </c>
      <c r="BG186" s="24">
        <f t="shared" si="126"/>
        <v>4377.4982326156332</v>
      </c>
      <c r="BH186" s="24">
        <f t="shared" si="126"/>
        <v>4377.4982326156332</v>
      </c>
      <c r="BI186" s="24">
        <f t="shared" si="126"/>
        <v>4377.4982326156332</v>
      </c>
      <c r="BJ186" s="24">
        <f t="shared" si="126"/>
        <v>4377.4982326156332</v>
      </c>
      <c r="BK186" s="24">
        <f t="shared" si="126"/>
        <v>4377.4982326156332</v>
      </c>
      <c r="BL186" s="24">
        <f t="shared" si="126"/>
        <v>4377.4982326156332</v>
      </c>
      <c r="BM186" s="24">
        <f t="shared" si="126"/>
        <v>4377.4982326156332</v>
      </c>
    </row>
    <row r="187" spans="1:68" s="164" customFormat="1" collapsed="1">
      <c r="D187" s="165"/>
      <c r="E187" s="163"/>
    </row>
    <row r="188" spans="1:68">
      <c r="A188" s="124"/>
      <c r="B188" s="181" t="s">
        <v>72</v>
      </c>
      <c r="C188" s="181"/>
      <c r="D188" s="175"/>
      <c r="E188" s="180"/>
      <c r="F188" s="180" t="str">
        <f t="shared" ref="F188:AK188" si="127">F6</f>
        <v>2Q2023</v>
      </c>
      <c r="G188" s="180" t="str">
        <f t="shared" si="127"/>
        <v>3Q2023</v>
      </c>
      <c r="H188" s="180" t="str">
        <f t="shared" si="127"/>
        <v>4Q2023</v>
      </c>
      <c r="I188" s="180" t="str">
        <f t="shared" si="127"/>
        <v>1Q2024</v>
      </c>
      <c r="J188" s="180" t="str">
        <f t="shared" si="127"/>
        <v>2Q2024</v>
      </c>
      <c r="K188" s="180" t="str">
        <f t="shared" si="127"/>
        <v>3Q2024</v>
      </c>
      <c r="L188" s="180" t="str">
        <f t="shared" si="127"/>
        <v>4Q2024</v>
      </c>
      <c r="M188" s="180" t="str">
        <f t="shared" si="127"/>
        <v>1Q2025</v>
      </c>
      <c r="N188" s="180" t="str">
        <f t="shared" si="127"/>
        <v>2Q2025</v>
      </c>
      <c r="O188" s="180" t="str">
        <f t="shared" si="127"/>
        <v>3Q2025</v>
      </c>
      <c r="P188" s="180" t="str">
        <f t="shared" si="127"/>
        <v>4Q2025</v>
      </c>
      <c r="Q188" s="180" t="str">
        <f t="shared" si="127"/>
        <v>1Q2026</v>
      </c>
      <c r="R188" s="180" t="str">
        <f t="shared" si="127"/>
        <v>2Q2026</v>
      </c>
      <c r="S188" s="180" t="str">
        <f t="shared" si="127"/>
        <v>3Q2026</v>
      </c>
      <c r="T188" s="180" t="str">
        <f t="shared" si="127"/>
        <v>4Q2026</v>
      </c>
      <c r="U188" s="180" t="str">
        <f t="shared" si="127"/>
        <v>1Q2027</v>
      </c>
      <c r="V188" s="180" t="str">
        <f t="shared" si="127"/>
        <v>2Q2027</v>
      </c>
      <c r="W188" s="180" t="str">
        <f t="shared" si="127"/>
        <v>3Q2027</v>
      </c>
      <c r="X188" s="180" t="str">
        <f t="shared" si="127"/>
        <v>4Q2027</v>
      </c>
      <c r="Y188" s="180" t="str">
        <f t="shared" si="127"/>
        <v>1Q2028</v>
      </c>
      <c r="Z188" s="180" t="str">
        <f t="shared" si="127"/>
        <v>2Q2028</v>
      </c>
      <c r="AA188" s="180" t="str">
        <f t="shared" si="127"/>
        <v>3Q2028</v>
      </c>
      <c r="AB188" s="180" t="str">
        <f t="shared" si="127"/>
        <v>4Q2028</v>
      </c>
      <c r="AC188" s="180" t="str">
        <f t="shared" si="127"/>
        <v>1Q2029</v>
      </c>
      <c r="AD188" s="180" t="str">
        <f t="shared" si="127"/>
        <v>2Q2029</v>
      </c>
      <c r="AE188" s="180" t="str">
        <f t="shared" si="127"/>
        <v>3Q2029</v>
      </c>
      <c r="AF188" s="180" t="str">
        <f t="shared" si="127"/>
        <v>4Q2029</v>
      </c>
      <c r="AG188" s="180" t="str">
        <f t="shared" si="127"/>
        <v>1Q2030</v>
      </c>
      <c r="AH188" s="180" t="str">
        <f t="shared" si="127"/>
        <v>2Q2030</v>
      </c>
      <c r="AI188" s="180" t="str">
        <f t="shared" si="127"/>
        <v>3Q2030</v>
      </c>
      <c r="AJ188" s="180" t="str">
        <f t="shared" si="127"/>
        <v>4Q2030</v>
      </c>
      <c r="AK188" s="180" t="str">
        <f t="shared" si="127"/>
        <v>1Q2031</v>
      </c>
      <c r="AL188" s="180" t="str">
        <f t="shared" ref="AL188:BM188" si="128">AL6</f>
        <v>2Q2031</v>
      </c>
      <c r="AM188" s="180" t="str">
        <f t="shared" si="128"/>
        <v>3Q2031</v>
      </c>
      <c r="AN188" s="180" t="str">
        <f t="shared" si="128"/>
        <v>4Q2031</v>
      </c>
      <c r="AO188" s="180" t="str">
        <f t="shared" si="128"/>
        <v>1Q2032</v>
      </c>
      <c r="AP188" s="180" t="str">
        <f t="shared" si="128"/>
        <v>2Q2032</v>
      </c>
      <c r="AQ188" s="180" t="str">
        <f t="shared" si="128"/>
        <v>3Q2032</v>
      </c>
      <c r="AR188" s="180" t="str">
        <f t="shared" si="128"/>
        <v>4Q2032</v>
      </c>
      <c r="AS188" s="180" t="str">
        <f t="shared" si="128"/>
        <v>1Q2033</v>
      </c>
      <c r="AT188" s="180" t="str">
        <f t="shared" si="128"/>
        <v>2Q2033</v>
      </c>
      <c r="AU188" s="180" t="str">
        <f t="shared" si="128"/>
        <v>3Q2033</v>
      </c>
      <c r="AV188" s="180" t="str">
        <f t="shared" si="128"/>
        <v>4Q2033</v>
      </c>
      <c r="AW188" s="180" t="str">
        <f t="shared" si="128"/>
        <v>1Q2034</v>
      </c>
      <c r="AX188" s="180" t="str">
        <f t="shared" si="128"/>
        <v>2Q2034</v>
      </c>
      <c r="AY188" s="180" t="str">
        <f t="shared" si="128"/>
        <v>3Q2034</v>
      </c>
      <c r="AZ188" s="180" t="str">
        <f t="shared" si="128"/>
        <v>4Q2034</v>
      </c>
      <c r="BA188" s="180" t="str">
        <f t="shared" si="128"/>
        <v>1Q2035</v>
      </c>
      <c r="BB188" s="180" t="str">
        <f t="shared" si="128"/>
        <v>2Q2035</v>
      </c>
      <c r="BC188" s="180" t="str">
        <f t="shared" si="128"/>
        <v>3Q2035</v>
      </c>
      <c r="BD188" s="180" t="str">
        <f t="shared" si="128"/>
        <v>4Q2035</v>
      </c>
      <c r="BE188" s="180" t="str">
        <f t="shared" si="128"/>
        <v>1Q2036</v>
      </c>
      <c r="BF188" s="180" t="str">
        <f t="shared" si="128"/>
        <v>2Q2036</v>
      </c>
      <c r="BG188" s="180" t="str">
        <f t="shared" si="128"/>
        <v>3Q2036</v>
      </c>
      <c r="BH188" s="180" t="str">
        <f t="shared" si="128"/>
        <v>4Q2036</v>
      </c>
      <c r="BI188" s="180" t="str">
        <f t="shared" si="128"/>
        <v>1Q2037</v>
      </c>
      <c r="BJ188" s="180" t="str">
        <f t="shared" si="128"/>
        <v>2Q2037</v>
      </c>
      <c r="BK188" s="180" t="str">
        <f t="shared" si="128"/>
        <v>3Q2037</v>
      </c>
      <c r="BL188" s="180" t="str">
        <f t="shared" si="128"/>
        <v>4Q2037</v>
      </c>
      <c r="BM188" s="180" t="str">
        <f t="shared" si="128"/>
        <v>1Q2038</v>
      </c>
    </row>
    <row r="189" spans="1:68" s="164" customFormat="1" ht="12.75" hidden="1" customHeight="1">
      <c r="B189" s="166" t="s">
        <v>62</v>
      </c>
      <c r="C189" s="167"/>
      <c r="D189" s="131" t="s">
        <v>19</v>
      </c>
      <c r="E189" s="168"/>
      <c r="F189" s="384">
        <f>SUM($F$35:F35,$F$44:F44,$F$46:F46)*(1-SUM(E$175:$F175))</f>
        <v>0</v>
      </c>
      <c r="G189" s="384">
        <f>SUM($F$35:G35,$F$44:G44,$F$46:G46)*(1-SUM($F$175:F175))</f>
        <v>0</v>
      </c>
      <c r="H189" s="384">
        <f>SUM($F$35:H35,$F$44:H44,$F$46:H46)*(1-SUM($F$175:G175))</f>
        <v>0</v>
      </c>
      <c r="I189" s="384">
        <f>SUM($F$35:I35,$F$44:I44,$F$46:I46)*(1-SUM($F$175:H175))</f>
        <v>0</v>
      </c>
      <c r="J189" s="384">
        <f>SUM($F$35:J35,$F$44:J44,$F$46:J46)*(1-SUM($F$175:I175))</f>
        <v>0</v>
      </c>
      <c r="K189" s="384">
        <f>SUM($F$35:K35,$F$44:K44,$F$46:K46)*(1-SUM($F$175:J175))</f>
        <v>0</v>
      </c>
      <c r="L189" s="384">
        <f>SUM($F$35:L35,$F$44:L44,$F$46:L46)*(1-SUM($F$175:K175))</f>
        <v>0</v>
      </c>
      <c r="M189" s="384">
        <f>SUM($F$35:M35,$F$44:M44,$F$46:M46)*(1-SUM($F$175:L175))</f>
        <v>0</v>
      </c>
      <c r="N189" s="24">
        <f>SUM($F$35:N35,$F$44:N44,$F$46:N46)*(1-SUM($F$175:M175))</f>
        <v>0</v>
      </c>
      <c r="O189" s="24">
        <f>SUM($F$35:O35,$F$44:O44,$F$46:O46)*(1-SUM($F$175:N175))</f>
        <v>0</v>
      </c>
      <c r="P189" s="24">
        <f>SUM($F$35:P35,$F$44:P44,$F$46:P46)*(1-SUM($F$175:O175))</f>
        <v>0</v>
      </c>
      <c r="Q189" s="24">
        <f>SUM($F$35:Q35,$F$44:Q44,$F$46:Q46)*(1-SUM($F$175:P175))</f>
        <v>0</v>
      </c>
      <c r="R189" s="24">
        <f>SUM($F$35:R35,$F$44:R44,$F$46:R46)*(1-SUM($F$175:Q175))</f>
        <v>0</v>
      </c>
      <c r="S189" s="24">
        <f>SUM($F$35:S35,$F$44:S44,$F$46:S46)*(1-SUM($F$175:R175))</f>
        <v>0</v>
      </c>
      <c r="T189" s="24">
        <f>SUM($F$35:T35,$F$44:T44,$F$46:T46)*(1-SUM($F$175:S175))</f>
        <v>0</v>
      </c>
      <c r="U189" s="24">
        <f>SUM($F$35:U35,$F$44:U44,$F$46:U46)*(1-SUM($F$175:T175))</f>
        <v>0</v>
      </c>
      <c r="V189" s="24">
        <f>SUM($F$35:V35,$F$44:V44,$F$46:V46)*(1-SUM($F$175:U175))</f>
        <v>0</v>
      </c>
      <c r="W189" s="24">
        <f>SUM($F$35:W35,$F$44:W44,$F$46:W46)*(1-SUM($F$175:V175))</f>
        <v>0</v>
      </c>
      <c r="X189" s="24">
        <f>SUM($F$35:X35,$F$44:X44,$F$46:X46)*(1-SUM($F$175:W175))</f>
        <v>1263.8945454545456</v>
      </c>
      <c r="Y189" s="24">
        <f>SUM($F$35:Y35,$F$44:Y44,$F$46:Y46)*(1-SUM($F$175:X175))</f>
        <v>2743.6912937188672</v>
      </c>
      <c r="Z189" s="24">
        <f>SUM($F$35:Z35,$F$44:Z44,$F$46:Z46)*(1-SUM($F$175:Y175))</f>
        <v>4293.7748734885481</v>
      </c>
      <c r="AA189" s="24">
        <f>SUM($F$35:AA35,$F$44:AA44,$F$46:AA46)*(1-SUM($F$175:Z175))</f>
        <v>5920.0123206330654</v>
      </c>
      <c r="AB189" s="24">
        <f>SUM($F$35:AB35,$F$44:AB44,$F$46:AB46)*(1-SUM($F$175:AA175))</f>
        <v>7629.9469669846067</v>
      </c>
      <c r="AC189" s="24">
        <f>SUM($F$35:AC35,$F$44:AC44,$F$46:AC46)*(1-SUM($F$175:AB175))</f>
        <v>9536.886459860134</v>
      </c>
      <c r="AD189" s="24">
        <f>SUM($F$35:AD35,$F$44:AD44,$F$46:AD46)*(1-SUM($F$175:AC175))</f>
        <v>11529.136379971727</v>
      </c>
      <c r="AE189" s="24">
        <f>SUM($F$35:AE35,$F$44:AE44,$F$46:AE46)*(1-SUM($F$175:AD175))</f>
        <v>13620.777613406135</v>
      </c>
      <c r="AF189" s="24">
        <f>SUM($F$35:AF35,$F$44:AF44,$F$46:AF46)*(1-SUM($F$175:AE175))</f>
        <v>15835.278303641271</v>
      </c>
      <c r="AG189" s="24">
        <f>SUM($F$35:AG35,$F$44:AG44,$F$46:AG46)*(1-SUM($F$175:AF175))</f>
        <v>18354.747260160901</v>
      </c>
      <c r="AH189" s="24">
        <f>SUM($F$35:AH35,$F$44:AH44,$F$46:AH46)*(1-SUM($F$175:AG175))</f>
        <v>20914.475776248688</v>
      </c>
      <c r="AI189" s="24">
        <f>SUM($F$35:AI35,$F$44:AI44,$F$46:AI46)*(1-SUM($F$175:AH175))</f>
        <v>23061.030931498426</v>
      </c>
      <c r="AJ189" s="24">
        <f>SUM($F$35:AJ35,$F$44:AJ44,$F$46:AJ46)*(1-SUM($F$175:AI175))</f>
        <v>0</v>
      </c>
      <c r="AK189" s="24">
        <f>SUM($F$35:AK35,$F$44:AK44,$F$46:AK46)*(1-SUM($F$175:AJ175))</f>
        <v>0</v>
      </c>
      <c r="AL189" s="24">
        <f>SUM($F$35:AL35,$F$44:AL44,$F$46:AL46)*(1-SUM($F$175:AK175))</f>
        <v>0</v>
      </c>
      <c r="AM189" s="24">
        <f>SUM($F$35:AM35,$F$44:AM44,$F$46:AM46)*(1-SUM($F$175:AL175))</f>
        <v>0</v>
      </c>
      <c r="AN189" s="24">
        <f>SUM($F$35:AN35,$F$44:AN44,$F$46:AN46)*(1-SUM($F$175:AM175))</f>
        <v>0</v>
      </c>
      <c r="AO189" s="24">
        <f>SUM($F$35:AO35,$F$44:AO44,$F$46:AO46)*(1-SUM($F$175:AN175))</f>
        <v>0</v>
      </c>
      <c r="AP189" s="24">
        <f>SUM($F$35:AP35,$F$44:AP44,$F$46:AP46)*(1-SUM($F$175:AO175))</f>
        <v>0</v>
      </c>
      <c r="AQ189" s="24">
        <f>SUM($F$35:AQ35,$F$44:AQ44,$F$46:AQ46)*(1-SUM($F$175:AP175))</f>
        <v>0</v>
      </c>
      <c r="AR189" s="24">
        <f>SUM($F$35:AR35,$F$44:AR44,$F$46:AR46)*(1-SUM($F$175:AQ175))</f>
        <v>0</v>
      </c>
      <c r="AS189" s="24">
        <f>SUM($F$35:AS35,$F$44:AS44,$F$46:AS46)*(1-SUM($F$175:AR175))</f>
        <v>0</v>
      </c>
      <c r="AT189" s="24">
        <f>SUM($F$35:AT35,$F$44:AT44,$F$46:AT46)*(1-SUM($F$175:AS175))</f>
        <v>0</v>
      </c>
      <c r="AU189" s="24">
        <f>SUM($F$35:AU35,$F$44:AU44,$F$46:AU46)*(1-SUM($F$175:AT175))</f>
        <v>0</v>
      </c>
      <c r="AV189" s="24">
        <f>SUM($F$35:AV35,$F$44:AV44,$F$46:AV46)*(1-SUM($F$175:AU175))</f>
        <v>0</v>
      </c>
      <c r="AW189" s="24">
        <f>SUM($F$35:AW35,$F$44:AW44,$F$46:AW46)*(1-SUM($F$175:AV175))</f>
        <v>0</v>
      </c>
      <c r="AX189" s="24">
        <f>SUM($F$35:AX35,$F$44:AX44,$F$46:AX46)*(1-SUM($F$175:AW175))</f>
        <v>0</v>
      </c>
      <c r="AY189" s="24">
        <f>SUM($F$35:AY35,$F$44:AY44,$F$46:AY46)*(1-SUM($F$175:AX175))</f>
        <v>0</v>
      </c>
      <c r="AZ189" s="24">
        <f>SUM($F$35:AZ35,$F$44:AZ44,$F$46:AZ46)*(1-SUM($F$175:AY175))</f>
        <v>0</v>
      </c>
      <c r="BA189" s="24">
        <f>SUM($F$35:BA35,$F$44:BA44,$F$46:BA46)*(1-SUM($F$175:AZ175))</f>
        <v>0</v>
      </c>
      <c r="BB189" s="24">
        <f>SUM($F$35:BB35,$F$44:BB44,$F$46:BB46)*(1-SUM($F$175:BA175))</f>
        <v>0</v>
      </c>
      <c r="BC189" s="24">
        <f>SUM($F$35:BC35,$F$44:BC44,$F$46:BC46)*(1-SUM($F$175:BB175))</f>
        <v>0</v>
      </c>
      <c r="BD189" s="24">
        <f>SUM($F$35:BD35,$F$44:BD44,$F$46:BD46)*(1-SUM($F$175:BC175))</f>
        <v>0</v>
      </c>
      <c r="BE189" s="24">
        <f>SUM($F$35:BE35,$F$44:BE44,$F$46:BE46)*(1-SUM($F$175:BD175))</f>
        <v>0</v>
      </c>
      <c r="BF189" s="24">
        <f>SUM($F$35:BF35,$F$44:BF44,$F$46:BF46)*(1-SUM($F$175:BE175))</f>
        <v>0</v>
      </c>
      <c r="BG189" s="24">
        <f>SUM($F$35:BG35,$F$44:BG44,$F$46:BG46)*(1-SUM($F$175:BF175))</f>
        <v>0</v>
      </c>
      <c r="BH189" s="24">
        <f>SUM($F$35:BH35,$F$44:BH44,$F$46:BH46)*(1-SUM($F$175:BG175))</f>
        <v>0</v>
      </c>
      <c r="BI189" s="24">
        <f>SUM($F$35:BI35,$F$44:BI44,$F$46:BI46)*(1-SUM($F$175:BH175))</f>
        <v>0</v>
      </c>
      <c r="BJ189" s="24">
        <f>SUM($F$35:BJ35,$F$44:BJ44,$F$46:BJ46)*(1-SUM($F$175:BI175))</f>
        <v>0</v>
      </c>
      <c r="BK189" s="24">
        <f>SUM($F$35:BK35,$F$44:BK44,$F$46:BK46)*(1-SUM($F$175:BJ175))</f>
        <v>0</v>
      </c>
      <c r="BL189" s="24">
        <f>SUM($F$35:BL35,$F$44:BL44,$F$46:BL46)*(1-SUM($F$175:BK175))</f>
        <v>0</v>
      </c>
      <c r="BM189" s="24">
        <f>SUM($F$35:BM35,$F$44:BM44,$F$46:BM46)*(1-SUM($F$175:BL175))</f>
        <v>0</v>
      </c>
    </row>
    <row r="190" spans="1:68" s="164" customFormat="1" ht="12.75" hidden="1" customHeight="1">
      <c r="B190" s="166" t="s">
        <v>63</v>
      </c>
      <c r="C190" s="167"/>
      <c r="D190" s="131" t="s">
        <v>19</v>
      </c>
      <c r="E190" s="168"/>
      <c r="F190" s="384"/>
      <c r="G190" s="384">
        <f>SUM($F$95:G96)</f>
        <v>0</v>
      </c>
      <c r="H190" s="384">
        <f>SUM($F$95:H96)</f>
        <v>0</v>
      </c>
      <c r="I190" s="384">
        <f>SUM($F$95:I96)</f>
        <v>0</v>
      </c>
      <c r="J190" s="384">
        <f>SUM($F$95:J96)</f>
        <v>0</v>
      </c>
      <c r="K190" s="384">
        <f>SUM($F$95:K96)</f>
        <v>0</v>
      </c>
      <c r="L190" s="384">
        <f>SUM($F$95:L96)</f>
        <v>0</v>
      </c>
      <c r="M190" s="384">
        <f>SUM($F$95:M96)</f>
        <v>0</v>
      </c>
      <c r="N190" s="24">
        <f>SUM($F$95:N96)</f>
        <v>0</v>
      </c>
      <c r="O190" s="24">
        <f>SUM($F$95:O96)</f>
        <v>0</v>
      </c>
      <c r="P190" s="24">
        <f>SUM($F$95:P96)</f>
        <v>0</v>
      </c>
      <c r="Q190" s="24">
        <f>SUM($F$95:Q96)</f>
        <v>0</v>
      </c>
      <c r="R190" s="24">
        <f>SUM($F$95:R96)</f>
        <v>0</v>
      </c>
      <c r="S190" s="24">
        <f>SUM($F$95:S96)</f>
        <v>0</v>
      </c>
      <c r="T190" s="24">
        <f>SUM($F$95:T96)</f>
        <v>0</v>
      </c>
      <c r="U190" s="24">
        <f>SUM($F$95:U96)</f>
        <v>0</v>
      </c>
      <c r="V190" s="24">
        <f>SUM($F$95:V96)</f>
        <v>0</v>
      </c>
      <c r="W190" s="24">
        <f>SUM($F$95:W96)</f>
        <v>0</v>
      </c>
      <c r="X190" s="24">
        <f>SUM($F$95:X96)</f>
        <v>5354.1675389531174</v>
      </c>
      <c r="Y190" s="24">
        <f>SUM($F$95:Y96)</f>
        <v>7366.1927849809135</v>
      </c>
      <c r="Z190" s="24">
        <f>SUM($F$95:Z96)</f>
        <v>9387.2859235267206</v>
      </c>
      <c r="AA190" s="24">
        <f>SUM($F$95:AA96)</f>
        <v>11020.043704364318</v>
      </c>
      <c r="AB190" s="24">
        <f>SUM($F$95:AB96)</f>
        <v>12663.591990291159</v>
      </c>
      <c r="AC190" s="24">
        <f>SUM($F$95:AC96)</f>
        <v>14297.085485214695</v>
      </c>
      <c r="AD190" s="24">
        <f>SUM($F$95:AD96)</f>
        <v>15952.423257062237</v>
      </c>
      <c r="AE190" s="24">
        <f>SUM($F$95:AE96)</f>
        <v>17611.344066853693</v>
      </c>
      <c r="AF190" s="24">
        <f>SUM($F$95:AF96)</f>
        <v>19343.231354464209</v>
      </c>
      <c r="AG190" s="24">
        <f>SUM($F$95:AG96)</f>
        <v>21072.766947016356</v>
      </c>
      <c r="AH190" s="24">
        <f>SUM($F$95:AH96)</f>
        <v>22815.111206752452</v>
      </c>
      <c r="AI190" s="24">
        <f>SUM($F$95:AI96)</f>
        <v>24521.834228312713</v>
      </c>
      <c r="AJ190" s="24">
        <f>SUM($F$95:AJ96)</f>
        <v>773.72544198397009</v>
      </c>
      <c r="AK190" s="24">
        <f>SUM($F$95:AK96)</f>
        <v>0</v>
      </c>
      <c r="AL190" s="24">
        <f>SUM($F$95:AL96)</f>
        <v>0</v>
      </c>
      <c r="AM190" s="24">
        <f>SUM($F$95:AM96)</f>
        <v>0</v>
      </c>
      <c r="AN190" s="24">
        <f>SUM($F$95:AN96)</f>
        <v>0</v>
      </c>
      <c r="AO190" s="24">
        <f>SUM($F$95:AO96)</f>
        <v>0</v>
      </c>
      <c r="AP190" s="24">
        <f>SUM($F$95:AP96)</f>
        <v>0</v>
      </c>
      <c r="AQ190" s="24">
        <f>SUM($F$95:AQ96)</f>
        <v>0</v>
      </c>
      <c r="AR190" s="24">
        <f>SUM($F$95:AR96)</f>
        <v>0</v>
      </c>
      <c r="AS190" s="24">
        <f>SUM($F$95:AS96)</f>
        <v>0</v>
      </c>
      <c r="AT190" s="24">
        <f>SUM($F$95:AT96)</f>
        <v>0</v>
      </c>
      <c r="AU190" s="24">
        <f>SUM($F$95:AU96)</f>
        <v>0</v>
      </c>
      <c r="AV190" s="24">
        <f>SUM($F$95:AV96)</f>
        <v>0</v>
      </c>
      <c r="AW190" s="24">
        <f>SUM($F$95:AW96)</f>
        <v>0</v>
      </c>
      <c r="AX190" s="24">
        <f>SUM($F$95:AX96)</f>
        <v>0</v>
      </c>
      <c r="AY190" s="24">
        <f>SUM($F$95:AY96)</f>
        <v>0</v>
      </c>
      <c r="AZ190" s="24">
        <f>SUM($F$95:AZ96)</f>
        <v>0</v>
      </c>
      <c r="BA190" s="24">
        <f>SUM($F$95:BA96)</f>
        <v>0</v>
      </c>
      <c r="BB190" s="24">
        <f>SUM($F$95:BB96)</f>
        <v>0</v>
      </c>
      <c r="BC190" s="24">
        <f>SUM($F$95:BC96)</f>
        <v>0</v>
      </c>
      <c r="BD190" s="24">
        <f>SUM($F$95:BD96)</f>
        <v>0</v>
      </c>
      <c r="BE190" s="24">
        <f>SUM($F$95:BE96)</f>
        <v>0</v>
      </c>
      <c r="BF190" s="24">
        <f>SUM($F$95:BF96)</f>
        <v>0</v>
      </c>
      <c r="BG190" s="24">
        <f>SUM($F$95:BG96)</f>
        <v>0</v>
      </c>
      <c r="BH190" s="24">
        <f>SUM($F$95:BH96)</f>
        <v>0</v>
      </c>
      <c r="BI190" s="24">
        <f>SUM($F$95:BI96)</f>
        <v>0</v>
      </c>
      <c r="BJ190" s="24">
        <f>SUM($F$95:BJ96)</f>
        <v>0</v>
      </c>
      <c r="BK190" s="24">
        <f>SUM($F$95:BK96)</f>
        <v>0</v>
      </c>
      <c r="BL190" s="24">
        <f>SUM($F$95:BL96)</f>
        <v>0</v>
      </c>
      <c r="BM190" s="24">
        <f>SUM($F$95:BM96)</f>
        <v>0</v>
      </c>
    </row>
    <row r="191" spans="1:68" s="163" customFormat="1" ht="12.75" hidden="1" customHeight="1">
      <c r="B191" s="169" t="s">
        <v>64</v>
      </c>
      <c r="C191" s="170"/>
      <c r="D191" s="171"/>
      <c r="E191" s="26"/>
      <c r="F191" s="385"/>
      <c r="G191" s="386">
        <f t="shared" ref="G191:BM191" si="129">IFERROR(G189/G190,0)</f>
        <v>0</v>
      </c>
      <c r="H191" s="386">
        <f t="shared" si="129"/>
        <v>0</v>
      </c>
      <c r="I191" s="386">
        <f t="shared" si="129"/>
        <v>0</v>
      </c>
      <c r="J191" s="386">
        <f t="shared" si="129"/>
        <v>0</v>
      </c>
      <c r="K191" s="386">
        <f t="shared" si="129"/>
        <v>0</v>
      </c>
      <c r="L191" s="386">
        <f t="shared" si="129"/>
        <v>0</v>
      </c>
      <c r="M191" s="386">
        <f t="shared" si="129"/>
        <v>0</v>
      </c>
      <c r="N191" s="312">
        <f t="shared" si="129"/>
        <v>0</v>
      </c>
      <c r="O191" s="312">
        <f t="shared" si="129"/>
        <v>0</v>
      </c>
      <c r="P191" s="312">
        <f t="shared" si="129"/>
        <v>0</v>
      </c>
      <c r="Q191" s="312">
        <f t="shared" si="129"/>
        <v>0</v>
      </c>
      <c r="R191" s="312">
        <f t="shared" si="129"/>
        <v>0</v>
      </c>
      <c r="S191" s="312">
        <f t="shared" si="129"/>
        <v>0</v>
      </c>
      <c r="T191" s="312">
        <f t="shared" si="129"/>
        <v>0</v>
      </c>
      <c r="U191" s="312">
        <f t="shared" si="129"/>
        <v>0</v>
      </c>
      <c r="V191" s="312">
        <f t="shared" si="129"/>
        <v>0</v>
      </c>
      <c r="W191" s="312">
        <f t="shared" si="129"/>
        <v>0</v>
      </c>
      <c r="X191" s="312">
        <f t="shared" si="129"/>
        <v>0.23605808676313306</v>
      </c>
      <c r="Y191" s="312">
        <f t="shared" si="129"/>
        <v>0.37247074218761117</v>
      </c>
      <c r="Z191" s="312">
        <f t="shared" si="129"/>
        <v>0.45740322692497842</v>
      </c>
      <c r="AA191" s="312">
        <f t="shared" si="129"/>
        <v>0.53720406918971986</v>
      </c>
      <c r="AB191" s="312">
        <f t="shared" si="129"/>
        <v>0.60251048619019665</v>
      </c>
      <c r="AC191" s="312">
        <f t="shared" si="129"/>
        <v>0.66705109021854059</v>
      </c>
      <c r="AD191" s="312">
        <f t="shared" si="129"/>
        <v>0.72272006542126488</v>
      </c>
      <c r="AE191" s="312">
        <f t="shared" si="129"/>
        <v>0.77340931854495976</v>
      </c>
      <c r="AF191" s="312">
        <f t="shared" si="129"/>
        <v>0.81864699922470086</v>
      </c>
      <c r="AG191" s="312">
        <f t="shared" si="129"/>
        <v>0.8710174276738587</v>
      </c>
      <c r="AH191" s="312">
        <f t="shared" si="129"/>
        <v>0.9166940098042895</v>
      </c>
      <c r="AI191" s="312">
        <f t="shared" si="129"/>
        <v>0.94042846537443536</v>
      </c>
      <c r="AJ191" s="312">
        <f t="shared" si="129"/>
        <v>0</v>
      </c>
      <c r="AK191" s="312">
        <f t="shared" si="129"/>
        <v>0</v>
      </c>
      <c r="AL191" s="312">
        <f t="shared" si="129"/>
        <v>0</v>
      </c>
      <c r="AM191" s="312">
        <f t="shared" si="129"/>
        <v>0</v>
      </c>
      <c r="AN191" s="312">
        <f t="shared" si="129"/>
        <v>0</v>
      </c>
      <c r="AO191" s="312">
        <f t="shared" si="129"/>
        <v>0</v>
      </c>
      <c r="AP191" s="312">
        <f t="shared" si="129"/>
        <v>0</v>
      </c>
      <c r="AQ191" s="312">
        <f t="shared" si="129"/>
        <v>0</v>
      </c>
      <c r="AR191" s="312">
        <f t="shared" si="129"/>
        <v>0</v>
      </c>
      <c r="AS191" s="312">
        <f t="shared" si="129"/>
        <v>0</v>
      </c>
      <c r="AT191" s="312">
        <f t="shared" si="129"/>
        <v>0</v>
      </c>
      <c r="AU191" s="312">
        <f t="shared" si="129"/>
        <v>0</v>
      </c>
      <c r="AV191" s="312">
        <f t="shared" si="129"/>
        <v>0</v>
      </c>
      <c r="AW191" s="312">
        <f t="shared" si="129"/>
        <v>0</v>
      </c>
      <c r="AX191" s="312">
        <f t="shared" si="129"/>
        <v>0</v>
      </c>
      <c r="AY191" s="312">
        <f t="shared" si="129"/>
        <v>0</v>
      </c>
      <c r="AZ191" s="312">
        <f t="shared" si="129"/>
        <v>0</v>
      </c>
      <c r="BA191" s="312">
        <f t="shared" si="129"/>
        <v>0</v>
      </c>
      <c r="BB191" s="312">
        <f t="shared" si="129"/>
        <v>0</v>
      </c>
      <c r="BC191" s="312">
        <f t="shared" si="129"/>
        <v>0</v>
      </c>
      <c r="BD191" s="312">
        <f t="shared" si="129"/>
        <v>0</v>
      </c>
      <c r="BE191" s="312">
        <f t="shared" si="129"/>
        <v>0</v>
      </c>
      <c r="BF191" s="312">
        <f t="shared" si="129"/>
        <v>0</v>
      </c>
      <c r="BG191" s="312">
        <f t="shared" si="129"/>
        <v>0</v>
      </c>
      <c r="BH191" s="312">
        <f t="shared" si="129"/>
        <v>0</v>
      </c>
      <c r="BI191" s="312">
        <f t="shared" si="129"/>
        <v>0</v>
      </c>
      <c r="BJ191" s="312">
        <f t="shared" si="129"/>
        <v>0</v>
      </c>
      <c r="BK191" s="312">
        <f t="shared" si="129"/>
        <v>0</v>
      </c>
      <c r="BL191" s="312">
        <f t="shared" si="129"/>
        <v>0</v>
      </c>
      <c r="BM191" s="312">
        <f t="shared" si="129"/>
        <v>0</v>
      </c>
    </row>
    <row r="192" spans="1:68" s="164" customFormat="1" ht="12.75" hidden="1" customHeight="1">
      <c r="B192" s="166" t="s">
        <v>65</v>
      </c>
      <c r="C192" s="167"/>
      <c r="D192" s="131" t="s">
        <v>19</v>
      </c>
      <c r="E192" s="168"/>
      <c r="F192" s="384"/>
      <c r="G192" s="384">
        <f t="shared" ref="G192:BM192" si="130">IF((G190-G193)&gt;0,(G190-G193),0)</f>
        <v>0</v>
      </c>
      <c r="H192" s="384">
        <f t="shared" si="130"/>
        <v>0</v>
      </c>
      <c r="I192" s="384">
        <f t="shared" si="130"/>
        <v>0</v>
      </c>
      <c r="J192" s="384">
        <f t="shared" si="130"/>
        <v>0</v>
      </c>
      <c r="K192" s="384">
        <f t="shared" si="130"/>
        <v>0</v>
      </c>
      <c r="L192" s="384">
        <f t="shared" si="130"/>
        <v>0</v>
      </c>
      <c r="M192" s="384">
        <f t="shared" si="130"/>
        <v>0</v>
      </c>
      <c r="N192" s="24">
        <f t="shared" si="130"/>
        <v>0</v>
      </c>
      <c r="O192" s="24">
        <f t="shared" si="130"/>
        <v>0</v>
      </c>
      <c r="P192" s="24">
        <f t="shared" si="130"/>
        <v>0</v>
      </c>
      <c r="Q192" s="24">
        <f t="shared" si="130"/>
        <v>0</v>
      </c>
      <c r="R192" s="24">
        <f t="shared" si="130"/>
        <v>0</v>
      </c>
      <c r="S192" s="24">
        <f t="shared" si="130"/>
        <v>0</v>
      </c>
      <c r="T192" s="24">
        <f t="shared" si="130"/>
        <v>0</v>
      </c>
      <c r="U192" s="24">
        <f t="shared" si="130"/>
        <v>0</v>
      </c>
      <c r="V192" s="24">
        <f t="shared" si="130"/>
        <v>0</v>
      </c>
      <c r="W192" s="24">
        <f t="shared" si="130"/>
        <v>0</v>
      </c>
      <c r="X192" s="24">
        <f t="shared" si="130"/>
        <v>1263.8945454545456</v>
      </c>
      <c r="Y192" s="24">
        <f t="shared" si="130"/>
        <v>2743.6912937188672</v>
      </c>
      <c r="Z192" s="24">
        <f t="shared" si="130"/>
        <v>4293.7748734885481</v>
      </c>
      <c r="AA192" s="24">
        <f t="shared" si="130"/>
        <v>5920.0123206330654</v>
      </c>
      <c r="AB192" s="24">
        <f t="shared" si="130"/>
        <v>7629.9469669846067</v>
      </c>
      <c r="AC192" s="24">
        <f t="shared" si="130"/>
        <v>9536.886459860134</v>
      </c>
      <c r="AD192" s="24">
        <f t="shared" si="130"/>
        <v>11529.136379971727</v>
      </c>
      <c r="AE192" s="24">
        <f t="shared" si="130"/>
        <v>13620.777613406135</v>
      </c>
      <c r="AF192" s="24">
        <f t="shared" si="130"/>
        <v>15835.278303641271</v>
      </c>
      <c r="AG192" s="24">
        <f t="shared" si="130"/>
        <v>18354.747260160901</v>
      </c>
      <c r="AH192" s="24">
        <f t="shared" si="130"/>
        <v>20914.475776248688</v>
      </c>
      <c r="AI192" s="24">
        <f t="shared" si="130"/>
        <v>23061.030931498426</v>
      </c>
      <c r="AJ192" s="24">
        <f t="shared" si="130"/>
        <v>0</v>
      </c>
      <c r="AK192" s="24">
        <f t="shared" si="130"/>
        <v>0</v>
      </c>
      <c r="AL192" s="24">
        <f t="shared" si="130"/>
        <v>0</v>
      </c>
      <c r="AM192" s="24">
        <f t="shared" si="130"/>
        <v>0</v>
      </c>
      <c r="AN192" s="24">
        <f t="shared" si="130"/>
        <v>0</v>
      </c>
      <c r="AO192" s="24">
        <f t="shared" si="130"/>
        <v>0</v>
      </c>
      <c r="AP192" s="24">
        <f t="shared" si="130"/>
        <v>0</v>
      </c>
      <c r="AQ192" s="24">
        <f t="shared" si="130"/>
        <v>0</v>
      </c>
      <c r="AR192" s="24">
        <f t="shared" si="130"/>
        <v>0</v>
      </c>
      <c r="AS192" s="24">
        <f t="shared" si="130"/>
        <v>0</v>
      </c>
      <c r="AT192" s="24">
        <f t="shared" si="130"/>
        <v>0</v>
      </c>
      <c r="AU192" s="24">
        <f t="shared" si="130"/>
        <v>0</v>
      </c>
      <c r="AV192" s="24">
        <f t="shared" si="130"/>
        <v>0</v>
      </c>
      <c r="AW192" s="24">
        <f t="shared" si="130"/>
        <v>0</v>
      </c>
      <c r="AX192" s="24">
        <f t="shared" si="130"/>
        <v>0</v>
      </c>
      <c r="AY192" s="24">
        <f t="shared" si="130"/>
        <v>0</v>
      </c>
      <c r="AZ192" s="24">
        <f t="shared" si="130"/>
        <v>0</v>
      </c>
      <c r="BA192" s="24">
        <f t="shared" si="130"/>
        <v>0</v>
      </c>
      <c r="BB192" s="24">
        <f t="shared" si="130"/>
        <v>0</v>
      </c>
      <c r="BC192" s="24">
        <f t="shared" si="130"/>
        <v>0</v>
      </c>
      <c r="BD192" s="24">
        <f t="shared" si="130"/>
        <v>0</v>
      </c>
      <c r="BE192" s="24">
        <f t="shared" si="130"/>
        <v>0</v>
      </c>
      <c r="BF192" s="24">
        <f t="shared" si="130"/>
        <v>0</v>
      </c>
      <c r="BG192" s="24">
        <f t="shared" si="130"/>
        <v>0</v>
      </c>
      <c r="BH192" s="24">
        <f t="shared" si="130"/>
        <v>0</v>
      </c>
      <c r="BI192" s="24">
        <f t="shared" si="130"/>
        <v>0</v>
      </c>
      <c r="BJ192" s="24">
        <f t="shared" si="130"/>
        <v>0</v>
      </c>
      <c r="BK192" s="24">
        <f t="shared" si="130"/>
        <v>0</v>
      </c>
      <c r="BL192" s="24">
        <f t="shared" si="130"/>
        <v>0</v>
      </c>
      <c r="BM192" s="24">
        <f t="shared" si="130"/>
        <v>0</v>
      </c>
      <c r="BN192" s="163"/>
      <c r="BO192" s="163"/>
      <c r="BP192" s="163"/>
    </row>
    <row r="193" spans="2:68" s="164" customFormat="1" ht="12.75" hidden="1" customHeight="1">
      <c r="B193" s="166" t="s">
        <v>66</v>
      </c>
      <c r="C193" s="167"/>
      <c r="D193" s="131" t="s">
        <v>19</v>
      </c>
      <c r="E193" s="168"/>
      <c r="F193" s="384"/>
      <c r="G193" s="384">
        <f t="shared" ref="G193:BM193" si="131">IF(G190&gt;=G189,G190-G189,0)</f>
        <v>0</v>
      </c>
      <c r="H193" s="384">
        <f t="shared" si="131"/>
        <v>0</v>
      </c>
      <c r="I193" s="384">
        <f t="shared" si="131"/>
        <v>0</v>
      </c>
      <c r="J193" s="384">
        <f t="shared" si="131"/>
        <v>0</v>
      </c>
      <c r="K193" s="384">
        <f t="shared" si="131"/>
        <v>0</v>
      </c>
      <c r="L193" s="384">
        <f t="shared" si="131"/>
        <v>0</v>
      </c>
      <c r="M193" s="384">
        <f t="shared" si="131"/>
        <v>0</v>
      </c>
      <c r="N193" s="24">
        <f t="shared" si="131"/>
        <v>0</v>
      </c>
      <c r="O193" s="24">
        <f t="shared" si="131"/>
        <v>0</v>
      </c>
      <c r="P193" s="24">
        <f t="shared" si="131"/>
        <v>0</v>
      </c>
      <c r="Q193" s="24">
        <f t="shared" si="131"/>
        <v>0</v>
      </c>
      <c r="R193" s="24">
        <f t="shared" si="131"/>
        <v>0</v>
      </c>
      <c r="S193" s="24">
        <f t="shared" si="131"/>
        <v>0</v>
      </c>
      <c r="T193" s="24">
        <f t="shared" si="131"/>
        <v>0</v>
      </c>
      <c r="U193" s="24">
        <f t="shared" si="131"/>
        <v>0</v>
      </c>
      <c r="V193" s="24">
        <f t="shared" si="131"/>
        <v>0</v>
      </c>
      <c r="W193" s="24">
        <f t="shared" si="131"/>
        <v>0</v>
      </c>
      <c r="X193" s="24">
        <f t="shared" si="131"/>
        <v>4090.2729934985719</v>
      </c>
      <c r="Y193" s="24">
        <f t="shared" si="131"/>
        <v>4622.5014912620463</v>
      </c>
      <c r="Z193" s="24">
        <f t="shared" si="131"/>
        <v>5093.5110500381725</v>
      </c>
      <c r="AA193" s="24">
        <f t="shared" si="131"/>
        <v>5100.0313837312524</v>
      </c>
      <c r="AB193" s="24">
        <f t="shared" si="131"/>
        <v>5033.6450233065525</v>
      </c>
      <c r="AC193" s="24">
        <f t="shared" si="131"/>
        <v>4760.1990253545609</v>
      </c>
      <c r="AD193" s="24">
        <f t="shared" si="131"/>
        <v>4423.2868770905097</v>
      </c>
      <c r="AE193" s="24">
        <f t="shared" si="131"/>
        <v>3990.5664534475582</v>
      </c>
      <c r="AF193" s="24">
        <f t="shared" si="131"/>
        <v>3507.9530508229382</v>
      </c>
      <c r="AG193" s="24">
        <f t="shared" si="131"/>
        <v>2718.0196868554558</v>
      </c>
      <c r="AH193" s="24">
        <f t="shared" si="131"/>
        <v>1900.6354305037639</v>
      </c>
      <c r="AI193" s="24">
        <f t="shared" si="131"/>
        <v>1460.803296814287</v>
      </c>
      <c r="AJ193" s="24">
        <f t="shared" si="131"/>
        <v>773.72544198397009</v>
      </c>
      <c r="AK193" s="24">
        <f t="shared" si="131"/>
        <v>0</v>
      </c>
      <c r="AL193" s="24">
        <f t="shared" si="131"/>
        <v>0</v>
      </c>
      <c r="AM193" s="24">
        <f t="shared" si="131"/>
        <v>0</v>
      </c>
      <c r="AN193" s="24">
        <f t="shared" si="131"/>
        <v>0</v>
      </c>
      <c r="AO193" s="24">
        <f t="shared" si="131"/>
        <v>0</v>
      </c>
      <c r="AP193" s="24">
        <f t="shared" si="131"/>
        <v>0</v>
      </c>
      <c r="AQ193" s="24">
        <f t="shared" si="131"/>
        <v>0</v>
      </c>
      <c r="AR193" s="24">
        <f t="shared" si="131"/>
        <v>0</v>
      </c>
      <c r="AS193" s="24">
        <f t="shared" si="131"/>
        <v>0</v>
      </c>
      <c r="AT193" s="24">
        <f t="shared" si="131"/>
        <v>0</v>
      </c>
      <c r="AU193" s="24">
        <f t="shared" si="131"/>
        <v>0</v>
      </c>
      <c r="AV193" s="24">
        <f t="shared" si="131"/>
        <v>0</v>
      </c>
      <c r="AW193" s="24">
        <f t="shared" si="131"/>
        <v>0</v>
      </c>
      <c r="AX193" s="24">
        <f t="shared" si="131"/>
        <v>0</v>
      </c>
      <c r="AY193" s="24">
        <f t="shared" si="131"/>
        <v>0</v>
      </c>
      <c r="AZ193" s="24">
        <f t="shared" si="131"/>
        <v>0</v>
      </c>
      <c r="BA193" s="24">
        <f t="shared" si="131"/>
        <v>0</v>
      </c>
      <c r="BB193" s="24">
        <f t="shared" si="131"/>
        <v>0</v>
      </c>
      <c r="BC193" s="24">
        <f t="shared" si="131"/>
        <v>0</v>
      </c>
      <c r="BD193" s="24">
        <f t="shared" si="131"/>
        <v>0</v>
      </c>
      <c r="BE193" s="24">
        <f t="shared" si="131"/>
        <v>0</v>
      </c>
      <c r="BF193" s="24">
        <f t="shared" si="131"/>
        <v>0</v>
      </c>
      <c r="BG193" s="24">
        <f t="shared" si="131"/>
        <v>0</v>
      </c>
      <c r="BH193" s="24">
        <f t="shared" si="131"/>
        <v>0</v>
      </c>
      <c r="BI193" s="24">
        <f t="shared" si="131"/>
        <v>0</v>
      </c>
      <c r="BJ193" s="24">
        <f t="shared" si="131"/>
        <v>0</v>
      </c>
      <c r="BK193" s="24">
        <f t="shared" si="131"/>
        <v>0</v>
      </c>
      <c r="BL193" s="24">
        <f t="shared" si="131"/>
        <v>0</v>
      </c>
      <c r="BM193" s="24">
        <f t="shared" si="131"/>
        <v>0</v>
      </c>
      <c r="BN193" s="163"/>
      <c r="BO193" s="163"/>
      <c r="BP193" s="163"/>
    </row>
    <row r="194" spans="2:68" s="198" customFormat="1" ht="12.75" customHeight="1">
      <c r="B194" s="329" t="s">
        <v>318</v>
      </c>
      <c r="C194" s="330"/>
      <c r="D194" s="331"/>
      <c r="E194" s="332"/>
      <c r="F194" s="387">
        <f>CF!F213</f>
        <v>0.2</v>
      </c>
      <c r="G194" s="387">
        <f>CF!G213</f>
        <v>0.2</v>
      </c>
      <c r="H194" s="387">
        <f>CF!H213</f>
        <v>0.2</v>
      </c>
      <c r="I194" s="387">
        <f>CF!I213</f>
        <v>0.2</v>
      </c>
      <c r="J194" s="387">
        <f>CF!J213</f>
        <v>0.2</v>
      </c>
      <c r="K194" s="387">
        <f>CF!K213</f>
        <v>0.21</v>
      </c>
      <c r="L194" s="387">
        <f>CF!L213</f>
        <v>0.21</v>
      </c>
      <c r="M194" s="387">
        <f>CF!M213</f>
        <v>0.21</v>
      </c>
      <c r="N194" s="333">
        <f>CF!N213</f>
        <v>0.20749999999999999</v>
      </c>
      <c r="O194" s="333">
        <f>CF!O213</f>
        <v>0.19500000000000001</v>
      </c>
      <c r="P194" s="333">
        <f>CF!P213</f>
        <v>0.19</v>
      </c>
      <c r="Q194" s="334">
        <f>CF!Q213</f>
        <v>0.17</v>
      </c>
      <c r="R194" s="334">
        <f>CF!R213</f>
        <v>0.15</v>
      </c>
      <c r="S194" s="334">
        <f>CF!S213</f>
        <v>0.13</v>
      </c>
      <c r="T194" s="334">
        <f>CF!T213</f>
        <v>0.12</v>
      </c>
      <c r="U194" s="334">
        <f>CF!U213</f>
        <v>0.11</v>
      </c>
      <c r="V194" s="334">
        <f>CF!V213</f>
        <v>0.1</v>
      </c>
      <c r="W194" s="334">
        <f>CF!W213</f>
        <v>9.5000000000000001E-2</v>
      </c>
      <c r="X194" s="334">
        <f>CF!X213</f>
        <v>0.09</v>
      </c>
      <c r="Y194" s="334">
        <f>CF!Y213</f>
        <v>0.09</v>
      </c>
      <c r="Z194" s="334">
        <f>CF!Z213</f>
        <v>0.09</v>
      </c>
      <c r="AA194" s="334">
        <f>CF!AA213</f>
        <v>0.09</v>
      </c>
      <c r="AB194" s="334">
        <f>CF!AB213</f>
        <v>0.09</v>
      </c>
      <c r="AC194" s="334">
        <f>CF!AC213</f>
        <v>0.09</v>
      </c>
      <c r="AD194" s="334">
        <f>CF!AD213</f>
        <v>0.09</v>
      </c>
      <c r="AE194" s="334">
        <f>CF!AE213</f>
        <v>0.09</v>
      </c>
      <c r="AF194" s="334">
        <f>CF!AF213</f>
        <v>0.09</v>
      </c>
      <c r="AG194" s="334">
        <f>CF!AG213</f>
        <v>0.09</v>
      </c>
      <c r="AH194" s="334">
        <f>CF!AH213</f>
        <v>0.09</v>
      </c>
      <c r="AI194" s="334">
        <f>CF!AI213</f>
        <v>0.09</v>
      </c>
      <c r="AJ194" s="334">
        <f>CF!AJ213</f>
        <v>0.09</v>
      </c>
      <c r="AK194" s="334">
        <f>CF!AK213</f>
        <v>0.09</v>
      </c>
      <c r="AL194" s="334">
        <f>CF!AL213</f>
        <v>0.09</v>
      </c>
      <c r="AM194" s="334">
        <f>CF!AM213</f>
        <v>0.09</v>
      </c>
      <c r="AN194" s="334">
        <f>CF!AN213</f>
        <v>0.09</v>
      </c>
      <c r="AO194" s="334">
        <f>CF!AO213</f>
        <v>0.09</v>
      </c>
      <c r="AP194" s="334">
        <f>CF!AP213</f>
        <v>0.09</v>
      </c>
      <c r="AQ194" s="334">
        <f>CF!AQ213</f>
        <v>0.09</v>
      </c>
      <c r="AR194" s="334">
        <f>CF!AR213</f>
        <v>0.09</v>
      </c>
      <c r="AS194" s="334">
        <f>CF!AS213</f>
        <v>0.09</v>
      </c>
      <c r="AT194" s="334">
        <f>CF!AT213</f>
        <v>0.09</v>
      </c>
      <c r="AU194" s="334">
        <f>CF!AU213</f>
        <v>0.09</v>
      </c>
      <c r="AV194" s="334">
        <f>CF!AV213</f>
        <v>0.09</v>
      </c>
      <c r="AW194" s="334">
        <f>CF!AW213</f>
        <v>0.09</v>
      </c>
      <c r="AX194" s="334">
        <f>CF!AX213</f>
        <v>0.09</v>
      </c>
      <c r="AY194" s="334">
        <f>CF!AY213</f>
        <v>0.09</v>
      </c>
      <c r="AZ194" s="334">
        <f>CF!AZ213</f>
        <v>0.09</v>
      </c>
      <c r="BA194" s="334">
        <f>CF!BA213</f>
        <v>0.09</v>
      </c>
      <c r="BB194" s="334">
        <f>CF!BB213</f>
        <v>0.09</v>
      </c>
      <c r="BC194" s="334">
        <f>CF!BC213</f>
        <v>0.09</v>
      </c>
      <c r="BD194" s="334">
        <f>CF!BD213</f>
        <v>0.09</v>
      </c>
      <c r="BE194" s="334">
        <f>CF!BE213</f>
        <v>0.09</v>
      </c>
      <c r="BF194" s="334">
        <f>CF!BF213</f>
        <v>0.09</v>
      </c>
      <c r="BG194" s="334">
        <f>CF!BG213</f>
        <v>0.09</v>
      </c>
      <c r="BH194" s="334">
        <f>CF!BH213</f>
        <v>0.09</v>
      </c>
      <c r="BI194" s="334">
        <f>CF!BI213</f>
        <v>0.09</v>
      </c>
      <c r="BJ194" s="334">
        <f>CF!BJ213</f>
        <v>0.09</v>
      </c>
      <c r="BK194" s="334">
        <f>CF!BK213</f>
        <v>0.09</v>
      </c>
      <c r="BL194" s="334">
        <f>CF!BL213</f>
        <v>0.09</v>
      </c>
      <c r="BM194" s="334">
        <f>CF!BM213</f>
        <v>0.09</v>
      </c>
      <c r="BN194" s="163"/>
      <c r="BO194" s="163"/>
      <c r="BP194" s="163"/>
    </row>
    <row r="195" spans="2:68" s="307" customFormat="1" ht="12.75" customHeight="1">
      <c r="B195" s="28" t="s">
        <v>319</v>
      </c>
      <c r="C195" s="308"/>
      <c r="D195" s="310"/>
      <c r="E195" s="309"/>
      <c r="F195" s="388">
        <f>F194+'DB2'!$N$23</f>
        <v>0.25</v>
      </c>
      <c r="G195" s="388">
        <f>G194+'DB2'!$N$23</f>
        <v>0.25</v>
      </c>
      <c r="H195" s="388">
        <f>H194+'DB2'!$N$23</f>
        <v>0.25</v>
      </c>
      <c r="I195" s="388">
        <f>I194+'DB2'!$N$23</f>
        <v>0.25</v>
      </c>
      <c r="J195" s="388">
        <f>J194+'DB2'!$N$23</f>
        <v>0.25</v>
      </c>
      <c r="K195" s="388">
        <f>K194+'DB2'!$N$23</f>
        <v>0.26</v>
      </c>
      <c r="L195" s="388">
        <f>L194+'DB2'!$N$23</f>
        <v>0.26</v>
      </c>
      <c r="M195" s="388">
        <f>M194+'DB2'!$N$23</f>
        <v>0.26</v>
      </c>
      <c r="N195" s="311">
        <f>N194+'DB2'!$N$23</f>
        <v>0.25750000000000001</v>
      </c>
      <c r="O195" s="311">
        <f>O194+'DB2'!$N$23</f>
        <v>0.245</v>
      </c>
      <c r="P195" s="1164">
        <f t="shared" ref="P195:S195" si="132">P198</f>
        <v>0.22800000000000001</v>
      </c>
      <c r="Q195" s="1164">
        <f t="shared" si="132"/>
        <v>0.20800000000000002</v>
      </c>
      <c r="R195" s="1164">
        <f t="shared" si="132"/>
        <v>0.188</v>
      </c>
      <c r="S195" s="1164">
        <f t="shared" si="132"/>
        <v>0.16800000000000001</v>
      </c>
      <c r="T195" s="1164">
        <f>T198</f>
        <v>0.14491018059038688</v>
      </c>
      <c r="U195" s="1164">
        <f t="shared" ref="U195:X195" si="133">U198</f>
        <v>0.12670550019614066</v>
      </c>
      <c r="V195" s="1164">
        <f t="shared" si="133"/>
        <v>0.11296656514843154</v>
      </c>
      <c r="W195" s="1164">
        <f t="shared" si="133"/>
        <v>0.10421621006847931</v>
      </c>
      <c r="X195" s="1164">
        <f t="shared" si="133"/>
        <v>9.3643338621553746E-2</v>
      </c>
      <c r="Y195" s="311">
        <f>Y194+'DB2'!$N$23</f>
        <v>0.14000000000000001</v>
      </c>
      <c r="Z195" s="311">
        <f>Z194+'DB2'!$N$23</f>
        <v>0.14000000000000001</v>
      </c>
      <c r="AA195" s="311">
        <f>AA194+'DB2'!$N$23</f>
        <v>0.14000000000000001</v>
      </c>
      <c r="AB195" s="311">
        <f>AB194+'DB2'!$N$23</f>
        <v>0.14000000000000001</v>
      </c>
      <c r="AC195" s="311">
        <f>AC194+'DB2'!$N$23</f>
        <v>0.14000000000000001</v>
      </c>
      <c r="AD195" s="311">
        <f>AD194+'DB2'!$N$23</f>
        <v>0.14000000000000001</v>
      </c>
      <c r="AE195" s="311">
        <f>AE194+'DB2'!$N$23</f>
        <v>0.14000000000000001</v>
      </c>
      <c r="AF195" s="311">
        <f>AF194+'DB2'!$N$23</f>
        <v>0.14000000000000001</v>
      </c>
      <c r="AG195" s="311">
        <f>AG194+'DB2'!$N$23</f>
        <v>0.14000000000000001</v>
      </c>
      <c r="AH195" s="311">
        <f>AH194+'DB2'!$N$23</f>
        <v>0.14000000000000001</v>
      </c>
      <c r="AI195" s="311">
        <f>AI194+'DB2'!$N$23</f>
        <v>0.14000000000000001</v>
      </c>
      <c r="AJ195" s="311">
        <f>AJ194+'DB2'!$N$23</f>
        <v>0.14000000000000001</v>
      </c>
      <c r="AK195" s="311">
        <f>AK194+'DB2'!$N$23</f>
        <v>0.14000000000000001</v>
      </c>
      <c r="AL195" s="311">
        <f>AL194+'DB2'!$N$23</f>
        <v>0.14000000000000001</v>
      </c>
      <c r="AM195" s="311">
        <f>AM194+'DB2'!$N$23</f>
        <v>0.14000000000000001</v>
      </c>
      <c r="AN195" s="311">
        <f>AN194+'DB2'!$N$23</f>
        <v>0.14000000000000001</v>
      </c>
      <c r="AO195" s="311">
        <f>AO194+'DB2'!$N$23</f>
        <v>0.14000000000000001</v>
      </c>
      <c r="AP195" s="311">
        <f>AP194+'DB2'!$N$23</f>
        <v>0.14000000000000001</v>
      </c>
      <c r="AQ195" s="311">
        <f>AQ194+'DB2'!$N$23</f>
        <v>0.14000000000000001</v>
      </c>
      <c r="AR195" s="311">
        <f>AR194+'DB2'!$N$23</f>
        <v>0.14000000000000001</v>
      </c>
      <c r="AS195" s="311">
        <f>AS194+'DB2'!$N$23</f>
        <v>0.14000000000000001</v>
      </c>
      <c r="AT195" s="311">
        <f>AT194+'DB2'!$N$23</f>
        <v>0.14000000000000001</v>
      </c>
      <c r="AU195" s="311">
        <f>AU194+'DB2'!$N$23</f>
        <v>0.14000000000000001</v>
      </c>
      <c r="AV195" s="311">
        <f>AV194+'DB2'!$N$23</f>
        <v>0.14000000000000001</v>
      </c>
      <c r="AW195" s="311">
        <f>AW194+'DB2'!$N$23</f>
        <v>0.14000000000000001</v>
      </c>
      <c r="AX195" s="311">
        <f>AX194+'DB2'!$N$23</f>
        <v>0.14000000000000001</v>
      </c>
      <c r="AY195" s="311">
        <f>AY194+'DB2'!$N$23</f>
        <v>0.14000000000000001</v>
      </c>
      <c r="AZ195" s="311">
        <f>AZ194+'DB2'!$N$23</f>
        <v>0.14000000000000001</v>
      </c>
      <c r="BA195" s="311">
        <f>BA194+'DB2'!$N$23</f>
        <v>0.14000000000000001</v>
      </c>
      <c r="BB195" s="311">
        <f>BB194+'DB2'!$N$23</f>
        <v>0.14000000000000001</v>
      </c>
      <c r="BC195" s="311">
        <f>BC194+'DB2'!$N$23</f>
        <v>0.14000000000000001</v>
      </c>
      <c r="BD195" s="311">
        <f>BD194+'DB2'!$N$23</f>
        <v>0.14000000000000001</v>
      </c>
      <c r="BE195" s="311">
        <f>BE194+'DB2'!$N$23</f>
        <v>0.14000000000000001</v>
      </c>
      <c r="BF195" s="311">
        <f>BF194+'DB2'!$N$23</f>
        <v>0.14000000000000001</v>
      </c>
      <c r="BG195" s="311">
        <f>BG194+'DB2'!$N$23</f>
        <v>0.14000000000000001</v>
      </c>
      <c r="BH195" s="311">
        <f>BH194+'DB2'!$N$23</f>
        <v>0.14000000000000001</v>
      </c>
      <c r="BI195" s="311">
        <f>BI194+'DB2'!$N$23</f>
        <v>0.14000000000000001</v>
      </c>
      <c r="BJ195" s="311">
        <f>BJ194+'DB2'!$N$23</f>
        <v>0.14000000000000001</v>
      </c>
      <c r="BK195" s="311">
        <f>BK194+'DB2'!$N$23</f>
        <v>0.14000000000000001</v>
      </c>
      <c r="BL195" s="311">
        <f>BL194+'DB2'!$N$23</f>
        <v>0.14000000000000001</v>
      </c>
      <c r="BM195" s="311">
        <f>BM194+'DB2'!$N$23</f>
        <v>0.14000000000000001</v>
      </c>
      <c r="BN195" s="163"/>
      <c r="BO195" s="163"/>
      <c r="BP195" s="163"/>
    </row>
    <row r="196" spans="2:68" s="307" customFormat="1" ht="12.75" hidden="1" customHeight="1" outlineLevel="1">
      <c r="B196" s="28" t="s">
        <v>320</v>
      </c>
      <c r="C196" s="308"/>
      <c r="D196" s="310"/>
      <c r="E196" s="309"/>
      <c r="F196" s="388">
        <f>F194+'DB2'!$N$24</f>
        <v>0.23800000000000002</v>
      </c>
      <c r="G196" s="388">
        <f>G194+'DB2'!$N$24</f>
        <v>0.23800000000000002</v>
      </c>
      <c r="H196" s="388">
        <f>H194+'DB2'!$N$24</f>
        <v>0.23800000000000002</v>
      </c>
      <c r="I196" s="388">
        <f>I194+'DB2'!$N$24</f>
        <v>0.23800000000000002</v>
      </c>
      <c r="J196" s="388">
        <f>J194+'DB2'!$N$24</f>
        <v>0.23800000000000002</v>
      </c>
      <c r="K196" s="388">
        <f>K194+'DB2'!$N$24</f>
        <v>0.248</v>
      </c>
      <c r="L196" s="388">
        <f>L194+'DB2'!$N$24</f>
        <v>0.248</v>
      </c>
      <c r="M196" s="388">
        <f>M194+'DB2'!$N$24</f>
        <v>0.248</v>
      </c>
      <c r="N196" s="311">
        <f>N194+'DB2'!$N$24</f>
        <v>0.2455</v>
      </c>
      <c r="O196" s="311">
        <f>O194+'DB2'!$N$24</f>
        <v>0.23300000000000001</v>
      </c>
      <c r="P196" s="311">
        <f>P194+'DB2'!$N$24</f>
        <v>0.22800000000000001</v>
      </c>
      <c r="Q196" s="311">
        <f>Q194+'DB2'!$N$24</f>
        <v>0.20800000000000002</v>
      </c>
      <c r="R196" s="311">
        <f>R194+'DB2'!$N$24</f>
        <v>0.188</v>
      </c>
      <c r="S196" s="311">
        <f>S194+'DB2'!$N$24</f>
        <v>0.16800000000000001</v>
      </c>
      <c r="T196" s="311">
        <f>T194+'DB2'!$N$24</f>
        <v>0.158</v>
      </c>
      <c r="U196" s="311">
        <f>U194+'DB2'!$N$24</f>
        <v>0.14799999999999999</v>
      </c>
      <c r="V196" s="311">
        <f>V194+'DB2'!$N$24</f>
        <v>0.13800000000000001</v>
      </c>
      <c r="W196" s="311">
        <f>W194+'DB2'!$N$24</f>
        <v>0.13300000000000001</v>
      </c>
      <c r="X196" s="311">
        <f>X194+'DB2'!$N$24</f>
        <v>0.128</v>
      </c>
      <c r="Y196" s="311">
        <f>Y194+'DB2'!$N$24</f>
        <v>0.128</v>
      </c>
      <c r="Z196" s="311">
        <f>Z194+'DB2'!$N$24</f>
        <v>0.128</v>
      </c>
      <c r="AA196" s="311">
        <f>AA194+'DB2'!$N$24</f>
        <v>0.128</v>
      </c>
      <c r="AB196" s="311">
        <f>AB194+'DB2'!$N$24</f>
        <v>0.128</v>
      </c>
      <c r="AC196" s="311">
        <f>AC194+'DB2'!$N$24</f>
        <v>0.128</v>
      </c>
      <c r="AD196" s="311">
        <f>AD194+'DB2'!$N$24</f>
        <v>0.128</v>
      </c>
      <c r="AE196" s="311">
        <f>AE194+'DB2'!$N$24</f>
        <v>0.128</v>
      </c>
      <c r="AF196" s="311">
        <f>AF194+'DB2'!$N$24</f>
        <v>0.128</v>
      </c>
      <c r="AG196" s="311">
        <f>AG194+'DB2'!$N$24</f>
        <v>0.128</v>
      </c>
      <c r="AH196" s="311">
        <f>AH194+'DB2'!$N$24</f>
        <v>0.128</v>
      </c>
      <c r="AI196" s="311">
        <f>AI194+'DB2'!$N$24</f>
        <v>0.128</v>
      </c>
      <c r="AJ196" s="311">
        <f>AJ194+'DB2'!$N$24</f>
        <v>0.128</v>
      </c>
      <c r="AK196" s="311">
        <f>AK194+'DB2'!$N$24</f>
        <v>0.128</v>
      </c>
      <c r="AL196" s="311">
        <f>AL194+'DB2'!$N$24</f>
        <v>0.128</v>
      </c>
      <c r="AM196" s="311">
        <f>AM194+'DB2'!$N$24</f>
        <v>0.128</v>
      </c>
      <c r="AN196" s="311">
        <f>AN194+'DB2'!$N$24</f>
        <v>0.128</v>
      </c>
      <c r="AO196" s="311">
        <f>AO194+'DB2'!$N$24</f>
        <v>0.128</v>
      </c>
      <c r="AP196" s="311">
        <f>AP194+'DB2'!$N$24</f>
        <v>0.128</v>
      </c>
      <c r="AQ196" s="311">
        <f>AQ194+'DB2'!$N$24</f>
        <v>0.128</v>
      </c>
      <c r="AR196" s="311">
        <f>AR194+'DB2'!$N$24</f>
        <v>0.128</v>
      </c>
      <c r="AS196" s="311">
        <f>AS194+'DB2'!$N$24</f>
        <v>0.128</v>
      </c>
      <c r="AT196" s="311">
        <f>AT194+'DB2'!$N$24</f>
        <v>0.128</v>
      </c>
      <c r="AU196" s="311">
        <f>AU194+'DB2'!$N$24</f>
        <v>0.128</v>
      </c>
      <c r="AV196" s="311">
        <f>AV194+'DB2'!$N$24</f>
        <v>0.128</v>
      </c>
      <c r="AW196" s="311">
        <f>AW194+'DB2'!$N$24</f>
        <v>0.128</v>
      </c>
      <c r="AX196" s="311">
        <f>AX194+'DB2'!$N$24</f>
        <v>0.128</v>
      </c>
      <c r="AY196" s="311">
        <f>AY194+'DB2'!$N$24</f>
        <v>0.128</v>
      </c>
      <c r="AZ196" s="311">
        <f>AZ194+'DB2'!$N$24</f>
        <v>0.128</v>
      </c>
      <c r="BA196" s="311">
        <f>BA194+'DB2'!$N$24</f>
        <v>0.128</v>
      </c>
      <c r="BB196" s="311">
        <f>BB194+'DB2'!$N$24</f>
        <v>0.128</v>
      </c>
      <c r="BC196" s="311">
        <f>BC194+'DB2'!$N$24</f>
        <v>0.128</v>
      </c>
      <c r="BD196" s="311">
        <f>BD194+'DB2'!$N$24</f>
        <v>0.128</v>
      </c>
      <c r="BE196" s="311">
        <f>BE194+'DB2'!$N$24</f>
        <v>0.128</v>
      </c>
      <c r="BF196" s="311">
        <f>BF194+'DB2'!$N$24</f>
        <v>0.128</v>
      </c>
      <c r="BG196" s="311">
        <f>BG194+'DB2'!$N$24</f>
        <v>0.128</v>
      </c>
      <c r="BH196" s="311">
        <f>BH194+'DB2'!$N$24</f>
        <v>0.128</v>
      </c>
      <c r="BI196" s="311">
        <f>BI194+'DB2'!$N$24</f>
        <v>0.128</v>
      </c>
      <c r="BJ196" s="311">
        <f>BJ194+'DB2'!$N$24</f>
        <v>0.128</v>
      </c>
      <c r="BK196" s="311">
        <f>BK194+'DB2'!$N$24</f>
        <v>0.128</v>
      </c>
      <c r="BL196" s="311">
        <f>BL194+'DB2'!$N$24</f>
        <v>0.128</v>
      </c>
      <c r="BM196" s="311">
        <f>BM194+'DB2'!$N$24</f>
        <v>0.128</v>
      </c>
      <c r="BN196" s="163"/>
      <c r="BO196" s="163"/>
      <c r="BP196" s="163"/>
    </row>
    <row r="197" spans="2:68" s="307" customFormat="1" ht="12.75" hidden="1" customHeight="1" outlineLevel="1">
      <c r="B197" s="28" t="s">
        <v>322</v>
      </c>
      <c r="C197" s="308"/>
      <c r="D197" s="310"/>
      <c r="E197" s="309"/>
      <c r="F197" s="388">
        <f>F194+'DB2'!$N$39</f>
        <v>0.21000000000000002</v>
      </c>
      <c r="G197" s="388">
        <f>G194+'DB2'!$N$39</f>
        <v>0.21000000000000002</v>
      </c>
      <c r="H197" s="388">
        <f>H194+'DB2'!$N$39</f>
        <v>0.21000000000000002</v>
      </c>
      <c r="I197" s="388">
        <f>I194+'DB2'!$N$39</f>
        <v>0.21000000000000002</v>
      </c>
      <c r="J197" s="388">
        <f>J194+'DB2'!$N$39</f>
        <v>0.21000000000000002</v>
      </c>
      <c r="K197" s="388">
        <f>K194+'DB2'!$N$39</f>
        <v>0.22</v>
      </c>
      <c r="L197" s="388">
        <f>L194+'DB2'!$N$39</f>
        <v>0.22</v>
      </c>
      <c r="M197" s="388">
        <f>M194+'DB2'!$N$39</f>
        <v>0.22</v>
      </c>
      <c r="N197" s="311">
        <f>N194+'DB2'!$N$39</f>
        <v>0.2175</v>
      </c>
      <c r="O197" s="311">
        <f>O194+'DB2'!$N$39</f>
        <v>0.20500000000000002</v>
      </c>
      <c r="P197" s="311">
        <f>P194+'DB2'!$N$39</f>
        <v>0.2</v>
      </c>
      <c r="Q197" s="311">
        <f>Q194+'DB2'!$N$39</f>
        <v>0.18000000000000002</v>
      </c>
      <c r="R197" s="311">
        <f>R194+'DB2'!$N$39</f>
        <v>0.16</v>
      </c>
      <c r="S197" s="311">
        <f>S194+'DB2'!$N$39</f>
        <v>0.14000000000000001</v>
      </c>
      <c r="T197" s="311">
        <f>T194+'DB2'!$N$39</f>
        <v>0.13</v>
      </c>
      <c r="U197" s="311">
        <f>U194+'DB2'!$N$39</f>
        <v>0.12</v>
      </c>
      <c r="V197" s="311">
        <f>V194+'DB2'!$N$39</f>
        <v>0.11</v>
      </c>
      <c r="W197" s="311">
        <f>W194+'DB2'!$N$39</f>
        <v>0.105</v>
      </c>
      <c r="X197" s="311">
        <f>X194+'DB2'!$N$39</f>
        <v>9.9999999999999992E-2</v>
      </c>
      <c r="Y197" s="311">
        <f>Y194+'DB2'!$N$39</f>
        <v>9.9999999999999992E-2</v>
      </c>
      <c r="Z197" s="311">
        <f>Z194+'DB2'!$N$39</f>
        <v>9.9999999999999992E-2</v>
      </c>
      <c r="AA197" s="311">
        <f>AA194+'DB2'!$N$39</f>
        <v>9.9999999999999992E-2</v>
      </c>
      <c r="AB197" s="311">
        <f>AB194+'DB2'!$N$39</f>
        <v>9.9999999999999992E-2</v>
      </c>
      <c r="AC197" s="311">
        <f>AC194+'DB2'!$N$39</f>
        <v>9.9999999999999992E-2</v>
      </c>
      <c r="AD197" s="311">
        <f>AD194+'DB2'!$N$39</f>
        <v>9.9999999999999992E-2</v>
      </c>
      <c r="AE197" s="311">
        <f>AE194+'DB2'!$N$39</f>
        <v>9.9999999999999992E-2</v>
      </c>
      <c r="AF197" s="311">
        <f>AF194+'DB2'!$N$39</f>
        <v>9.9999999999999992E-2</v>
      </c>
      <c r="AG197" s="311">
        <f>AG194+'DB2'!$N$39</f>
        <v>9.9999999999999992E-2</v>
      </c>
      <c r="AH197" s="311">
        <f>AH194+'DB2'!$N$39</f>
        <v>9.9999999999999992E-2</v>
      </c>
      <c r="AI197" s="311">
        <f>AI194+'DB2'!$N$39</f>
        <v>9.9999999999999992E-2</v>
      </c>
      <c r="AJ197" s="311">
        <f>AJ194+'DB2'!$N$39</f>
        <v>9.9999999999999992E-2</v>
      </c>
      <c r="AK197" s="311">
        <f>AK194+'DB2'!$N$39</f>
        <v>9.9999999999999992E-2</v>
      </c>
      <c r="AL197" s="311">
        <f>AL194+'DB2'!$N$39</f>
        <v>9.9999999999999992E-2</v>
      </c>
      <c r="AM197" s="311">
        <f>AM194+'DB2'!$N$39</f>
        <v>9.9999999999999992E-2</v>
      </c>
      <c r="AN197" s="311">
        <f>AN194+'DB2'!$N$39</f>
        <v>9.9999999999999992E-2</v>
      </c>
      <c r="AO197" s="311">
        <f>AO194+'DB2'!$N$39</f>
        <v>9.9999999999999992E-2</v>
      </c>
      <c r="AP197" s="311">
        <f>AP194+'DB2'!$N$39</f>
        <v>9.9999999999999992E-2</v>
      </c>
      <c r="AQ197" s="311">
        <f>AQ194+'DB2'!$N$39</f>
        <v>9.9999999999999992E-2</v>
      </c>
      <c r="AR197" s="311">
        <f>AR194+'DB2'!$N$39</f>
        <v>9.9999999999999992E-2</v>
      </c>
      <c r="AS197" s="311">
        <f>AS194+'DB2'!$N$39</f>
        <v>9.9999999999999992E-2</v>
      </c>
      <c r="AT197" s="311">
        <f>AT194+'DB2'!$N$39</f>
        <v>9.9999999999999992E-2</v>
      </c>
      <c r="AU197" s="311">
        <f>AU194+'DB2'!$N$39</f>
        <v>9.9999999999999992E-2</v>
      </c>
      <c r="AV197" s="311">
        <f>AV194+'DB2'!$N$39</f>
        <v>9.9999999999999992E-2</v>
      </c>
      <c r="AW197" s="311">
        <f>AW194+'DB2'!$N$39</f>
        <v>9.9999999999999992E-2</v>
      </c>
      <c r="AX197" s="311">
        <f>AX194+'DB2'!$N$39</f>
        <v>9.9999999999999992E-2</v>
      </c>
      <c r="AY197" s="311">
        <f>AY194+'DB2'!$N$39</f>
        <v>9.9999999999999992E-2</v>
      </c>
      <c r="AZ197" s="311">
        <f>AZ194+'DB2'!$N$39</f>
        <v>9.9999999999999992E-2</v>
      </c>
      <c r="BA197" s="311">
        <f>BA194+'DB2'!$N$39</f>
        <v>9.9999999999999992E-2</v>
      </c>
      <c r="BB197" s="311">
        <f>BB194+'DB2'!$N$39</f>
        <v>9.9999999999999992E-2</v>
      </c>
      <c r="BC197" s="311">
        <f>BC194+'DB2'!$N$39</f>
        <v>9.9999999999999992E-2</v>
      </c>
      <c r="BD197" s="311">
        <f>BD194+'DB2'!$N$39</f>
        <v>9.9999999999999992E-2</v>
      </c>
      <c r="BE197" s="311">
        <f>BE194+'DB2'!$N$39</f>
        <v>9.9999999999999992E-2</v>
      </c>
      <c r="BF197" s="311">
        <f>BF194+'DB2'!$N$39</f>
        <v>9.9999999999999992E-2</v>
      </c>
      <c r="BG197" s="311">
        <f>BG194+'DB2'!$N$39</f>
        <v>9.9999999999999992E-2</v>
      </c>
      <c r="BH197" s="311">
        <f>BH194+'DB2'!$N$39</f>
        <v>9.9999999999999992E-2</v>
      </c>
      <c r="BI197" s="311">
        <f>BI194+'DB2'!$N$39</f>
        <v>9.9999999999999992E-2</v>
      </c>
      <c r="BJ197" s="311">
        <f>BJ194+'DB2'!$N$39</f>
        <v>9.9999999999999992E-2</v>
      </c>
      <c r="BK197" s="311">
        <f>BK194+'DB2'!$N$39</f>
        <v>9.9999999999999992E-2</v>
      </c>
      <c r="BL197" s="311">
        <f>BL194+'DB2'!$N$39</f>
        <v>9.9999999999999992E-2</v>
      </c>
      <c r="BM197" s="311">
        <f>BM194+'DB2'!$N$39</f>
        <v>9.9999999999999992E-2</v>
      </c>
      <c r="BN197" s="163"/>
      <c r="BO197" s="163"/>
      <c r="BP197" s="163"/>
    </row>
    <row r="198" spans="2:68" s="163" customFormat="1" ht="12.75" customHeight="1" collapsed="1">
      <c r="B198" s="169" t="s">
        <v>67</v>
      </c>
      <c r="C198" s="170"/>
      <c r="D198" s="171"/>
      <c r="E198" s="26"/>
      <c r="F198" s="389">
        <f>IFERROR((F189*'DB2'!$P$25+(F190-F189)*'CF2'!F$196)/F190,0)</f>
        <v>0</v>
      </c>
      <c r="G198" s="389">
        <f>IFERROR((G189*'DB2'!$P$25+(G190-G189)*'CF2'!G$196)/G190,0)</f>
        <v>0</v>
      </c>
      <c r="H198" s="389">
        <f>IFERROR((H189*'DB2'!$P$25+(H190-H189)*'CF2'!H$196)/H190,0)</f>
        <v>0</v>
      </c>
      <c r="I198" s="389">
        <f>IFERROR((I189*'DB2'!$P$25+(I190-I189)*'CF2'!I$196)/I190,0)</f>
        <v>0</v>
      </c>
      <c r="J198" s="389">
        <f>IFERROR((J189*'DB2'!$P$25+(J190-J189)*'CF2'!J$196)/J190,0)</f>
        <v>0</v>
      </c>
      <c r="K198" s="389">
        <f>IFERROR((K189*'DB2'!$P$25+(K190-K189)*'CF2'!K$196)/K190,0)</f>
        <v>0</v>
      </c>
      <c r="L198" s="389">
        <f>IFERROR((L189*'DB2'!$P$25+(L190-L189)*'CF2'!L$196)/L190,0)</f>
        <v>0</v>
      </c>
      <c r="M198" s="389">
        <f>IFERROR((M189*'DB2'!$P$25+(M190-M189)*'CF2'!M$196)/M190,0)</f>
        <v>0</v>
      </c>
      <c r="N198" s="172">
        <f>CF!N217</f>
        <v>0</v>
      </c>
      <c r="O198" s="172">
        <f>CF!O217</f>
        <v>0</v>
      </c>
      <c r="P198" s="172">
        <f>CF!P217</f>
        <v>0.22800000000000001</v>
      </c>
      <c r="Q198" s="172">
        <f>CF!Q217</f>
        <v>0.20800000000000002</v>
      </c>
      <c r="R198" s="172">
        <f>CF!R217</f>
        <v>0.188</v>
      </c>
      <c r="S198" s="172">
        <f>CF!S217</f>
        <v>0.16800000000000001</v>
      </c>
      <c r="T198" s="172">
        <f>CF!T217</f>
        <v>0.14491018059038688</v>
      </c>
      <c r="U198" s="172">
        <f>CF!U217</f>
        <v>0.12670550019614066</v>
      </c>
      <c r="V198" s="172">
        <f>CF!V217</f>
        <v>0.11296656514843154</v>
      </c>
      <c r="W198" s="172">
        <f>CF!W217</f>
        <v>0.10421621006847931</v>
      </c>
      <c r="X198" s="172">
        <f>CF!X217</f>
        <v>9.3643338621553746E-2</v>
      </c>
      <c r="Y198" s="172">
        <f>CF!Y217</f>
        <v>8.6656874020136429E-2</v>
      </c>
      <c r="Z198" s="172">
        <f>CF!Z217</f>
        <v>8.0844150601325729E-2</v>
      </c>
      <c r="AA198" s="172">
        <f>CF!AA217</f>
        <v>7.5113170048955957E-2</v>
      </c>
      <c r="AB198" s="172">
        <f>CF!AB217</f>
        <v>6.9825741906412414E-2</v>
      </c>
      <c r="AC198" s="172">
        <f>CF!AC217</f>
        <v>6.4563244954904953E-2</v>
      </c>
      <c r="AD198" s="172">
        <f>CF!AD217</f>
        <v>5.9174801007161132E-2</v>
      </c>
      <c r="AE198" s="172">
        <f>CF!AE217</f>
        <v>5.6936233954767192E-2</v>
      </c>
      <c r="AF198" s="172">
        <f>CF!AF217</f>
        <v>6.6564571721741447E-2</v>
      </c>
      <c r="AG198" s="172">
        <f>CF!AG217</f>
        <v>5.2959304940147618E-2</v>
      </c>
      <c r="AH198" s="172">
        <f>CF!AH217</f>
        <v>4.5497539117613964E-2</v>
      </c>
      <c r="AI198" s="172">
        <f>CF!AI217</f>
        <v>4.3361438116300867E-2</v>
      </c>
      <c r="AJ198" s="172">
        <f>CF!AJ217</f>
        <v>0.128</v>
      </c>
      <c r="AK198" s="172">
        <f>CF!AK217</f>
        <v>0.128</v>
      </c>
      <c r="AL198" s="172">
        <f>CF!AL217</f>
        <v>0.128</v>
      </c>
      <c r="AM198" s="172">
        <f>CF!AM217</f>
        <v>0.128</v>
      </c>
      <c r="AN198" s="172">
        <f>CF!AN217</f>
        <v>0.128</v>
      </c>
      <c r="AO198" s="172">
        <f>CF!AO217</f>
        <v>0.128</v>
      </c>
      <c r="AP198" s="172">
        <f>CF!AP217</f>
        <v>0.128</v>
      </c>
      <c r="AQ198" s="172">
        <f>CF!AQ217</f>
        <v>0.128</v>
      </c>
      <c r="AR198" s="172">
        <f>CF!AR217</f>
        <v>0.128</v>
      </c>
      <c r="AS198" s="172">
        <f>CF!AS217</f>
        <v>0.128</v>
      </c>
      <c r="AT198" s="172">
        <f>CF!AT217</f>
        <v>0.128</v>
      </c>
      <c r="AU198" s="172">
        <f>CF!AU217</f>
        <v>0.128</v>
      </c>
      <c r="AV198" s="172">
        <f>CF!AV217</f>
        <v>0.128</v>
      </c>
      <c r="AW198" s="172">
        <f>CF!AW217</f>
        <v>0.128</v>
      </c>
      <c r="AX198" s="172">
        <f>CF!AX217</f>
        <v>0.128</v>
      </c>
      <c r="AY198" s="172">
        <f>CF!AY217</f>
        <v>0.128</v>
      </c>
      <c r="AZ198" s="172">
        <f>CF!AZ217</f>
        <v>0.128</v>
      </c>
      <c r="BA198" s="172">
        <f>CF!BA217</f>
        <v>0.128</v>
      </c>
      <c r="BB198" s="172">
        <f>CF!BB217</f>
        <v>0.128</v>
      </c>
      <c r="BC198" s="172">
        <f>CF!BC217</f>
        <v>0.128</v>
      </c>
      <c r="BD198" s="172">
        <f>CF!BD217</f>
        <v>0.128</v>
      </c>
      <c r="BE198" s="172">
        <f>CF!BE217</f>
        <v>0.128</v>
      </c>
      <c r="BF198" s="172">
        <f>CF!BF217</f>
        <v>0.128</v>
      </c>
      <c r="BG198" s="172">
        <f>CF!BG217</f>
        <v>0.128</v>
      </c>
      <c r="BH198" s="172">
        <f>CF!BH217</f>
        <v>0.128</v>
      </c>
      <c r="BI198" s="172">
        <f>CF!BI217</f>
        <v>0.128</v>
      </c>
      <c r="BJ198" s="172">
        <f>CF!BJ217</f>
        <v>0.128</v>
      </c>
      <c r="BK198" s="172">
        <f>CF!BK217</f>
        <v>0.128</v>
      </c>
      <c r="BL198" s="172">
        <f>CF!BL217</f>
        <v>0.128</v>
      </c>
      <c r="BM198" s="172">
        <f>CF!BM217</f>
        <v>0.128</v>
      </c>
    </row>
    <row r="199" spans="2:68">
      <c r="AT199" s="173"/>
      <c r="AU199" s="173"/>
      <c r="AV199" s="173"/>
      <c r="AW199" s="173"/>
      <c r="AX199" s="173"/>
      <c r="AY199" s="173"/>
      <c r="AZ199" s="173"/>
      <c r="BA199" s="173"/>
      <c r="BB199" s="173"/>
      <c r="BC199" s="173"/>
      <c r="BD199" s="173"/>
      <c r="BE199" s="173"/>
      <c r="BF199" s="173"/>
      <c r="BG199" s="173"/>
      <c r="BH199" s="173"/>
      <c r="BI199" s="173"/>
      <c r="BJ199" s="173"/>
      <c r="BK199" s="173"/>
      <c r="BL199" s="173"/>
      <c r="BM199" s="173"/>
    </row>
    <row r="200" spans="2:68">
      <c r="AT200" s="173"/>
      <c r="AU200" s="173"/>
      <c r="AV200" s="173"/>
      <c r="AW200" s="173"/>
      <c r="AX200" s="173"/>
      <c r="AY200" s="173"/>
      <c r="AZ200" s="173"/>
      <c r="BA200" s="173"/>
      <c r="BB200" s="173"/>
      <c r="BC200" s="173"/>
      <c r="BD200" s="173"/>
      <c r="BE200" s="173"/>
      <c r="BF200" s="173"/>
      <c r="BG200" s="173"/>
      <c r="BH200" s="173"/>
      <c r="BI200" s="173"/>
      <c r="BJ200" s="173"/>
      <c r="BK200" s="173"/>
      <c r="BL200" s="173"/>
      <c r="BM200" s="173"/>
    </row>
    <row r="201" spans="2:68">
      <c r="AT201" s="173"/>
      <c r="AU201" s="173"/>
      <c r="AV201" s="173"/>
      <c r="AW201" s="173"/>
      <c r="AX201" s="173"/>
      <c r="AY201" s="173"/>
      <c r="AZ201" s="173"/>
      <c r="BA201" s="173"/>
      <c r="BB201" s="173"/>
      <c r="BC201" s="173"/>
      <c r="BD201" s="173"/>
      <c r="BE201" s="173"/>
      <c r="BF201" s="173"/>
      <c r="BG201" s="173"/>
      <c r="BH201" s="173"/>
      <c r="BI201" s="173"/>
      <c r="BJ201" s="173"/>
      <c r="BK201" s="173"/>
      <c r="BL201" s="173"/>
      <c r="BM201" s="173"/>
    </row>
    <row r="202" spans="2:68">
      <c r="AT202" s="173"/>
      <c r="AU202" s="173"/>
      <c r="AV202" s="173"/>
      <c r="AW202" s="173"/>
      <c r="AX202" s="173"/>
      <c r="AY202" s="173"/>
      <c r="AZ202" s="173"/>
      <c r="BA202" s="173"/>
      <c r="BB202" s="173"/>
      <c r="BC202" s="173"/>
      <c r="BD202" s="173"/>
      <c r="BE202" s="173"/>
      <c r="BF202" s="173"/>
      <c r="BG202" s="173"/>
      <c r="BH202" s="173"/>
      <c r="BI202" s="173"/>
      <c r="BJ202" s="173"/>
      <c r="BK202" s="173"/>
      <c r="BL202" s="173"/>
      <c r="BM202" s="173"/>
    </row>
    <row r="203" spans="2:68">
      <c r="K203" s="203"/>
      <c r="M203" s="204"/>
    </row>
    <row r="204" spans="2:68">
      <c r="K204" s="203"/>
    </row>
  </sheetData>
  <pageMargins left="0.25" right="0.25" top="0.75" bottom="0.75" header="0.3" footer="0.3"/>
  <pageSetup paperSize="9" scale="55" orientation="landscape" r:id="rId1"/>
  <colBreaks count="1" manualBreakCount="1">
    <brk id="2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DABE-3BFE-466D-8096-85DA43D3985D}">
  <sheetPr>
    <tabColor rgb="FFF0CCB9"/>
  </sheetPr>
  <dimension ref="B2:BM125"/>
  <sheetViews>
    <sheetView showGridLines="0" showZeros="0" topLeftCell="S16" zoomScale="90" zoomScaleNormal="90" workbookViewId="0">
      <selection activeCell="AE39" sqref="AE39"/>
    </sheetView>
  </sheetViews>
  <sheetFormatPr baseColWidth="10" defaultColWidth="9.1640625" defaultRowHeight="14"/>
  <cols>
    <col min="1" max="1" width="4.33203125" style="54" customWidth="1"/>
    <col min="2" max="2" width="13.33203125" style="54" customWidth="1"/>
    <col min="3" max="3" width="13.1640625" style="54" customWidth="1"/>
    <col min="4" max="4" width="10.6640625" style="54" customWidth="1"/>
    <col min="5" max="5" width="13.1640625" style="54" bestFit="1" customWidth="1"/>
    <col min="6" max="35" width="10.5" style="54" customWidth="1"/>
    <col min="36" max="36" width="11.6640625" style="54" bestFit="1" customWidth="1"/>
    <col min="37" max="65" width="10.5" style="54" customWidth="1"/>
    <col min="66" max="16384" width="9.1640625" style="54"/>
  </cols>
  <sheetData>
    <row r="2" spans="2:65" ht="16">
      <c r="B2" s="201" t="s">
        <v>250</v>
      </c>
    </row>
    <row r="4" spans="2:65">
      <c r="B4" s="52" t="s">
        <v>42</v>
      </c>
      <c r="C4" s="53">
        <f>EOMONTH('DB1'!U23-1,3)</f>
        <v>45838</v>
      </c>
      <c r="F4" s="199">
        <f>IF(SUM($F11:F11)&gt;=100%,"РнВ",IF(AND(F11&gt;0,E11=0),"РнС",0))</f>
        <v>0</v>
      </c>
      <c r="G4" s="199">
        <f>IF(SUM($F11:G11)&gt;=100%,"РнВ",IF(AND(G11&gt;0,F11=0),"РнС",0))</f>
        <v>0</v>
      </c>
      <c r="H4" s="199">
        <f>IF(SUM($F11:H11)&gt;=100%,"РнВ",IF(AND(H11&gt;0,G11=0),"РнС",0))</f>
        <v>0</v>
      </c>
      <c r="I4" s="199">
        <f>IF(SUM($F11:I11)&gt;=100%,"РнВ",IF(AND(I11&gt;0,H11=0),"РнС",0))</f>
        <v>0</v>
      </c>
      <c r="J4" s="199">
        <f>IF(SUM($F11:J11)&gt;=100%,"РнВ",IF(AND(J11&gt;0,I11=0),"РнС",0))</f>
        <v>0</v>
      </c>
      <c r="K4" s="199">
        <f>IF(SUM($F11:K11)&gt;=100%,"РнВ",IF(AND(K11&gt;0,J11=0),"РнС",0))</f>
        <v>0</v>
      </c>
      <c r="L4" s="199" t="str">
        <f>IF(SUM($F11:L11)&gt;=100%,"РнВ",IF(AND(L11&gt;0,K11=0),"РнС",0))</f>
        <v>РнС</v>
      </c>
      <c r="M4" s="199">
        <f>IF(SUM($F11:M11)&gt;=100%,"РнВ",IF(AND(M11&gt;0,L11=0),"РнС",0))</f>
        <v>0</v>
      </c>
      <c r="N4" s="199">
        <f>IF(SUM($F11:N11)&gt;=100%,"РнВ",IF(AND(N11&gt;0,M11=0),"РнС",0))</f>
        <v>0</v>
      </c>
      <c r="O4" s="199">
        <f>IF(SUM($F11:O11)&gt;=100%,"РнВ",IF(AND(O11&gt;0,N11=0),"РнС",0))</f>
        <v>0</v>
      </c>
      <c r="P4" s="199">
        <f>IF(SUM($F11:P11)&gt;=100%,"РнВ",IF(AND(P11&gt;0,O11=0),"РнС",0))</f>
        <v>0</v>
      </c>
      <c r="Q4" s="199">
        <f>IF(SUM($F11:Q11)&gt;=100%,"РнВ",IF(AND(Q11&gt;0,P11=0),"РнС",0))</f>
        <v>0</v>
      </c>
      <c r="R4" s="199">
        <f>IF(SUM($F11:R11)&gt;=100%,"РнВ",IF(AND(R11&gt;0,Q11=0),"РнС",0))</f>
        <v>0</v>
      </c>
      <c r="S4" s="199">
        <f>IF(SUM($F11:S11)&gt;=100%,"РнВ",IF(AND(S11&gt;0,R11=0),"РнС",0))</f>
        <v>0</v>
      </c>
      <c r="T4" s="199">
        <f>IF(SUM($F11:T11)&gt;=100%,"РнВ",IF(AND(T11&gt;0,S11=0),"РнС",0))</f>
        <v>0</v>
      </c>
      <c r="U4" s="199">
        <f>IF(SUM($F11:U11)&gt;=100%,"РнВ",IF(AND(U11&gt;0,T11=0),"РнС",0))</f>
        <v>0</v>
      </c>
      <c r="V4" s="199">
        <f>IF(SUM($F11:V11)&gt;=100%,"РнВ",IF(AND(V11&gt;0,U11=0),"РнС",0))</f>
        <v>0</v>
      </c>
      <c r="W4" s="199" t="str">
        <f>IF(SUM($F11:W11)&gt;=100%,"РнВ",IF(AND(W11&gt;0,V11=0),"РнС",0))</f>
        <v>РнВ</v>
      </c>
      <c r="X4" s="199" t="str">
        <f>IF(SUM($F11:X11)&gt;=100%,"РнВ",IF(AND(X11&gt;0,W11=0),"РнС",0))</f>
        <v>РнВ</v>
      </c>
      <c r="Y4" s="199" t="str">
        <f>IF(SUM($F11:Y11)&gt;=100%,"РнВ",IF(AND(Y11&gt;0,X11=0),"РнС",0))</f>
        <v>РнВ</v>
      </c>
      <c r="Z4" s="199" t="str">
        <f>IF(SUM($F11:Z11)&gt;=100%,"РнВ",IF(AND(Z11&gt;0,Y11=0),"РнС",0))</f>
        <v>РнВ</v>
      </c>
      <c r="AA4" s="199" t="str">
        <f>IF(SUM($F11:AA11)&gt;=100%,"РнВ",IF(AND(AA11&gt;0,Z11=0),"РнС",0))</f>
        <v>РнВ</v>
      </c>
      <c r="AB4" s="199" t="str">
        <f>IF(SUM($F11:AB11)&gt;=100%,"РнВ",IF(AND(AB11&gt;0,AA11=0),"РнС",0))</f>
        <v>РнВ</v>
      </c>
      <c r="AC4" s="199" t="str">
        <f>IF(SUM($F11:AC11)&gt;=100%,"РнВ",IF(AND(AC11&gt;0,AB11=0),"РнС",0))</f>
        <v>РнВ</v>
      </c>
      <c r="AD4" s="199" t="str">
        <f>IF(SUM($F11:AD11)&gt;=100%,"РнВ",IF(AND(AD11&gt;0,AC11=0),"РнС",0))</f>
        <v>РнВ</v>
      </c>
      <c r="AE4" s="199" t="str">
        <f>IF(SUM($F11:AE11)&gt;=100%,"РнВ",IF(AND(AE11&gt;0,AD11=0),"РнС",0))</f>
        <v>РнВ</v>
      </c>
      <c r="AF4" s="199" t="str">
        <f>IF(SUM($F11:AF11)&gt;=100%,"РнВ",IF(AND(AF11&gt;0,AE11=0),"РнС",0))</f>
        <v>РнВ</v>
      </c>
      <c r="AG4" s="199" t="str">
        <f>IF(SUM($F11:AG11)&gt;=100%,"РнВ",IF(AND(AG11&gt;0,AF11=0),"РнС",0))</f>
        <v>РнВ</v>
      </c>
      <c r="AH4" s="199" t="str">
        <f>IF(SUM($F11:AH11)&gt;=100%,"РнВ",IF(AND(AH11&gt;0,AG11=0),"РнС",0))</f>
        <v>РнВ</v>
      </c>
      <c r="AI4" s="199" t="str">
        <f>IF(SUM($F11:AI11)&gt;=100%,"РнВ",IF(AND(AI11&gt;0,AH11=0),"РнС",0))</f>
        <v>РнВ</v>
      </c>
      <c r="AJ4" s="199" t="str">
        <f>IF(SUM($F11:AJ11)&gt;=100%,"РнВ",IF(AND(AJ11&gt;0,AI11=0),"РнС",0))</f>
        <v>РнВ</v>
      </c>
      <c r="AK4" s="199" t="str">
        <f>IF(SUM($F11:AK11)&gt;=100%,"РнВ",IF(AND(AK11&gt;0,AJ11=0),"РнС",0))</f>
        <v>РнВ</v>
      </c>
      <c r="AL4" s="199" t="str">
        <f>IF(SUM($F11:AL11)&gt;=100%,"РнВ",IF(AND(AL11&gt;0,AK11=0),"РнС",0))</f>
        <v>РнВ</v>
      </c>
      <c r="AM4" s="199" t="str">
        <f>IF(SUM($F11:AM11)&gt;=100%,"РнВ",IF(AND(AM11&gt;0,AL11=0),"РнС",0))</f>
        <v>РнВ</v>
      </c>
      <c r="AN4" s="199" t="str">
        <f>IF(SUM($F11:AN11)&gt;=100%,"РнВ",IF(AND(AN11&gt;0,AM11=0),"РнС",0))</f>
        <v>РнВ</v>
      </c>
      <c r="AO4" s="199" t="str">
        <f>IF(SUM($F11:AO11)&gt;=100%,"РнВ",IF(AND(AO11&gt;0,AN11=0),"РнС",0))</f>
        <v>РнВ</v>
      </c>
      <c r="AP4" s="199" t="str">
        <f>IF(SUM($F11:AP11)&gt;=100%,"РнВ",IF(AND(AP11&gt;0,AO11=0),"РнС",0))</f>
        <v>РнВ</v>
      </c>
      <c r="AQ4" s="199" t="str">
        <f>IF(SUM($F11:AQ11)&gt;=100%,"РнВ",IF(AND(AQ11&gt;0,AP11=0),"РнС",0))</f>
        <v>РнВ</v>
      </c>
      <c r="AR4" s="199" t="str">
        <f>IF(SUM($F11:AR11)&gt;=100%,"РнВ",IF(AND(AR11&gt;0,AQ11=0),"РнС",0))</f>
        <v>РнВ</v>
      </c>
      <c r="AS4" s="199" t="str">
        <f>IF(SUM($F11:AS11)&gt;=100%,"РнВ",IF(AND(AS11&gt;0,AR11=0),"РнС",0))</f>
        <v>РнВ</v>
      </c>
      <c r="AT4" s="199" t="str">
        <f>IF(SUM($F11:AT11)&gt;=100%,"РнВ",IF(AND(AT11&gt;0,AS11=0),"РнС",0))</f>
        <v>РнВ</v>
      </c>
      <c r="AU4" s="199" t="str">
        <f>IF(SUM($F11:AU11)&gt;=100%,"РнВ",IF(AND(AU11&gt;0,AT11=0),"РнС",0))</f>
        <v>РнВ</v>
      </c>
      <c r="AV4" s="199" t="str">
        <f>IF(SUM($F11:AV11)&gt;=100%,"РнВ",IF(AND(AV11&gt;0,AU11=0),"РнС",0))</f>
        <v>РнВ</v>
      </c>
      <c r="AW4" s="199" t="str">
        <f>IF(SUM($F11:AW11)&gt;=100%,"РнВ",IF(AND(AW11&gt;0,AV11=0),"РнС",0))</f>
        <v>РнВ</v>
      </c>
      <c r="AX4" s="199" t="str">
        <f>IF(SUM($F11:AX11)&gt;=100%,"РнВ",IF(AND(AX11&gt;0,AW11=0),"РнС",0))</f>
        <v>РнВ</v>
      </c>
      <c r="AY4" s="199" t="str">
        <f>IF(SUM($F11:AY11)&gt;=100%,"РнВ",IF(AND(AY11&gt;0,AX11=0),"РнС",0))</f>
        <v>РнВ</v>
      </c>
      <c r="AZ4" s="199" t="str">
        <f>IF(SUM($F11:AZ11)&gt;=100%,"РнВ",IF(AND(AZ11&gt;0,AY11=0),"РнС",0))</f>
        <v>РнВ</v>
      </c>
      <c r="BA4" s="199" t="str">
        <f>IF(SUM($F11:BA11)&gt;=100%,"РнВ",IF(AND(BA11&gt;0,AZ11=0),"РнС",0))</f>
        <v>РнВ</v>
      </c>
      <c r="BB4" s="199" t="str">
        <f>IF(SUM($F11:BB11)&gt;=100%,"РнВ",IF(AND(BB11&gt;0,BA11=0),"РнС",0))</f>
        <v>РнВ</v>
      </c>
      <c r="BC4" s="199" t="str">
        <f>IF(SUM($F11:BC11)&gt;=100%,"РнВ",IF(AND(BC11&gt;0,BB11=0),"РнС",0))</f>
        <v>РнВ</v>
      </c>
      <c r="BD4" s="199" t="str">
        <f>IF(SUM($F11:BD11)&gt;=100%,"РнВ",IF(AND(BD11&gt;0,BC11=0),"РнС",0))</f>
        <v>РнВ</v>
      </c>
      <c r="BE4" s="199" t="str">
        <f>IF(SUM($F11:BE11)&gt;=100%,"РнВ",IF(AND(BE11&gt;0,BD11=0),"РнС",0))</f>
        <v>РнВ</v>
      </c>
      <c r="BF4" s="199" t="str">
        <f>IF(SUM($F11:BF11)&gt;=100%,"РнВ",IF(AND(BF11&gt;0,BE11=0),"РнС",0))</f>
        <v>РнВ</v>
      </c>
      <c r="BG4" s="199" t="str">
        <f>IF(SUM($F11:BG11)&gt;=100%,"РнВ",IF(AND(BG11&gt;0,BF11=0),"РнС",0))</f>
        <v>РнВ</v>
      </c>
      <c r="BH4" s="199" t="str">
        <f>IF(SUM($F11:BH11)&gt;=100%,"РнВ",IF(AND(BH11&gt;0,BG11=0),"РнС",0))</f>
        <v>РнВ</v>
      </c>
      <c r="BI4" s="199" t="str">
        <f>IF(SUM($F11:BI11)&gt;=100%,"РнВ",IF(AND(BI11&gt;0,BH11=0),"РнС",0))</f>
        <v>РнВ</v>
      </c>
      <c r="BJ4" s="199" t="str">
        <f>IF(SUM($F11:BJ11)&gt;=100%,"РнВ",IF(AND(BJ11&gt;0,BI11=0),"РнС",0))</f>
        <v>РнВ</v>
      </c>
      <c r="BK4" s="199" t="str">
        <f>IF(SUM($F11:BK11)&gt;=100%,"РнВ",IF(AND(BK11&gt;0,BJ11=0),"РнС",0))</f>
        <v>РнВ</v>
      </c>
      <c r="BL4" s="199" t="str">
        <f>IF(SUM($F11:BL11)&gt;=100%,"РнВ",IF(AND(BL11&gt;0,BK11=0),"РнС",0))</f>
        <v>РнВ</v>
      </c>
      <c r="BM4" s="199" t="str">
        <f>IF(SUM($F11:BM11)&gt;=100%,"РнВ",IF(AND(BM11&gt;0,BL11=0),"РнС",0))</f>
        <v>РнВ</v>
      </c>
    </row>
    <row r="5" spans="2:65">
      <c r="B5" s="19" t="s">
        <v>5</v>
      </c>
      <c r="C5" s="113"/>
      <c r="D5" s="113"/>
      <c r="E5" s="16"/>
      <c r="F5" s="115">
        <v>1</v>
      </c>
      <c r="G5" s="115">
        <v>2</v>
      </c>
      <c r="H5" s="115">
        <v>3</v>
      </c>
      <c r="I5" s="115">
        <v>4</v>
      </c>
      <c r="J5" s="115">
        <v>5</v>
      </c>
      <c r="K5" s="115">
        <v>6</v>
      </c>
      <c r="L5" s="115">
        <v>7</v>
      </c>
      <c r="M5" s="115">
        <v>8</v>
      </c>
      <c r="N5" s="115">
        <v>9</v>
      </c>
      <c r="O5" s="115">
        <v>10</v>
      </c>
      <c r="P5" s="115">
        <v>11</v>
      </c>
      <c r="Q5" s="115">
        <v>12</v>
      </c>
      <c r="R5" s="115">
        <v>13</v>
      </c>
      <c r="S5" s="115">
        <v>14</v>
      </c>
      <c r="T5" s="115">
        <v>15</v>
      </c>
      <c r="U5" s="115">
        <v>16</v>
      </c>
      <c r="V5" s="115">
        <v>17</v>
      </c>
      <c r="W5" s="115">
        <v>18</v>
      </c>
      <c r="X5" s="115">
        <v>19</v>
      </c>
      <c r="Y5" s="115">
        <v>20</v>
      </c>
      <c r="Z5" s="115">
        <v>21</v>
      </c>
      <c r="AA5" s="115">
        <v>22</v>
      </c>
      <c r="AB5" s="115">
        <v>23</v>
      </c>
      <c r="AC5" s="115">
        <v>24</v>
      </c>
      <c r="AD5" s="115">
        <v>25</v>
      </c>
      <c r="AE5" s="115">
        <v>26</v>
      </c>
      <c r="AF5" s="115">
        <v>27</v>
      </c>
      <c r="AG5" s="115">
        <v>28</v>
      </c>
      <c r="AH5" s="115">
        <v>29</v>
      </c>
      <c r="AI5" s="115">
        <v>30</v>
      </c>
      <c r="AJ5" s="115">
        <v>31</v>
      </c>
      <c r="AK5" s="115">
        <v>32</v>
      </c>
      <c r="AL5" s="115">
        <v>33</v>
      </c>
      <c r="AM5" s="115">
        <v>34</v>
      </c>
      <c r="AN5" s="115">
        <v>35</v>
      </c>
      <c r="AO5" s="115">
        <v>36</v>
      </c>
      <c r="AP5" s="115">
        <v>37</v>
      </c>
      <c r="AQ5" s="115">
        <v>38</v>
      </c>
      <c r="AR5" s="115">
        <v>39</v>
      </c>
      <c r="AS5" s="115">
        <v>40</v>
      </c>
      <c r="AT5" s="115">
        <v>41</v>
      </c>
      <c r="AU5" s="115">
        <v>42</v>
      </c>
      <c r="AV5" s="115">
        <v>43</v>
      </c>
      <c r="AW5" s="115">
        <v>44</v>
      </c>
      <c r="AX5" s="115">
        <v>45</v>
      </c>
      <c r="AY5" s="115">
        <v>46</v>
      </c>
      <c r="AZ5" s="115">
        <v>47</v>
      </c>
      <c r="BA5" s="115">
        <v>48</v>
      </c>
      <c r="BB5" s="115">
        <v>49</v>
      </c>
      <c r="BC5" s="115">
        <v>50</v>
      </c>
      <c r="BD5" s="115">
        <v>51</v>
      </c>
      <c r="BE5" s="115">
        <v>52</v>
      </c>
      <c r="BF5" s="115">
        <v>53</v>
      </c>
      <c r="BG5" s="115">
        <v>54</v>
      </c>
      <c r="BH5" s="115">
        <v>55</v>
      </c>
      <c r="BI5" s="115">
        <v>56</v>
      </c>
      <c r="BJ5" s="115">
        <v>57</v>
      </c>
      <c r="BK5" s="115">
        <v>58</v>
      </c>
      <c r="BL5" s="115">
        <v>59</v>
      </c>
      <c r="BM5" s="115">
        <v>60</v>
      </c>
    </row>
    <row r="6" spans="2:65">
      <c r="B6" s="55" t="s">
        <v>31</v>
      </c>
      <c r="C6" s="55"/>
      <c r="D6" s="56" t="s">
        <v>133</v>
      </c>
      <c r="E6" s="55"/>
      <c r="F6" s="57"/>
      <c r="G6" s="57"/>
      <c r="H6" s="57">
        <v>1</v>
      </c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</row>
    <row r="7" spans="2:65">
      <c r="B7" s="55" t="str">
        <f>'DB1'!B31</f>
        <v>ПРОЕКТИРОВАНИЕ (К+П+РД)</v>
      </c>
      <c r="C7" s="55"/>
      <c r="D7" s="31">
        <v>0.5</v>
      </c>
      <c r="E7" s="55"/>
      <c r="F7" s="57">
        <f>IF('TS1'!F5&lt;='DB1'!$U$24,'TS1'!$D$7/'DB1'!$U$24,(1-SUM($E$7:E7)))</f>
        <v>8.3333333333333329E-2</v>
      </c>
      <c r="G7" s="57">
        <f>IF('TS1'!G5&lt;='DB1'!$U$24,'TS1'!$D$7/'DB1'!$U$24,(1-SUM($E$7:F7)))</f>
        <v>8.3333333333333329E-2</v>
      </c>
      <c r="H7" s="57">
        <f>IF('TS1'!H5&lt;='DB1'!$U$24,'TS1'!$D$7/'DB1'!$U$24,(1-SUM($E$7:G7)))</f>
        <v>8.3333333333333329E-2</v>
      </c>
      <c r="I7" s="57">
        <f>IF('TS1'!I5&lt;='DB1'!$U$24,'TS1'!$D$7/'DB1'!$U$24,(1-SUM($E$7:H7)))</f>
        <v>8.3333333333333329E-2</v>
      </c>
      <c r="J7" s="57">
        <f>IF('TS1'!J5&lt;='DB1'!$U$24,'TS1'!$D$7/'DB1'!$U$24,(1-SUM($E$7:I7)))</f>
        <v>8.3333333333333329E-2</v>
      </c>
      <c r="K7" s="57"/>
      <c r="L7" s="57"/>
      <c r="M7" s="57"/>
      <c r="N7" s="57"/>
      <c r="O7" s="57"/>
      <c r="P7" s="57"/>
      <c r="Q7" s="57"/>
      <c r="R7" s="57"/>
      <c r="S7" s="57"/>
      <c r="T7" s="57"/>
      <c r="U7" s="57">
        <f>IF('TS1'!U5&lt;='DB1'!$U$24,'TS1'!$D$7/'DB1'!$U$24,(1-SUM($E$7:T7)))</f>
        <v>0.58333333333333337</v>
      </c>
      <c r="V7" s="57">
        <f>IF('TS1'!V5&lt;='DB1'!$U$24,'TS1'!$D$7/'DB1'!$U$24,(1-SUM($E$7:U7)))</f>
        <v>0</v>
      </c>
      <c r="W7" s="57">
        <f>IF('TS1'!W5&lt;='DB1'!$U$24,'TS1'!$D$7/'DB1'!$U$24,(1-SUM($E$7:V7)))</f>
        <v>0</v>
      </c>
      <c r="X7" s="57">
        <f>IF('TS1'!X5&lt;='DB1'!$U$24,'TS1'!$D$7/'DB1'!$U$24,(1-SUM($E$7:W7)))</f>
        <v>0</v>
      </c>
      <c r="Y7" s="57">
        <f>IF('TS1'!Y5&lt;='DB1'!$U$24,'TS1'!$D$7/'DB1'!$U$24,(1-SUM($E$7:X7)))</f>
        <v>0</v>
      </c>
      <c r="Z7" s="57">
        <f>IF('TS1'!Z5&lt;='DB1'!$U$24,'TS1'!$D$7/'DB1'!$U$24,(1-SUM($E$7:Y7)))</f>
        <v>0</v>
      </c>
      <c r="AA7" s="57">
        <f>IF('TS1'!AA5&lt;='DB1'!$U$24,'TS1'!$D$7/'DB1'!$U$24,(1-SUM($E$7:Z7)))</f>
        <v>0</v>
      </c>
      <c r="AB7" s="57">
        <f>IF('TS1'!AB5&lt;='DB1'!$U$24,'TS1'!$D$7/'DB1'!$U$24,(1-SUM($E$7:AA7)))</f>
        <v>0</v>
      </c>
      <c r="AC7" s="57">
        <f>IF('TS1'!AC5&lt;='DB1'!$U$24,'TS1'!$D$7/'DB1'!$U$24,(1-SUM($E$7:AB7)))</f>
        <v>0</v>
      </c>
      <c r="AD7" s="57">
        <f>IF('TS1'!AD5&lt;='DB1'!$U$24,'TS1'!$D$7/'DB1'!$U$24,(1-SUM($E$7:AC7)))</f>
        <v>0</v>
      </c>
      <c r="AE7" s="57">
        <f>IF('TS1'!AE5&lt;='DB1'!$U$24,'TS1'!$D$7/'DB1'!$U$24,(1-SUM($E$7:AD7)))</f>
        <v>0</v>
      </c>
      <c r="AF7" s="57">
        <f>IF('TS1'!AF5&lt;='DB1'!$U$24,'TS1'!$D$7/'DB1'!$U$24,(1-SUM($E$7:AE7)))</f>
        <v>0</v>
      </c>
      <c r="AG7" s="57">
        <f>IF('TS1'!AG5&lt;='DB1'!$U$24,'TS1'!$D$7/'DB1'!$U$24,(1-SUM($E$7:AF7)))</f>
        <v>0</v>
      </c>
      <c r="AH7" s="57">
        <f>IF('TS1'!AH5&lt;='DB1'!$U$24,'TS1'!$D$7/'DB1'!$U$24,(1-SUM($E$7:AG7)))</f>
        <v>0</v>
      </c>
      <c r="AI7" s="57">
        <f>IF('TS1'!AI5&lt;='DB1'!$U$24,'TS1'!$D$7/'DB1'!$U$24,(1-SUM($E$7:AH7)))</f>
        <v>0</v>
      </c>
      <c r="AJ7" s="57">
        <f>IF('TS1'!AJ5&lt;='DB1'!$U$24,'TS1'!$D$7/'DB1'!$U$24,(1-SUM($E$7:AI7)))</f>
        <v>0</v>
      </c>
      <c r="AK7" s="57">
        <f>IF('TS1'!AK5&lt;='DB1'!$U$24,'TS1'!$D$7/'DB1'!$U$24,(1-SUM($E$7:AJ7)))</f>
        <v>0</v>
      </c>
      <c r="AL7" s="57">
        <f>IF('TS1'!AL5&lt;='DB1'!$U$24,'TS1'!$D$7/'DB1'!$U$24,(1-SUM($E$7:AK7)))</f>
        <v>0</v>
      </c>
      <c r="AM7" s="57">
        <f>IF('TS1'!AM5&lt;='DB1'!$U$24,'TS1'!$D$7/'DB1'!$U$24,(1-SUM($E$7:AL7)))</f>
        <v>0</v>
      </c>
      <c r="AN7" s="57">
        <f>IF('TS1'!AN5&lt;='DB1'!$U$24,'TS1'!$D$7/'DB1'!$U$24,(1-SUM($E$7:AM7)))</f>
        <v>0</v>
      </c>
      <c r="AO7" s="57">
        <f>IF('TS1'!AO5&lt;='DB1'!$U$24,'TS1'!$D$7/'DB1'!$U$24,(1-SUM($E$7:AN7)))</f>
        <v>0</v>
      </c>
      <c r="AP7" s="57">
        <f>IF('TS1'!AP5&lt;='DB1'!$U$24,'TS1'!$D$7/'DB1'!$U$24,(1-SUM($E$7:AO7)))</f>
        <v>0</v>
      </c>
      <c r="AQ7" s="57">
        <f>IF('TS1'!AQ5&lt;='DB1'!$U$24,'TS1'!$D$7/'DB1'!$U$24,(1-SUM($E$7:AP7)))</f>
        <v>0</v>
      </c>
      <c r="AR7" s="57">
        <f>IF('TS1'!AR5&lt;='DB1'!$U$24,'TS1'!$D$7/'DB1'!$U$24,(1-SUM($E$7:AQ7)))</f>
        <v>0</v>
      </c>
      <c r="AS7" s="57">
        <f>IF('TS1'!AS5&lt;='DB1'!$U$24,'TS1'!$D$7/'DB1'!$U$24,(1-SUM($E$7:AR7)))</f>
        <v>0</v>
      </c>
      <c r="AT7" s="57">
        <f>IF('TS1'!AT5&lt;='DB1'!$U$24,'TS1'!$D$7/'DB1'!$U$24,(1-SUM($E$7:AS7)))</f>
        <v>0</v>
      </c>
      <c r="AU7" s="57">
        <f>IF('TS1'!AU5&lt;='DB1'!$U$24,'TS1'!$D$7/'DB1'!$U$24,(1-SUM($E$7:AT7)))</f>
        <v>0</v>
      </c>
      <c r="AV7" s="57">
        <f>IF('TS1'!AV5&lt;='DB1'!$U$24,'TS1'!$D$7/'DB1'!$U$24,(1-SUM($E$7:AU7)))</f>
        <v>0</v>
      </c>
      <c r="AW7" s="57">
        <f>IF('TS1'!AW5&lt;='DB1'!$U$24,'TS1'!$D$7/'DB1'!$U$24,(1-SUM($E$7:AV7)))</f>
        <v>0</v>
      </c>
      <c r="AX7" s="57">
        <f>IF('TS1'!AX5&lt;='DB1'!$U$24,'TS1'!$D$7/'DB1'!$U$24,(1-SUM($E$7:AW7)))</f>
        <v>0</v>
      </c>
      <c r="AY7" s="57">
        <f>IF('TS1'!AY5&lt;='DB1'!$U$24,'TS1'!$D$7/'DB1'!$U$24,(1-SUM($E$7:AX7)))</f>
        <v>0</v>
      </c>
      <c r="AZ7" s="57">
        <f>IF('TS1'!AZ5&lt;='DB1'!$U$24,'TS1'!$D$7/'DB1'!$U$24,(1-SUM($E$7:AY7)))</f>
        <v>0</v>
      </c>
      <c r="BA7" s="57">
        <f>IF('TS1'!BA5&lt;='DB1'!$U$24,'TS1'!$D$7/'DB1'!$U$24,(1-SUM($E$7:AZ7)))</f>
        <v>0</v>
      </c>
      <c r="BB7" s="57">
        <f>IF('TS1'!BB5&lt;='DB1'!$U$24,'TS1'!$D$7/'DB1'!$U$24,(1-SUM($E$7:BA7)))</f>
        <v>0</v>
      </c>
      <c r="BC7" s="57">
        <f>IF('TS1'!BC5&lt;='DB1'!$U$24,'TS1'!$D$7/'DB1'!$U$24,(1-SUM($E$7:BB7)))</f>
        <v>0</v>
      </c>
      <c r="BD7" s="57">
        <f>IF('TS1'!BD5&lt;='DB1'!$U$24,'TS1'!$D$7/'DB1'!$U$24,(1-SUM($E$7:BC7)))</f>
        <v>0</v>
      </c>
      <c r="BE7" s="57">
        <f>IF('TS1'!BE5&lt;='DB1'!$U$24,'TS1'!$D$7/'DB1'!$U$24,(1-SUM($E$7:BD7)))</f>
        <v>0</v>
      </c>
      <c r="BF7" s="57">
        <f>IF('TS1'!BF5&lt;='DB1'!$U$24,'TS1'!$D$7/'DB1'!$U$24,(1-SUM($E$7:BE7)))</f>
        <v>0</v>
      </c>
      <c r="BG7" s="57">
        <f>IF('TS1'!BG5&lt;='DB1'!$U$24,'TS1'!$D$7/'DB1'!$U$24,(1-SUM($E$7:BF7)))</f>
        <v>0</v>
      </c>
      <c r="BH7" s="57">
        <f>IF('TS1'!BH5&lt;='DB1'!$U$24,'TS1'!$D$7/'DB1'!$U$24,(1-SUM($E$7:BG7)))</f>
        <v>0</v>
      </c>
      <c r="BI7" s="57">
        <f>IF('TS1'!BI5&lt;='DB1'!$U$24,'TS1'!$D$7/'DB1'!$U$24,(1-SUM($E$7:BH7)))</f>
        <v>0</v>
      </c>
      <c r="BJ7" s="57">
        <f>IF('TS1'!BJ5&lt;='DB1'!$U$24,'TS1'!$D$7/'DB1'!$U$24,(1-SUM($E$7:BI7)))</f>
        <v>0</v>
      </c>
      <c r="BK7" s="57">
        <f>IF('TS1'!BK5&lt;='DB1'!$U$24,'TS1'!$D$7/'DB1'!$U$24,(1-SUM($E$7:BJ7)))</f>
        <v>0</v>
      </c>
      <c r="BL7" s="57">
        <f>IF('TS1'!BL5&lt;='DB1'!$U$24,'TS1'!$D$7/'DB1'!$U$24,(1-SUM($E$7:BK7)))</f>
        <v>0</v>
      </c>
      <c r="BM7" s="57">
        <f>IF('TS1'!BM5&lt;='DB1'!$U$24,'TS1'!$D$7/'DB1'!$U$24,(1-SUM($E$7:BL7)))</f>
        <v>0</v>
      </c>
    </row>
    <row r="8" spans="2:65">
      <c r="B8" s="55" t="str">
        <f>'DB1'!B32</f>
        <v>СОГЛАСОВАНИЯ</v>
      </c>
      <c r="C8" s="55"/>
      <c r="D8" s="31">
        <v>0.5</v>
      </c>
      <c r="E8" s="55"/>
      <c r="F8" s="57">
        <f>IF('TS1'!F5&lt;='DB1'!$U$24,'TS1'!$D$8/'DB1'!$U$24,(1-$D$8)/SUM($F$11:$BM$11)*F11)</f>
        <v>8.3333333333333329E-2</v>
      </c>
      <c r="G8" s="57">
        <f>IF('TS1'!G5&lt;='DB1'!$U$24,'TS1'!$D$8/'DB1'!$U$24,(1-$D$8)/SUM($F$11:$BM$11)*G11)</f>
        <v>8.3333333333333329E-2</v>
      </c>
      <c r="H8" s="57">
        <f>IF('TS1'!H5&lt;='DB1'!$U$24,'TS1'!$D$8/'DB1'!$U$24,(1-$D$8)/SUM($F$11:$BM$11)*H11)</f>
        <v>8.3333333333333329E-2</v>
      </c>
      <c r="I8" s="57">
        <f>IF('TS1'!I5&lt;='DB1'!$U$24,'TS1'!$D$8/'DB1'!$U$24,(1-$D$8)/SUM($F$11:$BM$11)*I11)</f>
        <v>8.3333333333333329E-2</v>
      </c>
      <c r="J8" s="57">
        <f>IF('TS1'!J5&lt;='DB1'!$U$24,'TS1'!$D$8/'DB1'!$U$24,(1-$D$8)/SUM($F$11:$BM$11)*J11)</f>
        <v>8.3333333333333329E-2</v>
      </c>
      <c r="K8" s="57">
        <f>IF('TS1'!K5&lt;='DB1'!$U$24,'TS1'!$D$8/'DB1'!$U$24,(1-$D$8)/SUM($F$11:$BM$11)*K11)</f>
        <v>8.3333333333333329E-2</v>
      </c>
      <c r="L8" s="57">
        <f>IF('TS1'!L5&lt;='DB1'!$U$24,'TS1'!$D$8/'DB1'!$U$24,(1-$D$8)/SUM($F$11:$BM$11)*L11)</f>
        <v>4.1666666666666664E-2</v>
      </c>
      <c r="M8" s="57">
        <f>IF('TS1'!M5&lt;='DB1'!$U$24,'TS1'!$D$8/'DB1'!$U$24,(1-$D$8)/SUM($F$11:$BM$11)*M11)</f>
        <v>4.1666666666666664E-2</v>
      </c>
      <c r="N8" s="57">
        <f>IF('TS1'!N5&lt;='DB1'!$U$24,'TS1'!$D$8/'DB1'!$U$24,(1-$D$8)/SUM($F$11:$BM$11)*N11)</f>
        <v>4.1666666666666664E-2</v>
      </c>
      <c r="O8" s="57">
        <f>IF('TS1'!O5&lt;='DB1'!$U$24,'TS1'!$D$8/'DB1'!$U$24,(1-$D$8)/SUM($F$11:$BM$11)*O11)</f>
        <v>4.1666666666666664E-2</v>
      </c>
      <c r="P8" s="57">
        <f>IF('TS1'!P5&lt;='DB1'!$U$24,'TS1'!$D$8/'DB1'!$U$24,(1-$D$8)/SUM($F$11:$BM$11)*P11)</f>
        <v>4.1666666666666664E-2</v>
      </c>
      <c r="Q8" s="57">
        <f>IF('TS1'!Q5&lt;='DB1'!$U$24,'TS1'!$D$8/'DB1'!$U$24,(1-$D$8)/SUM($F$11:$BM$11)*Q11)</f>
        <v>4.1666666666666664E-2</v>
      </c>
      <c r="R8" s="57">
        <f>IF('TS1'!R5&lt;='DB1'!$U$24,'TS1'!$D$8/'DB1'!$U$24,(1-$D$8)/SUM($F$11:$BM$11)*R11)</f>
        <v>4.1666666666666664E-2</v>
      </c>
      <c r="S8" s="57">
        <f>IF('TS1'!S5&lt;='DB1'!$U$24,'TS1'!$D$8/'DB1'!$U$24,(1-$D$8)/SUM($F$11:$BM$11)*S11)</f>
        <v>4.1666666666666664E-2</v>
      </c>
      <c r="T8" s="57">
        <f>IF('TS1'!T5&lt;='DB1'!$U$24,'TS1'!$D$8/'DB1'!$U$24,(1-$D$8)/SUM($F$11:$BM$11)*T11)</f>
        <v>4.1666666666666664E-2</v>
      </c>
      <c r="U8" s="57">
        <f>IF('TS1'!U5&lt;='DB1'!$U$24,'TS1'!$D$8/'DB1'!$U$24,(1-$D$8)/SUM($F$11:$BM$11)*U11)</f>
        <v>4.1666666666666664E-2</v>
      </c>
      <c r="V8" s="57">
        <f>IF('TS1'!V5&lt;='DB1'!$U$24,'TS1'!$D$8/'DB1'!$U$24,(1-$D$8)/SUM($F$11:$BM$11)*V11)</f>
        <v>4.1666666666666664E-2</v>
      </c>
      <c r="W8" s="57">
        <f>IF('TS1'!W5&lt;='DB1'!$U$24,'TS1'!$D$8/'DB1'!$U$24,(1-$D$8)/SUM($F$11:$BM$11)*W11)</f>
        <v>4.1666666666666664E-2</v>
      </c>
      <c r="X8" s="57">
        <f>IF('TS1'!X5&lt;='DB1'!$U$24,'TS1'!$D$8/'DB1'!$U$24,(1-$D$8)/SUM($F$11:$BM$11)*X11)</f>
        <v>0</v>
      </c>
      <c r="Y8" s="57">
        <f>IF('TS1'!Y5&lt;='DB1'!$U$24,'TS1'!$D$8/'DB1'!$U$24,(1-$D$8)/SUM($F$11:$BM$11)*Y11)</f>
        <v>0</v>
      </c>
      <c r="Z8" s="57">
        <f>IF('TS1'!Z5&lt;='DB1'!$U$24,'TS1'!$D$8/'DB1'!$U$24,(1-$D$8)/SUM($F$11:$BM$11)*Z11)</f>
        <v>0</v>
      </c>
      <c r="AA8" s="57">
        <f>IF('TS1'!AA5&lt;='DB1'!$U$24,'TS1'!$D$8/'DB1'!$U$24,(1-$D$8)/SUM($F$11:$BM$11)*AA11)</f>
        <v>0</v>
      </c>
      <c r="AB8" s="57">
        <f>IF('TS1'!AB5&lt;='DB1'!$U$24,'TS1'!$D$8/'DB1'!$U$24,(1-$D$8)/SUM($F$11:$BM$11)*AB11)</f>
        <v>0</v>
      </c>
      <c r="AC8" s="57">
        <f>IF('TS1'!AC5&lt;='DB1'!$U$24,'TS1'!$D$8/'DB1'!$U$24,(1-$D$8)/SUM($F$11:$BM$11)*AC11)</f>
        <v>0</v>
      </c>
      <c r="AD8" s="57">
        <f>IF('TS1'!AD5&lt;='DB1'!$U$24,'TS1'!$D$8/'DB1'!$U$24,(1-$D$8)/SUM($F$11:$BM$11)*AD11)</f>
        <v>0</v>
      </c>
      <c r="AE8" s="57">
        <f>IF('TS1'!AE5&lt;='DB1'!$U$24,'TS1'!$D$8/'DB1'!$U$24,(1-$D$8)/SUM($F$11:$BM$11)*AE11)</f>
        <v>0</v>
      </c>
      <c r="AF8" s="57">
        <f>IF('TS1'!AF5&lt;='DB1'!$U$24,'TS1'!$D$8/'DB1'!$U$24,(1-$D$8)/SUM($F$11:$BM$11)*AF11)</f>
        <v>0</v>
      </c>
      <c r="AG8" s="57">
        <f>IF('TS1'!AG5&lt;='DB1'!$U$24,'TS1'!$D$8/'DB1'!$U$24,(1-$D$8)/SUM($F$11:$BM$11)*AG11)</f>
        <v>0</v>
      </c>
      <c r="AH8" s="57">
        <f>IF('TS1'!AH5&lt;='DB1'!$U$24,'TS1'!$D$8/'DB1'!$U$24,(1-$D$8)/SUM($F$11:$BM$11)*AH11)</f>
        <v>0</v>
      </c>
      <c r="AI8" s="57">
        <f>IF('TS1'!AI5&lt;='DB1'!$U$24,'TS1'!$D$8/'DB1'!$U$24,(1-$D$8)/SUM($F$11:$BM$11)*AI11)</f>
        <v>0</v>
      </c>
      <c r="AJ8" s="57">
        <f>IF('TS1'!AJ5&lt;='DB1'!$U$24,'TS1'!$D$8/'DB1'!$U$24,(1-$D$8)/SUM($F$11:$BM$11)*AJ11)</f>
        <v>0</v>
      </c>
      <c r="AK8" s="57">
        <f>IF('TS1'!AK5&lt;='DB1'!$U$24,'TS1'!$D$8/'DB1'!$U$24,(1-$D$8)/SUM($F$11:$BM$11)*AK11)</f>
        <v>0</v>
      </c>
      <c r="AL8" s="57">
        <f>IF('TS1'!AL5&lt;='DB1'!$U$24,'TS1'!$D$8/'DB1'!$U$24,(1-$D$8)/SUM($F$11:$BM$11)*AL11)</f>
        <v>0</v>
      </c>
      <c r="AM8" s="57">
        <f>IF('TS1'!AM5&lt;='DB1'!$U$24,'TS1'!$D$8/'DB1'!$U$24,(1-$D$8)/SUM($F$11:$BM$11)*AM11)</f>
        <v>0</v>
      </c>
      <c r="AN8" s="57">
        <f>IF('TS1'!AN5&lt;='DB1'!$U$24,'TS1'!$D$8/'DB1'!$U$24,(1-$D$8)/SUM($F$11:$BM$11)*AN11)</f>
        <v>0</v>
      </c>
      <c r="AO8" s="57">
        <f>IF('TS1'!AO5&lt;='DB1'!$U$24,'TS1'!$D$8/'DB1'!$U$24,(1-$D$8)/SUM($F$11:$BM$11)*AO11)</f>
        <v>0</v>
      </c>
      <c r="AP8" s="57">
        <f>IF('TS1'!AP5&lt;='DB1'!$U$24,'TS1'!$D$8/'DB1'!$U$24,(1-$D$8)/SUM($F$11:$BM$11)*AP11)</f>
        <v>0</v>
      </c>
      <c r="AQ8" s="57">
        <f>IF('TS1'!AQ5&lt;='DB1'!$U$24,'TS1'!$D$8/'DB1'!$U$24,(1-$D$8)/SUM($F$11:$BM$11)*AQ11)</f>
        <v>0</v>
      </c>
      <c r="AR8" s="57">
        <f>IF('TS1'!AR5&lt;='DB1'!$U$24,'TS1'!$D$8/'DB1'!$U$24,(1-$D$8)/SUM($F$11:$BM$11)*AR11)</f>
        <v>0</v>
      </c>
      <c r="AS8" s="57">
        <f>IF('TS1'!AS5&lt;='DB1'!$U$24,'TS1'!$D$8/'DB1'!$U$24,(1-$D$8)/SUM($F$11:$BM$11)*AS11)</f>
        <v>0</v>
      </c>
      <c r="AT8" s="57">
        <f>IF('TS1'!AT5&lt;='DB1'!$U$24,'TS1'!$D$8/'DB1'!$U$24,(1-$D$8)/SUM($F$11:$BM$11)*AT11)</f>
        <v>0</v>
      </c>
      <c r="AU8" s="57">
        <f>IF('TS1'!AU5&lt;='DB1'!$U$24,'TS1'!$D$8/'DB1'!$U$24,(1-$D$8)/SUM($F$11:$BM$11)*AU11)</f>
        <v>0</v>
      </c>
      <c r="AV8" s="57">
        <f>IF('TS1'!AV5&lt;='DB1'!$U$24,'TS1'!$D$8/'DB1'!$U$24,(1-$D$8)/SUM($F$11:$BM$11)*AV11)</f>
        <v>0</v>
      </c>
      <c r="AW8" s="57">
        <f>IF('TS1'!AW5&lt;='DB1'!$U$24,'TS1'!$D$8/'DB1'!$U$24,(1-$D$8)/SUM($F$11:$BM$11)*AW11)</f>
        <v>0</v>
      </c>
      <c r="AX8" s="57">
        <f>IF('TS1'!AX5&lt;='DB1'!$U$24,'TS1'!$D$8/'DB1'!$U$24,(1-$D$8)/SUM($F$11:$BM$11)*AX11)</f>
        <v>0</v>
      </c>
      <c r="AY8" s="57">
        <f>IF('TS1'!AY5&lt;='DB1'!$U$24,'TS1'!$D$8/'DB1'!$U$24,(1-$D$8)/SUM($F$11:$BM$11)*AY11)</f>
        <v>0</v>
      </c>
      <c r="AZ8" s="57">
        <f>IF('TS1'!AZ5&lt;='DB1'!$U$24,'TS1'!$D$8/'DB1'!$U$24,(1-$D$8)/SUM($F$11:$BM$11)*AZ11)</f>
        <v>0</v>
      </c>
      <c r="BA8" s="57">
        <f>IF('TS1'!BA5&lt;='DB1'!$U$24,'TS1'!$D$8/'DB1'!$U$24,(1-$D$8)/SUM($F$11:$BM$11)*BA11)</f>
        <v>0</v>
      </c>
      <c r="BB8" s="57">
        <f>IF('TS1'!BB5&lt;='DB1'!$U$24,'TS1'!$D$8/'DB1'!$U$24,(1-$D$8)/SUM($F$11:$BM$11)*BB11)</f>
        <v>0</v>
      </c>
      <c r="BC8" s="57">
        <f>IF('TS1'!BC5&lt;='DB1'!$U$24,'TS1'!$D$8/'DB1'!$U$24,(1-$D$8)/SUM($F$11:$BM$11)*BC11)</f>
        <v>0</v>
      </c>
      <c r="BD8" s="57">
        <f>IF('TS1'!BD5&lt;='DB1'!$U$24,'TS1'!$D$8/'DB1'!$U$24,(1-$D$8)/SUM($F$11:$BM$11)*BD11)</f>
        <v>0</v>
      </c>
      <c r="BE8" s="57">
        <f>IF('TS1'!BE5&lt;='DB1'!$U$24,'TS1'!$D$8/'DB1'!$U$24,(1-$D$8)/SUM($F$11:$BM$11)*BE11)</f>
        <v>0</v>
      </c>
      <c r="BF8" s="57">
        <f>IF('TS1'!BF5&lt;='DB1'!$U$24,'TS1'!$D$8/'DB1'!$U$24,(1-$D$8)/SUM($F$11:$BM$11)*BF11)</f>
        <v>0</v>
      </c>
      <c r="BG8" s="57">
        <f>IF('TS1'!BG5&lt;='DB1'!$U$24,'TS1'!$D$8/'DB1'!$U$24,(1-$D$8)/SUM($F$11:$BM$11)*BG11)</f>
        <v>0</v>
      </c>
      <c r="BH8" s="57">
        <f>IF('TS1'!BH5&lt;='DB1'!$U$24,'TS1'!$D$8/'DB1'!$U$24,(1-$D$8)/SUM($F$11:$BM$11)*BH11)</f>
        <v>0</v>
      </c>
      <c r="BI8" s="57">
        <f>IF('TS1'!BI5&lt;='DB1'!$U$24,'TS1'!$D$8/'DB1'!$U$24,(1-$D$8)/SUM($F$11:$BM$11)*BI11)</f>
        <v>0</v>
      </c>
      <c r="BJ8" s="57">
        <f>IF('TS1'!BJ5&lt;='DB1'!$U$24,'TS1'!$D$8/'DB1'!$U$24,(1-$D$8)/SUM($F$11:$BM$11)*BJ11)</f>
        <v>0</v>
      </c>
      <c r="BK8" s="57">
        <f>IF('TS1'!BK5&lt;='DB1'!$U$24,'TS1'!$D$8/'DB1'!$U$24,(1-$D$8)/SUM($F$11:$BM$11)*BK11)</f>
        <v>0</v>
      </c>
      <c r="BL8" s="57">
        <f>IF('TS1'!BL5&lt;='DB1'!$U$24,'TS1'!$D$8/'DB1'!$U$24,(1-$D$8)/SUM($F$11:$BM$11)*BL11)</f>
        <v>0</v>
      </c>
      <c r="BM8" s="57">
        <f>IF('TS1'!BM5&lt;='DB1'!$U$24,'TS1'!$D$8/'DB1'!$U$24,(1-$D$8)/SUM($F$11:$BM$11)*BM11)</f>
        <v>0</v>
      </c>
    </row>
    <row r="9" spans="2:65">
      <c r="B9" s="55" t="s">
        <v>246</v>
      </c>
      <c r="C9" s="55"/>
      <c r="D9" s="55"/>
      <c r="E9" s="55"/>
      <c r="F9" s="57">
        <f>IF(G4="РнС",1,0)</f>
        <v>0</v>
      </c>
      <c r="G9" s="57">
        <f t="shared" ref="G9:BM9" si="0">IF(H4="РнС",1,0)</f>
        <v>0</v>
      </c>
      <c r="H9" s="57">
        <f t="shared" si="0"/>
        <v>0</v>
      </c>
      <c r="I9" s="57">
        <f t="shared" si="0"/>
        <v>0</v>
      </c>
      <c r="J9" s="57">
        <f t="shared" si="0"/>
        <v>0</v>
      </c>
      <c r="K9" s="57">
        <f t="shared" si="0"/>
        <v>1</v>
      </c>
      <c r="L9" s="57">
        <f t="shared" si="0"/>
        <v>0</v>
      </c>
      <c r="M9" s="57">
        <f t="shared" si="0"/>
        <v>0</v>
      </c>
      <c r="N9" s="57">
        <f t="shared" si="0"/>
        <v>0</v>
      </c>
      <c r="O9" s="57">
        <f t="shared" si="0"/>
        <v>0</v>
      </c>
      <c r="P9" s="57">
        <f t="shared" si="0"/>
        <v>0</v>
      </c>
      <c r="Q9" s="57">
        <f t="shared" si="0"/>
        <v>0</v>
      </c>
      <c r="R9" s="57">
        <f t="shared" si="0"/>
        <v>0</v>
      </c>
      <c r="S9" s="57">
        <f t="shared" si="0"/>
        <v>0</v>
      </c>
      <c r="T9" s="57">
        <f t="shared" si="0"/>
        <v>0</v>
      </c>
      <c r="U9" s="57">
        <f t="shared" si="0"/>
        <v>0</v>
      </c>
      <c r="V9" s="57">
        <f t="shared" si="0"/>
        <v>0</v>
      </c>
      <c r="W9" s="57">
        <f t="shared" si="0"/>
        <v>0</v>
      </c>
      <c r="X9" s="57">
        <f t="shared" si="0"/>
        <v>0</v>
      </c>
      <c r="Y9" s="57">
        <f t="shared" si="0"/>
        <v>0</v>
      </c>
      <c r="Z9" s="57">
        <f t="shared" si="0"/>
        <v>0</v>
      </c>
      <c r="AA9" s="57">
        <f t="shared" si="0"/>
        <v>0</v>
      </c>
      <c r="AB9" s="57">
        <f t="shared" si="0"/>
        <v>0</v>
      </c>
      <c r="AC9" s="57">
        <f t="shared" si="0"/>
        <v>0</v>
      </c>
      <c r="AD9" s="57">
        <f t="shared" si="0"/>
        <v>0</v>
      </c>
      <c r="AE9" s="57">
        <f t="shared" si="0"/>
        <v>0</v>
      </c>
      <c r="AF9" s="57">
        <f t="shared" si="0"/>
        <v>0</v>
      </c>
      <c r="AG9" s="57">
        <f t="shared" si="0"/>
        <v>0</v>
      </c>
      <c r="AH9" s="57">
        <f t="shared" si="0"/>
        <v>0</v>
      </c>
      <c r="AI9" s="57">
        <f t="shared" si="0"/>
        <v>0</v>
      </c>
      <c r="AJ9" s="57">
        <f t="shared" si="0"/>
        <v>0</v>
      </c>
      <c r="AK9" s="57">
        <f t="shared" si="0"/>
        <v>0</v>
      </c>
      <c r="AL9" s="57">
        <f t="shared" si="0"/>
        <v>0</v>
      </c>
      <c r="AM9" s="57">
        <f t="shared" si="0"/>
        <v>0</v>
      </c>
      <c r="AN9" s="57">
        <f t="shared" si="0"/>
        <v>0</v>
      </c>
      <c r="AO9" s="57">
        <f t="shared" si="0"/>
        <v>0</v>
      </c>
      <c r="AP9" s="57">
        <f t="shared" si="0"/>
        <v>0</v>
      </c>
      <c r="AQ9" s="57">
        <f t="shared" si="0"/>
        <v>0</v>
      </c>
      <c r="AR9" s="57">
        <f t="shared" si="0"/>
        <v>0</v>
      </c>
      <c r="AS9" s="57">
        <f t="shared" si="0"/>
        <v>0</v>
      </c>
      <c r="AT9" s="57">
        <f t="shared" si="0"/>
        <v>0</v>
      </c>
      <c r="AU9" s="57">
        <f t="shared" si="0"/>
        <v>0</v>
      </c>
      <c r="AV9" s="57">
        <f t="shared" si="0"/>
        <v>0</v>
      </c>
      <c r="AW9" s="57">
        <f t="shared" si="0"/>
        <v>0</v>
      </c>
      <c r="AX9" s="57">
        <f t="shared" si="0"/>
        <v>0</v>
      </c>
      <c r="AY9" s="57">
        <f t="shared" si="0"/>
        <v>0</v>
      </c>
      <c r="AZ9" s="57">
        <f t="shared" si="0"/>
        <v>0</v>
      </c>
      <c r="BA9" s="57">
        <f t="shared" si="0"/>
        <v>0</v>
      </c>
      <c r="BB9" s="57">
        <f t="shared" si="0"/>
        <v>0</v>
      </c>
      <c r="BC9" s="57">
        <f t="shared" si="0"/>
        <v>0</v>
      </c>
      <c r="BD9" s="57">
        <f t="shared" si="0"/>
        <v>0</v>
      </c>
      <c r="BE9" s="57">
        <f t="shared" si="0"/>
        <v>0</v>
      </c>
      <c r="BF9" s="57">
        <f t="shared" si="0"/>
        <v>0</v>
      </c>
      <c r="BG9" s="57">
        <f t="shared" si="0"/>
        <v>0</v>
      </c>
      <c r="BH9" s="57">
        <f t="shared" si="0"/>
        <v>0</v>
      </c>
      <c r="BI9" s="57">
        <f t="shared" si="0"/>
        <v>0</v>
      </c>
      <c r="BJ9" s="57">
        <f t="shared" si="0"/>
        <v>0</v>
      </c>
      <c r="BK9" s="57">
        <f t="shared" si="0"/>
        <v>0</v>
      </c>
      <c r="BL9" s="57">
        <f t="shared" si="0"/>
        <v>0</v>
      </c>
      <c r="BM9" s="57">
        <f t="shared" si="0"/>
        <v>0</v>
      </c>
    </row>
    <row r="10" spans="2:65">
      <c r="B10" s="55" t="str">
        <f>'DB1'!B38</f>
        <v>СОДЕРЖАНИЕ ПЛОЩАДКИ</v>
      </c>
      <c r="C10" s="55"/>
      <c r="D10" s="55"/>
      <c r="E10" s="55"/>
      <c r="F10" s="57">
        <f>IF('TS1'!F5='DB1'!$U$24,50%,IF(E10&gt;0,(1-SUM($E$10:E10)),0))</f>
        <v>0</v>
      </c>
      <c r="G10" s="57">
        <f>IF('TS1'!G5='DB1'!$U$24,50%,IF(F10&gt;0,(1-SUM($E$10:F10)),0))</f>
        <v>0</v>
      </c>
      <c r="H10" s="57">
        <f>IF('TS1'!H5='DB1'!$U$24,50%,IF(G10&gt;0,(1-SUM($E$10:G10)),0))</f>
        <v>0</v>
      </c>
      <c r="I10" s="57">
        <f>IF('TS1'!I5='DB1'!$U$24,50%,IF(H10&gt;0,(1-SUM($E$10:H10)),0))</f>
        <v>0</v>
      </c>
      <c r="J10" s="57">
        <f>IF('TS1'!J5='DB1'!$U$24,50%,IF(I10&gt;0,(1-SUM($E$10:I10)),0))</f>
        <v>0</v>
      </c>
      <c r="K10" s="57">
        <f>IF('TS1'!K5='DB1'!$U$24,50%,IF(J10&gt;0,(1-SUM($E$10:J10)),0))</f>
        <v>0.5</v>
      </c>
      <c r="L10" s="57">
        <f>IF('TS1'!L5='DB1'!$U$24,50%,IF(K10&gt;0,(1-SUM($E$10:K10)),0))</f>
        <v>0.5</v>
      </c>
      <c r="M10" s="57">
        <f>IF('TS1'!M5='DB1'!$U$24,50%,IF(L10&gt;0,(1-SUM($E$10:L10)),0))</f>
        <v>0</v>
      </c>
      <c r="N10" s="57">
        <f>IF('TS1'!N5='DB1'!$U$24,50%,IF(M10&gt;0,(1-SUM($E$10:M10)),0))</f>
        <v>0</v>
      </c>
      <c r="O10" s="57">
        <f>IF('TS1'!O5='DB1'!$U$24,50%,IF(N10&gt;0,(1-SUM($E$10:N10)),0))</f>
        <v>0</v>
      </c>
      <c r="P10" s="57">
        <f>IF('TS1'!P5='DB1'!$U$24,50%,IF(O10&gt;0,(1-SUM($E$10:O10)),0))</f>
        <v>0</v>
      </c>
      <c r="Q10" s="57">
        <f>IF('TS1'!Q5='DB1'!$U$24,50%,IF(P10&gt;0,(1-SUM($E$10:P10)),0))</f>
        <v>0</v>
      </c>
      <c r="R10" s="57">
        <f>IF('TS1'!R5='DB1'!$U$24,50%,IF(Q10&gt;0,(1-SUM($E$10:Q10)),0))</f>
        <v>0</v>
      </c>
      <c r="S10" s="57">
        <f>IF('TS1'!S5='DB1'!$U$24,50%,IF(R10&gt;0,(1-SUM($E$10:R10)),0))</f>
        <v>0</v>
      </c>
      <c r="T10" s="57">
        <f>IF('TS1'!T5='DB1'!$U$24,50%,IF(S10&gt;0,(1-SUM($E$10:S10)),0))</f>
        <v>0</v>
      </c>
      <c r="U10" s="57">
        <f>IF('TS1'!U5='DB1'!$U$24,50%,IF(T10&gt;0,(1-SUM($E$10:T10)),0))</f>
        <v>0</v>
      </c>
      <c r="V10" s="57">
        <f>IF('TS1'!V5='DB1'!$U$24,50%,IF(U10&gt;0,(1-SUM($E$10:U10)),0))</f>
        <v>0</v>
      </c>
      <c r="W10" s="57">
        <f>IF('TS1'!W5='DB1'!$U$24,50%,IF(V10&gt;0,(1-SUM($E$10:V10)),0))</f>
        <v>0</v>
      </c>
      <c r="X10" s="57">
        <f>IF('TS1'!X5='DB1'!$U$24,50%,IF(W10&gt;0,(1-SUM($E$10:W10)),0))</f>
        <v>0</v>
      </c>
      <c r="Y10" s="57">
        <f>IF('TS1'!Y5='DB1'!$U$24,50%,IF(X10&gt;0,(1-SUM($E$10:X10)),0))</f>
        <v>0</v>
      </c>
      <c r="Z10" s="57">
        <f>IF('TS1'!Z5='DB1'!$U$24,50%,IF(Y10&gt;0,(1-SUM($E$10:Y10)),0))</f>
        <v>0</v>
      </c>
      <c r="AA10" s="57">
        <f>IF('TS1'!AA5='DB1'!$U$24,50%,IF(Z10&gt;0,(1-SUM($E$10:Z10)),0))</f>
        <v>0</v>
      </c>
      <c r="AB10" s="57">
        <f>IF('TS1'!AB5='DB1'!$U$24,50%,IF(AA10&gt;0,(1-SUM($E$10:AA10)),0))</f>
        <v>0</v>
      </c>
      <c r="AC10" s="57">
        <f>IF('TS1'!AC5='DB1'!$U$24,50%,IF(AB10&gt;0,(1-SUM($E$10:AB10)),0))</f>
        <v>0</v>
      </c>
      <c r="AD10" s="57">
        <f>IF('TS1'!AD5='DB1'!$U$24,50%,IF(AC10&gt;0,(1-SUM($E$10:AC10)),0))</f>
        <v>0</v>
      </c>
      <c r="AE10" s="57">
        <f>IF('TS1'!AE5='DB1'!$U$24,50%,IF(AD10&gt;0,(1-SUM($E$10:AD10)),0))</f>
        <v>0</v>
      </c>
      <c r="AF10" s="57">
        <f>IF('TS1'!AF5='DB1'!$U$24,50%,IF(AE10&gt;0,(1-SUM($E$10:AE10)),0))</f>
        <v>0</v>
      </c>
      <c r="AG10" s="57">
        <f>IF('TS1'!AG5='DB1'!$U$24,50%,IF(AF10&gt;0,(1-SUM($E$10:AF10)),0))</f>
        <v>0</v>
      </c>
      <c r="AH10" s="57">
        <f>IF('TS1'!AH5='DB1'!$U$24,50%,IF(AG10&gt;0,(1-SUM($E$10:AG10)),0))</f>
        <v>0</v>
      </c>
      <c r="AI10" s="57">
        <f>IF('TS1'!AI5='DB1'!$U$24,50%,IF(AH10&gt;0,(1-SUM($E$10:AH10)),0))</f>
        <v>0</v>
      </c>
      <c r="AJ10" s="57">
        <f>IF('TS1'!AJ5='DB1'!$U$24,50%,IF(AI10&gt;0,(1-SUM($E$10:AI10)),0))</f>
        <v>0</v>
      </c>
      <c r="AK10" s="57">
        <f>IF('TS1'!AK5='DB1'!$U$24,50%,IF(AJ10&gt;0,(1-SUM($E$10:AJ10)),0))</f>
        <v>0</v>
      </c>
      <c r="AL10" s="57">
        <f>IF('TS1'!AL5='DB1'!$U$24,50%,IF(AK10&gt;0,(1-SUM($E$10:AK10)),0))</f>
        <v>0</v>
      </c>
      <c r="AM10" s="57">
        <f>IF('TS1'!AM5='DB1'!$U$24,50%,IF(AL10&gt;0,(1-SUM($E$10:AL10)),0))</f>
        <v>0</v>
      </c>
      <c r="AN10" s="57">
        <f>IF('TS1'!AN5='DB1'!$U$24,50%,IF(AM10&gt;0,(1-SUM($E$10:AM10)),0))</f>
        <v>0</v>
      </c>
      <c r="AO10" s="57">
        <f>IF('TS1'!AO5='DB1'!$U$24,50%,IF(AN10&gt;0,(1-SUM($E$10:AN10)),0))</f>
        <v>0</v>
      </c>
      <c r="AP10" s="57">
        <f>IF('TS1'!AP5='DB1'!$U$24,50%,IF(AO10&gt;0,(1-SUM($E$10:AO10)),0))</f>
        <v>0</v>
      </c>
      <c r="AQ10" s="57">
        <f>IF('TS1'!AQ5='DB1'!$U$24,50%,IF(AP10&gt;0,(1-SUM($E$10:AP10)),0))</f>
        <v>0</v>
      </c>
      <c r="AR10" s="57">
        <f>IF('TS1'!AR5='DB1'!$U$24,50%,IF(AQ10&gt;0,(1-SUM($E$10:AQ10)),0))</f>
        <v>0</v>
      </c>
      <c r="AS10" s="57">
        <f>IF('TS1'!AS5='DB1'!$U$24,50%,IF(AR10&gt;0,(1-SUM($E$10:AR10)),0))</f>
        <v>0</v>
      </c>
      <c r="AT10" s="57">
        <f>IF('TS1'!AT5='DB1'!$U$24,50%,IF(AS10&gt;0,(1-SUM($E$10:AS10)),0))</f>
        <v>0</v>
      </c>
      <c r="AU10" s="57">
        <f>IF('TS1'!AU5='DB1'!$U$24,50%,IF(AT10&gt;0,(1-SUM($E$10:AT10)),0))</f>
        <v>0</v>
      </c>
      <c r="AV10" s="57">
        <f>IF('TS1'!AV5='DB1'!$U$24,50%,IF(AU10&gt;0,(1-SUM($E$10:AU10)),0))</f>
        <v>0</v>
      </c>
      <c r="AW10" s="57">
        <f>IF('TS1'!AW5='DB1'!$U$24,50%,IF(AV10&gt;0,(1-SUM($E$10:AV10)),0))</f>
        <v>0</v>
      </c>
      <c r="AX10" s="57">
        <f>IF('TS1'!AX5='DB1'!$U$24,50%,IF(AW10&gt;0,(1-SUM($E$10:AW10)),0))</f>
        <v>0</v>
      </c>
      <c r="AY10" s="57">
        <f>IF('TS1'!AY5='DB1'!$U$24,50%,IF(AX10&gt;0,(1-SUM($E$10:AX10)),0))</f>
        <v>0</v>
      </c>
      <c r="AZ10" s="57">
        <f>IF('TS1'!AZ5='DB1'!$U$24,50%,IF(AY10&gt;0,(1-SUM($E$10:AY10)),0))</f>
        <v>0</v>
      </c>
      <c r="BA10" s="57">
        <f>IF('TS1'!BA5='DB1'!$U$24,50%,IF(AZ10&gt;0,(1-SUM($E$10:AZ10)),0))</f>
        <v>0</v>
      </c>
      <c r="BB10" s="57">
        <f>IF('TS1'!BB5='DB1'!$U$24,50%,IF(BA10&gt;0,(1-SUM($E$10:BA10)),0))</f>
        <v>0</v>
      </c>
      <c r="BC10" s="57">
        <f>IF('TS1'!BC5='DB1'!$U$24,50%,IF(BB10&gt;0,(1-SUM($E$10:BB10)),0))</f>
        <v>0</v>
      </c>
      <c r="BD10" s="57">
        <f>IF('TS1'!BD5='DB1'!$U$24,50%,IF(BC10&gt;0,(1-SUM($E$10:BC10)),0))</f>
        <v>0</v>
      </c>
      <c r="BE10" s="57">
        <f>IF('TS1'!BE5='DB1'!$U$24,50%,IF(BD10&gt;0,(1-SUM($E$10:BD10)),0))</f>
        <v>0</v>
      </c>
      <c r="BF10" s="57">
        <f>IF('TS1'!BF5='DB1'!$U$24,50%,IF(BE10&gt;0,(1-SUM($E$10:BE10)),0))</f>
        <v>0</v>
      </c>
      <c r="BG10" s="57">
        <f>IF('TS1'!BG5='DB1'!$U$24,50%,IF(BF10&gt;0,(1-SUM($E$10:BF10)),0))</f>
        <v>0</v>
      </c>
      <c r="BH10" s="57">
        <f>IF('TS1'!BH5='DB1'!$U$24,50%,IF(BG10&gt;0,(1-SUM($E$10:BG10)),0))</f>
        <v>0</v>
      </c>
      <c r="BI10" s="57">
        <f>IF('TS1'!BI5='DB1'!$U$24,50%,IF(BH10&gt;0,(1-SUM($E$10:BH10)),0))</f>
        <v>0</v>
      </c>
      <c r="BJ10" s="57">
        <f>IF('TS1'!BJ5='DB1'!$U$24,50%,IF(BI10&gt;0,(1-SUM($E$10:BI10)),0))</f>
        <v>0</v>
      </c>
      <c r="BK10" s="57">
        <f>IF('TS1'!BK5='DB1'!$U$24,50%,IF(BJ10&gt;0,(1-SUM($E$10:BJ10)),0))</f>
        <v>0</v>
      </c>
      <c r="BL10" s="57">
        <f>IF('TS1'!BL5='DB1'!$U$24,50%,IF(BK10&gt;0,(1-SUM($E$10:BK10)),0))</f>
        <v>0</v>
      </c>
      <c r="BM10" s="57">
        <f>IF('TS1'!BM5='DB1'!$U$24,50%,IF(BL10&gt;0,(1-SUM($E$10:BL10)),0))</f>
        <v>0</v>
      </c>
    </row>
    <row r="11" spans="2:65">
      <c r="B11" s="55" t="str">
        <f>'DB1'!B33</f>
        <v>СМР жилье</v>
      </c>
      <c r="C11" s="55"/>
      <c r="D11" s="55"/>
      <c r="E11" s="55"/>
      <c r="F11" s="57">
        <f>IF(AND(F5&gt;'DB1'!$U$24,F5&lt;=('DB1'!$U$24+'DB1'!$U$26)),1/'DB1'!$U$26,0)</f>
        <v>0</v>
      </c>
      <c r="G11" s="57">
        <f>IF(AND(G5&gt;'DB1'!$U$24,G5&lt;=('DB1'!$U$24+'DB1'!$U$26)),1/'DB1'!$U$26,0)</f>
        <v>0</v>
      </c>
      <c r="H11" s="57">
        <f>IF(AND(H5&gt;'DB1'!$U$24,H5&lt;=('DB1'!$U$24+'DB1'!$U$26)),1/'DB1'!$U$26,0)</f>
        <v>0</v>
      </c>
      <c r="I11" s="57">
        <f>IF(AND(I5&gt;'DB1'!$U$24,I5&lt;=('DB1'!$U$24+'DB1'!$U$26)),1/'DB1'!$U$26,0)</f>
        <v>0</v>
      </c>
      <c r="J11" s="57">
        <f>IF(AND(J5&gt;'DB1'!$U$24,J5&lt;=('DB1'!$U$24+'DB1'!$U$26)),1/'DB1'!$U$26,0)</f>
        <v>0</v>
      </c>
      <c r="K11" s="57">
        <f>IF(AND(K5&gt;'DB1'!$U$24,K5&lt;=('DB1'!$U$24+'DB1'!$U$26)),1/'DB1'!$U$26,0)</f>
        <v>0</v>
      </c>
      <c r="L11" s="57">
        <f>IF(AND(L5&gt;'DB1'!$U$24,L5&lt;=('DB1'!$U$24+'DB1'!$U$26)),1/'DB1'!$U$26,0)</f>
        <v>8.3333333333333329E-2</v>
      </c>
      <c r="M11" s="57">
        <f>IF(AND(M5&gt;'DB1'!$U$24,M5&lt;=('DB1'!$U$24+'DB1'!$U$26)),1/'DB1'!$U$26,0)</f>
        <v>8.3333333333333329E-2</v>
      </c>
      <c r="N11" s="57">
        <f>IF(AND(N5&gt;'DB1'!$U$24,N5&lt;=('DB1'!$U$24+'DB1'!$U$26)),1/'DB1'!$U$26,0)</f>
        <v>8.3333333333333329E-2</v>
      </c>
      <c r="O11" s="57">
        <f>IF(AND(O5&gt;'DB1'!$U$24,O5&lt;=('DB1'!$U$24+'DB1'!$U$26)),1/'DB1'!$U$26,0)</f>
        <v>8.3333333333333329E-2</v>
      </c>
      <c r="P11" s="57">
        <f>IF(AND(P5&gt;'DB1'!$U$24,P5&lt;=('DB1'!$U$24+'DB1'!$U$26)),1/'DB1'!$U$26,0)</f>
        <v>8.3333333333333329E-2</v>
      </c>
      <c r="Q11" s="57">
        <f>IF(AND(Q5&gt;'DB1'!$U$24,Q5&lt;=('DB1'!$U$24+'DB1'!$U$26)),1/'DB1'!$U$26,0)</f>
        <v>8.3333333333333329E-2</v>
      </c>
      <c r="R11" s="57">
        <f>IF(AND(R5&gt;'DB1'!$U$24,R5&lt;=('DB1'!$U$24+'DB1'!$U$26)),1/'DB1'!$U$26,0)</f>
        <v>8.3333333333333329E-2</v>
      </c>
      <c r="S11" s="57">
        <f>IF(AND(S5&gt;'DB1'!$U$24,S5&lt;=('DB1'!$U$24+'DB1'!$U$26)),1/'DB1'!$U$26,0)</f>
        <v>8.3333333333333329E-2</v>
      </c>
      <c r="T11" s="57">
        <f>IF(AND(T5&gt;'DB1'!$U$24,T5&lt;=('DB1'!$U$24+'DB1'!$U$26)),1/'DB1'!$U$26,0)</f>
        <v>8.3333333333333329E-2</v>
      </c>
      <c r="U11" s="57">
        <f>IF(AND(U5&gt;'DB1'!$U$24,U5&lt;=('DB1'!$U$24+'DB1'!$U$26)),1/'DB1'!$U$26,0)</f>
        <v>8.3333333333333329E-2</v>
      </c>
      <c r="V11" s="57">
        <f>IF(AND(V5&gt;'DB1'!$U$24,V5&lt;=('DB1'!$U$24+'DB1'!$U$26)),1/'DB1'!$U$26,0)</f>
        <v>8.3333333333333329E-2</v>
      </c>
      <c r="W11" s="57">
        <f>IF(AND(W5&gt;'DB1'!$U$24,W5&lt;=('DB1'!$U$24+'DB1'!$U$26)),1/'DB1'!$U$26,0)</f>
        <v>8.3333333333333329E-2</v>
      </c>
      <c r="X11" s="57">
        <f>IF(AND(X5&gt;'DB1'!$U$24,X5&lt;=('DB1'!$U$24+'DB1'!$U$26)),1/'DB1'!$U$26,0)</f>
        <v>0</v>
      </c>
      <c r="Y11" s="57">
        <f>IF(AND(Y5&gt;'DB1'!$U$24,Y5&lt;=('DB1'!$U$24+'DB1'!$U$26)),1/'DB1'!$U$26,0)</f>
        <v>0</v>
      </c>
      <c r="Z11" s="57">
        <f>IF(AND(Z5&gt;'DB1'!$U$24,Z5&lt;=('DB1'!$U$24+'DB1'!$U$26)),1/'DB1'!$U$26,0)</f>
        <v>0</v>
      </c>
      <c r="AA11" s="57">
        <f>IF(AND(AA5&gt;'DB1'!$U$24,AA5&lt;=('DB1'!$U$24+'DB1'!$U$26)),1/'DB1'!$U$26,0)</f>
        <v>0</v>
      </c>
      <c r="AB11" s="57">
        <f>IF(AND(AB5&gt;'DB1'!$U$24,AB5&lt;=('DB1'!$U$24+'DB1'!$U$26)),1/'DB1'!$U$26,0)</f>
        <v>0</v>
      </c>
      <c r="AC11" s="57">
        <f>IF(AND(AC5&gt;'DB1'!$U$24,AC5&lt;=('DB1'!$U$24+'DB1'!$U$26)),1/'DB1'!$U$26,0)</f>
        <v>0</v>
      </c>
      <c r="AD11" s="57">
        <f>IF(AND(AD5&gt;'DB1'!$U$24,AD5&lt;=('DB1'!$U$24+'DB1'!$U$26)),1/'DB1'!$U$26,0)</f>
        <v>0</v>
      </c>
      <c r="AE11" s="57">
        <f>IF(AND(AE5&gt;'DB1'!$U$24,AE5&lt;=('DB1'!$U$24+'DB1'!$U$26)),1/'DB1'!$U$26,0)</f>
        <v>0</v>
      </c>
      <c r="AF11" s="57">
        <f>IF(AND(AF5&gt;'DB1'!$U$24,AF5&lt;=('DB1'!$U$24+'DB1'!$U$26)),1/'DB1'!$U$26,0)</f>
        <v>0</v>
      </c>
      <c r="AG11" s="57">
        <f>IF(AND(AG5&gt;'DB1'!$U$24,AG5&lt;=('DB1'!$U$24+'DB1'!$U$26)),1/'DB1'!$U$26,0)</f>
        <v>0</v>
      </c>
      <c r="AH11" s="57">
        <f>IF(AND(AH5&gt;'DB1'!$U$24,AH5&lt;=('DB1'!$U$24+'DB1'!$U$26)),1/'DB1'!$U$26,0)</f>
        <v>0</v>
      </c>
      <c r="AI11" s="57">
        <f>IF(AND(AI5&gt;'DB1'!$U$24,AI5&lt;=('DB1'!$U$24+'DB1'!$U$26)),1/'DB1'!$U$26,0)</f>
        <v>0</v>
      </c>
      <c r="AJ11" s="57">
        <f>IF(AND(AJ5&gt;'DB1'!$U$24,AJ5&lt;=('DB1'!$U$24+'DB1'!$U$26)),1/'DB1'!$U$26,0)</f>
        <v>0</v>
      </c>
      <c r="AK11" s="57">
        <f>IF(AND(AK5&gt;'DB1'!$U$24,AK5&lt;=('DB1'!$U$24+'DB1'!$U$26)),1/'DB1'!$U$26,0)</f>
        <v>0</v>
      </c>
      <c r="AL11" s="57">
        <f>IF(AND(AL5&gt;'DB1'!$U$24,AL5&lt;=('DB1'!$U$24+'DB1'!$U$26)),1/'DB1'!$U$26,0)</f>
        <v>0</v>
      </c>
      <c r="AM11" s="57">
        <f>IF(AND(AM5&gt;'DB1'!$U$24,AM5&lt;=('DB1'!$U$24+'DB1'!$U$26)),1/'DB1'!$U$26,0)</f>
        <v>0</v>
      </c>
      <c r="AN11" s="57">
        <f>IF(AND(AN5&gt;'DB1'!$U$24,AN5&lt;=('DB1'!$U$24+'DB1'!$U$26)),1/'DB1'!$U$26,0)</f>
        <v>0</v>
      </c>
      <c r="AO11" s="57">
        <f>IF(AND(AO5&gt;'DB1'!$U$24,AO5&lt;=('DB1'!$U$24+'DB1'!$U$26)),1/'DB1'!$U$26,0)</f>
        <v>0</v>
      </c>
      <c r="AP11" s="57">
        <f>IF(AND(AP5&gt;'DB1'!$U$24,AP5&lt;=('DB1'!$U$24+'DB1'!$U$26)),1/'DB1'!$U$26,0)</f>
        <v>0</v>
      </c>
      <c r="AQ11" s="57">
        <f>IF(AND(AQ5&gt;'DB1'!$U$24,AQ5&lt;=('DB1'!$U$24+'DB1'!$U$26)),1/'DB1'!$U$26,0)</f>
        <v>0</v>
      </c>
      <c r="AR11" s="57">
        <f>IF(AND(AR5&gt;'DB1'!$U$24,AR5&lt;=('DB1'!$U$24+'DB1'!$U$26)),1/'DB1'!$U$26,0)</f>
        <v>0</v>
      </c>
      <c r="AS11" s="57">
        <f>IF(AND(AS5&gt;'DB1'!$U$24,AS5&lt;=('DB1'!$U$24+'DB1'!$U$26)),1/'DB1'!$U$26,0)</f>
        <v>0</v>
      </c>
      <c r="AT11" s="57">
        <f>IF(AND(AT5&gt;'DB1'!$U$24,AT5&lt;=('DB1'!$U$24+'DB1'!$U$26)),1/'DB1'!$U$26,0)</f>
        <v>0</v>
      </c>
      <c r="AU11" s="57">
        <f>IF(AND(AU5&gt;'DB1'!$U$24,AU5&lt;=('DB1'!$U$24+'DB1'!$U$26)),1/'DB1'!$U$26,0)</f>
        <v>0</v>
      </c>
      <c r="AV11" s="57">
        <f>IF(AND(AV5&gt;'DB1'!$U$24,AV5&lt;=('DB1'!$U$24+'DB1'!$U$26)),1/'DB1'!$U$26,0)</f>
        <v>0</v>
      </c>
      <c r="AW11" s="57">
        <f>IF(AND(AW5&gt;'DB1'!$U$24,AW5&lt;=('DB1'!$U$24+'DB1'!$U$26)),1/'DB1'!$U$26,0)</f>
        <v>0</v>
      </c>
      <c r="AX11" s="57">
        <f>IF(AND(AX5&gt;'DB1'!$U$24,AX5&lt;=('DB1'!$U$24+'DB1'!$U$26)),1/'DB1'!$U$26,0)</f>
        <v>0</v>
      </c>
      <c r="AY11" s="57">
        <f>IF(AND(AY5&gt;'DB1'!$U$24,AY5&lt;=('DB1'!$U$24+'DB1'!$U$26)),1/'DB1'!$U$26,0)</f>
        <v>0</v>
      </c>
      <c r="AZ11" s="57">
        <f>IF(AND(AZ5&gt;'DB1'!$U$24,AZ5&lt;=('DB1'!$U$24+'DB1'!$U$26)),1/'DB1'!$U$26,0)</f>
        <v>0</v>
      </c>
      <c r="BA11" s="57">
        <f>IF(AND(BA5&gt;'DB1'!$U$24,BA5&lt;=('DB1'!$U$24+'DB1'!$U$26)),1/'DB1'!$U$26,0)</f>
        <v>0</v>
      </c>
      <c r="BB11" s="57">
        <f>IF(AND(BB5&gt;'DB1'!$U$24,BB5&lt;=('DB1'!$U$24+'DB1'!$U$26)),1/'DB1'!$U$26,0)</f>
        <v>0</v>
      </c>
      <c r="BC11" s="57">
        <f>IF(AND(BC5&gt;'DB1'!$U$24,BC5&lt;=('DB1'!$U$24+'DB1'!$U$26)),1/'DB1'!$U$26,0)</f>
        <v>0</v>
      </c>
      <c r="BD11" s="57">
        <f>IF(AND(BD5&gt;'DB1'!$U$24,BD5&lt;=('DB1'!$U$24+'DB1'!$U$26)),1/'DB1'!$U$26,0)</f>
        <v>0</v>
      </c>
      <c r="BE11" s="57">
        <f>IF(AND(BE5&gt;'DB1'!$U$24,BE5&lt;=('DB1'!$U$24+'DB1'!$U$26)),1/'DB1'!$U$26,0)</f>
        <v>0</v>
      </c>
      <c r="BF11" s="57">
        <f>IF(AND(BF5&gt;'DB1'!$U$24,BF5&lt;=('DB1'!$U$24+'DB1'!$U$26)),1/'DB1'!$U$26,0)</f>
        <v>0</v>
      </c>
      <c r="BG11" s="57">
        <f>IF(AND(BG5&gt;'DB1'!$U$24,BG5&lt;=('DB1'!$U$24+'DB1'!$U$26)),1/'DB1'!$U$26,0)</f>
        <v>0</v>
      </c>
      <c r="BH11" s="57">
        <f>IF(AND(BH5&gt;'DB1'!$U$24,BH5&lt;=('DB1'!$U$24+'DB1'!$U$26)),1/'DB1'!$U$26,0)</f>
        <v>0</v>
      </c>
      <c r="BI11" s="57">
        <f>IF(AND(BI5&gt;'DB1'!$U$24,BI5&lt;=('DB1'!$U$24+'DB1'!$U$26)),1/'DB1'!$U$26,0)</f>
        <v>0</v>
      </c>
      <c r="BJ11" s="57">
        <f>IF(AND(BJ5&gt;'DB1'!$U$24,BJ5&lt;=('DB1'!$U$24+'DB1'!$U$26)),1/'DB1'!$U$26,0)</f>
        <v>0</v>
      </c>
      <c r="BK11" s="57">
        <f>IF(AND(BK5&gt;'DB1'!$U$24,BK5&lt;=('DB1'!$U$24+'DB1'!$U$26)),1/'DB1'!$U$26,0)</f>
        <v>0</v>
      </c>
      <c r="BL11" s="57">
        <f>IF(AND(BL5&gt;'DB1'!$U$24,BL5&lt;=('DB1'!$U$24+'DB1'!$U$26)),1/'DB1'!$U$26,0)</f>
        <v>0</v>
      </c>
      <c r="BM11" s="57">
        <f>IF(AND(BM5&gt;'DB1'!$U$24,BM5&lt;=('DB1'!$U$24+'DB1'!$U$26)),1/'DB1'!$U$26,0)</f>
        <v>0</v>
      </c>
    </row>
    <row r="12" spans="2:65">
      <c r="B12" s="55" t="s">
        <v>36</v>
      </c>
      <c r="C12" s="55"/>
      <c r="D12" s="55"/>
      <c r="E12" s="55"/>
      <c r="F12" s="57">
        <f>IF(I4="РнВ",IF(SUM(E11:$G11)&gt;=1,0,1/4),0)</f>
        <v>0</v>
      </c>
      <c r="G12" s="57">
        <f>IF(J4="РнВ",IF(SUM(F11:$G11)&gt;=1,0,1/4),0)</f>
        <v>0</v>
      </c>
      <c r="H12" s="57">
        <f>IF(K4="РнВ",IF(SUM(G11:$G11)&gt;=1,0,1/4),0)</f>
        <v>0</v>
      </c>
      <c r="I12" s="57">
        <f>IF(L4="РнВ",IF(SUM($G11:H11)&gt;=1,0,1/4),0)</f>
        <v>0</v>
      </c>
      <c r="J12" s="57">
        <f>IF(M4="РнВ",IF(SUM($G11:I11)&gt;=1,0,1/4),0)</f>
        <v>0</v>
      </c>
      <c r="K12" s="57">
        <f>IF(N4="РнВ",IF(SUM($G11:J11)&gt;=1,0,1/4),0)</f>
        <v>0</v>
      </c>
      <c r="L12" s="57">
        <f>IF(O4="РнВ",IF(SUM($G11:K11)&gt;=1,0,1/4),0)</f>
        <v>0</v>
      </c>
      <c r="M12" s="57">
        <f>IF(P4="РнВ",IF(SUM($G11:L11)&gt;=1,0,1/4),0)</f>
        <v>0</v>
      </c>
      <c r="N12" s="57">
        <f>IF(Q4="РнВ",IF(SUM($G11:M11)&gt;=1,0,1/4),0)</f>
        <v>0</v>
      </c>
      <c r="O12" s="57">
        <f>IF(R4="РнВ",IF(SUM($G11:N11)&gt;=1,0,1/4),0)</f>
        <v>0</v>
      </c>
      <c r="P12" s="57">
        <f>IF(S4="РнВ",IF(SUM($G11:O11)&gt;=1,0,1/4),0)</f>
        <v>0</v>
      </c>
      <c r="Q12" s="57">
        <f>IF(T4="РнВ",IF(SUM($G11:P11)&gt;=1,0,1/4),0)</f>
        <v>0</v>
      </c>
      <c r="R12" s="57">
        <f>IF(U4="РнВ",IF(SUM($G11:Q11)&gt;=1,0,1/4),0)</f>
        <v>0</v>
      </c>
      <c r="S12" s="57">
        <f>IF(V4="РнВ",IF(SUM($G11:R11)&gt;=1,0,1/4),0)</f>
        <v>0</v>
      </c>
      <c r="T12" s="57">
        <f>IF(W4="РнВ",IF(SUM($G11:S11)&gt;=1,0,1/4),0)</f>
        <v>0.25</v>
      </c>
      <c r="U12" s="57">
        <f>IF(X4="РнВ",IF(SUM($G11:T11)&gt;=1,0,1/4),0)</f>
        <v>0.25</v>
      </c>
      <c r="V12" s="57">
        <f>IF(Y4="РнВ",IF(SUM($G11:U11)&gt;=1,0,1/4),0)</f>
        <v>0.25</v>
      </c>
      <c r="W12" s="57">
        <f>IF(Z4="РнВ",IF(SUM($G11:V11)&gt;=1,0,1/4),0)</f>
        <v>0.25</v>
      </c>
      <c r="X12" s="57">
        <f>IF(AA4="РнВ",IF(SUM($G11:W11)&gt;=1,0,1/4),0)</f>
        <v>0</v>
      </c>
      <c r="Y12" s="57">
        <f>IF(AB4="РнВ",IF(SUM($G11:X11)&gt;=1,0,1/4),0)</f>
        <v>0</v>
      </c>
      <c r="Z12" s="57">
        <f>IF(AC4="РнВ",IF(SUM($G11:Y11)&gt;=1,0,1/4),0)</f>
        <v>0</v>
      </c>
      <c r="AA12" s="57">
        <f>IF(AD4="РнВ",IF(SUM($G11:Z11)&gt;=1,0,1/4),0)</f>
        <v>0</v>
      </c>
      <c r="AB12" s="57">
        <f>IF(AE4="РнВ",IF(SUM($G11:AA11)&gt;=1,0,1/4),0)</f>
        <v>0</v>
      </c>
      <c r="AC12" s="57">
        <f>IF(AF4="РнВ",IF(SUM($G11:AB11)&gt;=1,0,1/4),0)</f>
        <v>0</v>
      </c>
      <c r="AD12" s="57">
        <f>IF(AG4="РнВ",IF(SUM($G11:AC11)&gt;=1,0,1/4),0)</f>
        <v>0</v>
      </c>
      <c r="AE12" s="57">
        <f>IF(AH4="РнВ",IF(SUM($G11:AD11)&gt;=1,0,1/4),0)</f>
        <v>0</v>
      </c>
      <c r="AF12" s="57">
        <f>IF(AI4="РнВ",IF(SUM($G11:AE11)&gt;=1,0,1/4),0)</f>
        <v>0</v>
      </c>
      <c r="AG12" s="57">
        <f>IF(AJ4="РнВ",IF(SUM($G11:AF11)&gt;=1,0,1/4),0)</f>
        <v>0</v>
      </c>
      <c r="AH12" s="57">
        <f>IF(AK4="РнВ",IF(SUM($G11:AG11)&gt;=1,0,1/4),0)</f>
        <v>0</v>
      </c>
      <c r="AI12" s="57">
        <f>IF(AL4="РнВ",IF(SUM($G11:AH11)&gt;=1,0,1/4),0)</f>
        <v>0</v>
      </c>
      <c r="AJ12" s="57">
        <f>IF(AM4="РнВ",IF(SUM($G11:AI11)&gt;=1,0,1/4),0)</f>
        <v>0</v>
      </c>
      <c r="AK12" s="57">
        <f>IF(AN4="РнВ",IF(SUM($G11:AJ11)&gt;=1,0,1/4),0)</f>
        <v>0</v>
      </c>
      <c r="AL12" s="57">
        <f>IF(AO4="РнВ",IF(SUM($G11:AK11)&gt;=1,0,1/4),0)</f>
        <v>0</v>
      </c>
      <c r="AM12" s="57">
        <f>IF(AP4="РнВ",IF(SUM($G11:AL11)&gt;=1,0,1/4),0)</f>
        <v>0</v>
      </c>
      <c r="AN12" s="57">
        <f>IF(AQ4="РнВ",IF(SUM($G11:AM11)&gt;=1,0,1/4),0)</f>
        <v>0</v>
      </c>
      <c r="AO12" s="57">
        <f>IF(AR4="РнВ",IF(SUM($G11:AN11)&gt;=1,0,1/4),0)</f>
        <v>0</v>
      </c>
      <c r="AP12" s="57">
        <f>IF(AS4="РнВ",IF(SUM($G11:AO11)&gt;=1,0,1/4),0)</f>
        <v>0</v>
      </c>
      <c r="AQ12" s="57">
        <f>IF(AT4="РнВ",IF(SUM($G11:AP11)&gt;=1,0,1/4),0)</f>
        <v>0</v>
      </c>
      <c r="AR12" s="57">
        <f>IF(AU4="РнВ",IF(SUM($G11:AQ11)&gt;=1,0,1/4),0)</f>
        <v>0</v>
      </c>
      <c r="AS12" s="57">
        <f>IF(AV4="РнВ",IF(SUM($G11:AR11)&gt;=1,0,1/4),0)</f>
        <v>0</v>
      </c>
      <c r="AT12" s="57">
        <f>IF(AW4="РнВ",IF(SUM($G11:AS11)&gt;=1,0,1/4),0)</f>
        <v>0</v>
      </c>
      <c r="AU12" s="57">
        <f>IF(AX4="РнВ",IF(SUM($G11:AT11)&gt;=1,0,1/4),0)</f>
        <v>0</v>
      </c>
      <c r="AV12" s="57">
        <f>IF(AY4="РнВ",IF(SUM($G11:AU11)&gt;=1,0,1/4),0)</f>
        <v>0</v>
      </c>
      <c r="AW12" s="57">
        <f>IF(AZ4="РнВ",IF(SUM($G11:AV11)&gt;=1,0,1/4),0)</f>
        <v>0</v>
      </c>
      <c r="AX12" s="57">
        <f>IF(BA4="РнВ",IF(SUM($G11:AW11)&gt;=1,0,1/4),0)</f>
        <v>0</v>
      </c>
      <c r="AY12" s="57">
        <f>IF(BB4="РнВ",IF(SUM($G11:AX11)&gt;=1,0,1/4),0)</f>
        <v>0</v>
      </c>
      <c r="AZ12" s="57">
        <f>IF(BC4="РнВ",IF(SUM($G11:AY11)&gt;=1,0,1/4),0)</f>
        <v>0</v>
      </c>
      <c r="BA12" s="57">
        <f>IF(BD4="РнВ",IF(SUM($G11:AZ11)&gt;=1,0,1/4),0)</f>
        <v>0</v>
      </c>
      <c r="BB12" s="57">
        <f>IF(BE4="РнВ",IF(SUM($G11:BA11)&gt;=1,0,1/4),0)</f>
        <v>0</v>
      </c>
      <c r="BC12" s="57">
        <f>IF(BF4="РнВ",IF(SUM($G11:BB11)&gt;=1,0,1/4),0)</f>
        <v>0</v>
      </c>
      <c r="BD12" s="57">
        <f>IF(BG4="РнВ",IF(SUM($G11:BC11)&gt;=1,0,1/4),0)</f>
        <v>0</v>
      </c>
      <c r="BE12" s="57">
        <f>IF(BH4="РнВ",IF(SUM($G11:BD11)&gt;=1,0,1/4),0)</f>
        <v>0</v>
      </c>
      <c r="BF12" s="57">
        <f>IF(BI4="РнВ",IF(SUM($G11:BE11)&gt;=1,0,1/4),0)</f>
        <v>0</v>
      </c>
      <c r="BG12" s="57">
        <f>IF(BJ4="РнВ",IF(SUM($G11:BF11)&gt;=1,0,1/4),0)</f>
        <v>0</v>
      </c>
      <c r="BH12" s="57">
        <f>IF(BK4="РнВ",IF(SUM($G11:BG11)&gt;=1,0,1/4),0)</f>
        <v>0</v>
      </c>
      <c r="BI12" s="57">
        <f>IF(BL4="РнВ",IF(SUM($G11:BH11)&gt;=1,0,1/4),0)</f>
        <v>0</v>
      </c>
      <c r="BJ12" s="57">
        <f>IF(BM4="РнВ",IF(SUM($G11:BI11)&gt;=1,0,1/4),0)</f>
        <v>0</v>
      </c>
      <c r="BK12" s="57">
        <f>IF(BN4="РнВ",IF(SUM($G11:BJ11)&gt;=1,0,1/4),0)</f>
        <v>0</v>
      </c>
      <c r="BL12" s="57">
        <f>IF(BO4="РнВ",IF(SUM($G11:BK11)&gt;=1,0,1/4),0)</f>
        <v>0</v>
      </c>
      <c r="BM12" s="57">
        <f>IF(BP4="РнВ",IF(SUM($G11:BL11)&gt;=1,0,1/4),0)</f>
        <v>0</v>
      </c>
    </row>
    <row r="13" spans="2:65">
      <c r="B13" s="55" t="s">
        <v>33</v>
      </c>
      <c r="C13" s="55"/>
      <c r="D13" s="55"/>
      <c r="E13" s="55"/>
      <c r="F13" s="57">
        <f>IF(F5='DB1'!$U$24+1,30%,IF('TS1'!E13=30%,50%,IF('TS1'!F5='DB1'!$U$24+'DB1'!$U$26-2,10%,IF('TS1'!F5='DB1'!$U$24+'DB1'!$U$26-1,10%,0))))</f>
        <v>0</v>
      </c>
      <c r="G13" s="57">
        <f>IF(G5='DB1'!$U$24+1,30%,IF('TS1'!F13=30%,50%,IF('TS1'!G5='DB1'!$U$24+'DB1'!$U$26-2,10%,IF('TS1'!G5='DB1'!$U$24+'DB1'!$U$26-1,10%,0))))</f>
        <v>0</v>
      </c>
      <c r="H13" s="57">
        <f>IF(H5='DB1'!$U$24+1,30%,IF('TS1'!G13=30%,50%,IF('TS1'!H5='DB1'!$U$24+'DB1'!$U$26-2,10%,IF('TS1'!H5='DB1'!$U$24+'DB1'!$U$26-1,10%,0))))</f>
        <v>0</v>
      </c>
      <c r="I13" s="57">
        <f>IF(I5='DB1'!$U$24+1,30%,IF('TS1'!H13=30%,50%,IF('TS1'!I5='DB1'!$U$24+'DB1'!$U$26-2,10%,IF('TS1'!I5='DB1'!$U$24+'DB1'!$U$26-1,10%,0))))</f>
        <v>0</v>
      </c>
      <c r="J13" s="57">
        <v>0.3</v>
      </c>
      <c r="K13" s="57">
        <v>0.5</v>
      </c>
      <c r="L13" s="57">
        <v>0</v>
      </c>
      <c r="M13" s="57">
        <v>0</v>
      </c>
      <c r="N13" s="57">
        <v>0</v>
      </c>
      <c r="O13" s="57">
        <v>0</v>
      </c>
      <c r="P13" s="57">
        <v>0</v>
      </c>
      <c r="Q13" s="57">
        <v>0</v>
      </c>
      <c r="R13" s="57">
        <v>0</v>
      </c>
      <c r="S13" s="57">
        <v>0</v>
      </c>
      <c r="T13" s="57"/>
      <c r="U13" s="57">
        <v>0.1</v>
      </c>
      <c r="V13" s="57">
        <v>0.1</v>
      </c>
      <c r="W13" s="57">
        <f>IF(W5='DB1'!$U$24+1,30%,IF('TS1'!V13=30%,50%,IF('TS1'!W5='DB1'!$U$24+'DB1'!$U$26-2,10%,IF('TS1'!W5='DB1'!$U$24+'DB1'!$U$26-1,10%,0))))</f>
        <v>0</v>
      </c>
      <c r="X13" s="57">
        <f>IF(X5='DB1'!$U$24+1,30%,IF('TS1'!W13=30%,50%,IF('TS1'!X5='DB1'!$U$24+'DB1'!$U$26-2,10%,IF('TS1'!X5='DB1'!$U$24+'DB1'!$U$26-1,10%,0))))</f>
        <v>0</v>
      </c>
      <c r="Y13" s="57">
        <f>IF(Y5='DB1'!$U$24+1,30%,IF('TS1'!X13=30%,50%,IF('TS1'!Y5='DB1'!$U$24+'DB1'!$U$26-2,10%,IF('TS1'!Y5='DB1'!$U$24+'DB1'!$U$26-1,10%,0))))</f>
        <v>0</v>
      </c>
      <c r="Z13" s="57">
        <f>IF(Z5='DB1'!$U$24+1,30%,IF('TS1'!Y13=30%,50%,IF('TS1'!Z5='DB1'!$U$24+'DB1'!$U$26-2,10%,IF('TS1'!Z5='DB1'!$U$24+'DB1'!$U$26-1,10%,0))))</f>
        <v>0</v>
      </c>
      <c r="AA13" s="57">
        <f>IF(AA5='DB1'!$U$24+1,30%,IF('TS1'!Z13=30%,50%,IF('TS1'!AA5='DB1'!$U$24+'DB1'!$U$26-2,10%,IF('TS1'!AA5='DB1'!$U$24+'DB1'!$U$26-1,10%,0))))</f>
        <v>0</v>
      </c>
      <c r="AB13" s="57">
        <f>IF(AB5='DB1'!$U$24+1,30%,IF('TS1'!AA13=30%,50%,IF('TS1'!AB5='DB1'!$U$24+'DB1'!$U$26-2,10%,IF('TS1'!AB5='DB1'!$U$24+'DB1'!$U$26-1,10%,0))))</f>
        <v>0</v>
      </c>
      <c r="AC13" s="57">
        <f>IF(AC5='DB1'!$U$24+1,30%,IF('TS1'!AB13=30%,50%,IF('TS1'!AC5='DB1'!$U$24+'DB1'!$U$26-2,10%,IF('TS1'!AC5='DB1'!$U$24+'DB1'!$U$26-1,10%,0))))</f>
        <v>0</v>
      </c>
      <c r="AD13" s="57">
        <f>IF(AD5='DB1'!$U$24+1,30%,IF('TS1'!AC13=30%,50%,IF('TS1'!AD5='DB1'!$U$24+'DB1'!$U$26-2,10%,IF('TS1'!AD5='DB1'!$U$24+'DB1'!$U$26-1,10%,0))))</f>
        <v>0</v>
      </c>
      <c r="AE13" s="57">
        <f>IF(AE5='DB1'!$U$24+1,30%,IF('TS1'!AD13=30%,50%,IF('TS1'!AE5='DB1'!$U$24+'DB1'!$U$26-2,10%,IF('TS1'!AE5='DB1'!$U$24+'DB1'!$U$26-1,10%,0))))</f>
        <v>0</v>
      </c>
      <c r="AF13" s="57">
        <f>IF(AF5='DB1'!$U$24+1,30%,IF('TS1'!AE13=30%,50%,IF('TS1'!AF5='DB1'!$U$24+'DB1'!$U$26-2,10%,IF('TS1'!AF5='DB1'!$U$24+'DB1'!$U$26-1,10%,0))))</f>
        <v>0</v>
      </c>
      <c r="AG13" s="57">
        <f>IF(AG5='DB1'!$U$24+1,30%,IF('TS1'!AF13=30%,50%,IF('TS1'!AG5='DB1'!$U$24+'DB1'!$U$26-2,10%,IF('TS1'!AG5='DB1'!$U$24+'DB1'!$U$26-1,10%,0))))</f>
        <v>0</v>
      </c>
      <c r="AH13" s="57">
        <f>IF(AH5='DB1'!$U$24+1,30%,IF('TS1'!AG13=30%,50%,IF('TS1'!AH5='DB1'!$U$24+'DB1'!$U$26-2,10%,IF('TS1'!AH5='DB1'!$U$24+'DB1'!$U$26-1,10%,0))))</f>
        <v>0</v>
      </c>
      <c r="AI13" s="57">
        <f>IF(AI5='DB1'!$U$24+1,30%,IF('TS1'!AH13=30%,50%,IF('TS1'!AI5='DB1'!$U$24+'DB1'!$U$26-2,10%,IF('TS1'!AI5='DB1'!$U$24+'DB1'!$U$26-1,10%,0))))</f>
        <v>0</v>
      </c>
      <c r="AJ13" s="57">
        <f>IF(AJ5='DB1'!$U$24+1,30%,IF('TS1'!AI13=30%,50%,IF('TS1'!AJ5='DB1'!$U$24+'DB1'!$U$26-2,10%,IF('TS1'!AJ5='DB1'!$U$24+'DB1'!$U$26-1,10%,0))))</f>
        <v>0</v>
      </c>
      <c r="AK13" s="57">
        <f>IF(AK5='DB1'!$U$24+1,30%,IF('TS1'!AJ13=30%,50%,IF('TS1'!AK5='DB1'!$U$24+'DB1'!$U$26-2,10%,IF('TS1'!AK5='DB1'!$U$24+'DB1'!$U$26-1,10%,0))))</f>
        <v>0</v>
      </c>
      <c r="AL13" s="57">
        <f>IF(AL5='DB1'!$U$24+1,30%,IF('TS1'!AK13=30%,50%,IF('TS1'!AL5='DB1'!$U$24+'DB1'!$U$26-2,10%,IF('TS1'!AL5='DB1'!$U$24+'DB1'!$U$26-1,10%,0))))</f>
        <v>0</v>
      </c>
      <c r="AM13" s="57">
        <f>IF(AM5='DB1'!$U$24+1,30%,IF('TS1'!AL13=30%,50%,IF('TS1'!AM5='DB1'!$U$24+'DB1'!$U$26-2,10%,IF('TS1'!AM5='DB1'!$U$24+'DB1'!$U$26-1,10%,0))))</f>
        <v>0</v>
      </c>
      <c r="AN13" s="57">
        <f>IF(AN5='DB1'!$U$24+1,30%,IF('TS1'!AM13=30%,50%,IF('TS1'!AN5='DB1'!$U$24+'DB1'!$U$26-2,10%,IF('TS1'!AN5='DB1'!$U$24+'DB1'!$U$26-1,10%,0))))</f>
        <v>0</v>
      </c>
      <c r="AO13" s="57">
        <f>IF(AO5='DB1'!$U$24+1,30%,IF('TS1'!AN13=30%,50%,IF('TS1'!AO5='DB1'!$U$24+'DB1'!$U$26-2,10%,IF('TS1'!AO5='DB1'!$U$24+'DB1'!$U$26-1,10%,0))))</f>
        <v>0</v>
      </c>
      <c r="AP13" s="57">
        <f>IF(AP5='DB1'!$U$24+1,30%,IF('TS1'!AO13=30%,50%,IF('TS1'!AP5='DB1'!$U$24+'DB1'!$U$26-2,10%,IF('TS1'!AP5='DB1'!$U$24+'DB1'!$U$26-1,10%,0))))</f>
        <v>0</v>
      </c>
      <c r="AQ13" s="57">
        <f>IF(AQ5='DB1'!$U$24+1,30%,IF('TS1'!AP13=30%,50%,IF('TS1'!AQ5='DB1'!$U$24+'DB1'!$U$26-2,10%,IF('TS1'!AQ5='DB1'!$U$24+'DB1'!$U$26-1,10%,0))))</f>
        <v>0</v>
      </c>
      <c r="AR13" s="57">
        <f>IF(AR5='DB1'!$U$24+1,30%,IF('TS1'!AQ13=30%,50%,IF('TS1'!AR5='DB1'!$U$24+'DB1'!$U$26-2,10%,IF('TS1'!AR5='DB1'!$U$24+'DB1'!$U$26-1,10%,0))))</f>
        <v>0</v>
      </c>
      <c r="AS13" s="57">
        <f>IF(AS5='DB1'!$U$24+1,30%,IF('TS1'!AR13=30%,50%,IF('TS1'!AS5='DB1'!$U$24+'DB1'!$U$26-2,10%,IF('TS1'!AS5='DB1'!$U$24+'DB1'!$U$26-1,10%,0))))</f>
        <v>0</v>
      </c>
      <c r="AT13" s="57">
        <f>IF(AT5='DB1'!$U$24+1,30%,IF('TS1'!AS13=30%,50%,IF('TS1'!AT5='DB1'!$U$24+'DB1'!$U$26-2,10%,IF('TS1'!AT5='DB1'!$U$24+'DB1'!$U$26-1,10%,0))))</f>
        <v>0</v>
      </c>
      <c r="AU13" s="57">
        <f>IF(AU5='DB1'!$U$24+1,30%,IF('TS1'!AT13=30%,50%,IF('TS1'!AU5='DB1'!$U$24+'DB1'!$U$26-2,10%,IF('TS1'!AU5='DB1'!$U$24+'DB1'!$U$26-1,10%,0))))</f>
        <v>0</v>
      </c>
      <c r="AV13" s="57">
        <f>IF(AV5='DB1'!$U$24+1,30%,IF('TS1'!AU13=30%,50%,IF('TS1'!AV5='DB1'!$U$24+'DB1'!$U$26-2,10%,IF('TS1'!AV5='DB1'!$U$24+'DB1'!$U$26-1,10%,0))))</f>
        <v>0</v>
      </c>
      <c r="AW13" s="57">
        <f>IF(AW5='DB1'!$U$24+1,30%,IF('TS1'!AV13=30%,50%,IF('TS1'!AW5='DB1'!$U$24+'DB1'!$U$26-2,10%,IF('TS1'!AW5='DB1'!$U$24+'DB1'!$U$26-1,10%,0))))</f>
        <v>0</v>
      </c>
      <c r="AX13" s="57">
        <f>IF(AX5='DB1'!$U$24+1,30%,IF('TS1'!AW13=30%,50%,IF('TS1'!AX5='DB1'!$U$24+'DB1'!$U$26-2,10%,IF('TS1'!AX5='DB1'!$U$24+'DB1'!$U$26-1,10%,0))))</f>
        <v>0</v>
      </c>
      <c r="AY13" s="57">
        <f>IF(AY5='DB1'!$U$24+1,30%,IF('TS1'!AX13=30%,50%,IF('TS1'!AY5='DB1'!$U$24+'DB1'!$U$26-2,10%,IF('TS1'!AY5='DB1'!$U$24+'DB1'!$U$26-1,10%,0))))</f>
        <v>0</v>
      </c>
      <c r="AZ13" s="57">
        <f>IF(AZ5='DB1'!$U$24+1,30%,IF('TS1'!AY13=30%,50%,IF('TS1'!AZ5='DB1'!$U$24+'DB1'!$U$26-2,10%,IF('TS1'!AZ5='DB1'!$U$24+'DB1'!$U$26-1,10%,0))))</f>
        <v>0</v>
      </c>
      <c r="BA13" s="57">
        <f>IF(BA5='DB1'!$U$24+1,30%,IF('TS1'!AZ13=30%,50%,IF('TS1'!BA5='DB1'!$U$24+'DB1'!$U$26-2,10%,IF('TS1'!BA5='DB1'!$U$24+'DB1'!$U$26-1,10%,0))))</f>
        <v>0</v>
      </c>
      <c r="BB13" s="57">
        <f>IF(BB5='DB1'!$U$24+1,30%,IF('TS1'!BA13=30%,50%,IF('TS1'!BB5='DB1'!$U$24+'DB1'!$U$26-2,10%,IF('TS1'!BB5='DB1'!$U$24+'DB1'!$U$26-1,10%,0))))</f>
        <v>0</v>
      </c>
      <c r="BC13" s="57">
        <f>IF(BC5='DB1'!$U$24+1,30%,IF('TS1'!BB13=30%,50%,IF('TS1'!BC5='DB1'!$U$24+'DB1'!$U$26-2,10%,IF('TS1'!BC5='DB1'!$U$24+'DB1'!$U$26-1,10%,0))))</f>
        <v>0</v>
      </c>
      <c r="BD13" s="57">
        <f>IF(BD5='DB1'!$U$24+1,30%,IF('TS1'!BC13=30%,50%,IF('TS1'!BD5='DB1'!$U$24+'DB1'!$U$26-2,10%,IF('TS1'!BD5='DB1'!$U$24+'DB1'!$U$26-1,10%,0))))</f>
        <v>0</v>
      </c>
      <c r="BE13" s="57">
        <f>IF(BE5='DB1'!$U$24+1,30%,IF('TS1'!BD13=30%,50%,IF('TS1'!BE5='DB1'!$U$24+'DB1'!$U$26-2,10%,IF('TS1'!BE5='DB1'!$U$24+'DB1'!$U$26-1,10%,0))))</f>
        <v>0</v>
      </c>
      <c r="BF13" s="57">
        <f>IF(BF5='DB1'!$U$24+1,30%,IF('TS1'!BE13=30%,50%,IF('TS1'!BF5='DB1'!$U$24+'DB1'!$U$26-2,10%,IF('TS1'!BF5='DB1'!$U$24+'DB1'!$U$26-1,10%,0))))</f>
        <v>0</v>
      </c>
      <c r="BG13" s="57">
        <f>IF(BG5='DB1'!$U$24+1,30%,IF('TS1'!BF13=30%,50%,IF('TS1'!BG5='DB1'!$U$24+'DB1'!$U$26-2,10%,IF('TS1'!BG5='DB1'!$U$24+'DB1'!$U$26-1,10%,0))))</f>
        <v>0</v>
      </c>
      <c r="BH13" s="57">
        <f>IF(BH5='DB1'!$U$24+1,30%,IF('TS1'!BG13=30%,50%,IF('TS1'!BH5='DB1'!$U$24+'DB1'!$U$26-2,10%,IF('TS1'!BH5='DB1'!$U$24+'DB1'!$U$26-1,10%,0))))</f>
        <v>0</v>
      </c>
      <c r="BI13" s="57">
        <f>IF(BI5='DB1'!$U$24+1,30%,IF('TS1'!BH13=30%,50%,IF('TS1'!BI5='DB1'!$U$24+'DB1'!$U$26-2,10%,IF('TS1'!BI5='DB1'!$U$24+'DB1'!$U$26-1,10%,0))))</f>
        <v>0</v>
      </c>
      <c r="BJ13" s="57">
        <f>IF(BJ5='DB1'!$U$24+1,30%,IF('TS1'!BI13=30%,50%,IF('TS1'!BJ5='DB1'!$U$24+'DB1'!$U$26-2,10%,IF('TS1'!BJ5='DB1'!$U$24+'DB1'!$U$26-1,10%,0))))</f>
        <v>0</v>
      </c>
      <c r="BK13" s="57">
        <f>IF(BK5='DB1'!$U$24+1,30%,IF('TS1'!BJ13=30%,50%,IF('TS1'!BK5='DB1'!$U$24+'DB1'!$U$26-2,10%,IF('TS1'!BK5='DB1'!$U$24+'DB1'!$U$26-1,10%,0))))</f>
        <v>0</v>
      </c>
      <c r="BL13" s="57">
        <f>IF(BL5='DB1'!$U$24+1,30%,IF('TS1'!BK13=30%,50%,IF('TS1'!BL5='DB1'!$U$24+'DB1'!$U$26-2,10%,IF('TS1'!BL5='DB1'!$U$24+'DB1'!$U$26-1,10%,0))))</f>
        <v>0</v>
      </c>
      <c r="BM13" s="57">
        <f>IF(BM5='DB1'!$U$24+1,30%,IF('TS1'!BL13=30%,50%,IF('TS1'!BM5='DB1'!$U$24+'DB1'!$U$26-2,10%,IF('TS1'!BM5='DB1'!$U$24+'DB1'!$U$26-1,10%,0))))</f>
        <v>0</v>
      </c>
    </row>
    <row r="14" spans="2:65"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</row>
    <row r="15" spans="2:65">
      <c r="N15" s="100"/>
    </row>
    <row r="16" spans="2:65" s="198" customFormat="1">
      <c r="F16" s="199">
        <f>IF(SUM($F25:F25)&gt;=100%,"РнВ",IF(AND(F25&gt;0,E25=0),"РнС",0))</f>
        <v>0</v>
      </c>
      <c r="G16" s="199">
        <f>IF(SUM($F25:G25)&gt;=100%,"РнВ",IF(AND(G25&gt;0,F25=0),"РнС",0))</f>
        <v>0</v>
      </c>
      <c r="H16" s="199">
        <f>IF(SUM($F25:H25)&gt;=100%,"РнВ",IF(AND(H25&gt;0,G25=0),"РнС",0))</f>
        <v>0</v>
      </c>
      <c r="I16" s="199">
        <f>IF(SUM($F25:I25)&gt;=100%,"РнВ",IF(AND(I25&gt;0,H25=0),"РнС",0))</f>
        <v>0</v>
      </c>
      <c r="J16" s="199">
        <f>IF(SUM($F25:J25)&gt;=100%,"РнВ",IF(AND(J25&gt;0,I25=0),"РнС",0))</f>
        <v>0</v>
      </c>
      <c r="K16" s="199">
        <f>IF(SUM($F25:K25)&gt;=100%,"РнВ",IF(AND(K25&gt;0,J25=0),"РнС",0))</f>
        <v>0</v>
      </c>
      <c r="L16" s="199">
        <f>IF(SUM($F25:L25)&gt;=100%,"РнВ",IF(AND(L25&gt;0,K25=0),"РнС",0))</f>
        <v>0</v>
      </c>
      <c r="M16" s="199">
        <f>IF(SUM($F25:M25)&gt;=100%,"РнВ",IF(AND(M25&gt;0,L25=0),"РнС",0))</f>
        <v>0</v>
      </c>
      <c r="N16" s="199">
        <f>IF(SUM($F25:N25)&gt;=100%,"РнВ",IF(AND(N25&gt;0,M25=0),"РнС",0))</f>
        <v>0</v>
      </c>
      <c r="O16" s="199">
        <f>IF(SUM($F25:O25)&gt;=100%,"РнВ",IF(AND(O25&gt;0,N25=0),"РнС",0))</f>
        <v>0</v>
      </c>
      <c r="P16" s="199">
        <f>IF(SUM($F25:P25)&gt;=100%,"РнВ",IF(AND(P25&gt;0,O25=0),"РнС",0))</f>
        <v>0</v>
      </c>
      <c r="Q16" s="199">
        <f>IF(SUM($F25:Q25)&gt;=100%,"РнВ",IF(AND(Q25&gt;0,P25=0),"РнС",0))</f>
        <v>0</v>
      </c>
      <c r="R16" s="199">
        <f>IF(SUM($F25:R25)&gt;=100%,"РнВ",IF(AND(R25&gt;0,Q25=0),"РнС",0))</f>
        <v>0</v>
      </c>
      <c r="S16" s="199">
        <f>IF(SUM($F25:S25)&gt;=100%,"РнВ",IF(AND(S25&gt;0,R25=0),"РнС",0))</f>
        <v>0</v>
      </c>
      <c r="T16" s="199" t="str">
        <f>IF(SUM($F25:T25)&gt;=100%,"РнВ",IF(AND(T25&gt;0,S25=0),"РнС",0))</f>
        <v>РнС</v>
      </c>
      <c r="U16" s="199">
        <f>IF(SUM($F25:U25)&gt;=100%,"РнВ",IF(AND(U25&gt;0,T25=0),"РнС",0))</f>
        <v>0</v>
      </c>
      <c r="V16" s="199">
        <f>IF(SUM($F25:V25)&gt;=100%,"РнВ",IF(AND(V25&gt;0,U25=0),"РнС",0))</f>
        <v>0</v>
      </c>
      <c r="W16" s="199">
        <f>IF(SUM($F25:W25)&gt;=100%,"РнВ",IF(AND(W25&gt;0,V25=0),"РнС",0))</f>
        <v>0</v>
      </c>
      <c r="X16" s="199">
        <f>IF(SUM($F25:X25)&gt;=100%,"РнВ",IF(AND(X25&gt;0,W25=0),"РнС",0))</f>
        <v>0</v>
      </c>
      <c r="Y16" s="199">
        <f>IF(SUM($F25:Y25)&gt;=100%,"РнВ",IF(AND(Y25&gt;0,X25=0),"РнС",0))</f>
        <v>0</v>
      </c>
      <c r="Z16" s="199">
        <f>IF(SUM($F25:Z25)&gt;=100%,"РнВ",IF(AND(Z25&gt;0,Y25=0),"РнС",0))</f>
        <v>0</v>
      </c>
      <c r="AA16" s="199">
        <f>IF(SUM($F25:AA25)&gt;=100%,"РнВ",IF(AND(AA25&gt;0,Z25=0),"РнС",0))</f>
        <v>0</v>
      </c>
      <c r="AB16" s="199">
        <f>IF(SUM($F25:AB25)&gt;=100%,"РнВ",IF(AND(AB25&gt;0,AA25=0),"РнС",0))</f>
        <v>0</v>
      </c>
      <c r="AC16" s="199">
        <f>IF(SUM($F25:AC25)&gt;=100%,"РнВ",IF(AND(AC25&gt;0,AB25=0),"РнС",0))</f>
        <v>0</v>
      </c>
      <c r="AD16" s="199">
        <f>IF(SUM($F25:AD25)&gt;=100%,"РнВ",IF(AND(AD25&gt;0,AC25=0),"РнС",0))</f>
        <v>0</v>
      </c>
      <c r="AE16" s="199" t="str">
        <f>IF(SUM($F25:AE25)&gt;=100%,"РнВ",IF(AND(AE25&gt;0,AD25=0),"РнС",0))</f>
        <v>РнВ</v>
      </c>
      <c r="AF16" s="199" t="str">
        <f>IF(SUM($F25:AF25)&gt;=100%,"РнВ",IF(AND(AF25&gt;0,AE25=0),"РнС",0))</f>
        <v>РнВ</v>
      </c>
      <c r="AG16" s="199" t="str">
        <f>IF(SUM($F25:AG25)&gt;=100%,"РнВ",IF(AND(AG25&gt;0,AF25=0),"РнС",0))</f>
        <v>РнВ</v>
      </c>
      <c r="AH16" s="199" t="str">
        <f>IF(SUM($F25:AH25)&gt;=100%,"РнВ",IF(AND(AH25&gt;0,AG25=0),"РнС",0))</f>
        <v>РнВ</v>
      </c>
      <c r="AI16" s="199" t="str">
        <f>IF(SUM($F25:AI25)&gt;=100%,"РнВ",IF(AND(AI25&gt;0,AH25=0),"РнС",0))</f>
        <v>РнВ</v>
      </c>
      <c r="AJ16" s="199" t="str">
        <f>IF(SUM($F25:AJ25)&gt;=100%,"РнВ",IF(AND(AJ25&gt;0,AI25=0),"РнС",0))</f>
        <v>РнВ</v>
      </c>
      <c r="AK16" s="199" t="str">
        <f>IF(SUM($F25:AK25)&gt;=100%,"РнВ",IF(AND(AK25&gt;0,AJ25=0),"РнС",0))</f>
        <v>РнВ</v>
      </c>
      <c r="AL16" s="199" t="str">
        <f>IF(SUM($F25:AL25)&gt;=100%,"РнВ",IF(AND(AL25&gt;0,AK25=0),"РнС",0))</f>
        <v>РнВ</v>
      </c>
      <c r="AM16" s="199" t="str">
        <f>IF(SUM($F25:AM25)&gt;=100%,"РнВ",IF(AND(AM25&gt;0,AL25=0),"РнС",0))</f>
        <v>РнВ</v>
      </c>
      <c r="AN16" s="199" t="str">
        <f>IF(SUM($F25:AN25)&gt;=100%,"РнВ",IF(AND(AN25&gt;0,AM25=0),"РнС",0))</f>
        <v>РнВ</v>
      </c>
      <c r="AO16" s="199" t="str">
        <f>IF(SUM($F25:AO25)&gt;=100%,"РнВ",IF(AND(AO25&gt;0,AN25=0),"РнС",0))</f>
        <v>РнВ</v>
      </c>
      <c r="AP16" s="199" t="str">
        <f>IF(SUM($F25:AP25)&gt;=100%,"РнВ",IF(AND(AP25&gt;0,AO25=0),"РнС",0))</f>
        <v>РнВ</v>
      </c>
      <c r="AQ16" s="199" t="str">
        <f>IF(SUM($F25:AQ25)&gt;=100%,"РнВ",IF(AND(AQ25&gt;0,AP25=0),"РнС",0))</f>
        <v>РнВ</v>
      </c>
      <c r="AR16" s="199" t="str">
        <f>IF(SUM($F25:AR25)&gt;=100%,"РнВ",IF(AND(AR25&gt;0,AQ25=0),"РнС",0))</f>
        <v>РнВ</v>
      </c>
      <c r="AS16" s="199" t="str">
        <f>IF(SUM($F25:AS25)&gt;=100%,"РнВ",IF(AND(AS25&gt;0,AR25=0),"РнС",0))</f>
        <v>РнВ</v>
      </c>
      <c r="AT16" s="199" t="str">
        <f>IF(SUM($F25:AT25)&gt;=100%,"РнВ",IF(AND(AT25&gt;0,AS25=0),"РнС",0))</f>
        <v>РнВ</v>
      </c>
      <c r="AU16" s="199" t="str">
        <f>IF(SUM($F25:AU25)&gt;=100%,"РнВ",IF(AND(AU25&gt;0,AT25=0),"РнС",0))</f>
        <v>РнВ</v>
      </c>
      <c r="AV16" s="199" t="str">
        <f>IF(SUM($F25:AV25)&gt;=100%,"РнВ",IF(AND(AV25&gt;0,AU25=0),"РнС",0))</f>
        <v>РнВ</v>
      </c>
      <c r="AW16" s="199" t="str">
        <f>IF(SUM($F25:AW25)&gt;=100%,"РнВ",IF(AND(AW25&gt;0,AV25=0),"РнС",0))</f>
        <v>РнВ</v>
      </c>
      <c r="AX16" s="199" t="str">
        <f>IF(SUM($F25:AX25)&gt;=100%,"РнВ",IF(AND(AX25&gt;0,AW25=0),"РнС",0))</f>
        <v>РнВ</v>
      </c>
      <c r="AY16" s="199" t="str">
        <f>IF(SUM($F25:AY25)&gt;=100%,"РнВ",IF(AND(AY25&gt;0,AX25=0),"РнС",0))</f>
        <v>РнВ</v>
      </c>
      <c r="AZ16" s="199" t="str">
        <f>IF(SUM($F25:AZ25)&gt;=100%,"РнВ",IF(AND(AZ25&gt;0,AY25=0),"РнС",0))</f>
        <v>РнВ</v>
      </c>
      <c r="BA16" s="199" t="str">
        <f>IF(SUM($F25:BA25)&gt;=100%,"РнВ",IF(AND(BA25&gt;0,AZ25=0),"РнС",0))</f>
        <v>РнВ</v>
      </c>
      <c r="BB16" s="199" t="str">
        <f>IF(SUM($F25:BB25)&gt;=100%,"РнВ",IF(AND(BB25&gt;0,BA25=0),"РнС",0))</f>
        <v>РнВ</v>
      </c>
      <c r="BC16" s="199" t="str">
        <f>IF(SUM($F25:BC25)&gt;=100%,"РнВ",IF(AND(BC25&gt;0,BB25=0),"РнС",0))</f>
        <v>РнВ</v>
      </c>
      <c r="BD16" s="199" t="str">
        <f>IF(SUM($F25:BD25)&gt;=100%,"РнВ",IF(AND(BD25&gt;0,BC25=0),"РнС",0))</f>
        <v>РнВ</v>
      </c>
      <c r="BE16" s="199" t="str">
        <f>IF(SUM($F25:BE25)&gt;=100%,"РнВ",IF(AND(BE25&gt;0,BD25=0),"РнС",0))</f>
        <v>РнВ</v>
      </c>
      <c r="BF16" s="199" t="str">
        <f>IF(SUM($F25:BF25)&gt;=100%,"РнВ",IF(AND(BF25&gt;0,BE25=0),"РнС",0))</f>
        <v>РнВ</v>
      </c>
      <c r="BG16" s="199" t="str">
        <f>IF(SUM($F25:BG25)&gt;=100%,"РнВ",IF(AND(BG25&gt;0,BF25=0),"РнС",0))</f>
        <v>РнВ</v>
      </c>
      <c r="BH16" s="199" t="str">
        <f>IF(SUM($F25:BH25)&gt;=100%,"РнВ",IF(AND(BH25&gt;0,BG25=0),"РнС",0))</f>
        <v>РнВ</v>
      </c>
      <c r="BI16" s="199" t="str">
        <f>IF(SUM($F25:BI25)&gt;=100%,"РнВ",IF(AND(BI25&gt;0,BH25=0),"РнС",0))</f>
        <v>РнВ</v>
      </c>
      <c r="BJ16" s="199" t="str">
        <f>IF(SUM($F25:BJ25)&gt;=100%,"РнВ",IF(AND(BJ25&gt;0,BI25=0),"РнС",0))</f>
        <v>РнВ</v>
      </c>
      <c r="BK16" s="199" t="str">
        <f>IF(SUM($F25:BK25)&gt;=100%,"РнВ",IF(AND(BK25&gt;0,BJ25=0),"РнС",0))</f>
        <v>РнВ</v>
      </c>
      <c r="BL16" s="199" t="str">
        <f>IF(SUM($F25:BL25)&gt;=100%,"РнВ",IF(AND(BL25&gt;0,BK25=0),"РнС",0))</f>
        <v>РнВ</v>
      </c>
      <c r="BM16" s="199" t="str">
        <f>IF(SUM($F25:BM25)&gt;=100%,"РнВ",IF(AND(BM25&gt;0,BL25=0),"РнС",0))</f>
        <v>РнВ</v>
      </c>
    </row>
    <row r="17" spans="2:65">
      <c r="F17" s="114">
        <f>'CF1'!F5</f>
        <v>45107</v>
      </c>
      <c r="G17" s="114">
        <f>'CF1'!G5</f>
        <v>45199</v>
      </c>
      <c r="H17" s="114">
        <f>'CF1'!H5</f>
        <v>45291</v>
      </c>
      <c r="I17" s="114">
        <f>'CF1'!I5</f>
        <v>45382</v>
      </c>
      <c r="J17" s="114">
        <f>'CF1'!J5</f>
        <v>45473</v>
      </c>
      <c r="K17" s="114">
        <f>'CF1'!K5</f>
        <v>45565</v>
      </c>
      <c r="L17" s="114">
        <f>'CF1'!L5</f>
        <v>45657</v>
      </c>
      <c r="M17" s="114">
        <f>'CF1'!M5</f>
        <v>45747</v>
      </c>
      <c r="N17" s="114">
        <f>'CF1'!N5</f>
        <v>45838</v>
      </c>
      <c r="O17" s="114">
        <f>'CF1'!O5</f>
        <v>45930</v>
      </c>
      <c r="P17" s="114">
        <f>'CF1'!P5</f>
        <v>46022</v>
      </c>
      <c r="Q17" s="114">
        <f>'CF1'!Q5</f>
        <v>46112</v>
      </c>
      <c r="R17" s="114">
        <f>'CF1'!R5</f>
        <v>46203</v>
      </c>
      <c r="S17" s="114">
        <f>'CF1'!S5</f>
        <v>46295</v>
      </c>
      <c r="T17" s="114">
        <f>'CF1'!T5</f>
        <v>46387</v>
      </c>
      <c r="U17" s="114">
        <f>'CF1'!U5</f>
        <v>46477</v>
      </c>
      <c r="V17" s="114">
        <f>'CF1'!V5</f>
        <v>46568</v>
      </c>
      <c r="W17" s="114">
        <f>'CF1'!W5</f>
        <v>46660</v>
      </c>
      <c r="X17" s="114">
        <f>'CF1'!X5</f>
        <v>46752</v>
      </c>
      <c r="Y17" s="114">
        <f>'CF1'!Y5</f>
        <v>46843</v>
      </c>
      <c r="Z17" s="114">
        <f>'CF1'!Z5</f>
        <v>46934</v>
      </c>
      <c r="AA17" s="114">
        <f>'CF1'!AA5</f>
        <v>47026</v>
      </c>
      <c r="AB17" s="114">
        <f>'CF1'!AB5</f>
        <v>47118</v>
      </c>
      <c r="AC17" s="114">
        <f>'CF1'!AC5</f>
        <v>47208</v>
      </c>
      <c r="AD17" s="114">
        <f>'CF1'!AD5</f>
        <v>47299</v>
      </c>
      <c r="AE17" s="114">
        <f>'CF1'!AE5</f>
        <v>47391</v>
      </c>
      <c r="AF17" s="114">
        <f>'CF1'!AF5</f>
        <v>47483</v>
      </c>
      <c r="AG17" s="114">
        <f>'CF1'!AG5</f>
        <v>47573</v>
      </c>
      <c r="AH17" s="114">
        <f>'CF1'!AH5</f>
        <v>47664</v>
      </c>
      <c r="AI17" s="114">
        <f>'CF1'!AI5</f>
        <v>47756</v>
      </c>
      <c r="AJ17" s="114">
        <f>'CF1'!AJ5</f>
        <v>47848</v>
      </c>
      <c r="AK17" s="114">
        <f>'CF1'!AK5</f>
        <v>47938</v>
      </c>
      <c r="AL17" s="114">
        <f>'CF1'!AL5</f>
        <v>48029</v>
      </c>
      <c r="AM17" s="114">
        <f>'CF1'!AM5</f>
        <v>48121</v>
      </c>
      <c r="AN17" s="114">
        <f>'CF1'!AN5</f>
        <v>48213</v>
      </c>
      <c r="AO17" s="114">
        <f>'CF1'!AO5</f>
        <v>48304</v>
      </c>
      <c r="AP17" s="114">
        <f>'CF1'!AP5</f>
        <v>48395</v>
      </c>
      <c r="AQ17" s="114">
        <f>'CF1'!AQ5</f>
        <v>48487</v>
      </c>
      <c r="AR17" s="114">
        <f>'CF1'!AR5</f>
        <v>48579</v>
      </c>
      <c r="AS17" s="114">
        <f>'CF1'!AS5</f>
        <v>48669</v>
      </c>
      <c r="AT17" s="114">
        <f>'CF1'!AT5</f>
        <v>48760</v>
      </c>
      <c r="AU17" s="114">
        <f>'CF1'!AU5</f>
        <v>48852</v>
      </c>
      <c r="AV17" s="114">
        <f>'CF1'!AV5</f>
        <v>48944</v>
      </c>
      <c r="AW17" s="114">
        <f>'CF1'!AW5</f>
        <v>49034</v>
      </c>
      <c r="AX17" s="114">
        <f>'CF1'!AX5</f>
        <v>49125</v>
      </c>
      <c r="AY17" s="114">
        <f>'CF1'!AY5</f>
        <v>49217</v>
      </c>
      <c r="AZ17" s="114">
        <f>'CF1'!AZ5</f>
        <v>49309</v>
      </c>
      <c r="BA17" s="114">
        <f>'CF1'!BA5</f>
        <v>49399</v>
      </c>
      <c r="BB17" s="114">
        <f>'CF1'!BB5</f>
        <v>49490</v>
      </c>
      <c r="BC17" s="114">
        <f>'CF1'!BC5</f>
        <v>49582</v>
      </c>
      <c r="BD17" s="114">
        <f>'CF1'!BD5</f>
        <v>49674</v>
      </c>
      <c r="BE17" s="114">
        <f>'CF1'!BE5</f>
        <v>49765</v>
      </c>
      <c r="BF17" s="114">
        <f>'CF1'!BF5</f>
        <v>49856</v>
      </c>
      <c r="BG17" s="114">
        <f>'CF1'!BG5</f>
        <v>49948</v>
      </c>
      <c r="BH17" s="114">
        <f>'CF1'!BH5</f>
        <v>50040</v>
      </c>
      <c r="BI17" s="114">
        <f>'CF1'!BI5</f>
        <v>50130</v>
      </c>
      <c r="BJ17" s="114">
        <f>'CF1'!BJ5</f>
        <v>50221</v>
      </c>
      <c r="BK17" s="114">
        <f>'CF1'!BK5</f>
        <v>50313</v>
      </c>
      <c r="BL17" s="114">
        <f>'CF1'!BL5</f>
        <v>50405</v>
      </c>
      <c r="BM17" s="114">
        <f>'CF1'!BM5</f>
        <v>50495</v>
      </c>
    </row>
    <row r="18" spans="2:65">
      <c r="B18" s="19" t="s">
        <v>41</v>
      </c>
      <c r="C18" s="113"/>
      <c r="D18" s="113"/>
      <c r="E18" s="113"/>
      <c r="F18" s="114" t="str">
        <f>'CF1'!F6</f>
        <v>2Q2023</v>
      </c>
      <c r="G18" s="114" t="str">
        <f>'CF1'!G6</f>
        <v>3Q2023</v>
      </c>
      <c r="H18" s="114" t="str">
        <f>'CF1'!H6</f>
        <v>4Q2023</v>
      </c>
      <c r="I18" s="114" t="str">
        <f>'CF1'!I6</f>
        <v>1Q2024</v>
      </c>
      <c r="J18" s="114" t="str">
        <f>'CF1'!J6</f>
        <v>2Q2024</v>
      </c>
      <c r="K18" s="114" t="str">
        <f>'CF1'!K6</f>
        <v>3Q2024</v>
      </c>
      <c r="L18" s="114" t="str">
        <f>'CF1'!L6</f>
        <v>4Q2024</v>
      </c>
      <c r="M18" s="114" t="str">
        <f>'CF1'!M6</f>
        <v>1Q2025</v>
      </c>
      <c r="N18" s="114" t="str">
        <f>'CF1'!N6</f>
        <v>2Q2025</v>
      </c>
      <c r="O18" s="114" t="str">
        <f>'CF1'!O6</f>
        <v>3Q2025</v>
      </c>
      <c r="P18" s="114" t="str">
        <f>'CF1'!P6</f>
        <v>4Q2025</v>
      </c>
      <c r="Q18" s="114" t="str">
        <f>'CF1'!Q6</f>
        <v>1Q2026</v>
      </c>
      <c r="R18" s="114" t="str">
        <f>'CF1'!R6</f>
        <v>2Q2026</v>
      </c>
      <c r="S18" s="114" t="str">
        <f>'CF1'!S6</f>
        <v>3Q2026</v>
      </c>
      <c r="T18" s="114" t="str">
        <f>'CF1'!T6</f>
        <v>4Q2026</v>
      </c>
      <c r="U18" s="114" t="str">
        <f>'CF1'!U6</f>
        <v>1Q2027</v>
      </c>
      <c r="V18" s="114" t="str">
        <f>'CF1'!V6</f>
        <v>2Q2027</v>
      </c>
      <c r="W18" s="114" t="str">
        <f>'CF1'!W6</f>
        <v>3Q2027</v>
      </c>
      <c r="X18" s="114" t="str">
        <f>'CF1'!X6</f>
        <v>4Q2027</v>
      </c>
      <c r="Y18" s="114" t="str">
        <f>'CF1'!Y6</f>
        <v>1Q2028</v>
      </c>
      <c r="Z18" s="114" t="str">
        <f>'CF1'!Z6</f>
        <v>2Q2028</v>
      </c>
      <c r="AA18" s="114" t="str">
        <f>'CF1'!AA6</f>
        <v>3Q2028</v>
      </c>
      <c r="AB18" s="114" t="str">
        <f>'CF1'!AB6</f>
        <v>4Q2028</v>
      </c>
      <c r="AC18" s="114" t="str">
        <f>'CF1'!AC6</f>
        <v>1Q2029</v>
      </c>
      <c r="AD18" s="114" t="str">
        <f>'CF1'!AD6</f>
        <v>2Q2029</v>
      </c>
      <c r="AE18" s="114" t="str">
        <f>'CF1'!AE6</f>
        <v>3Q2029</v>
      </c>
      <c r="AF18" s="114" t="str">
        <f>'CF1'!AF6</f>
        <v>4Q2029</v>
      </c>
      <c r="AG18" s="114" t="str">
        <f>'CF1'!AG6</f>
        <v>1Q2030</v>
      </c>
      <c r="AH18" s="114" t="str">
        <f>'CF1'!AH6</f>
        <v>2Q2030</v>
      </c>
      <c r="AI18" s="114" t="str">
        <f>'CF1'!AI6</f>
        <v>3Q2030</v>
      </c>
      <c r="AJ18" s="114" t="str">
        <f>'CF1'!AJ6</f>
        <v>4Q2030</v>
      </c>
      <c r="AK18" s="114" t="str">
        <f>'CF1'!AK6</f>
        <v>1Q2031</v>
      </c>
      <c r="AL18" s="114" t="str">
        <f>'CF1'!AL6</f>
        <v>2Q2031</v>
      </c>
      <c r="AM18" s="114" t="str">
        <f>'CF1'!AM6</f>
        <v>3Q2031</v>
      </c>
      <c r="AN18" s="114" t="str">
        <f>'CF1'!AN6</f>
        <v>4Q2031</v>
      </c>
      <c r="AO18" s="114" t="str">
        <f>'CF1'!AO6</f>
        <v>1Q2032</v>
      </c>
      <c r="AP18" s="114" t="str">
        <f>'CF1'!AP6</f>
        <v>2Q2032</v>
      </c>
      <c r="AQ18" s="114" t="str">
        <f>'CF1'!AQ6</f>
        <v>3Q2032</v>
      </c>
      <c r="AR18" s="114" t="str">
        <f>'CF1'!AR6</f>
        <v>4Q2032</v>
      </c>
      <c r="AS18" s="114" t="str">
        <f>'CF1'!AS6</f>
        <v>1Q2033</v>
      </c>
      <c r="AT18" s="114" t="str">
        <f>'CF1'!AT6</f>
        <v>2Q2033</v>
      </c>
      <c r="AU18" s="114" t="str">
        <f>'CF1'!AU6</f>
        <v>3Q2033</v>
      </c>
      <c r="AV18" s="114" t="str">
        <f>'CF1'!AV6</f>
        <v>4Q2033</v>
      </c>
      <c r="AW18" s="114" t="str">
        <f>'CF1'!AW6</f>
        <v>1Q2034</v>
      </c>
      <c r="AX18" s="114" t="str">
        <f>'CF1'!AX6</f>
        <v>2Q2034</v>
      </c>
      <c r="AY18" s="114" t="str">
        <f>'CF1'!AY6</f>
        <v>3Q2034</v>
      </c>
      <c r="AZ18" s="114" t="str">
        <f>'CF1'!AZ6</f>
        <v>4Q2034</v>
      </c>
      <c r="BA18" s="114" t="str">
        <f>'CF1'!BA6</f>
        <v>1Q2035</v>
      </c>
      <c r="BB18" s="114" t="str">
        <f>'CF1'!BB6</f>
        <v>2Q2035</v>
      </c>
      <c r="BC18" s="114" t="str">
        <f>'CF1'!BC6</f>
        <v>3Q2035</v>
      </c>
      <c r="BD18" s="114" t="str">
        <f>'CF1'!BD6</f>
        <v>4Q2035</v>
      </c>
      <c r="BE18" s="114" t="str">
        <f>'CF1'!BE6</f>
        <v>1Q2036</v>
      </c>
      <c r="BF18" s="114" t="str">
        <f>'CF1'!BF6</f>
        <v>2Q2036</v>
      </c>
      <c r="BG18" s="114" t="str">
        <f>'CF1'!BG6</f>
        <v>3Q2036</v>
      </c>
      <c r="BH18" s="114" t="str">
        <f>'CF1'!BH6</f>
        <v>4Q2036</v>
      </c>
      <c r="BI18" s="114" t="str">
        <f>'CF1'!BI6</f>
        <v>1Q2037</v>
      </c>
      <c r="BJ18" s="114" t="str">
        <f>'CF1'!BJ6</f>
        <v>2Q2037</v>
      </c>
      <c r="BK18" s="114" t="str">
        <f>'CF1'!BK6</f>
        <v>3Q2037</v>
      </c>
      <c r="BL18" s="114" t="str">
        <f>'CF1'!BL6</f>
        <v>4Q2037</v>
      </c>
      <c r="BM18" s="114" t="str">
        <f>'CF1'!BM6</f>
        <v>1Q2038</v>
      </c>
    </row>
    <row r="19" spans="2:65">
      <c r="B19" s="19" t="s">
        <v>43</v>
      </c>
      <c r="C19" s="113"/>
      <c r="D19" s="113"/>
      <c r="E19" s="113"/>
      <c r="F19" s="115">
        <f>IF(F17=$C$4,1,IF(E19&gt;0,E19+1,0))</f>
        <v>0</v>
      </c>
      <c r="G19" s="115">
        <f t="shared" ref="G19:P19" si="1">IF(G17=$C$4,1,IF(F19&gt;0,F19+1,0))</f>
        <v>0</v>
      </c>
      <c r="H19" s="115">
        <f t="shared" si="1"/>
        <v>0</v>
      </c>
      <c r="I19" s="115">
        <f t="shared" si="1"/>
        <v>0</v>
      </c>
      <c r="J19" s="115">
        <f t="shared" si="1"/>
        <v>0</v>
      </c>
      <c r="K19" s="115">
        <f t="shared" si="1"/>
        <v>0</v>
      </c>
      <c r="L19" s="115">
        <f t="shared" si="1"/>
        <v>0</v>
      </c>
      <c r="M19" s="115">
        <f t="shared" si="1"/>
        <v>0</v>
      </c>
      <c r="N19" s="115">
        <f t="shared" si="1"/>
        <v>1</v>
      </c>
      <c r="O19" s="115">
        <f t="shared" si="1"/>
        <v>2</v>
      </c>
      <c r="P19" s="115">
        <f t="shared" si="1"/>
        <v>3</v>
      </c>
      <c r="Q19" s="115">
        <f t="shared" ref="Q19:AV19" si="2">IF(Q17=$C$4,1,IF(P19&gt;0,P19+1,0))</f>
        <v>4</v>
      </c>
      <c r="R19" s="115">
        <f t="shared" si="2"/>
        <v>5</v>
      </c>
      <c r="S19" s="115">
        <f t="shared" si="2"/>
        <v>6</v>
      </c>
      <c r="T19" s="115">
        <f t="shared" si="2"/>
        <v>7</v>
      </c>
      <c r="U19" s="115">
        <f t="shared" si="2"/>
        <v>8</v>
      </c>
      <c r="V19" s="115">
        <f t="shared" si="2"/>
        <v>9</v>
      </c>
      <c r="W19" s="115">
        <f t="shared" si="2"/>
        <v>10</v>
      </c>
      <c r="X19" s="115">
        <f t="shared" si="2"/>
        <v>11</v>
      </c>
      <c r="Y19" s="115">
        <f t="shared" si="2"/>
        <v>12</v>
      </c>
      <c r="Z19" s="115">
        <f t="shared" si="2"/>
        <v>13</v>
      </c>
      <c r="AA19" s="115">
        <f t="shared" si="2"/>
        <v>14</v>
      </c>
      <c r="AB19" s="115">
        <f t="shared" si="2"/>
        <v>15</v>
      </c>
      <c r="AC19" s="115">
        <f t="shared" si="2"/>
        <v>16</v>
      </c>
      <c r="AD19" s="115">
        <f t="shared" si="2"/>
        <v>17</v>
      </c>
      <c r="AE19" s="115">
        <f t="shared" si="2"/>
        <v>18</v>
      </c>
      <c r="AF19" s="115">
        <f t="shared" si="2"/>
        <v>19</v>
      </c>
      <c r="AG19" s="115">
        <f t="shared" si="2"/>
        <v>20</v>
      </c>
      <c r="AH19" s="115">
        <f t="shared" si="2"/>
        <v>21</v>
      </c>
      <c r="AI19" s="115">
        <f t="shared" si="2"/>
        <v>22</v>
      </c>
      <c r="AJ19" s="115">
        <f t="shared" si="2"/>
        <v>23</v>
      </c>
      <c r="AK19" s="115">
        <f t="shared" si="2"/>
        <v>24</v>
      </c>
      <c r="AL19" s="115">
        <f t="shared" si="2"/>
        <v>25</v>
      </c>
      <c r="AM19" s="115">
        <f t="shared" si="2"/>
        <v>26</v>
      </c>
      <c r="AN19" s="115">
        <f t="shared" si="2"/>
        <v>27</v>
      </c>
      <c r="AO19" s="115">
        <f t="shared" si="2"/>
        <v>28</v>
      </c>
      <c r="AP19" s="115">
        <f t="shared" si="2"/>
        <v>29</v>
      </c>
      <c r="AQ19" s="115">
        <f t="shared" si="2"/>
        <v>30</v>
      </c>
      <c r="AR19" s="115">
        <f t="shared" si="2"/>
        <v>31</v>
      </c>
      <c r="AS19" s="115">
        <f t="shared" si="2"/>
        <v>32</v>
      </c>
      <c r="AT19" s="115">
        <f t="shared" si="2"/>
        <v>33</v>
      </c>
      <c r="AU19" s="115">
        <f t="shared" si="2"/>
        <v>34</v>
      </c>
      <c r="AV19" s="115">
        <f t="shared" si="2"/>
        <v>35</v>
      </c>
      <c r="AW19" s="115">
        <f t="shared" ref="AW19:BM19" si="3">IF(AW17=$C$4,1,IF(AV19&gt;0,AV19+1,0))</f>
        <v>36</v>
      </c>
      <c r="AX19" s="115">
        <f t="shared" si="3"/>
        <v>37</v>
      </c>
      <c r="AY19" s="115">
        <f t="shared" si="3"/>
        <v>38</v>
      </c>
      <c r="AZ19" s="115">
        <f t="shared" si="3"/>
        <v>39</v>
      </c>
      <c r="BA19" s="115">
        <f t="shared" si="3"/>
        <v>40</v>
      </c>
      <c r="BB19" s="115">
        <f t="shared" si="3"/>
        <v>41</v>
      </c>
      <c r="BC19" s="115">
        <f t="shared" si="3"/>
        <v>42</v>
      </c>
      <c r="BD19" s="115">
        <f t="shared" si="3"/>
        <v>43</v>
      </c>
      <c r="BE19" s="115">
        <f t="shared" si="3"/>
        <v>44</v>
      </c>
      <c r="BF19" s="115">
        <f t="shared" si="3"/>
        <v>45</v>
      </c>
      <c r="BG19" s="115">
        <f t="shared" si="3"/>
        <v>46</v>
      </c>
      <c r="BH19" s="115">
        <f t="shared" si="3"/>
        <v>47</v>
      </c>
      <c r="BI19" s="115">
        <f t="shared" si="3"/>
        <v>48</v>
      </c>
      <c r="BJ19" s="115">
        <f t="shared" si="3"/>
        <v>49</v>
      </c>
      <c r="BK19" s="115">
        <f t="shared" si="3"/>
        <v>50</v>
      </c>
      <c r="BL19" s="115">
        <f t="shared" si="3"/>
        <v>51</v>
      </c>
      <c r="BM19" s="115">
        <f t="shared" si="3"/>
        <v>52</v>
      </c>
    </row>
    <row r="20" spans="2:65">
      <c r="B20" s="55" t="str">
        <f>B6</f>
        <v>ВХОД</v>
      </c>
      <c r="C20" s="55"/>
      <c r="D20" s="55"/>
      <c r="E20" s="55"/>
      <c r="F20" s="57">
        <f t="shared" ref="F20:BM20" si="4">SUMIFS($F6:$BM6,$F$5:$BM$5,F$19)</f>
        <v>0</v>
      </c>
      <c r="G20" s="57">
        <f t="shared" si="4"/>
        <v>0</v>
      </c>
      <c r="H20" s="57">
        <f t="shared" si="4"/>
        <v>0</v>
      </c>
      <c r="I20" s="57">
        <f t="shared" si="4"/>
        <v>0</v>
      </c>
      <c r="J20" s="57">
        <f t="shared" si="4"/>
        <v>0</v>
      </c>
      <c r="K20" s="57">
        <f t="shared" si="4"/>
        <v>0</v>
      </c>
      <c r="L20" s="57">
        <f t="shared" si="4"/>
        <v>0</v>
      </c>
      <c r="M20" s="57">
        <f t="shared" si="4"/>
        <v>0</v>
      </c>
      <c r="N20" s="57">
        <f t="shared" si="4"/>
        <v>0</v>
      </c>
      <c r="O20" s="57">
        <f t="shared" si="4"/>
        <v>0</v>
      </c>
      <c r="P20" s="57">
        <f t="shared" si="4"/>
        <v>1</v>
      </c>
      <c r="Q20" s="57">
        <f t="shared" si="4"/>
        <v>0</v>
      </c>
      <c r="R20" s="57">
        <f t="shared" si="4"/>
        <v>0</v>
      </c>
      <c r="S20" s="57">
        <f t="shared" si="4"/>
        <v>0</v>
      </c>
      <c r="T20" s="57">
        <f t="shared" si="4"/>
        <v>0</v>
      </c>
      <c r="U20" s="57">
        <f t="shared" si="4"/>
        <v>0</v>
      </c>
      <c r="V20" s="57">
        <f t="shared" si="4"/>
        <v>0</v>
      </c>
      <c r="W20" s="57">
        <f t="shared" si="4"/>
        <v>0</v>
      </c>
      <c r="X20" s="57">
        <f t="shared" si="4"/>
        <v>0</v>
      </c>
      <c r="Y20" s="57">
        <f t="shared" si="4"/>
        <v>0</v>
      </c>
      <c r="Z20" s="57">
        <f t="shared" si="4"/>
        <v>0</v>
      </c>
      <c r="AA20" s="57">
        <f t="shared" si="4"/>
        <v>0</v>
      </c>
      <c r="AB20" s="57">
        <f t="shared" si="4"/>
        <v>0</v>
      </c>
      <c r="AC20" s="57">
        <f t="shared" si="4"/>
        <v>0</v>
      </c>
      <c r="AD20" s="57">
        <f t="shared" si="4"/>
        <v>0</v>
      </c>
      <c r="AE20" s="57">
        <f t="shared" si="4"/>
        <v>0</v>
      </c>
      <c r="AF20" s="57">
        <f t="shared" si="4"/>
        <v>0</v>
      </c>
      <c r="AG20" s="57">
        <f t="shared" si="4"/>
        <v>0</v>
      </c>
      <c r="AH20" s="57">
        <f t="shared" si="4"/>
        <v>0</v>
      </c>
      <c r="AI20" s="57">
        <f t="shared" si="4"/>
        <v>0</v>
      </c>
      <c r="AJ20" s="57">
        <f t="shared" si="4"/>
        <v>0</v>
      </c>
      <c r="AK20" s="57">
        <f t="shared" si="4"/>
        <v>0</v>
      </c>
      <c r="AL20" s="57">
        <f t="shared" si="4"/>
        <v>0</v>
      </c>
      <c r="AM20" s="57">
        <f t="shared" si="4"/>
        <v>0</v>
      </c>
      <c r="AN20" s="57">
        <f t="shared" si="4"/>
        <v>0</v>
      </c>
      <c r="AO20" s="57">
        <f t="shared" si="4"/>
        <v>0</v>
      </c>
      <c r="AP20" s="57">
        <f t="shared" si="4"/>
        <v>0</v>
      </c>
      <c r="AQ20" s="57">
        <f t="shared" si="4"/>
        <v>0</v>
      </c>
      <c r="AR20" s="57">
        <f t="shared" si="4"/>
        <v>0</v>
      </c>
      <c r="AS20" s="57">
        <f t="shared" si="4"/>
        <v>0</v>
      </c>
      <c r="AT20" s="57">
        <f t="shared" si="4"/>
        <v>0</v>
      </c>
      <c r="AU20" s="57">
        <f t="shared" si="4"/>
        <v>0</v>
      </c>
      <c r="AV20" s="57">
        <f t="shared" si="4"/>
        <v>0</v>
      </c>
      <c r="AW20" s="57">
        <f t="shared" si="4"/>
        <v>0</v>
      </c>
      <c r="AX20" s="57">
        <f t="shared" si="4"/>
        <v>0</v>
      </c>
      <c r="AY20" s="57">
        <f t="shared" si="4"/>
        <v>0</v>
      </c>
      <c r="AZ20" s="57">
        <f t="shared" si="4"/>
        <v>0</v>
      </c>
      <c r="BA20" s="57">
        <f t="shared" si="4"/>
        <v>0</v>
      </c>
      <c r="BB20" s="57">
        <f t="shared" si="4"/>
        <v>0</v>
      </c>
      <c r="BC20" s="57">
        <f t="shared" si="4"/>
        <v>0</v>
      </c>
      <c r="BD20" s="57">
        <f t="shared" si="4"/>
        <v>0</v>
      </c>
      <c r="BE20" s="57">
        <f t="shared" si="4"/>
        <v>0</v>
      </c>
      <c r="BF20" s="57">
        <f t="shared" si="4"/>
        <v>0</v>
      </c>
      <c r="BG20" s="57">
        <f t="shared" si="4"/>
        <v>0</v>
      </c>
      <c r="BH20" s="57">
        <f t="shared" si="4"/>
        <v>0</v>
      </c>
      <c r="BI20" s="57">
        <f t="shared" si="4"/>
        <v>0</v>
      </c>
      <c r="BJ20" s="57">
        <f t="shared" si="4"/>
        <v>0</v>
      </c>
      <c r="BK20" s="57">
        <f t="shared" si="4"/>
        <v>0</v>
      </c>
      <c r="BL20" s="57">
        <f t="shared" si="4"/>
        <v>0</v>
      </c>
      <c r="BM20" s="57">
        <f t="shared" si="4"/>
        <v>0</v>
      </c>
    </row>
    <row r="21" spans="2:65">
      <c r="B21" s="55" t="str">
        <f>B7</f>
        <v>ПРОЕКТИРОВАНИЕ (К+П+РД)</v>
      </c>
      <c r="C21" s="55"/>
      <c r="D21" s="55"/>
      <c r="E21" s="55"/>
      <c r="F21" s="57">
        <f t="shared" ref="F21:F27" si="5">SUMIFS($F7:$BM7,$F$5:$BM$5,F$19)</f>
        <v>0</v>
      </c>
      <c r="G21" s="57">
        <f t="shared" ref="G21:BM21" si="6">SUMIFS($F7:$BM7,$F$5:$BM$5,G$19)</f>
        <v>0</v>
      </c>
      <c r="H21" s="57">
        <f t="shared" si="6"/>
        <v>0</v>
      </c>
      <c r="I21" s="57">
        <f t="shared" si="6"/>
        <v>0</v>
      </c>
      <c r="J21" s="57">
        <f t="shared" si="6"/>
        <v>0</v>
      </c>
      <c r="K21" s="57">
        <f t="shared" si="6"/>
        <v>0</v>
      </c>
      <c r="L21" s="57">
        <f t="shared" si="6"/>
        <v>0</v>
      </c>
      <c r="M21" s="57">
        <f t="shared" si="6"/>
        <v>0</v>
      </c>
      <c r="N21" s="57">
        <f t="shared" si="6"/>
        <v>8.3333333333333329E-2</v>
      </c>
      <c r="O21" s="57">
        <f t="shared" si="6"/>
        <v>8.3333333333333329E-2</v>
      </c>
      <c r="P21" s="57">
        <f t="shared" si="6"/>
        <v>8.3333333333333329E-2</v>
      </c>
      <c r="Q21" s="57">
        <f t="shared" si="6"/>
        <v>8.3333333333333329E-2</v>
      </c>
      <c r="R21" s="57">
        <f t="shared" si="6"/>
        <v>8.3333333333333329E-2</v>
      </c>
      <c r="S21" s="57">
        <f t="shared" si="6"/>
        <v>0</v>
      </c>
      <c r="T21" s="57">
        <f t="shared" si="6"/>
        <v>0</v>
      </c>
      <c r="U21" s="57">
        <f t="shared" si="6"/>
        <v>0</v>
      </c>
      <c r="V21" s="57">
        <f t="shared" si="6"/>
        <v>0</v>
      </c>
      <c r="W21" s="57">
        <f t="shared" si="6"/>
        <v>0</v>
      </c>
      <c r="X21" s="57">
        <f t="shared" si="6"/>
        <v>0</v>
      </c>
      <c r="Y21" s="57">
        <f t="shared" si="6"/>
        <v>0</v>
      </c>
      <c r="Z21" s="57">
        <f t="shared" si="6"/>
        <v>0</v>
      </c>
      <c r="AA21" s="57">
        <f t="shared" si="6"/>
        <v>0</v>
      </c>
      <c r="AB21" s="57">
        <f t="shared" si="6"/>
        <v>0</v>
      </c>
      <c r="AC21" s="57">
        <f t="shared" si="6"/>
        <v>0.58333333333333337</v>
      </c>
      <c r="AD21" s="57">
        <f t="shared" si="6"/>
        <v>0</v>
      </c>
      <c r="AE21" s="57">
        <f t="shared" si="6"/>
        <v>0</v>
      </c>
      <c r="AF21" s="57">
        <f t="shared" si="6"/>
        <v>0</v>
      </c>
      <c r="AG21" s="57">
        <f t="shared" si="6"/>
        <v>0</v>
      </c>
      <c r="AH21" s="57">
        <f t="shared" si="6"/>
        <v>0</v>
      </c>
      <c r="AI21" s="57">
        <f t="shared" si="6"/>
        <v>0</v>
      </c>
      <c r="AJ21" s="57">
        <f t="shared" si="6"/>
        <v>0</v>
      </c>
      <c r="AK21" s="57">
        <f t="shared" si="6"/>
        <v>0</v>
      </c>
      <c r="AL21" s="57">
        <f t="shared" si="6"/>
        <v>0</v>
      </c>
      <c r="AM21" s="57">
        <f t="shared" si="6"/>
        <v>0</v>
      </c>
      <c r="AN21" s="57">
        <f t="shared" si="6"/>
        <v>0</v>
      </c>
      <c r="AO21" s="57">
        <f t="shared" si="6"/>
        <v>0</v>
      </c>
      <c r="AP21" s="57">
        <f t="shared" si="6"/>
        <v>0</v>
      </c>
      <c r="AQ21" s="57">
        <f t="shared" si="6"/>
        <v>0</v>
      </c>
      <c r="AR21" s="57">
        <f t="shared" si="6"/>
        <v>0</v>
      </c>
      <c r="AS21" s="57">
        <f t="shared" si="6"/>
        <v>0</v>
      </c>
      <c r="AT21" s="57">
        <f t="shared" si="6"/>
        <v>0</v>
      </c>
      <c r="AU21" s="57">
        <f t="shared" si="6"/>
        <v>0</v>
      </c>
      <c r="AV21" s="57">
        <f t="shared" si="6"/>
        <v>0</v>
      </c>
      <c r="AW21" s="57">
        <f t="shared" si="6"/>
        <v>0</v>
      </c>
      <c r="AX21" s="57">
        <f t="shared" si="6"/>
        <v>0</v>
      </c>
      <c r="AY21" s="57">
        <f t="shared" si="6"/>
        <v>0</v>
      </c>
      <c r="AZ21" s="57">
        <f t="shared" si="6"/>
        <v>0</v>
      </c>
      <c r="BA21" s="57">
        <f t="shared" si="6"/>
        <v>0</v>
      </c>
      <c r="BB21" s="57">
        <f t="shared" si="6"/>
        <v>0</v>
      </c>
      <c r="BC21" s="57">
        <f t="shared" si="6"/>
        <v>0</v>
      </c>
      <c r="BD21" s="57">
        <f t="shared" si="6"/>
        <v>0</v>
      </c>
      <c r="BE21" s="57">
        <f t="shared" si="6"/>
        <v>0</v>
      </c>
      <c r="BF21" s="57">
        <f t="shared" si="6"/>
        <v>0</v>
      </c>
      <c r="BG21" s="57">
        <f t="shared" si="6"/>
        <v>0</v>
      </c>
      <c r="BH21" s="57">
        <f t="shared" si="6"/>
        <v>0</v>
      </c>
      <c r="BI21" s="57">
        <f t="shared" si="6"/>
        <v>0</v>
      </c>
      <c r="BJ21" s="57">
        <f t="shared" si="6"/>
        <v>0</v>
      </c>
      <c r="BK21" s="57">
        <f t="shared" si="6"/>
        <v>0</v>
      </c>
      <c r="BL21" s="57">
        <f t="shared" si="6"/>
        <v>0</v>
      </c>
      <c r="BM21" s="57">
        <f t="shared" si="6"/>
        <v>0</v>
      </c>
    </row>
    <row r="22" spans="2:65">
      <c r="B22" s="55" t="s">
        <v>32</v>
      </c>
      <c r="C22" s="55"/>
      <c r="D22" s="55"/>
      <c r="E22" s="55"/>
      <c r="F22" s="57">
        <f t="shared" si="5"/>
        <v>0</v>
      </c>
      <c r="G22" s="57">
        <f t="shared" ref="G22:BM22" si="7">SUMIFS($F8:$BM8,$F$5:$BM$5,G$19)</f>
        <v>0</v>
      </c>
      <c r="H22" s="57">
        <f t="shared" si="7"/>
        <v>0</v>
      </c>
      <c r="I22" s="57">
        <f t="shared" si="7"/>
        <v>0</v>
      </c>
      <c r="J22" s="57">
        <f t="shared" si="7"/>
        <v>0</v>
      </c>
      <c r="K22" s="57">
        <f t="shared" si="7"/>
        <v>0</v>
      </c>
      <c r="L22" s="57">
        <f t="shared" si="7"/>
        <v>0</v>
      </c>
      <c r="M22" s="57">
        <f t="shared" si="7"/>
        <v>0</v>
      </c>
      <c r="N22" s="57">
        <f t="shared" si="7"/>
        <v>8.3333333333333329E-2</v>
      </c>
      <c r="O22" s="57">
        <f t="shared" si="7"/>
        <v>8.3333333333333329E-2</v>
      </c>
      <c r="P22" s="57">
        <f t="shared" si="7"/>
        <v>8.3333333333333329E-2</v>
      </c>
      <c r="Q22" s="57">
        <f t="shared" si="7"/>
        <v>8.3333333333333329E-2</v>
      </c>
      <c r="R22" s="57">
        <f t="shared" si="7"/>
        <v>8.3333333333333329E-2</v>
      </c>
      <c r="S22" s="57">
        <f t="shared" si="7"/>
        <v>8.3333333333333329E-2</v>
      </c>
      <c r="T22" s="57">
        <f t="shared" si="7"/>
        <v>4.1666666666666664E-2</v>
      </c>
      <c r="U22" s="57">
        <f t="shared" si="7"/>
        <v>4.1666666666666664E-2</v>
      </c>
      <c r="V22" s="57">
        <f t="shared" si="7"/>
        <v>4.1666666666666664E-2</v>
      </c>
      <c r="W22" s="57">
        <f t="shared" si="7"/>
        <v>4.1666666666666664E-2</v>
      </c>
      <c r="X22" s="57">
        <f t="shared" si="7"/>
        <v>4.1666666666666664E-2</v>
      </c>
      <c r="Y22" s="57">
        <f t="shared" si="7"/>
        <v>4.1666666666666664E-2</v>
      </c>
      <c r="Z22" s="57">
        <f t="shared" si="7"/>
        <v>4.1666666666666664E-2</v>
      </c>
      <c r="AA22" s="57">
        <f t="shared" si="7"/>
        <v>4.1666666666666664E-2</v>
      </c>
      <c r="AB22" s="57">
        <f t="shared" si="7"/>
        <v>4.1666666666666664E-2</v>
      </c>
      <c r="AC22" s="57">
        <f t="shared" si="7"/>
        <v>4.1666666666666664E-2</v>
      </c>
      <c r="AD22" s="57">
        <f t="shared" si="7"/>
        <v>4.1666666666666664E-2</v>
      </c>
      <c r="AE22" s="57">
        <f t="shared" si="7"/>
        <v>4.1666666666666664E-2</v>
      </c>
      <c r="AF22" s="57">
        <f t="shared" si="7"/>
        <v>0</v>
      </c>
      <c r="AG22" s="57">
        <f t="shared" si="7"/>
        <v>0</v>
      </c>
      <c r="AH22" s="57">
        <f t="shared" si="7"/>
        <v>0</v>
      </c>
      <c r="AI22" s="57">
        <f t="shared" si="7"/>
        <v>0</v>
      </c>
      <c r="AJ22" s="57">
        <f t="shared" si="7"/>
        <v>0</v>
      </c>
      <c r="AK22" s="57">
        <f t="shared" si="7"/>
        <v>0</v>
      </c>
      <c r="AL22" s="57">
        <f t="shared" si="7"/>
        <v>0</v>
      </c>
      <c r="AM22" s="57">
        <f t="shared" si="7"/>
        <v>0</v>
      </c>
      <c r="AN22" s="57">
        <f t="shared" si="7"/>
        <v>0</v>
      </c>
      <c r="AO22" s="57">
        <f t="shared" si="7"/>
        <v>0</v>
      </c>
      <c r="AP22" s="57">
        <f t="shared" si="7"/>
        <v>0</v>
      </c>
      <c r="AQ22" s="57">
        <f t="shared" si="7"/>
        <v>0</v>
      </c>
      <c r="AR22" s="57">
        <f t="shared" si="7"/>
        <v>0</v>
      </c>
      <c r="AS22" s="57">
        <f t="shared" si="7"/>
        <v>0</v>
      </c>
      <c r="AT22" s="57">
        <f t="shared" si="7"/>
        <v>0</v>
      </c>
      <c r="AU22" s="57">
        <f t="shared" si="7"/>
        <v>0</v>
      </c>
      <c r="AV22" s="57">
        <f t="shared" si="7"/>
        <v>0</v>
      </c>
      <c r="AW22" s="57">
        <f t="shared" si="7"/>
        <v>0</v>
      </c>
      <c r="AX22" s="57">
        <f t="shared" si="7"/>
        <v>0</v>
      </c>
      <c r="AY22" s="57">
        <f t="shared" si="7"/>
        <v>0</v>
      </c>
      <c r="AZ22" s="57">
        <f t="shared" si="7"/>
        <v>0</v>
      </c>
      <c r="BA22" s="57">
        <f t="shared" si="7"/>
        <v>0</v>
      </c>
      <c r="BB22" s="57">
        <f t="shared" si="7"/>
        <v>0</v>
      </c>
      <c r="BC22" s="57">
        <f t="shared" si="7"/>
        <v>0</v>
      </c>
      <c r="BD22" s="57">
        <f t="shared" si="7"/>
        <v>0</v>
      </c>
      <c r="BE22" s="57">
        <f t="shared" si="7"/>
        <v>0</v>
      </c>
      <c r="BF22" s="57">
        <f t="shared" si="7"/>
        <v>0</v>
      </c>
      <c r="BG22" s="57">
        <f t="shared" si="7"/>
        <v>0</v>
      </c>
      <c r="BH22" s="57">
        <f t="shared" si="7"/>
        <v>0</v>
      </c>
      <c r="BI22" s="57">
        <f t="shared" si="7"/>
        <v>0</v>
      </c>
      <c r="BJ22" s="57">
        <f t="shared" si="7"/>
        <v>0</v>
      </c>
      <c r="BK22" s="57">
        <f t="shared" si="7"/>
        <v>0</v>
      </c>
      <c r="BL22" s="57">
        <f t="shared" si="7"/>
        <v>0</v>
      </c>
      <c r="BM22" s="57">
        <f t="shared" si="7"/>
        <v>0</v>
      </c>
    </row>
    <row r="23" spans="2:65">
      <c r="B23" s="55" t="s">
        <v>247</v>
      </c>
      <c r="C23" s="55"/>
      <c r="D23" s="55"/>
      <c r="E23" s="55"/>
      <c r="F23" s="57">
        <f t="shared" si="5"/>
        <v>0</v>
      </c>
      <c r="G23" s="57">
        <f t="shared" ref="G23:BM23" si="8">SUMIFS($F9:$BM9,$F$5:$BM$5,G$19)</f>
        <v>0</v>
      </c>
      <c r="H23" s="57">
        <f t="shared" si="8"/>
        <v>0</v>
      </c>
      <c r="I23" s="57">
        <f t="shared" si="8"/>
        <v>0</v>
      </c>
      <c r="J23" s="57">
        <f t="shared" si="8"/>
        <v>0</v>
      </c>
      <c r="K23" s="57">
        <f t="shared" si="8"/>
        <v>0</v>
      </c>
      <c r="L23" s="57">
        <f t="shared" si="8"/>
        <v>0</v>
      </c>
      <c r="M23" s="57">
        <f t="shared" si="8"/>
        <v>0</v>
      </c>
      <c r="N23" s="57">
        <f t="shared" si="8"/>
        <v>0</v>
      </c>
      <c r="O23" s="57">
        <f t="shared" si="8"/>
        <v>0</v>
      </c>
      <c r="P23" s="57">
        <f t="shared" si="8"/>
        <v>0</v>
      </c>
      <c r="Q23" s="57">
        <f t="shared" si="8"/>
        <v>0</v>
      </c>
      <c r="R23" s="57">
        <f t="shared" si="8"/>
        <v>0</v>
      </c>
      <c r="S23" s="57">
        <f t="shared" si="8"/>
        <v>1</v>
      </c>
      <c r="T23" s="57">
        <f t="shared" si="8"/>
        <v>0</v>
      </c>
      <c r="U23" s="57">
        <f t="shared" si="8"/>
        <v>0</v>
      </c>
      <c r="V23" s="57">
        <f t="shared" si="8"/>
        <v>0</v>
      </c>
      <c r="W23" s="57">
        <f t="shared" si="8"/>
        <v>0</v>
      </c>
      <c r="X23" s="57">
        <f t="shared" si="8"/>
        <v>0</v>
      </c>
      <c r="Y23" s="57">
        <f t="shared" si="8"/>
        <v>0</v>
      </c>
      <c r="Z23" s="57">
        <f t="shared" si="8"/>
        <v>0</v>
      </c>
      <c r="AA23" s="57">
        <f t="shared" si="8"/>
        <v>0</v>
      </c>
      <c r="AB23" s="57">
        <f t="shared" si="8"/>
        <v>0</v>
      </c>
      <c r="AC23" s="57">
        <f t="shared" si="8"/>
        <v>0</v>
      </c>
      <c r="AD23" s="57">
        <f t="shared" si="8"/>
        <v>0</v>
      </c>
      <c r="AE23" s="57">
        <f t="shared" si="8"/>
        <v>0</v>
      </c>
      <c r="AF23" s="57">
        <f t="shared" si="8"/>
        <v>0</v>
      </c>
      <c r="AG23" s="57">
        <f t="shared" si="8"/>
        <v>0</v>
      </c>
      <c r="AH23" s="57">
        <f t="shared" si="8"/>
        <v>0</v>
      </c>
      <c r="AI23" s="57">
        <f t="shared" si="8"/>
        <v>0</v>
      </c>
      <c r="AJ23" s="57">
        <f t="shared" si="8"/>
        <v>0</v>
      </c>
      <c r="AK23" s="57">
        <f t="shared" si="8"/>
        <v>0</v>
      </c>
      <c r="AL23" s="57">
        <f t="shared" si="8"/>
        <v>0</v>
      </c>
      <c r="AM23" s="57">
        <f t="shared" si="8"/>
        <v>0</v>
      </c>
      <c r="AN23" s="57">
        <f t="shared" si="8"/>
        <v>0</v>
      </c>
      <c r="AO23" s="57">
        <f t="shared" si="8"/>
        <v>0</v>
      </c>
      <c r="AP23" s="57">
        <f t="shared" si="8"/>
        <v>0</v>
      </c>
      <c r="AQ23" s="57">
        <f t="shared" si="8"/>
        <v>0</v>
      </c>
      <c r="AR23" s="57">
        <f t="shared" si="8"/>
        <v>0</v>
      </c>
      <c r="AS23" s="57">
        <f t="shared" si="8"/>
        <v>0</v>
      </c>
      <c r="AT23" s="57">
        <f t="shared" si="8"/>
        <v>0</v>
      </c>
      <c r="AU23" s="57">
        <f t="shared" si="8"/>
        <v>0</v>
      </c>
      <c r="AV23" s="57">
        <f t="shared" si="8"/>
        <v>0</v>
      </c>
      <c r="AW23" s="57">
        <f t="shared" si="8"/>
        <v>0</v>
      </c>
      <c r="AX23" s="57">
        <f t="shared" si="8"/>
        <v>0</v>
      </c>
      <c r="AY23" s="57">
        <f t="shared" si="8"/>
        <v>0</v>
      </c>
      <c r="AZ23" s="57">
        <f t="shared" si="8"/>
        <v>0</v>
      </c>
      <c r="BA23" s="57">
        <f t="shared" si="8"/>
        <v>0</v>
      </c>
      <c r="BB23" s="57">
        <f t="shared" si="8"/>
        <v>0</v>
      </c>
      <c r="BC23" s="57">
        <f t="shared" si="8"/>
        <v>0</v>
      </c>
      <c r="BD23" s="57">
        <f t="shared" si="8"/>
        <v>0</v>
      </c>
      <c r="BE23" s="57">
        <f t="shared" si="8"/>
        <v>0</v>
      </c>
      <c r="BF23" s="57">
        <f t="shared" si="8"/>
        <v>0</v>
      </c>
      <c r="BG23" s="57">
        <f t="shared" si="8"/>
        <v>0</v>
      </c>
      <c r="BH23" s="57">
        <f t="shared" si="8"/>
        <v>0</v>
      </c>
      <c r="BI23" s="57">
        <f t="shared" si="8"/>
        <v>0</v>
      </c>
      <c r="BJ23" s="57">
        <f t="shared" si="8"/>
        <v>0</v>
      </c>
      <c r="BK23" s="57">
        <f t="shared" si="8"/>
        <v>0</v>
      </c>
      <c r="BL23" s="57">
        <f t="shared" si="8"/>
        <v>0</v>
      </c>
      <c r="BM23" s="57">
        <f t="shared" si="8"/>
        <v>0</v>
      </c>
    </row>
    <row r="24" spans="2:65">
      <c r="B24" s="55" t="str">
        <f>B10</f>
        <v>СОДЕРЖАНИЕ ПЛОЩАДКИ</v>
      </c>
      <c r="C24" s="55"/>
      <c r="D24" s="55"/>
      <c r="E24" s="55"/>
      <c r="F24" s="57">
        <f t="shared" si="5"/>
        <v>0</v>
      </c>
      <c r="G24" s="57">
        <f t="shared" ref="G24:BM24" si="9">SUMIFS($F10:$BM10,$F$5:$BM$5,G$19)</f>
        <v>0</v>
      </c>
      <c r="H24" s="57">
        <f t="shared" si="9"/>
        <v>0</v>
      </c>
      <c r="I24" s="57">
        <f t="shared" si="9"/>
        <v>0</v>
      </c>
      <c r="J24" s="57">
        <f t="shared" si="9"/>
        <v>0</v>
      </c>
      <c r="K24" s="57">
        <f t="shared" si="9"/>
        <v>0</v>
      </c>
      <c r="L24" s="57">
        <f t="shared" si="9"/>
        <v>0</v>
      </c>
      <c r="M24" s="57">
        <f t="shared" si="9"/>
        <v>0</v>
      </c>
      <c r="N24" s="57">
        <f t="shared" si="9"/>
        <v>0</v>
      </c>
      <c r="O24" s="57">
        <f t="shared" si="9"/>
        <v>0</v>
      </c>
      <c r="P24" s="57">
        <f t="shared" si="9"/>
        <v>0</v>
      </c>
      <c r="Q24" s="57">
        <f t="shared" si="9"/>
        <v>0</v>
      </c>
      <c r="R24" s="57">
        <f t="shared" si="9"/>
        <v>0</v>
      </c>
      <c r="S24" s="57">
        <f t="shared" si="9"/>
        <v>0.5</v>
      </c>
      <c r="T24" s="57">
        <f t="shared" si="9"/>
        <v>0.5</v>
      </c>
      <c r="U24" s="57">
        <f t="shared" si="9"/>
        <v>0</v>
      </c>
      <c r="V24" s="57">
        <f t="shared" si="9"/>
        <v>0</v>
      </c>
      <c r="W24" s="57">
        <f t="shared" si="9"/>
        <v>0</v>
      </c>
      <c r="X24" s="57">
        <f t="shared" si="9"/>
        <v>0</v>
      </c>
      <c r="Y24" s="57">
        <f t="shared" si="9"/>
        <v>0</v>
      </c>
      <c r="Z24" s="57">
        <f t="shared" si="9"/>
        <v>0</v>
      </c>
      <c r="AA24" s="57">
        <f t="shared" si="9"/>
        <v>0</v>
      </c>
      <c r="AB24" s="57">
        <f t="shared" si="9"/>
        <v>0</v>
      </c>
      <c r="AC24" s="57">
        <f t="shared" si="9"/>
        <v>0</v>
      </c>
      <c r="AD24" s="57">
        <f t="shared" si="9"/>
        <v>0</v>
      </c>
      <c r="AE24" s="57">
        <f t="shared" si="9"/>
        <v>0</v>
      </c>
      <c r="AF24" s="57">
        <f t="shared" si="9"/>
        <v>0</v>
      </c>
      <c r="AG24" s="57">
        <f t="shared" si="9"/>
        <v>0</v>
      </c>
      <c r="AH24" s="57">
        <f t="shared" si="9"/>
        <v>0</v>
      </c>
      <c r="AI24" s="57">
        <f t="shared" si="9"/>
        <v>0</v>
      </c>
      <c r="AJ24" s="57">
        <f t="shared" si="9"/>
        <v>0</v>
      </c>
      <c r="AK24" s="57">
        <f t="shared" si="9"/>
        <v>0</v>
      </c>
      <c r="AL24" s="57">
        <f t="shared" si="9"/>
        <v>0</v>
      </c>
      <c r="AM24" s="57">
        <f t="shared" si="9"/>
        <v>0</v>
      </c>
      <c r="AN24" s="57">
        <f t="shared" si="9"/>
        <v>0</v>
      </c>
      <c r="AO24" s="57">
        <f t="shared" si="9"/>
        <v>0</v>
      </c>
      <c r="AP24" s="57">
        <f t="shared" si="9"/>
        <v>0</v>
      </c>
      <c r="AQ24" s="57">
        <f t="shared" si="9"/>
        <v>0</v>
      </c>
      <c r="AR24" s="57">
        <f t="shared" si="9"/>
        <v>0</v>
      </c>
      <c r="AS24" s="57">
        <f t="shared" si="9"/>
        <v>0</v>
      </c>
      <c r="AT24" s="57">
        <f t="shared" si="9"/>
        <v>0</v>
      </c>
      <c r="AU24" s="57">
        <f t="shared" si="9"/>
        <v>0</v>
      </c>
      <c r="AV24" s="57">
        <f t="shared" si="9"/>
        <v>0</v>
      </c>
      <c r="AW24" s="57">
        <f t="shared" si="9"/>
        <v>0</v>
      </c>
      <c r="AX24" s="57">
        <f t="shared" si="9"/>
        <v>0</v>
      </c>
      <c r="AY24" s="57">
        <f t="shared" si="9"/>
        <v>0</v>
      </c>
      <c r="AZ24" s="57">
        <f t="shared" si="9"/>
        <v>0</v>
      </c>
      <c r="BA24" s="57">
        <f t="shared" si="9"/>
        <v>0</v>
      </c>
      <c r="BB24" s="57">
        <f t="shared" si="9"/>
        <v>0</v>
      </c>
      <c r="BC24" s="57">
        <f t="shared" si="9"/>
        <v>0</v>
      </c>
      <c r="BD24" s="57">
        <f t="shared" si="9"/>
        <v>0</v>
      </c>
      <c r="BE24" s="57">
        <f t="shared" si="9"/>
        <v>0</v>
      </c>
      <c r="BF24" s="57">
        <f t="shared" si="9"/>
        <v>0</v>
      </c>
      <c r="BG24" s="57">
        <f t="shared" si="9"/>
        <v>0</v>
      </c>
      <c r="BH24" s="57">
        <f t="shared" si="9"/>
        <v>0</v>
      </c>
      <c r="BI24" s="57">
        <f t="shared" si="9"/>
        <v>0</v>
      </c>
      <c r="BJ24" s="57">
        <f t="shared" si="9"/>
        <v>0</v>
      </c>
      <c r="BK24" s="57">
        <f t="shared" si="9"/>
        <v>0</v>
      </c>
      <c r="BL24" s="57">
        <f t="shared" si="9"/>
        <v>0</v>
      </c>
      <c r="BM24" s="57">
        <f t="shared" si="9"/>
        <v>0</v>
      </c>
    </row>
    <row r="25" spans="2:65">
      <c r="B25" s="55" t="str">
        <f>B11</f>
        <v>СМР жилье</v>
      </c>
      <c r="C25" s="55"/>
      <c r="D25" s="55"/>
      <c r="E25" s="55"/>
      <c r="F25" s="57">
        <f t="shared" si="5"/>
        <v>0</v>
      </c>
      <c r="G25" s="57">
        <f t="shared" ref="G25:BM25" si="10">SUMIFS($F11:$BM11,$F$5:$BM$5,G$19)</f>
        <v>0</v>
      </c>
      <c r="H25" s="57">
        <f t="shared" si="10"/>
        <v>0</v>
      </c>
      <c r="I25" s="57">
        <f t="shared" si="10"/>
        <v>0</v>
      </c>
      <c r="J25" s="57">
        <f t="shared" si="10"/>
        <v>0</v>
      </c>
      <c r="K25" s="57">
        <f t="shared" si="10"/>
        <v>0</v>
      </c>
      <c r="L25" s="57">
        <f t="shared" si="10"/>
        <v>0</v>
      </c>
      <c r="M25" s="57">
        <f t="shared" si="10"/>
        <v>0</v>
      </c>
      <c r="N25" s="57">
        <f t="shared" si="10"/>
        <v>0</v>
      </c>
      <c r="O25" s="57">
        <f t="shared" si="10"/>
        <v>0</v>
      </c>
      <c r="P25" s="57">
        <f t="shared" si="10"/>
        <v>0</v>
      </c>
      <c r="Q25" s="57">
        <f t="shared" si="10"/>
        <v>0</v>
      </c>
      <c r="R25" s="57">
        <f t="shared" si="10"/>
        <v>0</v>
      </c>
      <c r="S25" s="57">
        <f t="shared" si="10"/>
        <v>0</v>
      </c>
      <c r="T25" s="57">
        <f t="shared" si="10"/>
        <v>8.3333333333333329E-2</v>
      </c>
      <c r="U25" s="57">
        <f t="shared" si="10"/>
        <v>8.3333333333333329E-2</v>
      </c>
      <c r="V25" s="57">
        <f t="shared" si="10"/>
        <v>8.3333333333333329E-2</v>
      </c>
      <c r="W25" s="57">
        <f t="shared" si="10"/>
        <v>8.3333333333333329E-2</v>
      </c>
      <c r="X25" s="57">
        <f t="shared" si="10"/>
        <v>8.3333333333333329E-2</v>
      </c>
      <c r="Y25" s="57">
        <f t="shared" si="10"/>
        <v>8.3333333333333329E-2</v>
      </c>
      <c r="Z25" s="57">
        <f t="shared" si="10"/>
        <v>8.3333333333333329E-2</v>
      </c>
      <c r="AA25" s="57">
        <f t="shared" si="10"/>
        <v>8.3333333333333329E-2</v>
      </c>
      <c r="AB25" s="57">
        <f t="shared" si="10"/>
        <v>8.3333333333333329E-2</v>
      </c>
      <c r="AC25" s="57">
        <f t="shared" si="10"/>
        <v>8.3333333333333329E-2</v>
      </c>
      <c r="AD25" s="57">
        <f t="shared" si="10"/>
        <v>8.3333333333333329E-2</v>
      </c>
      <c r="AE25" s="57">
        <f t="shared" si="10"/>
        <v>8.3333333333333329E-2</v>
      </c>
      <c r="AF25" s="57">
        <f t="shared" si="10"/>
        <v>0</v>
      </c>
      <c r="AG25" s="57">
        <f t="shared" si="10"/>
        <v>0</v>
      </c>
      <c r="AH25" s="57">
        <f t="shared" si="10"/>
        <v>0</v>
      </c>
      <c r="AI25" s="57">
        <f t="shared" si="10"/>
        <v>0</v>
      </c>
      <c r="AJ25" s="57">
        <f t="shared" si="10"/>
        <v>0</v>
      </c>
      <c r="AK25" s="57">
        <f t="shared" si="10"/>
        <v>0</v>
      </c>
      <c r="AL25" s="57">
        <f t="shared" si="10"/>
        <v>0</v>
      </c>
      <c r="AM25" s="57">
        <f t="shared" si="10"/>
        <v>0</v>
      </c>
      <c r="AN25" s="57">
        <f t="shared" si="10"/>
        <v>0</v>
      </c>
      <c r="AO25" s="57">
        <f t="shared" si="10"/>
        <v>0</v>
      </c>
      <c r="AP25" s="57">
        <f t="shared" si="10"/>
        <v>0</v>
      </c>
      <c r="AQ25" s="57">
        <f t="shared" si="10"/>
        <v>0</v>
      </c>
      <c r="AR25" s="57">
        <f t="shared" si="10"/>
        <v>0</v>
      </c>
      <c r="AS25" s="57">
        <f t="shared" si="10"/>
        <v>0</v>
      </c>
      <c r="AT25" s="57">
        <f t="shared" si="10"/>
        <v>0</v>
      </c>
      <c r="AU25" s="57">
        <f t="shared" si="10"/>
        <v>0</v>
      </c>
      <c r="AV25" s="57">
        <f t="shared" si="10"/>
        <v>0</v>
      </c>
      <c r="AW25" s="57">
        <f t="shared" si="10"/>
        <v>0</v>
      </c>
      <c r="AX25" s="57">
        <f t="shared" si="10"/>
        <v>0</v>
      </c>
      <c r="AY25" s="57">
        <f t="shared" si="10"/>
        <v>0</v>
      </c>
      <c r="AZ25" s="57">
        <f t="shared" si="10"/>
        <v>0</v>
      </c>
      <c r="BA25" s="57">
        <f t="shared" si="10"/>
        <v>0</v>
      </c>
      <c r="BB25" s="57">
        <f t="shared" si="10"/>
        <v>0</v>
      </c>
      <c r="BC25" s="57">
        <f t="shared" si="10"/>
        <v>0</v>
      </c>
      <c r="BD25" s="57">
        <f t="shared" si="10"/>
        <v>0</v>
      </c>
      <c r="BE25" s="57">
        <f t="shared" si="10"/>
        <v>0</v>
      </c>
      <c r="BF25" s="57">
        <f t="shared" si="10"/>
        <v>0</v>
      </c>
      <c r="BG25" s="57">
        <f t="shared" si="10"/>
        <v>0</v>
      </c>
      <c r="BH25" s="57">
        <f t="shared" si="10"/>
        <v>0</v>
      </c>
      <c r="BI25" s="57">
        <f t="shared" si="10"/>
        <v>0</v>
      </c>
      <c r="BJ25" s="57">
        <f t="shared" si="10"/>
        <v>0</v>
      </c>
      <c r="BK25" s="57">
        <f t="shared" si="10"/>
        <v>0</v>
      </c>
      <c r="BL25" s="57">
        <f t="shared" si="10"/>
        <v>0</v>
      </c>
      <c r="BM25" s="57">
        <f t="shared" si="10"/>
        <v>0</v>
      </c>
    </row>
    <row r="26" spans="2:65">
      <c r="B26" s="55" t="s">
        <v>36</v>
      </c>
      <c r="C26" s="55"/>
      <c r="D26" s="55"/>
      <c r="E26" s="55"/>
      <c r="F26" s="57">
        <f t="shared" si="5"/>
        <v>0</v>
      </c>
      <c r="G26" s="57">
        <f t="shared" ref="G26:BM26" si="11">SUMIFS($F12:$BM12,$F$5:$BM$5,G$19)</f>
        <v>0</v>
      </c>
      <c r="H26" s="57">
        <f t="shared" si="11"/>
        <v>0</v>
      </c>
      <c r="I26" s="57">
        <f t="shared" si="11"/>
        <v>0</v>
      </c>
      <c r="J26" s="57">
        <f t="shared" si="11"/>
        <v>0</v>
      </c>
      <c r="K26" s="57">
        <f t="shared" si="11"/>
        <v>0</v>
      </c>
      <c r="L26" s="57">
        <f t="shared" si="11"/>
        <v>0</v>
      </c>
      <c r="M26" s="57">
        <f t="shared" si="11"/>
        <v>0</v>
      </c>
      <c r="N26" s="57">
        <f t="shared" si="11"/>
        <v>0</v>
      </c>
      <c r="O26" s="57">
        <f t="shared" si="11"/>
        <v>0</v>
      </c>
      <c r="P26" s="57">
        <f t="shared" si="11"/>
        <v>0</v>
      </c>
      <c r="Q26" s="57">
        <f t="shared" si="11"/>
        <v>0</v>
      </c>
      <c r="R26" s="57">
        <f t="shared" si="11"/>
        <v>0</v>
      </c>
      <c r="S26" s="57">
        <f t="shared" si="11"/>
        <v>0</v>
      </c>
      <c r="T26" s="57">
        <f t="shared" si="11"/>
        <v>0</v>
      </c>
      <c r="U26" s="57">
        <f t="shared" si="11"/>
        <v>0</v>
      </c>
      <c r="V26" s="57">
        <f t="shared" si="11"/>
        <v>0</v>
      </c>
      <c r="W26" s="57">
        <f t="shared" si="11"/>
        <v>0</v>
      </c>
      <c r="X26" s="57">
        <f t="shared" si="11"/>
        <v>0</v>
      </c>
      <c r="Y26" s="57">
        <f t="shared" si="11"/>
        <v>0</v>
      </c>
      <c r="Z26" s="57">
        <f t="shared" si="11"/>
        <v>0</v>
      </c>
      <c r="AA26" s="57">
        <f t="shared" si="11"/>
        <v>0</v>
      </c>
      <c r="AB26" s="57">
        <f t="shared" si="11"/>
        <v>0.25</v>
      </c>
      <c r="AC26" s="57">
        <f t="shared" si="11"/>
        <v>0.25</v>
      </c>
      <c r="AD26" s="57">
        <f t="shared" si="11"/>
        <v>0.25</v>
      </c>
      <c r="AE26" s="57">
        <f t="shared" si="11"/>
        <v>0.25</v>
      </c>
      <c r="AF26" s="57">
        <f t="shared" si="11"/>
        <v>0</v>
      </c>
      <c r="AG26" s="57">
        <f t="shared" si="11"/>
        <v>0</v>
      </c>
      <c r="AH26" s="57">
        <f t="shared" si="11"/>
        <v>0</v>
      </c>
      <c r="AI26" s="57">
        <f t="shared" si="11"/>
        <v>0</v>
      </c>
      <c r="AJ26" s="57">
        <f t="shared" si="11"/>
        <v>0</v>
      </c>
      <c r="AK26" s="57">
        <f t="shared" si="11"/>
        <v>0</v>
      </c>
      <c r="AL26" s="57">
        <f t="shared" si="11"/>
        <v>0</v>
      </c>
      <c r="AM26" s="57">
        <f t="shared" si="11"/>
        <v>0</v>
      </c>
      <c r="AN26" s="57">
        <f t="shared" si="11"/>
        <v>0</v>
      </c>
      <c r="AO26" s="57">
        <f t="shared" si="11"/>
        <v>0</v>
      </c>
      <c r="AP26" s="57">
        <f t="shared" si="11"/>
        <v>0</v>
      </c>
      <c r="AQ26" s="57">
        <f t="shared" si="11"/>
        <v>0</v>
      </c>
      <c r="AR26" s="57">
        <f t="shared" si="11"/>
        <v>0</v>
      </c>
      <c r="AS26" s="57">
        <f t="shared" si="11"/>
        <v>0</v>
      </c>
      <c r="AT26" s="57">
        <f t="shared" si="11"/>
        <v>0</v>
      </c>
      <c r="AU26" s="57">
        <f t="shared" si="11"/>
        <v>0</v>
      </c>
      <c r="AV26" s="57">
        <f t="shared" si="11"/>
        <v>0</v>
      </c>
      <c r="AW26" s="57">
        <f t="shared" si="11"/>
        <v>0</v>
      </c>
      <c r="AX26" s="57">
        <f t="shared" si="11"/>
        <v>0</v>
      </c>
      <c r="AY26" s="57">
        <f t="shared" si="11"/>
        <v>0</v>
      </c>
      <c r="AZ26" s="57">
        <f t="shared" si="11"/>
        <v>0</v>
      </c>
      <c r="BA26" s="57">
        <f t="shared" si="11"/>
        <v>0</v>
      </c>
      <c r="BB26" s="57">
        <f t="shared" si="11"/>
        <v>0</v>
      </c>
      <c r="BC26" s="57">
        <f t="shared" si="11"/>
        <v>0</v>
      </c>
      <c r="BD26" s="57">
        <f t="shared" si="11"/>
        <v>0</v>
      </c>
      <c r="BE26" s="57">
        <f t="shared" si="11"/>
        <v>0</v>
      </c>
      <c r="BF26" s="57">
        <f t="shared" si="11"/>
        <v>0</v>
      </c>
      <c r="BG26" s="57">
        <f t="shared" si="11"/>
        <v>0</v>
      </c>
      <c r="BH26" s="57">
        <f t="shared" si="11"/>
        <v>0</v>
      </c>
      <c r="BI26" s="57">
        <f t="shared" si="11"/>
        <v>0</v>
      </c>
      <c r="BJ26" s="57">
        <f t="shared" si="11"/>
        <v>0</v>
      </c>
      <c r="BK26" s="57">
        <f t="shared" si="11"/>
        <v>0</v>
      </c>
      <c r="BL26" s="57">
        <f t="shared" si="11"/>
        <v>0</v>
      </c>
      <c r="BM26" s="57">
        <f t="shared" si="11"/>
        <v>0</v>
      </c>
    </row>
    <row r="27" spans="2:65">
      <c r="B27" s="55" t="s">
        <v>33</v>
      </c>
      <c r="C27" s="55"/>
      <c r="D27" s="55"/>
      <c r="E27" s="55"/>
      <c r="F27" s="57">
        <f t="shared" si="5"/>
        <v>0</v>
      </c>
      <c r="G27" s="57">
        <f t="shared" ref="G27:BM27" si="12">SUMIFS($F13:$BM13,$F$5:$BM$5,G$19)</f>
        <v>0</v>
      </c>
      <c r="H27" s="57">
        <f t="shared" si="12"/>
        <v>0</v>
      </c>
      <c r="I27" s="57">
        <f t="shared" si="12"/>
        <v>0</v>
      </c>
      <c r="J27" s="57">
        <f t="shared" si="12"/>
        <v>0</v>
      </c>
      <c r="K27" s="57">
        <f t="shared" si="12"/>
        <v>0</v>
      </c>
      <c r="L27" s="57">
        <f t="shared" si="12"/>
        <v>0</v>
      </c>
      <c r="M27" s="57">
        <f t="shared" si="12"/>
        <v>0</v>
      </c>
      <c r="N27" s="57">
        <f t="shared" si="12"/>
        <v>0</v>
      </c>
      <c r="O27" s="57">
        <f t="shared" si="12"/>
        <v>0</v>
      </c>
      <c r="P27" s="57">
        <f t="shared" si="12"/>
        <v>0</v>
      </c>
      <c r="Q27" s="57">
        <f t="shared" si="12"/>
        <v>0</v>
      </c>
      <c r="R27" s="57">
        <f t="shared" si="12"/>
        <v>0.3</v>
      </c>
      <c r="S27" s="57">
        <f t="shared" si="12"/>
        <v>0.5</v>
      </c>
      <c r="T27" s="57">
        <f t="shared" si="12"/>
        <v>0</v>
      </c>
      <c r="U27" s="57">
        <f t="shared" si="12"/>
        <v>0</v>
      </c>
      <c r="V27" s="57">
        <f t="shared" si="12"/>
        <v>0</v>
      </c>
      <c r="W27" s="57">
        <f t="shared" si="12"/>
        <v>0</v>
      </c>
      <c r="X27" s="57">
        <f t="shared" si="12"/>
        <v>0</v>
      </c>
      <c r="Y27" s="57">
        <f t="shared" si="12"/>
        <v>0</v>
      </c>
      <c r="Z27" s="57">
        <f t="shared" si="12"/>
        <v>0</v>
      </c>
      <c r="AA27" s="57">
        <f t="shared" si="12"/>
        <v>0</v>
      </c>
      <c r="AB27" s="57">
        <f t="shared" si="12"/>
        <v>0</v>
      </c>
      <c r="AC27" s="57">
        <f t="shared" si="12"/>
        <v>0.1</v>
      </c>
      <c r="AD27" s="57">
        <f t="shared" si="12"/>
        <v>0.1</v>
      </c>
      <c r="AE27" s="57">
        <f t="shared" si="12"/>
        <v>0</v>
      </c>
      <c r="AF27" s="57">
        <f t="shared" si="12"/>
        <v>0</v>
      </c>
      <c r="AG27" s="57">
        <f t="shared" si="12"/>
        <v>0</v>
      </c>
      <c r="AH27" s="57">
        <f t="shared" si="12"/>
        <v>0</v>
      </c>
      <c r="AI27" s="57">
        <f t="shared" si="12"/>
        <v>0</v>
      </c>
      <c r="AJ27" s="57">
        <f t="shared" si="12"/>
        <v>0</v>
      </c>
      <c r="AK27" s="57">
        <f t="shared" si="12"/>
        <v>0</v>
      </c>
      <c r="AL27" s="57">
        <f t="shared" si="12"/>
        <v>0</v>
      </c>
      <c r="AM27" s="57">
        <f t="shared" si="12"/>
        <v>0</v>
      </c>
      <c r="AN27" s="57">
        <f t="shared" si="12"/>
        <v>0</v>
      </c>
      <c r="AO27" s="57">
        <f t="shared" si="12"/>
        <v>0</v>
      </c>
      <c r="AP27" s="57">
        <f t="shared" si="12"/>
        <v>0</v>
      </c>
      <c r="AQ27" s="57">
        <f t="shared" si="12"/>
        <v>0</v>
      </c>
      <c r="AR27" s="57">
        <f t="shared" si="12"/>
        <v>0</v>
      </c>
      <c r="AS27" s="57">
        <f t="shared" si="12"/>
        <v>0</v>
      </c>
      <c r="AT27" s="57">
        <f t="shared" si="12"/>
        <v>0</v>
      </c>
      <c r="AU27" s="57">
        <f t="shared" si="12"/>
        <v>0</v>
      </c>
      <c r="AV27" s="57">
        <f t="shared" si="12"/>
        <v>0</v>
      </c>
      <c r="AW27" s="57">
        <f t="shared" si="12"/>
        <v>0</v>
      </c>
      <c r="AX27" s="57">
        <f t="shared" si="12"/>
        <v>0</v>
      </c>
      <c r="AY27" s="57">
        <f t="shared" si="12"/>
        <v>0</v>
      </c>
      <c r="AZ27" s="57">
        <f t="shared" si="12"/>
        <v>0</v>
      </c>
      <c r="BA27" s="57">
        <f t="shared" si="12"/>
        <v>0</v>
      </c>
      <c r="BB27" s="57">
        <f t="shared" si="12"/>
        <v>0</v>
      </c>
      <c r="BC27" s="57">
        <f t="shared" si="12"/>
        <v>0</v>
      </c>
      <c r="BD27" s="57">
        <f t="shared" si="12"/>
        <v>0</v>
      </c>
      <c r="BE27" s="57">
        <f t="shared" si="12"/>
        <v>0</v>
      </c>
      <c r="BF27" s="57">
        <f t="shared" si="12"/>
        <v>0</v>
      </c>
      <c r="BG27" s="57">
        <f t="shared" si="12"/>
        <v>0</v>
      </c>
      <c r="BH27" s="57">
        <f t="shared" si="12"/>
        <v>0</v>
      </c>
      <c r="BI27" s="57">
        <f t="shared" si="12"/>
        <v>0</v>
      </c>
      <c r="BJ27" s="57">
        <f t="shared" si="12"/>
        <v>0</v>
      </c>
      <c r="BK27" s="57">
        <f t="shared" si="12"/>
        <v>0</v>
      </c>
      <c r="BL27" s="57">
        <f t="shared" si="12"/>
        <v>0</v>
      </c>
      <c r="BM27" s="57">
        <f t="shared" si="12"/>
        <v>0</v>
      </c>
    </row>
    <row r="28" spans="2:65" ht="15">
      <c r="B28" s="55" t="s">
        <v>45</v>
      </c>
      <c r="C28" s="55"/>
      <c r="D28" s="55"/>
      <c r="E28" s="55"/>
      <c r="F28" s="57">
        <f t="shared" ref="F28:AK28" si="13">IF(SUM(F24:F25)&gt;0,1,0)</f>
        <v>0</v>
      </c>
      <c r="G28" s="57">
        <f t="shared" si="13"/>
        <v>0</v>
      </c>
      <c r="H28" s="57">
        <f t="shared" si="13"/>
        <v>0</v>
      </c>
      <c r="I28" s="57">
        <f t="shared" si="13"/>
        <v>0</v>
      </c>
      <c r="J28" s="57">
        <f t="shared" si="13"/>
        <v>0</v>
      </c>
      <c r="K28" s="57">
        <f t="shared" si="13"/>
        <v>0</v>
      </c>
      <c r="L28" s="57">
        <f t="shared" si="13"/>
        <v>0</v>
      </c>
      <c r="M28" s="57">
        <f>IF(SUM(M24:M25)&gt;0,1,0)</f>
        <v>0</v>
      </c>
      <c r="N28" s="57">
        <f>IF(SUM(N24:N25)&gt;0,1,0)</f>
        <v>0</v>
      </c>
      <c r="O28" s="57">
        <f t="shared" si="13"/>
        <v>0</v>
      </c>
      <c r="P28" s="57">
        <f t="shared" si="13"/>
        <v>0</v>
      </c>
      <c r="Q28" s="57">
        <f t="shared" si="13"/>
        <v>0</v>
      </c>
      <c r="R28" s="57">
        <f t="shared" si="13"/>
        <v>0</v>
      </c>
      <c r="S28" s="57">
        <f t="shared" si="13"/>
        <v>1</v>
      </c>
      <c r="T28" s="57">
        <f t="shared" si="13"/>
        <v>1</v>
      </c>
      <c r="U28" s="57">
        <f t="shared" si="13"/>
        <v>1</v>
      </c>
      <c r="V28" s="57">
        <f t="shared" si="13"/>
        <v>1</v>
      </c>
      <c r="W28" s="57">
        <f t="shared" si="13"/>
        <v>1</v>
      </c>
      <c r="X28" s="57">
        <f t="shared" si="13"/>
        <v>1</v>
      </c>
      <c r="Y28" s="57">
        <f t="shared" si="13"/>
        <v>1</v>
      </c>
      <c r="Z28" s="57">
        <f t="shared" si="13"/>
        <v>1</v>
      </c>
      <c r="AA28" s="57">
        <f t="shared" si="13"/>
        <v>1</v>
      </c>
      <c r="AB28" s="57">
        <f t="shared" si="13"/>
        <v>1</v>
      </c>
      <c r="AC28" s="57">
        <f t="shared" si="13"/>
        <v>1</v>
      </c>
      <c r="AD28" s="57">
        <f t="shared" si="13"/>
        <v>1</v>
      </c>
      <c r="AE28" s="57">
        <f t="shared" si="13"/>
        <v>1</v>
      </c>
      <c r="AF28" s="1401">
        <f t="shared" si="13"/>
        <v>0</v>
      </c>
      <c r="AG28" s="57">
        <f t="shared" si="13"/>
        <v>0</v>
      </c>
      <c r="AH28" s="57">
        <f t="shared" si="13"/>
        <v>0</v>
      </c>
      <c r="AI28" s="57">
        <f t="shared" si="13"/>
        <v>0</v>
      </c>
      <c r="AJ28" s="57">
        <f t="shared" si="13"/>
        <v>0</v>
      </c>
      <c r="AK28" s="57">
        <f t="shared" si="13"/>
        <v>0</v>
      </c>
      <c r="AL28" s="57">
        <f t="shared" ref="AL28:BM28" si="14">IF(SUM(AL24:AL25)&gt;0,1,0)</f>
        <v>0</v>
      </c>
      <c r="AM28" s="57">
        <f t="shared" si="14"/>
        <v>0</v>
      </c>
      <c r="AN28" s="57">
        <f t="shared" si="14"/>
        <v>0</v>
      </c>
      <c r="AO28" s="57">
        <f t="shared" si="14"/>
        <v>0</v>
      </c>
      <c r="AP28" s="57">
        <f t="shared" si="14"/>
        <v>0</v>
      </c>
      <c r="AQ28" s="57">
        <f t="shared" si="14"/>
        <v>0</v>
      </c>
      <c r="AR28" s="57">
        <f t="shared" si="14"/>
        <v>0</v>
      </c>
      <c r="AS28" s="57">
        <f t="shared" si="14"/>
        <v>0</v>
      </c>
      <c r="AT28" s="57">
        <f t="shared" si="14"/>
        <v>0</v>
      </c>
      <c r="AU28" s="57">
        <f t="shared" si="14"/>
        <v>0</v>
      </c>
      <c r="AV28" s="57">
        <f t="shared" si="14"/>
        <v>0</v>
      </c>
      <c r="AW28" s="57">
        <f t="shared" si="14"/>
        <v>0</v>
      </c>
      <c r="AX28" s="57">
        <f t="shared" si="14"/>
        <v>0</v>
      </c>
      <c r="AY28" s="57">
        <f t="shared" si="14"/>
        <v>0</v>
      </c>
      <c r="AZ28" s="57">
        <f t="shared" si="14"/>
        <v>0</v>
      </c>
      <c r="BA28" s="57">
        <f t="shared" si="14"/>
        <v>0</v>
      </c>
      <c r="BB28" s="57">
        <f t="shared" si="14"/>
        <v>0</v>
      </c>
      <c r="BC28" s="57">
        <f t="shared" si="14"/>
        <v>0</v>
      </c>
      <c r="BD28" s="57">
        <f t="shared" si="14"/>
        <v>0</v>
      </c>
      <c r="BE28" s="57">
        <f t="shared" si="14"/>
        <v>0</v>
      </c>
      <c r="BF28" s="57">
        <f t="shared" si="14"/>
        <v>0</v>
      </c>
      <c r="BG28" s="57">
        <f t="shared" si="14"/>
        <v>0</v>
      </c>
      <c r="BH28" s="57">
        <f t="shared" si="14"/>
        <v>0</v>
      </c>
      <c r="BI28" s="57">
        <f t="shared" si="14"/>
        <v>0</v>
      </c>
      <c r="BJ28" s="57">
        <f t="shared" si="14"/>
        <v>0</v>
      </c>
      <c r="BK28" s="57">
        <f t="shared" si="14"/>
        <v>0</v>
      </c>
      <c r="BL28" s="57">
        <f t="shared" si="14"/>
        <v>0</v>
      </c>
      <c r="BM28" s="57">
        <f t="shared" si="14"/>
        <v>0</v>
      </c>
    </row>
    <row r="29" spans="2:65">
      <c r="B29" s="55" t="s">
        <v>34</v>
      </c>
      <c r="C29" s="55"/>
      <c r="D29" s="55"/>
      <c r="E29" s="55"/>
      <c r="F29" s="57">
        <f>IF(SUM(F21,F24,F25,F26,F27,F28)&gt;0,1,0)</f>
        <v>0</v>
      </c>
      <c r="G29" s="57">
        <f t="shared" ref="G29:BM29" si="15">IF(SUM(G21,G24,G25,G26,G27,G28)&gt;0,1,0)</f>
        <v>0</v>
      </c>
      <c r="H29" s="57">
        <f t="shared" si="15"/>
        <v>0</v>
      </c>
      <c r="I29" s="57">
        <f t="shared" si="15"/>
        <v>0</v>
      </c>
      <c r="J29" s="57">
        <f t="shared" si="15"/>
        <v>0</v>
      </c>
      <c r="K29" s="57">
        <f t="shared" si="15"/>
        <v>0</v>
      </c>
      <c r="L29" s="57">
        <f t="shared" si="15"/>
        <v>0</v>
      </c>
      <c r="M29" s="57">
        <f t="shared" si="15"/>
        <v>0</v>
      </c>
      <c r="N29" s="57">
        <f>IF(SUM(N21,N24,N25,N26,N27,N28)&gt;0,1,0)</f>
        <v>1</v>
      </c>
      <c r="O29" s="57">
        <f t="shared" si="15"/>
        <v>1</v>
      </c>
      <c r="P29" s="57">
        <f t="shared" si="15"/>
        <v>1</v>
      </c>
      <c r="Q29" s="57">
        <f t="shared" si="15"/>
        <v>1</v>
      </c>
      <c r="R29" s="57">
        <f t="shared" si="15"/>
        <v>1</v>
      </c>
      <c r="S29" s="57">
        <f t="shared" si="15"/>
        <v>1</v>
      </c>
      <c r="T29" s="57">
        <f t="shared" si="15"/>
        <v>1</v>
      </c>
      <c r="U29" s="57">
        <f t="shared" si="15"/>
        <v>1</v>
      </c>
      <c r="V29" s="57">
        <f t="shared" si="15"/>
        <v>1</v>
      </c>
      <c r="W29" s="57">
        <f t="shared" si="15"/>
        <v>1</v>
      </c>
      <c r="X29" s="57">
        <f t="shared" si="15"/>
        <v>1</v>
      </c>
      <c r="Y29" s="57">
        <f t="shared" si="15"/>
        <v>1</v>
      </c>
      <c r="Z29" s="57">
        <f t="shared" si="15"/>
        <v>1</v>
      </c>
      <c r="AA29" s="57">
        <f t="shared" si="15"/>
        <v>1</v>
      </c>
      <c r="AB29" s="57">
        <f t="shared" si="15"/>
        <v>1</v>
      </c>
      <c r="AC29" s="57">
        <f t="shared" si="15"/>
        <v>1</v>
      </c>
      <c r="AD29" s="57">
        <f t="shared" si="15"/>
        <v>1</v>
      </c>
      <c r="AE29" s="57">
        <f t="shared" si="15"/>
        <v>1</v>
      </c>
      <c r="AF29" s="57">
        <f t="shared" si="15"/>
        <v>0</v>
      </c>
      <c r="AG29" s="57">
        <f t="shared" si="15"/>
        <v>0</v>
      </c>
      <c r="AH29" s="57">
        <f t="shared" si="15"/>
        <v>0</v>
      </c>
      <c r="AI29" s="57">
        <f t="shared" si="15"/>
        <v>0</v>
      </c>
      <c r="AJ29" s="57">
        <f t="shared" si="15"/>
        <v>0</v>
      </c>
      <c r="AK29" s="57">
        <f t="shared" si="15"/>
        <v>0</v>
      </c>
      <c r="AL29" s="57">
        <f t="shared" si="15"/>
        <v>0</v>
      </c>
      <c r="AM29" s="57">
        <f t="shared" si="15"/>
        <v>0</v>
      </c>
      <c r="AN29" s="57">
        <f t="shared" si="15"/>
        <v>0</v>
      </c>
      <c r="AO29" s="57">
        <f t="shared" si="15"/>
        <v>0</v>
      </c>
      <c r="AP29" s="57">
        <f t="shared" si="15"/>
        <v>0</v>
      </c>
      <c r="AQ29" s="57">
        <f t="shared" si="15"/>
        <v>0</v>
      </c>
      <c r="AR29" s="57">
        <f t="shared" si="15"/>
        <v>0</v>
      </c>
      <c r="AS29" s="57">
        <f t="shared" si="15"/>
        <v>0</v>
      </c>
      <c r="AT29" s="57">
        <f t="shared" si="15"/>
        <v>0</v>
      </c>
      <c r="AU29" s="57">
        <f t="shared" si="15"/>
        <v>0</v>
      </c>
      <c r="AV29" s="57">
        <f t="shared" si="15"/>
        <v>0</v>
      </c>
      <c r="AW29" s="57">
        <f t="shared" si="15"/>
        <v>0</v>
      </c>
      <c r="AX29" s="57">
        <f t="shared" si="15"/>
        <v>0</v>
      </c>
      <c r="AY29" s="57">
        <f t="shared" si="15"/>
        <v>0</v>
      </c>
      <c r="AZ29" s="57">
        <f t="shared" si="15"/>
        <v>0</v>
      </c>
      <c r="BA29" s="57">
        <f t="shared" si="15"/>
        <v>0</v>
      </c>
      <c r="BB29" s="57">
        <f t="shared" si="15"/>
        <v>0</v>
      </c>
      <c r="BC29" s="57">
        <f t="shared" si="15"/>
        <v>0</v>
      </c>
      <c r="BD29" s="57">
        <f t="shared" si="15"/>
        <v>0</v>
      </c>
      <c r="BE29" s="57">
        <f t="shared" si="15"/>
        <v>0</v>
      </c>
      <c r="BF29" s="57">
        <f t="shared" si="15"/>
        <v>0</v>
      </c>
      <c r="BG29" s="57">
        <f t="shared" si="15"/>
        <v>0</v>
      </c>
      <c r="BH29" s="57">
        <f t="shared" si="15"/>
        <v>0</v>
      </c>
      <c r="BI29" s="57">
        <f t="shared" si="15"/>
        <v>0</v>
      </c>
      <c r="BJ29" s="57">
        <f t="shared" si="15"/>
        <v>0</v>
      </c>
      <c r="BK29" s="57">
        <f t="shared" si="15"/>
        <v>0</v>
      </c>
      <c r="BL29" s="57">
        <f t="shared" si="15"/>
        <v>0</v>
      </c>
      <c r="BM29" s="57">
        <f t="shared" si="15"/>
        <v>0</v>
      </c>
    </row>
    <row r="30" spans="2:65">
      <c r="B30" s="55" t="s">
        <v>35</v>
      </c>
      <c r="C30" s="55"/>
      <c r="D30" s="55"/>
      <c r="E30" s="55"/>
      <c r="F30" s="57">
        <f>IF(SUM(F21,F24,F25,F26,F27,F28)&gt;0,1,0)</f>
        <v>0</v>
      </c>
      <c r="G30" s="57">
        <f t="shared" ref="G30:BM30" si="16">IF(SUM(G21,G24,G25,G26,G27,G28)&gt;0,1,0)</f>
        <v>0</v>
      </c>
      <c r="H30" s="57">
        <f t="shared" si="16"/>
        <v>0</v>
      </c>
      <c r="I30" s="57">
        <f t="shared" si="16"/>
        <v>0</v>
      </c>
      <c r="J30" s="57">
        <f t="shared" si="16"/>
        <v>0</v>
      </c>
      <c r="K30" s="57">
        <f t="shared" si="16"/>
        <v>0</v>
      </c>
      <c r="L30" s="57">
        <f t="shared" si="16"/>
        <v>0</v>
      </c>
      <c r="M30" s="57">
        <f t="shared" si="16"/>
        <v>0</v>
      </c>
      <c r="N30" s="57">
        <f t="shared" si="16"/>
        <v>1</v>
      </c>
      <c r="O30" s="57">
        <f t="shared" si="16"/>
        <v>1</v>
      </c>
      <c r="P30" s="57">
        <f t="shared" si="16"/>
        <v>1</v>
      </c>
      <c r="Q30" s="57">
        <f t="shared" si="16"/>
        <v>1</v>
      </c>
      <c r="R30" s="57">
        <f t="shared" si="16"/>
        <v>1</v>
      </c>
      <c r="S30" s="57">
        <f t="shared" si="16"/>
        <v>1</v>
      </c>
      <c r="T30" s="57">
        <f t="shared" si="16"/>
        <v>1</v>
      </c>
      <c r="U30" s="57">
        <f t="shared" si="16"/>
        <v>1</v>
      </c>
      <c r="V30" s="57">
        <f t="shared" si="16"/>
        <v>1</v>
      </c>
      <c r="W30" s="57">
        <f t="shared" si="16"/>
        <v>1</v>
      </c>
      <c r="X30" s="57">
        <f t="shared" si="16"/>
        <v>1</v>
      </c>
      <c r="Y30" s="57">
        <f t="shared" si="16"/>
        <v>1</v>
      </c>
      <c r="Z30" s="57">
        <f t="shared" si="16"/>
        <v>1</v>
      </c>
      <c r="AA30" s="57">
        <f t="shared" si="16"/>
        <v>1</v>
      </c>
      <c r="AB30" s="57">
        <f t="shared" si="16"/>
        <v>1</v>
      </c>
      <c r="AC30" s="57">
        <f t="shared" si="16"/>
        <v>1</v>
      </c>
      <c r="AD30" s="57">
        <f t="shared" si="16"/>
        <v>1</v>
      </c>
      <c r="AE30" s="57">
        <f t="shared" si="16"/>
        <v>1</v>
      </c>
      <c r="AF30" s="57">
        <f t="shared" si="16"/>
        <v>0</v>
      </c>
      <c r="AG30" s="57">
        <f t="shared" si="16"/>
        <v>0</v>
      </c>
      <c r="AH30" s="57">
        <f t="shared" si="16"/>
        <v>0</v>
      </c>
      <c r="AI30" s="57">
        <f t="shared" si="16"/>
        <v>0</v>
      </c>
      <c r="AJ30" s="57">
        <f t="shared" si="16"/>
        <v>0</v>
      </c>
      <c r="AK30" s="57">
        <f t="shared" si="16"/>
        <v>0</v>
      </c>
      <c r="AL30" s="57">
        <f t="shared" si="16"/>
        <v>0</v>
      </c>
      <c r="AM30" s="57">
        <f t="shared" si="16"/>
        <v>0</v>
      </c>
      <c r="AN30" s="57">
        <f t="shared" si="16"/>
        <v>0</v>
      </c>
      <c r="AO30" s="57">
        <f t="shared" si="16"/>
        <v>0</v>
      </c>
      <c r="AP30" s="57">
        <f t="shared" si="16"/>
        <v>0</v>
      </c>
      <c r="AQ30" s="57">
        <f t="shared" si="16"/>
        <v>0</v>
      </c>
      <c r="AR30" s="57">
        <f t="shared" si="16"/>
        <v>0</v>
      </c>
      <c r="AS30" s="57">
        <f t="shared" si="16"/>
        <v>0</v>
      </c>
      <c r="AT30" s="57">
        <f t="shared" si="16"/>
        <v>0</v>
      </c>
      <c r="AU30" s="57">
        <f t="shared" si="16"/>
        <v>0</v>
      </c>
      <c r="AV30" s="57">
        <f t="shared" si="16"/>
        <v>0</v>
      </c>
      <c r="AW30" s="57">
        <f t="shared" si="16"/>
        <v>0</v>
      </c>
      <c r="AX30" s="57">
        <f t="shared" si="16"/>
        <v>0</v>
      </c>
      <c r="AY30" s="57">
        <f t="shared" si="16"/>
        <v>0</v>
      </c>
      <c r="AZ30" s="57">
        <f t="shared" si="16"/>
        <v>0</v>
      </c>
      <c r="BA30" s="57">
        <f t="shared" si="16"/>
        <v>0</v>
      </c>
      <c r="BB30" s="57">
        <f t="shared" si="16"/>
        <v>0</v>
      </c>
      <c r="BC30" s="57">
        <f t="shared" si="16"/>
        <v>0</v>
      </c>
      <c r="BD30" s="57">
        <f t="shared" si="16"/>
        <v>0</v>
      </c>
      <c r="BE30" s="57">
        <f t="shared" si="16"/>
        <v>0</v>
      </c>
      <c r="BF30" s="57">
        <f t="shared" si="16"/>
        <v>0</v>
      </c>
      <c r="BG30" s="57">
        <f t="shared" si="16"/>
        <v>0</v>
      </c>
      <c r="BH30" s="57">
        <f t="shared" si="16"/>
        <v>0</v>
      </c>
      <c r="BI30" s="57">
        <f t="shared" si="16"/>
        <v>0</v>
      </c>
      <c r="BJ30" s="57">
        <f t="shared" si="16"/>
        <v>0</v>
      </c>
      <c r="BK30" s="57">
        <f t="shared" si="16"/>
        <v>0</v>
      </c>
      <c r="BL30" s="57">
        <f t="shared" si="16"/>
        <v>0</v>
      </c>
      <c r="BM30" s="57">
        <f t="shared" si="16"/>
        <v>0</v>
      </c>
    </row>
    <row r="32" spans="2:65">
      <c r="B32" s="55" t="s">
        <v>6</v>
      </c>
      <c r="C32" s="55"/>
      <c r="D32" s="55">
        <f>COUNTIF(F32:BM32,"&gt;0")</f>
        <v>26</v>
      </c>
      <c r="E32" s="55"/>
      <c r="F32" s="57">
        <f t="shared" ref="F32:AK32" si="17">IF(SUM(F21:F30,F38)&gt;0,1,0)</f>
        <v>0</v>
      </c>
      <c r="G32" s="57">
        <f t="shared" si="17"/>
        <v>0</v>
      </c>
      <c r="H32" s="57">
        <f t="shared" si="17"/>
        <v>0</v>
      </c>
      <c r="I32" s="57">
        <f t="shared" si="17"/>
        <v>0</v>
      </c>
      <c r="J32" s="57">
        <f t="shared" si="17"/>
        <v>0</v>
      </c>
      <c r="K32" s="57">
        <f t="shared" si="17"/>
        <v>0</v>
      </c>
      <c r="L32" s="57">
        <f t="shared" si="17"/>
        <v>0</v>
      </c>
      <c r="M32" s="57">
        <f t="shared" si="17"/>
        <v>0</v>
      </c>
      <c r="N32" s="57">
        <f t="shared" si="17"/>
        <v>1</v>
      </c>
      <c r="O32" s="57">
        <f t="shared" si="17"/>
        <v>1</v>
      </c>
      <c r="P32" s="57">
        <f t="shared" si="17"/>
        <v>1</v>
      </c>
      <c r="Q32" s="57">
        <f t="shared" si="17"/>
        <v>1</v>
      </c>
      <c r="R32" s="57">
        <f t="shared" si="17"/>
        <v>1</v>
      </c>
      <c r="S32" s="57">
        <f t="shared" si="17"/>
        <v>1</v>
      </c>
      <c r="T32" s="57">
        <f t="shared" si="17"/>
        <v>1</v>
      </c>
      <c r="U32" s="57">
        <f t="shared" si="17"/>
        <v>1</v>
      </c>
      <c r="V32" s="57">
        <f t="shared" si="17"/>
        <v>1</v>
      </c>
      <c r="W32" s="57">
        <f t="shared" si="17"/>
        <v>1</v>
      </c>
      <c r="X32" s="57">
        <f t="shared" si="17"/>
        <v>1</v>
      </c>
      <c r="Y32" s="57">
        <f t="shared" si="17"/>
        <v>1</v>
      </c>
      <c r="Z32" s="57">
        <f t="shared" si="17"/>
        <v>1</v>
      </c>
      <c r="AA32" s="57">
        <f t="shared" si="17"/>
        <v>1</v>
      </c>
      <c r="AB32" s="57">
        <f t="shared" si="17"/>
        <v>1</v>
      </c>
      <c r="AC32" s="57">
        <f t="shared" si="17"/>
        <v>1</v>
      </c>
      <c r="AD32" s="57">
        <f t="shared" si="17"/>
        <v>1</v>
      </c>
      <c r="AE32" s="57">
        <f t="shared" si="17"/>
        <v>1</v>
      </c>
      <c r="AF32" s="57">
        <f t="shared" si="17"/>
        <v>1</v>
      </c>
      <c r="AG32" s="57">
        <f t="shared" si="17"/>
        <v>1</v>
      </c>
      <c r="AH32" s="57">
        <f t="shared" si="17"/>
        <v>1</v>
      </c>
      <c r="AI32" s="57">
        <f t="shared" si="17"/>
        <v>1</v>
      </c>
      <c r="AJ32" s="57">
        <f t="shared" si="17"/>
        <v>1</v>
      </c>
      <c r="AK32" s="57">
        <f t="shared" si="17"/>
        <v>1</v>
      </c>
      <c r="AL32" s="57">
        <f t="shared" ref="AL32:BM32" si="18">IF(SUM(AL21:AL30,AL38)&gt;0,1,0)</f>
        <v>1</v>
      </c>
      <c r="AM32" s="57">
        <f t="shared" si="18"/>
        <v>1</v>
      </c>
      <c r="AN32" s="57">
        <f t="shared" si="18"/>
        <v>0</v>
      </c>
      <c r="AO32" s="57">
        <f t="shared" si="18"/>
        <v>0</v>
      </c>
      <c r="AP32" s="57">
        <f t="shared" si="18"/>
        <v>0</v>
      </c>
      <c r="AQ32" s="57">
        <f t="shared" si="18"/>
        <v>0</v>
      </c>
      <c r="AR32" s="57">
        <f t="shared" si="18"/>
        <v>0</v>
      </c>
      <c r="AS32" s="57">
        <f t="shared" si="18"/>
        <v>0</v>
      </c>
      <c r="AT32" s="57">
        <f t="shared" si="18"/>
        <v>0</v>
      </c>
      <c r="AU32" s="57">
        <f t="shared" si="18"/>
        <v>0</v>
      </c>
      <c r="AV32" s="57">
        <f t="shared" si="18"/>
        <v>0</v>
      </c>
      <c r="AW32" s="57">
        <f t="shared" si="18"/>
        <v>0</v>
      </c>
      <c r="AX32" s="57">
        <f t="shared" si="18"/>
        <v>0</v>
      </c>
      <c r="AY32" s="57">
        <f t="shared" si="18"/>
        <v>0</v>
      </c>
      <c r="AZ32" s="57">
        <f t="shared" si="18"/>
        <v>0</v>
      </c>
      <c r="BA32" s="57">
        <f t="shared" si="18"/>
        <v>0</v>
      </c>
      <c r="BB32" s="57">
        <f t="shared" si="18"/>
        <v>0</v>
      </c>
      <c r="BC32" s="57">
        <f t="shared" si="18"/>
        <v>0</v>
      </c>
      <c r="BD32" s="57">
        <f t="shared" si="18"/>
        <v>0</v>
      </c>
      <c r="BE32" s="57">
        <f t="shared" si="18"/>
        <v>0</v>
      </c>
      <c r="BF32" s="57">
        <f t="shared" si="18"/>
        <v>0</v>
      </c>
      <c r="BG32" s="57">
        <f t="shared" si="18"/>
        <v>0</v>
      </c>
      <c r="BH32" s="57">
        <f t="shared" si="18"/>
        <v>0</v>
      </c>
      <c r="BI32" s="57">
        <f t="shared" si="18"/>
        <v>0</v>
      </c>
      <c r="BJ32" s="57">
        <f t="shared" si="18"/>
        <v>0</v>
      </c>
      <c r="BK32" s="57">
        <f t="shared" si="18"/>
        <v>0</v>
      </c>
      <c r="BL32" s="57">
        <f t="shared" si="18"/>
        <v>0</v>
      </c>
      <c r="BM32" s="57">
        <f t="shared" si="18"/>
        <v>0</v>
      </c>
    </row>
    <row r="33" spans="2:65">
      <c r="B33" s="55" t="s">
        <v>366</v>
      </c>
      <c r="C33" s="55"/>
      <c r="D33" s="55">
        <f>COUNTIF(F33:BM33,"&gt;0")</f>
        <v>20</v>
      </c>
      <c r="E33" s="55"/>
      <c r="F33" s="57">
        <f>IF(AND(F17&gt;=EOMONTH('DB1'!$U$23,2),'TS1'!F17&lt;=EOMONTH('DB1'!$U$27,6)),100%,0)</f>
        <v>0</v>
      </c>
      <c r="G33" s="57">
        <f>IF(AND(G17&gt;=EOMONTH('DB1'!$U$23,2),'TS1'!G17&lt;=EOMONTH('DB1'!$U$27,6)),100%,0)</f>
        <v>0</v>
      </c>
      <c r="H33" s="57">
        <f>IF(AND(H17&gt;=EOMONTH('DB1'!$U$23,2),'TS1'!H17&lt;=EOMONTH('DB1'!$U$27,6)),100%,0)</f>
        <v>0</v>
      </c>
      <c r="I33" s="57">
        <f>IF(AND(I17&gt;=EOMONTH('DB1'!$U$23,2),'TS1'!I17&lt;=EOMONTH('DB1'!$U$27,6)),100%,0)</f>
        <v>0</v>
      </c>
      <c r="J33" s="57">
        <f>IF(AND(J17&gt;=EOMONTH('DB1'!$U$23,2),'TS1'!J17&lt;=EOMONTH('DB1'!$U$27,6)),100%,0)</f>
        <v>0</v>
      </c>
      <c r="K33" s="57">
        <f>IF(AND(K17&gt;=EOMONTH('DB1'!$U$23,2),'TS1'!K17&lt;=EOMONTH('DB1'!$U$27,6)),100%,0)</f>
        <v>0</v>
      </c>
      <c r="L33" s="57">
        <f>IF(AND(L17&gt;=EOMONTH('DB1'!$U$23,2),'TS1'!L17&lt;=EOMONTH('DB1'!$U$27,6)),100%,0)</f>
        <v>0</v>
      </c>
      <c r="M33" s="57">
        <f>IF(AND(M17&gt;=EOMONTH('DB1'!$U$23,2),'TS1'!M17&lt;=EOMONTH('DB1'!$U$27,6)),100%,0)</f>
        <v>0</v>
      </c>
      <c r="N33" s="57">
        <f>IF(AND(N17&gt;=EOMONTH('DB1'!$U$23,2),'TS1'!N17&lt;=EOMONTH('DB1'!$U$27,6)),100%,0)</f>
        <v>1</v>
      </c>
      <c r="O33" s="57">
        <f>IF(AND(O17&gt;=EOMONTH('DB1'!$U$23,2),'TS1'!O17&lt;=EOMONTH('DB1'!$U$27,6)),100%,0)</f>
        <v>1</v>
      </c>
      <c r="P33" s="57">
        <f>IF(AND(P17&gt;=EOMONTH('DB1'!$U$23,2),'TS1'!P17&lt;=EOMONTH('DB1'!$U$27,6)),100%,0)</f>
        <v>1</v>
      </c>
      <c r="Q33" s="57">
        <f>IF(AND(Q17&gt;=EOMONTH('DB1'!$U$23,2),'TS1'!Q17&lt;=EOMONTH('DB1'!$U$27,6)),100%,0)</f>
        <v>1</v>
      </c>
      <c r="R33" s="57">
        <f>IF(AND(R17&gt;=EOMONTH('DB1'!$U$23,2),'TS1'!R17&lt;=EOMONTH('DB1'!$U$27,6)),100%,0)</f>
        <v>1</v>
      </c>
      <c r="S33" s="57">
        <f>IF(AND(S17&gt;=EOMONTH('DB1'!$U$23,2),'TS1'!S17&lt;=EOMONTH('DB1'!$U$27,6)),100%,0)</f>
        <v>1</v>
      </c>
      <c r="T33" s="57">
        <f>IF(AND(T17&gt;=EOMONTH('DB1'!$U$23,2),'TS1'!T17&lt;=EOMONTH('DB1'!$U$27,6)),100%,0)</f>
        <v>1</v>
      </c>
      <c r="U33" s="57">
        <f>IF(AND(U17&gt;=EOMONTH('DB1'!$U$23,2),'TS1'!U17&lt;=EOMONTH('DB1'!$U$27,6)),100%,0)</f>
        <v>1</v>
      </c>
      <c r="V33" s="57">
        <f>IF(AND(V17&gt;=EOMONTH('DB1'!$U$23,2),'TS1'!V17&lt;=EOMONTH('DB1'!$U$27,6)),100%,0)</f>
        <v>1</v>
      </c>
      <c r="W33" s="57">
        <f>IF(AND(W17&gt;=EOMONTH('DB1'!$U$23,2),'TS1'!W17&lt;=EOMONTH('DB1'!$U$27,6)),100%,0)</f>
        <v>1</v>
      </c>
      <c r="X33" s="57">
        <f>IF(AND(X17&gt;=EOMONTH('DB1'!$U$23,2),'TS1'!X17&lt;=EOMONTH('DB1'!$U$27,6)),100%,0)</f>
        <v>1</v>
      </c>
      <c r="Y33" s="57">
        <f>IF(AND(Y17&gt;=EOMONTH('DB1'!$U$23,2),'TS1'!Y17&lt;=EOMONTH('DB1'!$U$27,6)),100%,0)</f>
        <v>1</v>
      </c>
      <c r="Z33" s="57">
        <f>IF(AND(Z17&gt;=EOMONTH('DB1'!$U$23,2),'TS1'!Z17&lt;=EOMONTH('DB1'!$U$27,6)),100%,0)</f>
        <v>1</v>
      </c>
      <c r="AA33" s="57">
        <f>IF(AND(AA17&gt;=EOMONTH('DB1'!$U$23,2),'TS1'!AA17&lt;=EOMONTH('DB1'!$U$27,6)),100%,0)</f>
        <v>1</v>
      </c>
      <c r="AB33" s="57">
        <f>IF(AND(AB17&gt;=EOMONTH('DB1'!$U$23,2),'TS1'!AB17&lt;=EOMONTH('DB1'!$U$27,6)),100%,0)</f>
        <v>1</v>
      </c>
      <c r="AC33" s="57">
        <f>IF(AND(AC17&gt;=EOMONTH('DB1'!$U$23,2),'TS1'!AC17&lt;=EOMONTH('DB1'!$U$27,6)),100%,0)</f>
        <v>1</v>
      </c>
      <c r="AD33" s="57">
        <f>IF(AND(AD17&gt;=EOMONTH('DB1'!$U$23,2),'TS1'!AD17&lt;=EOMONTH('DB1'!$U$27,6)),100%,0)</f>
        <v>1</v>
      </c>
      <c r="AE33" s="57">
        <f>IF(AND(AE17&gt;=EOMONTH('DB1'!$U$23,2),'TS1'!AE17&lt;=EOMONTH('DB1'!$U$27,6)),100%,0)</f>
        <v>1</v>
      </c>
      <c r="AF33" s="57">
        <f>IF(AND(AF17&gt;=EOMONTH('DB1'!$U$23,2),'TS1'!AF17&lt;=EOMONTH('DB1'!$U$27,6)),100%,0)</f>
        <v>1</v>
      </c>
      <c r="AG33" s="57">
        <f>IF(AND(AG17&gt;=EOMONTH('DB1'!$U$23,2),'TS1'!AG17&lt;=EOMONTH('DB1'!$U$27,6)),100%,0)</f>
        <v>1</v>
      </c>
      <c r="AH33" s="57">
        <f>IF(AND(AH17&gt;=EOMONTH('DB1'!$U$23,2),'TS1'!AH17&lt;=EOMONTH('DB1'!$U$27,6)),100%,0)</f>
        <v>0</v>
      </c>
      <c r="AI33" s="57">
        <f>IF(AND(AI17&gt;=EOMONTH('DB1'!$U$23,2),'TS1'!AI17&lt;=EOMONTH('DB1'!$U$27,6)),100%,0)</f>
        <v>0</v>
      </c>
      <c r="AJ33" s="57">
        <f>IF(AND(AJ17&gt;=EOMONTH('DB1'!$U$23,2),'TS1'!AJ17&lt;=EOMONTH('DB1'!$U$27,6)),100%,0)</f>
        <v>0</v>
      </c>
      <c r="AK33" s="57">
        <f>IF(AND(AK17&gt;=EOMONTH('DB1'!$U$23,2),'TS1'!AK17&lt;=EOMONTH('DB1'!$U$27,6)),100%,0)</f>
        <v>0</v>
      </c>
      <c r="AL33" s="57">
        <f>IF(AND(AL17&gt;=EOMONTH('DB1'!$U$23,2),'TS1'!AL17&lt;=EOMONTH('DB1'!$U$27,6)),100%,0)</f>
        <v>0</v>
      </c>
      <c r="AM33" s="57">
        <f>IF(AND(AM17&gt;=EOMONTH('DB1'!$U$23,2),'TS1'!AM17&lt;=EOMONTH('DB1'!$U$27,6)),100%,0)</f>
        <v>0</v>
      </c>
      <c r="AN33" s="57">
        <f>IF(AND(AN17&gt;=EOMONTH('DB1'!$U$23,2),'TS1'!AN17&lt;=EOMONTH('DB1'!$U$27,6)),100%,0)</f>
        <v>0</v>
      </c>
      <c r="AO33" s="57">
        <f>IF(AND(AO17&gt;=EOMONTH('DB1'!$U$23,2),'TS1'!AO17&lt;=EOMONTH('DB1'!$U$27,6)),100%,0)</f>
        <v>0</v>
      </c>
      <c r="AP33" s="57">
        <f>IF(AND(AP17&gt;=EOMONTH('DB1'!$U$23,2),'TS1'!AP17&lt;=EOMONTH('DB1'!$U$27,6)),100%,0)</f>
        <v>0</v>
      </c>
      <c r="AQ33" s="57">
        <f>IF(AND(AQ17&gt;=EOMONTH('DB1'!$U$23,2),'TS1'!AQ17&lt;=EOMONTH('DB1'!$U$27,6)),100%,0)</f>
        <v>0</v>
      </c>
      <c r="AR33" s="57">
        <f>IF(AND(AR17&gt;=EOMONTH('DB1'!$U$23,2),'TS1'!AR17&lt;=EOMONTH('DB1'!$U$27,6)),100%,0)</f>
        <v>0</v>
      </c>
      <c r="AS33" s="57">
        <f>IF(AND(AS17&gt;=EOMONTH('DB1'!$U$23,2),'TS1'!AS17&lt;=EOMONTH('DB1'!$U$27,6)),100%,0)</f>
        <v>0</v>
      </c>
      <c r="AT33" s="57">
        <f>IF(AND(AT17&gt;=EOMONTH('DB1'!$U$23,2),'TS1'!AT17&lt;=EOMONTH('DB1'!$U$27,6)),100%,0)</f>
        <v>0</v>
      </c>
      <c r="AU33" s="57">
        <f>IF(AND(AU17&gt;=EOMONTH('DB1'!$U$23,2),'TS1'!AU17&lt;=EOMONTH('DB1'!$U$27,6)),100%,0)</f>
        <v>0</v>
      </c>
      <c r="AV33" s="57">
        <f>IF(AND(AV17&gt;=EOMONTH('DB1'!$U$23,2),'TS1'!AV17&lt;=EOMONTH('DB1'!$U$27,6)),100%,0)</f>
        <v>0</v>
      </c>
      <c r="AW33" s="57">
        <f>IF(AND(AW17&gt;=EOMONTH('DB1'!$U$23,2),'TS1'!AW17&lt;=EOMONTH('DB1'!$U$27,6)),100%,0)</f>
        <v>0</v>
      </c>
      <c r="AX33" s="57">
        <f>IF(AND(AX17&gt;=EOMONTH('DB1'!$U$23,2),'TS1'!AX17&lt;=EOMONTH('DB1'!$U$27,6)),100%,0)</f>
        <v>0</v>
      </c>
      <c r="AY33" s="57">
        <f>IF(AND(AY17&gt;=EOMONTH('DB1'!$U$23,2),'TS1'!AY17&lt;=EOMONTH('DB1'!$U$27,6)),100%,0)</f>
        <v>0</v>
      </c>
      <c r="AZ33" s="57">
        <f>IF(AND(AZ17&gt;=EOMONTH('DB1'!$U$23,2),'TS1'!AZ17&lt;=EOMONTH('DB1'!$U$27,6)),100%,0)</f>
        <v>0</v>
      </c>
      <c r="BA33" s="57">
        <f>IF(AND(BA17&gt;=EOMONTH('DB1'!$U$23,2),'TS1'!BA17&lt;=EOMONTH('DB1'!$U$27,6)),100%,0)</f>
        <v>0</v>
      </c>
      <c r="BB33" s="57">
        <f>IF(AND(BB17&gt;=EOMONTH('DB1'!$U$23,2),'TS1'!BB17&lt;=EOMONTH('DB1'!$U$27,6)),100%,0)</f>
        <v>0</v>
      </c>
      <c r="BC33" s="57">
        <f>IF(AND(BC17&gt;=EOMONTH('DB1'!$U$23,2),'TS1'!BC17&lt;=EOMONTH('DB1'!$U$27,6)),100%,0)</f>
        <v>0</v>
      </c>
      <c r="BD33" s="57">
        <f>IF(AND(BD17&gt;=EOMONTH('DB1'!$U$23,2),'TS1'!BD17&lt;=EOMONTH('DB1'!$U$27,6)),100%,0)</f>
        <v>0</v>
      </c>
      <c r="BE33" s="57">
        <f>IF(AND(BE17&gt;=EOMONTH('DB1'!$U$23,2),'TS1'!BE17&lt;=EOMONTH('DB1'!$U$27,6)),100%,0)</f>
        <v>0</v>
      </c>
      <c r="BF33" s="57">
        <f>IF(AND(BF17&gt;=EOMONTH('DB1'!$U$23,2),'TS1'!BF17&lt;=EOMONTH('DB1'!$U$27,6)),100%,0)</f>
        <v>0</v>
      </c>
      <c r="BG33" s="57">
        <f>IF(AND(BG17&gt;=EOMONTH('DB1'!$U$23,2),'TS1'!BG17&lt;=EOMONTH('DB1'!$U$27,6)),100%,0)</f>
        <v>0</v>
      </c>
      <c r="BH33" s="57">
        <f>IF(AND(BH17&gt;=EOMONTH('DB1'!$U$23,2),'TS1'!BH17&lt;=EOMONTH('DB1'!$U$27,6)),100%,0)</f>
        <v>0</v>
      </c>
      <c r="BI33" s="57">
        <f>IF(AND(BI17&gt;=EOMONTH('DB1'!$U$23,2),'TS1'!BI17&lt;=EOMONTH('DB1'!$U$27,6)),100%,0)</f>
        <v>0</v>
      </c>
      <c r="BJ33" s="57">
        <f>IF(AND(BJ17&gt;=EOMONTH('DB1'!$U$23,2),'TS1'!BJ17&lt;=EOMONTH('DB1'!$U$27,6)),100%,0)</f>
        <v>0</v>
      </c>
      <c r="BK33" s="57">
        <f>IF(AND(BK17&gt;=EOMONTH('DB1'!$U$23,2),'TS1'!BK17&lt;=EOMONTH('DB1'!$U$27,6)),100%,0)</f>
        <v>0</v>
      </c>
      <c r="BL33" s="57">
        <f>IF(AND(BL17&gt;=EOMONTH('DB1'!$U$23,2),'TS1'!BL17&lt;=EOMONTH('DB1'!$U$27,6)),100%,0)</f>
        <v>0</v>
      </c>
      <c r="BM33" s="57">
        <f>IF(AND(BM17&gt;=EOMONTH('DB1'!$U$23,2),'TS1'!BM17&lt;=EOMONTH('DB1'!$U$27,6)),100%,0)</f>
        <v>0</v>
      </c>
    </row>
    <row r="35" spans="2:65">
      <c r="F35" s="350">
        <f t="shared" ref="F35:AK35" si="19">F16</f>
        <v>0</v>
      </c>
      <c r="G35" s="350">
        <f t="shared" si="19"/>
        <v>0</v>
      </c>
      <c r="H35" s="350">
        <f t="shared" si="19"/>
        <v>0</v>
      </c>
      <c r="I35" s="350">
        <f t="shared" si="19"/>
        <v>0</v>
      </c>
      <c r="J35" s="350">
        <f t="shared" si="19"/>
        <v>0</v>
      </c>
      <c r="K35" s="350">
        <f t="shared" si="19"/>
        <v>0</v>
      </c>
      <c r="L35" s="350">
        <f t="shared" si="19"/>
        <v>0</v>
      </c>
      <c r="M35" s="350">
        <f t="shared" si="19"/>
        <v>0</v>
      </c>
      <c r="N35" s="350">
        <f t="shared" si="19"/>
        <v>0</v>
      </c>
      <c r="O35" s="350">
        <f t="shared" si="19"/>
        <v>0</v>
      </c>
      <c r="P35" s="350">
        <f t="shared" si="19"/>
        <v>0</v>
      </c>
      <c r="Q35" s="350">
        <f t="shared" si="19"/>
        <v>0</v>
      </c>
      <c r="R35" s="350">
        <f t="shared" si="19"/>
        <v>0</v>
      </c>
      <c r="S35" s="350">
        <f t="shared" si="19"/>
        <v>0</v>
      </c>
      <c r="T35" s="350" t="str">
        <f t="shared" si="19"/>
        <v>РнС</v>
      </c>
      <c r="U35" s="350">
        <f t="shared" si="19"/>
        <v>0</v>
      </c>
      <c r="V35" s="350">
        <f t="shared" si="19"/>
        <v>0</v>
      </c>
      <c r="W35" s="350">
        <f t="shared" si="19"/>
        <v>0</v>
      </c>
      <c r="X35" s="350">
        <f t="shared" si="19"/>
        <v>0</v>
      </c>
      <c r="Y35" s="350">
        <f t="shared" si="19"/>
        <v>0</v>
      </c>
      <c r="Z35" s="350">
        <f t="shared" si="19"/>
        <v>0</v>
      </c>
      <c r="AA35" s="350">
        <f t="shared" si="19"/>
        <v>0</v>
      </c>
      <c r="AB35" s="350">
        <f t="shared" si="19"/>
        <v>0</v>
      </c>
      <c r="AC35" s="350">
        <f t="shared" si="19"/>
        <v>0</v>
      </c>
      <c r="AD35" s="350">
        <f t="shared" si="19"/>
        <v>0</v>
      </c>
      <c r="AE35" s="350" t="str">
        <f t="shared" si="19"/>
        <v>РнВ</v>
      </c>
      <c r="AF35" s="350" t="str">
        <f t="shared" si="19"/>
        <v>РнВ</v>
      </c>
      <c r="AG35" s="350" t="str">
        <f t="shared" si="19"/>
        <v>РнВ</v>
      </c>
      <c r="AH35" s="350" t="str">
        <f t="shared" si="19"/>
        <v>РнВ</v>
      </c>
      <c r="AI35" s="350" t="str">
        <f t="shared" si="19"/>
        <v>РнВ</v>
      </c>
      <c r="AJ35" s="350" t="str">
        <f t="shared" si="19"/>
        <v>РнВ</v>
      </c>
      <c r="AK35" s="350" t="str">
        <f t="shared" si="19"/>
        <v>РнВ</v>
      </c>
      <c r="AL35" s="350" t="str">
        <f t="shared" ref="AL35:BM35" si="20">AL16</f>
        <v>РнВ</v>
      </c>
      <c r="AM35" s="350" t="str">
        <f t="shared" si="20"/>
        <v>РнВ</v>
      </c>
      <c r="AN35" s="350" t="str">
        <f t="shared" si="20"/>
        <v>РнВ</v>
      </c>
      <c r="AO35" s="350" t="str">
        <f t="shared" si="20"/>
        <v>РнВ</v>
      </c>
      <c r="AP35" s="350" t="str">
        <f t="shared" si="20"/>
        <v>РнВ</v>
      </c>
      <c r="AQ35" s="350" t="str">
        <f t="shared" si="20"/>
        <v>РнВ</v>
      </c>
      <c r="AR35" s="350" t="str">
        <f t="shared" si="20"/>
        <v>РнВ</v>
      </c>
      <c r="AS35" s="350" t="str">
        <f t="shared" si="20"/>
        <v>РнВ</v>
      </c>
      <c r="AT35" s="350" t="str">
        <f t="shared" si="20"/>
        <v>РнВ</v>
      </c>
      <c r="AU35" s="350" t="str">
        <f t="shared" si="20"/>
        <v>РнВ</v>
      </c>
      <c r="AV35" s="350" t="str">
        <f t="shared" si="20"/>
        <v>РнВ</v>
      </c>
      <c r="AW35" s="350" t="str">
        <f t="shared" si="20"/>
        <v>РнВ</v>
      </c>
      <c r="AX35" s="350" t="str">
        <f t="shared" si="20"/>
        <v>РнВ</v>
      </c>
      <c r="AY35" s="350" t="str">
        <f t="shared" si="20"/>
        <v>РнВ</v>
      </c>
      <c r="AZ35" s="350" t="str">
        <f t="shared" si="20"/>
        <v>РнВ</v>
      </c>
      <c r="BA35" s="350" t="str">
        <f t="shared" si="20"/>
        <v>РнВ</v>
      </c>
      <c r="BB35" s="350" t="str">
        <f t="shared" si="20"/>
        <v>РнВ</v>
      </c>
      <c r="BC35" s="350" t="str">
        <f t="shared" si="20"/>
        <v>РнВ</v>
      </c>
      <c r="BD35" s="350" t="str">
        <f t="shared" si="20"/>
        <v>РнВ</v>
      </c>
      <c r="BE35" s="350" t="str">
        <f t="shared" si="20"/>
        <v>РнВ</v>
      </c>
      <c r="BF35" s="350" t="str">
        <f t="shared" si="20"/>
        <v>РнВ</v>
      </c>
      <c r="BG35" s="350" t="str">
        <f t="shared" si="20"/>
        <v>РнВ</v>
      </c>
      <c r="BH35" s="350" t="str">
        <f t="shared" si="20"/>
        <v>РнВ</v>
      </c>
      <c r="BI35" s="350" t="str">
        <f t="shared" si="20"/>
        <v>РнВ</v>
      </c>
      <c r="BJ35" s="350" t="str">
        <f t="shared" si="20"/>
        <v>РнВ</v>
      </c>
      <c r="BK35" s="350" t="str">
        <f t="shared" si="20"/>
        <v>РнВ</v>
      </c>
      <c r="BL35" s="350" t="str">
        <f t="shared" si="20"/>
        <v>РнВ</v>
      </c>
      <c r="BM35" s="350" t="str">
        <f t="shared" si="20"/>
        <v>РнВ</v>
      </c>
    </row>
    <row r="36" spans="2:65">
      <c r="F36" s="114">
        <f t="shared" ref="F36:AK36" si="21">F17</f>
        <v>45107</v>
      </c>
      <c r="G36" s="114">
        <f t="shared" si="21"/>
        <v>45199</v>
      </c>
      <c r="H36" s="114">
        <f t="shared" si="21"/>
        <v>45291</v>
      </c>
      <c r="I36" s="114">
        <f t="shared" si="21"/>
        <v>45382</v>
      </c>
      <c r="J36" s="114">
        <f t="shared" si="21"/>
        <v>45473</v>
      </c>
      <c r="K36" s="114">
        <f t="shared" si="21"/>
        <v>45565</v>
      </c>
      <c r="L36" s="114">
        <f t="shared" si="21"/>
        <v>45657</v>
      </c>
      <c r="M36" s="114">
        <f t="shared" si="21"/>
        <v>45747</v>
      </c>
      <c r="N36" s="114">
        <f t="shared" si="21"/>
        <v>45838</v>
      </c>
      <c r="O36" s="114">
        <f t="shared" si="21"/>
        <v>45930</v>
      </c>
      <c r="P36" s="114">
        <f t="shared" si="21"/>
        <v>46022</v>
      </c>
      <c r="Q36" s="114">
        <f t="shared" si="21"/>
        <v>46112</v>
      </c>
      <c r="R36" s="114">
        <f t="shared" si="21"/>
        <v>46203</v>
      </c>
      <c r="S36" s="114">
        <f t="shared" si="21"/>
        <v>46295</v>
      </c>
      <c r="T36" s="114">
        <f t="shared" si="21"/>
        <v>46387</v>
      </c>
      <c r="U36" s="114">
        <f t="shared" si="21"/>
        <v>46477</v>
      </c>
      <c r="V36" s="114">
        <f t="shared" si="21"/>
        <v>46568</v>
      </c>
      <c r="W36" s="114">
        <f t="shared" si="21"/>
        <v>46660</v>
      </c>
      <c r="X36" s="114">
        <f t="shared" si="21"/>
        <v>46752</v>
      </c>
      <c r="Y36" s="114">
        <f t="shared" si="21"/>
        <v>46843</v>
      </c>
      <c r="Z36" s="114">
        <f t="shared" si="21"/>
        <v>46934</v>
      </c>
      <c r="AA36" s="114">
        <f t="shared" si="21"/>
        <v>47026</v>
      </c>
      <c r="AB36" s="114">
        <f t="shared" si="21"/>
        <v>47118</v>
      </c>
      <c r="AC36" s="114">
        <f t="shared" si="21"/>
        <v>47208</v>
      </c>
      <c r="AD36" s="114">
        <f t="shared" si="21"/>
        <v>47299</v>
      </c>
      <c r="AE36" s="114">
        <f t="shared" si="21"/>
        <v>47391</v>
      </c>
      <c r="AF36" s="114">
        <f t="shared" si="21"/>
        <v>47483</v>
      </c>
      <c r="AG36" s="114">
        <f t="shared" si="21"/>
        <v>47573</v>
      </c>
      <c r="AH36" s="114">
        <f t="shared" si="21"/>
        <v>47664</v>
      </c>
      <c r="AI36" s="114">
        <f t="shared" si="21"/>
        <v>47756</v>
      </c>
      <c r="AJ36" s="114">
        <f t="shared" si="21"/>
        <v>47848</v>
      </c>
      <c r="AK36" s="114">
        <f t="shared" si="21"/>
        <v>47938</v>
      </c>
      <c r="AL36" s="114">
        <f t="shared" ref="AL36:BM36" si="22">AL17</f>
        <v>48029</v>
      </c>
      <c r="AM36" s="114">
        <f t="shared" si="22"/>
        <v>48121</v>
      </c>
      <c r="AN36" s="114">
        <f t="shared" si="22"/>
        <v>48213</v>
      </c>
      <c r="AO36" s="114">
        <f t="shared" si="22"/>
        <v>48304</v>
      </c>
      <c r="AP36" s="114">
        <f t="shared" si="22"/>
        <v>48395</v>
      </c>
      <c r="AQ36" s="114">
        <f t="shared" si="22"/>
        <v>48487</v>
      </c>
      <c r="AR36" s="114">
        <f t="shared" si="22"/>
        <v>48579</v>
      </c>
      <c r="AS36" s="114">
        <f t="shared" si="22"/>
        <v>48669</v>
      </c>
      <c r="AT36" s="114">
        <f t="shared" si="22"/>
        <v>48760</v>
      </c>
      <c r="AU36" s="114">
        <f t="shared" si="22"/>
        <v>48852</v>
      </c>
      <c r="AV36" s="114">
        <f t="shared" si="22"/>
        <v>48944</v>
      </c>
      <c r="AW36" s="114">
        <f t="shared" si="22"/>
        <v>49034</v>
      </c>
      <c r="AX36" s="114">
        <f t="shared" si="22"/>
        <v>49125</v>
      </c>
      <c r="AY36" s="114">
        <f t="shared" si="22"/>
        <v>49217</v>
      </c>
      <c r="AZ36" s="114">
        <f t="shared" si="22"/>
        <v>49309</v>
      </c>
      <c r="BA36" s="114">
        <f t="shared" si="22"/>
        <v>49399</v>
      </c>
      <c r="BB36" s="114">
        <f t="shared" si="22"/>
        <v>49490</v>
      </c>
      <c r="BC36" s="114">
        <f t="shared" si="22"/>
        <v>49582</v>
      </c>
      <c r="BD36" s="114">
        <f t="shared" si="22"/>
        <v>49674</v>
      </c>
      <c r="BE36" s="114">
        <f t="shared" si="22"/>
        <v>49765</v>
      </c>
      <c r="BF36" s="114">
        <f t="shared" si="22"/>
        <v>49856</v>
      </c>
      <c r="BG36" s="114">
        <f t="shared" si="22"/>
        <v>49948</v>
      </c>
      <c r="BH36" s="114">
        <f t="shared" si="22"/>
        <v>50040</v>
      </c>
      <c r="BI36" s="114">
        <f t="shared" si="22"/>
        <v>50130</v>
      </c>
      <c r="BJ36" s="114">
        <f t="shared" si="22"/>
        <v>50221</v>
      </c>
      <c r="BK36" s="114">
        <f t="shared" si="22"/>
        <v>50313</v>
      </c>
      <c r="BL36" s="114">
        <f t="shared" si="22"/>
        <v>50405</v>
      </c>
      <c r="BM36" s="114">
        <f t="shared" si="22"/>
        <v>50495</v>
      </c>
    </row>
    <row r="37" spans="2:65">
      <c r="B37" s="19" t="s">
        <v>44</v>
      </c>
      <c r="C37" s="113"/>
      <c r="D37" s="113"/>
      <c r="E37" s="113"/>
      <c r="F37" s="114" t="str">
        <f t="shared" ref="F37:AK37" si="23">F18</f>
        <v>2Q2023</v>
      </c>
      <c r="G37" s="114" t="str">
        <f t="shared" si="23"/>
        <v>3Q2023</v>
      </c>
      <c r="H37" s="114" t="str">
        <f t="shared" si="23"/>
        <v>4Q2023</v>
      </c>
      <c r="I37" s="114" t="str">
        <f t="shared" si="23"/>
        <v>1Q2024</v>
      </c>
      <c r="J37" s="114" t="str">
        <f t="shared" si="23"/>
        <v>2Q2024</v>
      </c>
      <c r="K37" s="114" t="str">
        <f t="shared" si="23"/>
        <v>3Q2024</v>
      </c>
      <c r="L37" s="114" t="str">
        <f t="shared" si="23"/>
        <v>4Q2024</v>
      </c>
      <c r="M37" s="114" t="str">
        <f t="shared" si="23"/>
        <v>1Q2025</v>
      </c>
      <c r="N37" s="114" t="str">
        <f t="shared" si="23"/>
        <v>2Q2025</v>
      </c>
      <c r="O37" s="114" t="str">
        <f t="shared" si="23"/>
        <v>3Q2025</v>
      </c>
      <c r="P37" s="114" t="str">
        <f t="shared" si="23"/>
        <v>4Q2025</v>
      </c>
      <c r="Q37" s="114" t="str">
        <f t="shared" si="23"/>
        <v>1Q2026</v>
      </c>
      <c r="R37" s="114" t="str">
        <f t="shared" si="23"/>
        <v>2Q2026</v>
      </c>
      <c r="S37" s="114" t="str">
        <f t="shared" si="23"/>
        <v>3Q2026</v>
      </c>
      <c r="T37" s="114" t="str">
        <f t="shared" si="23"/>
        <v>4Q2026</v>
      </c>
      <c r="U37" s="114" t="str">
        <f t="shared" si="23"/>
        <v>1Q2027</v>
      </c>
      <c r="V37" s="114" t="str">
        <f t="shared" si="23"/>
        <v>2Q2027</v>
      </c>
      <c r="W37" s="114" t="str">
        <f t="shared" si="23"/>
        <v>3Q2027</v>
      </c>
      <c r="X37" s="114" t="str">
        <f t="shared" si="23"/>
        <v>4Q2027</v>
      </c>
      <c r="Y37" s="114" t="str">
        <f t="shared" si="23"/>
        <v>1Q2028</v>
      </c>
      <c r="Z37" s="114" t="str">
        <f t="shared" si="23"/>
        <v>2Q2028</v>
      </c>
      <c r="AA37" s="114" t="str">
        <f t="shared" si="23"/>
        <v>3Q2028</v>
      </c>
      <c r="AB37" s="114" t="str">
        <f t="shared" si="23"/>
        <v>4Q2028</v>
      </c>
      <c r="AC37" s="114" t="str">
        <f t="shared" si="23"/>
        <v>1Q2029</v>
      </c>
      <c r="AD37" s="114" t="str">
        <f t="shared" si="23"/>
        <v>2Q2029</v>
      </c>
      <c r="AE37" s="114" t="str">
        <f t="shared" si="23"/>
        <v>3Q2029</v>
      </c>
      <c r="AF37" s="114" t="str">
        <f t="shared" si="23"/>
        <v>4Q2029</v>
      </c>
      <c r="AG37" s="114" t="str">
        <f t="shared" si="23"/>
        <v>1Q2030</v>
      </c>
      <c r="AH37" s="114" t="str">
        <f t="shared" si="23"/>
        <v>2Q2030</v>
      </c>
      <c r="AI37" s="114" t="str">
        <f t="shared" si="23"/>
        <v>3Q2030</v>
      </c>
      <c r="AJ37" s="114" t="str">
        <f t="shared" si="23"/>
        <v>4Q2030</v>
      </c>
      <c r="AK37" s="114" t="str">
        <f t="shared" si="23"/>
        <v>1Q2031</v>
      </c>
      <c r="AL37" s="114" t="str">
        <f t="shared" ref="AL37:BM37" si="24">AL18</f>
        <v>2Q2031</v>
      </c>
      <c r="AM37" s="114" t="str">
        <f t="shared" si="24"/>
        <v>3Q2031</v>
      </c>
      <c r="AN37" s="114" t="str">
        <f t="shared" si="24"/>
        <v>4Q2031</v>
      </c>
      <c r="AO37" s="114" t="str">
        <f t="shared" si="24"/>
        <v>1Q2032</v>
      </c>
      <c r="AP37" s="114" t="str">
        <f t="shared" si="24"/>
        <v>2Q2032</v>
      </c>
      <c r="AQ37" s="114" t="str">
        <f t="shared" si="24"/>
        <v>3Q2032</v>
      </c>
      <c r="AR37" s="114" t="str">
        <f t="shared" si="24"/>
        <v>4Q2032</v>
      </c>
      <c r="AS37" s="114" t="str">
        <f t="shared" si="24"/>
        <v>1Q2033</v>
      </c>
      <c r="AT37" s="114" t="str">
        <f t="shared" si="24"/>
        <v>2Q2033</v>
      </c>
      <c r="AU37" s="114" t="str">
        <f t="shared" si="24"/>
        <v>3Q2033</v>
      </c>
      <c r="AV37" s="114" t="str">
        <f t="shared" si="24"/>
        <v>4Q2033</v>
      </c>
      <c r="AW37" s="114" t="str">
        <f t="shared" si="24"/>
        <v>1Q2034</v>
      </c>
      <c r="AX37" s="114" t="str">
        <f t="shared" si="24"/>
        <v>2Q2034</v>
      </c>
      <c r="AY37" s="114" t="str">
        <f t="shared" si="24"/>
        <v>3Q2034</v>
      </c>
      <c r="AZ37" s="114" t="str">
        <f t="shared" si="24"/>
        <v>4Q2034</v>
      </c>
      <c r="BA37" s="114" t="str">
        <f t="shared" si="24"/>
        <v>1Q2035</v>
      </c>
      <c r="BB37" s="114" t="str">
        <f t="shared" si="24"/>
        <v>2Q2035</v>
      </c>
      <c r="BC37" s="114" t="str">
        <f t="shared" si="24"/>
        <v>3Q2035</v>
      </c>
      <c r="BD37" s="114" t="str">
        <f t="shared" si="24"/>
        <v>4Q2035</v>
      </c>
      <c r="BE37" s="114" t="str">
        <f t="shared" si="24"/>
        <v>1Q2036</v>
      </c>
      <c r="BF37" s="114" t="str">
        <f t="shared" si="24"/>
        <v>2Q2036</v>
      </c>
      <c r="BG37" s="114" t="str">
        <f t="shared" si="24"/>
        <v>3Q2036</v>
      </c>
      <c r="BH37" s="114" t="str">
        <f t="shared" si="24"/>
        <v>4Q2036</v>
      </c>
      <c r="BI37" s="114" t="str">
        <f t="shared" si="24"/>
        <v>1Q2037</v>
      </c>
      <c r="BJ37" s="114" t="str">
        <f t="shared" si="24"/>
        <v>2Q2037</v>
      </c>
      <c r="BK37" s="114" t="str">
        <f t="shared" si="24"/>
        <v>3Q2037</v>
      </c>
      <c r="BL37" s="114" t="str">
        <f t="shared" si="24"/>
        <v>4Q2037</v>
      </c>
      <c r="BM37" s="114" t="str">
        <f t="shared" si="24"/>
        <v>1Q2038</v>
      </c>
    </row>
    <row r="38" spans="2:65">
      <c r="B38" s="19" t="s">
        <v>7</v>
      </c>
      <c r="C38" s="113"/>
      <c r="D38" s="113"/>
      <c r="E38" s="113"/>
      <c r="F38" s="115">
        <f t="shared" ref="F38:BJ38" si="25">IF(SUM(F40,F44,F46,F48,F50,F52,F54)&gt;0,1,0)</f>
        <v>0</v>
      </c>
      <c r="G38" s="115">
        <f t="shared" si="25"/>
        <v>0</v>
      </c>
      <c r="H38" s="115">
        <f t="shared" si="25"/>
        <v>0</v>
      </c>
      <c r="I38" s="115">
        <f t="shared" si="25"/>
        <v>0</v>
      </c>
      <c r="J38" s="115">
        <f t="shared" si="25"/>
        <v>0</v>
      </c>
      <c r="K38" s="115">
        <f t="shared" si="25"/>
        <v>0</v>
      </c>
      <c r="L38" s="115">
        <f t="shared" si="25"/>
        <v>0</v>
      </c>
      <c r="M38" s="115">
        <f t="shared" si="25"/>
        <v>0</v>
      </c>
      <c r="N38" s="115">
        <f t="shared" si="25"/>
        <v>0</v>
      </c>
      <c r="O38" s="115">
        <f t="shared" si="25"/>
        <v>0</v>
      </c>
      <c r="P38" s="115">
        <f t="shared" si="25"/>
        <v>0</v>
      </c>
      <c r="Q38" s="115">
        <f t="shared" si="25"/>
        <v>0</v>
      </c>
      <c r="R38" s="115">
        <f t="shared" si="25"/>
        <v>0</v>
      </c>
      <c r="S38" s="115">
        <f t="shared" si="25"/>
        <v>0</v>
      </c>
      <c r="T38" s="115">
        <f t="shared" si="25"/>
        <v>1</v>
      </c>
      <c r="U38" s="115">
        <f t="shared" si="25"/>
        <v>1</v>
      </c>
      <c r="V38" s="115">
        <f t="shared" si="25"/>
        <v>1</v>
      </c>
      <c r="W38" s="115">
        <f t="shared" si="25"/>
        <v>1</v>
      </c>
      <c r="X38" s="115">
        <f t="shared" si="25"/>
        <v>1</v>
      </c>
      <c r="Y38" s="115">
        <f t="shared" si="25"/>
        <v>1</v>
      </c>
      <c r="Z38" s="115">
        <f t="shared" si="25"/>
        <v>1</v>
      </c>
      <c r="AA38" s="115">
        <f t="shared" si="25"/>
        <v>1</v>
      </c>
      <c r="AB38" s="115">
        <f t="shared" si="25"/>
        <v>1</v>
      </c>
      <c r="AC38" s="115">
        <f t="shared" si="25"/>
        <v>1</v>
      </c>
      <c r="AD38" s="115">
        <f t="shared" si="25"/>
        <v>1</v>
      </c>
      <c r="AE38" s="115">
        <f t="shared" si="25"/>
        <v>1</v>
      </c>
      <c r="AF38" s="115">
        <f t="shared" si="25"/>
        <v>1</v>
      </c>
      <c r="AG38" s="115">
        <f t="shared" si="25"/>
        <v>1</v>
      </c>
      <c r="AH38" s="115">
        <f t="shared" si="25"/>
        <v>1</v>
      </c>
      <c r="AI38" s="115">
        <f t="shared" si="25"/>
        <v>1</v>
      </c>
      <c r="AJ38" s="115">
        <f t="shared" si="25"/>
        <v>1</v>
      </c>
      <c r="AK38" s="115">
        <f t="shared" si="25"/>
        <v>1</v>
      </c>
      <c r="AL38" s="115">
        <f t="shared" si="25"/>
        <v>1</v>
      </c>
      <c r="AM38" s="115">
        <f t="shared" si="25"/>
        <v>1</v>
      </c>
      <c r="AN38" s="115">
        <f t="shared" si="25"/>
        <v>0</v>
      </c>
      <c r="AO38" s="115">
        <f t="shared" si="25"/>
        <v>0</v>
      </c>
      <c r="AP38" s="115">
        <f t="shared" si="25"/>
        <v>0</v>
      </c>
      <c r="AQ38" s="115">
        <f t="shared" si="25"/>
        <v>0</v>
      </c>
      <c r="AR38" s="115">
        <f t="shared" si="25"/>
        <v>0</v>
      </c>
      <c r="AS38" s="115">
        <f t="shared" si="25"/>
        <v>0</v>
      </c>
      <c r="AT38" s="115">
        <f t="shared" si="25"/>
        <v>0</v>
      </c>
      <c r="AU38" s="115">
        <f t="shared" si="25"/>
        <v>0</v>
      </c>
      <c r="AV38" s="115">
        <f t="shared" si="25"/>
        <v>0</v>
      </c>
      <c r="AW38" s="115">
        <f t="shared" si="25"/>
        <v>0</v>
      </c>
      <c r="AX38" s="115">
        <f t="shared" si="25"/>
        <v>0</v>
      </c>
      <c r="AY38" s="115">
        <f t="shared" si="25"/>
        <v>0</v>
      </c>
      <c r="AZ38" s="115">
        <f t="shared" si="25"/>
        <v>0</v>
      </c>
      <c r="BA38" s="115">
        <f t="shared" si="25"/>
        <v>0</v>
      </c>
      <c r="BB38" s="115">
        <f t="shared" si="25"/>
        <v>0</v>
      </c>
      <c r="BC38" s="115">
        <f t="shared" si="25"/>
        <v>0</v>
      </c>
      <c r="BD38" s="115">
        <f t="shared" si="25"/>
        <v>0</v>
      </c>
      <c r="BE38" s="115">
        <f t="shared" si="25"/>
        <v>0</v>
      </c>
      <c r="BF38" s="115">
        <f t="shared" si="25"/>
        <v>0</v>
      </c>
      <c r="BG38" s="115">
        <f t="shared" si="25"/>
        <v>0</v>
      </c>
      <c r="BH38" s="115">
        <f t="shared" si="25"/>
        <v>0</v>
      </c>
      <c r="BI38" s="115">
        <f t="shared" si="25"/>
        <v>0</v>
      </c>
      <c r="BJ38" s="115">
        <f t="shared" si="25"/>
        <v>0</v>
      </c>
      <c r="BK38" s="115">
        <f t="shared" ref="BK38:BM38" si="26">IF(SUM(BK40,BK44,BK46,BK48,BK50,BK52,BK54)&gt;0,1,0)</f>
        <v>0</v>
      </c>
      <c r="BL38" s="115">
        <f t="shared" si="26"/>
        <v>0</v>
      </c>
      <c r="BM38" s="115">
        <f t="shared" si="26"/>
        <v>0</v>
      </c>
    </row>
    <row r="39" spans="2:65" ht="15">
      <c r="B39" s="15"/>
      <c r="C39" s="16" t="s">
        <v>4</v>
      </c>
      <c r="D39" s="16" t="s">
        <v>51</v>
      </c>
      <c r="E39" s="16" t="s">
        <v>52</v>
      </c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</row>
    <row r="40" spans="2:65">
      <c r="B40" s="55" t="str">
        <f>'DB1'!L8</f>
        <v>КВАРТИРЫ</v>
      </c>
      <c r="C40" s="59">
        <f>'DB1'!M8</f>
        <v>46296</v>
      </c>
      <c r="D40" s="59">
        <f>_xlfn.MAXIFS($F$36:$AS$36,$F40:$AS40,"&gt;0")</f>
        <v>48121</v>
      </c>
      <c r="E40" s="60">
        <f>'DB1'!H8</f>
        <v>59425.363199999985</v>
      </c>
      <c r="F40" s="61"/>
      <c r="G40" s="61">
        <f>(IF(G$17&gt;$C40,IF((SUM($F40:F40)+'DB1'!$U$8)&gt;$E40,($E40-SUM($F40:F40)),'DB1'!$U$8),0))</f>
        <v>0</v>
      </c>
      <c r="H40" s="61">
        <f>(IF(H$17&gt;$C40,IF((SUM($F40:G40)+'DB1'!$U$8)&gt;$E40,($E40-SUM($F40:G40)),'DB1'!$U$8),0))</f>
        <v>0</v>
      </c>
      <c r="I40" s="61">
        <f>(IF(I$17&gt;$C40,IF((SUM($F40:H40)+'DB1'!$U$8)&gt;$E40,($E40-SUM($F40:H40)),'DB1'!$U$8),0))</f>
        <v>0</v>
      </c>
      <c r="J40" s="61">
        <f>(IF(J$17&gt;$C40,IF((SUM($F40:I40)+'DB1'!$U$8)&gt;$E40,($E40-SUM($F40:I40)),'DB1'!$U$8),0))</f>
        <v>0</v>
      </c>
      <c r="K40" s="61">
        <f>(IF(K$17&gt;$C40,IF((SUM($F40:J40)+'DB1'!$U$8)&gt;$E40,($E40-SUM($F40:J40)),'DB1'!$U$8),0))</f>
        <v>0</v>
      </c>
      <c r="L40" s="61">
        <f>(IF(L$17&gt;$C40,IF((SUM($F40:K40)+'DB1'!$U$8)&gt;$E40,($E40-SUM($F40:K40)),'DB1'!$U$8),0))</f>
        <v>0</v>
      </c>
      <c r="M40" s="61">
        <f>(IF(M$17&gt;$C40,IF((SUM($F40:L40)+'DB1'!$U$8)&gt;$E40,($E40-SUM($F40:L40)),'DB1'!$U$8),0))</f>
        <v>0</v>
      </c>
      <c r="N40" s="61">
        <f>(IF(N$17&gt;$C40,IF((SUM($F40:M40)+'DB1'!$U$8)&gt;$E40,($E40-SUM($F40:M40)),'DB1'!$U$8),0))</f>
        <v>0</v>
      </c>
      <c r="O40" s="61">
        <f>(IF(O$17&gt;$C40,IF((SUM($F40:N40)+'DB1'!$U$8)&gt;$E40,($E40-SUM($F40:N40)),'DB1'!$U$8),0))</f>
        <v>0</v>
      </c>
      <c r="P40" s="61">
        <f>(IF(P$17&gt;$C40,IF((SUM($F40:O40)+'DB1'!$U$8)&gt;$E40,($E40-SUM($F40:O40)),'DB1'!$U$8),0))</f>
        <v>0</v>
      </c>
      <c r="Q40" s="61">
        <f>(IF(Q$17&gt;$C40,IF((SUM($F40:P40)+'DB1'!$U$8)&gt;$E40,($E40-SUM($F40:P40)),'DB1'!$U$8),0))</f>
        <v>0</v>
      </c>
      <c r="R40" s="61">
        <f>(IF(R$17&gt;$C40,IF((SUM($F40:Q40)+'DB1'!$U$8)&gt;$E40,($E40-SUM($F40:Q40)),'DB1'!$U$8),0))</f>
        <v>0</v>
      </c>
      <c r="S40" s="61">
        <f>(IF(S$17&gt;$C40,IF((SUM($F40:R40)+'DB1'!$U$8)&gt;$E40,($E40-SUM($F40:R40)),'DB1'!$U$8),0))</f>
        <v>0</v>
      </c>
      <c r="T40" s="61">
        <f>(IF(T$17&gt;$C40,IF((SUM($F40:S40)+'DB1'!$U$8)&gt;$E40,($E40-SUM($F40:S40)),'DB1'!$U$8),0))</f>
        <v>3000</v>
      </c>
      <c r="U40" s="61">
        <f>(IF(U$17&gt;$C40,IF((SUM($F40:T40)+'DB1'!$U$8)&gt;$E40,($E40-SUM($F40:T40)),'DB1'!$U$8),0))</f>
        <v>3000</v>
      </c>
      <c r="V40" s="61">
        <f>(IF(V$17&gt;$C40,IF((SUM($F40:U40)+'DB1'!$U$8)&gt;$E40,($E40-SUM($F40:U40)),'DB1'!$U$8),0))</f>
        <v>3000</v>
      </c>
      <c r="W40" s="61">
        <f>(IF(W$17&gt;$C40,IF((SUM($F40:V40)+'DB1'!$U$8)&gt;$E40,($E40-SUM($F40:V40)),'DB1'!$U$8),0))</f>
        <v>3000</v>
      </c>
      <c r="X40" s="61">
        <f>(IF(X$17&gt;$C40,IF((SUM($F40:W40)+'DB1'!$U$8)&gt;$E40,($E40-SUM($F40:W40)),'DB1'!$U$8),0))</f>
        <v>3000</v>
      </c>
      <c r="Y40" s="61">
        <f>(IF(Y$17&gt;$C40,IF((SUM($F40:X40)+'DB1'!$U$8)&gt;$E40,($E40-SUM($F40:X40)),'DB1'!$U$8),0))</f>
        <v>3000</v>
      </c>
      <c r="Z40" s="61">
        <f>(IF(Z$17&gt;$C40,IF((SUM($F40:Y40)+'DB1'!$U$8)&gt;$E40,($E40-SUM($F40:Y40)),'DB1'!$U$8),0))</f>
        <v>3000</v>
      </c>
      <c r="AA40" s="61">
        <f>(IF(AA$17&gt;$C40,IF((SUM($F40:Z40)+'DB1'!$U$8)&gt;$E40,($E40-SUM($F40:Z40)),'DB1'!$U$8),0))</f>
        <v>3000</v>
      </c>
      <c r="AB40" s="61">
        <f>(IF(AB$17&gt;$C40,IF((SUM($F40:AA40)+'DB1'!$U$8)&gt;$E40,($E40-SUM($F40:AA40)),'DB1'!$U$8),0))</f>
        <v>3000</v>
      </c>
      <c r="AC40" s="61">
        <f>(IF(AC$17&gt;$C40,IF((SUM($F40:AB40)+'DB1'!$U$8)&gt;$E40,($E40-SUM($F40:AB40)),'DB1'!$U$8),0))</f>
        <v>3000</v>
      </c>
      <c r="AD40" s="61">
        <f>(IF(AD$17&gt;$C40,IF((SUM($F40:AC40)+'DB1'!$U$8)&gt;$E40,($E40-SUM($F40:AC40)),'DB1'!$U$8),0))</f>
        <v>3000</v>
      </c>
      <c r="AE40" s="61">
        <f>(IF(AE$17&gt;$C40,IF((SUM($F40:AD40)+'DB1'!$U$8)&gt;$E40,($E40-SUM($F40:AD40)),'DB1'!$U$8),0))</f>
        <v>3000</v>
      </c>
      <c r="AF40" s="61">
        <f>(IF(AF$17&gt;$C40,IF((SUM($F40:AE40)+'DB1'!$U$8)&gt;$E40,($E40-SUM($F40:AE40)),'DB1'!$U$8),0))</f>
        <v>3000</v>
      </c>
      <c r="AG40" s="61">
        <f>(IF(AG$17&gt;$C40,IF((SUM($F40:AF40)+'DB1'!$U$8)&gt;$E40,($E40-SUM($F40:AF40)),'DB1'!$U$8),0))</f>
        <v>3000</v>
      </c>
      <c r="AH40" s="61">
        <f>(IF(AH$17&gt;$C40,IF((SUM($F40:AG40)+'DB1'!$U$8)&gt;$E40,($E40-SUM($F40:AG40)),'DB1'!$U$8),0))</f>
        <v>3000</v>
      </c>
      <c r="AI40" s="61">
        <f>(IF(AI$17&gt;$C40,IF((SUM($F40:AH40)+'DB1'!$U$8)&gt;$E40,($E40-SUM($F40:AH40)),'DB1'!$U$8),0))</f>
        <v>3000</v>
      </c>
      <c r="AJ40" s="61">
        <f>(IF(AJ$17&gt;$C40,IF((SUM($F40:AI40)+'DB1'!$U$8)&gt;$E40,($E40-SUM($F40:AI40)),'DB1'!$U$8),0))</f>
        <v>3000</v>
      </c>
      <c r="AK40" s="61">
        <f>(IF(AK$17&gt;$C40,IF((SUM($F40:AJ40)+'DB1'!$U$8)&gt;$E40,($E40-SUM($F40:AJ40)),'DB1'!$U$8),0))</f>
        <v>3000</v>
      </c>
      <c r="AL40" s="61">
        <f>(IF(AL$17&gt;$C40,IF((SUM($F40:AK40)+'DB1'!$U$8)&gt;$E40,($E40-SUM($F40:AK40)),'DB1'!$U$8),0))</f>
        <v>3000</v>
      </c>
      <c r="AM40" s="61">
        <f>(IF(AM$17&gt;$C40,IF((SUM($F40:AL40)+'DB1'!$U$8)&gt;$E40,($E40-SUM($F40:AL40)),'DB1'!$U$8),0))</f>
        <v>2425.3631999999852</v>
      </c>
      <c r="AN40" s="61">
        <f>(IF(AN$17&gt;$C40,IF((SUM($F40:AM40)+'DB1'!$U$8)&gt;$E40,($E40-SUM($F40:AM40)),'DB1'!$U$8),0))</f>
        <v>0</v>
      </c>
      <c r="AO40" s="61">
        <f>(IF(AO$17&gt;$C40,IF((SUM($F40:AN40)+'DB1'!$U$8)&gt;$E40,($E40-SUM($F40:AN40)),'DB1'!$U$8),0))</f>
        <v>0</v>
      </c>
      <c r="AP40" s="61">
        <f>(IF(AP$17&gt;$C40,IF((SUM($F40:AO40)+'DB1'!$U$8)&gt;$E40,($E40-SUM($F40:AO40)),'DB1'!$U$8),0))</f>
        <v>0</v>
      </c>
      <c r="AQ40" s="61">
        <f>(IF(AQ$17&gt;$C40,IF((SUM($F40:AP40)+'DB1'!$U$8)&gt;$E40,($E40-SUM($F40:AP40)),'DB1'!$U$8),0))</f>
        <v>0</v>
      </c>
      <c r="AR40" s="61">
        <f>(IF(AR$17&gt;$C40,IF((SUM($F40:AQ40)+'DB1'!$U$8)&gt;$E40,($E40-SUM($F40:AQ40)),'DB1'!$U$8),0))</f>
        <v>0</v>
      </c>
      <c r="AS40" s="61">
        <f>(IF(AS$17&gt;$C40,IF((SUM($F40:AR40)+'DB1'!$U$8)&gt;$E40,($E40-SUM($F40:AR40)),'DB1'!$U$8),0))</f>
        <v>0</v>
      </c>
      <c r="AT40" s="61">
        <f>(IF(AT$17&gt;$C40,IF((SUM($F40:AS40)+'DB1'!$U$8)&gt;$E40,($E40-SUM($F40:AS40)),'DB1'!$U$8),0))</f>
        <v>0</v>
      </c>
      <c r="AU40" s="61">
        <f>(IF(AU$17&gt;$C40,IF((SUM($F40:AT40)+'DB1'!$U$8)&gt;$E40,($E40-SUM($F40:AT40)),'DB1'!$U$8),0))</f>
        <v>0</v>
      </c>
      <c r="AV40" s="61">
        <f>(IF(AV$17&gt;$C40,IF((SUM($F40:AU40)+'DB1'!$U$8)&gt;$E40,($E40-SUM($F40:AU40)),'DB1'!$U$8),0))</f>
        <v>0</v>
      </c>
      <c r="AW40" s="61">
        <f>(IF(AW$17&gt;$C40,IF((SUM($F40:AV40)+'DB1'!$U$8)&gt;$E40,($E40-SUM($F40:AV40)),'DB1'!$U$8),0))</f>
        <v>0</v>
      </c>
      <c r="AX40" s="61">
        <f>(IF(AX$17&gt;$C40,IF((SUM($F40:AW40)+'DB1'!$U$8)&gt;$E40,($E40-SUM($F40:AW40)),'DB1'!$U$8),0))</f>
        <v>0</v>
      </c>
      <c r="AY40" s="61">
        <f>(IF(AY$17&gt;$C40,IF((SUM($F40:AX40)+'DB1'!$U$8)&gt;$E40,($E40-SUM($F40:AX40)),'DB1'!$U$8),0))</f>
        <v>0</v>
      </c>
      <c r="AZ40" s="61">
        <f>(IF(AZ$17&gt;$C40,IF((SUM($F40:AY40)+'DB1'!$U$8)&gt;$E40,($E40-SUM($F40:AY40)),'DB1'!$U$8),0))</f>
        <v>0</v>
      </c>
      <c r="BA40" s="61">
        <f>(IF(BA$17&gt;$C40,IF((SUM($F40:AZ40)+'DB1'!$U$8)&gt;$E40,($E40-SUM($F40:AZ40)),'DB1'!$U$8),0))</f>
        <v>0</v>
      </c>
      <c r="BB40" s="61">
        <f>(IF(BB$17&gt;$C40,IF((SUM($F40:BA40)+'DB1'!$U$8)&gt;$E40,($E40-SUM($F40:BA40)),'DB1'!$U$8),0))</f>
        <v>0</v>
      </c>
      <c r="BC40" s="61">
        <f>(IF(BC$17&gt;$C40,IF((SUM($F40:BB40)+'DB1'!$U$8)&gt;$E40,($E40-SUM($F40:BB40)),'DB1'!$U$8),0))</f>
        <v>0</v>
      </c>
      <c r="BD40" s="61">
        <f>(IF(BD$17&gt;$C40,IF((SUM($F40:BC40)+'DB1'!$U$8)&gt;$E40,($E40-SUM($F40:BC40)),'DB1'!$U$8),0))</f>
        <v>0</v>
      </c>
      <c r="BE40" s="61">
        <f>(IF(BE$17&gt;$C40,IF((SUM($F40:BD40)+'DB1'!$U$8)&gt;$E40,($E40-SUM($F40:BD40)),'DB1'!$U$8),0))</f>
        <v>0</v>
      </c>
      <c r="BF40" s="61">
        <f>(IF(BF$17&gt;$C40,IF((SUM($F40:BE40)+'DB1'!$U$8)&gt;$E40,($E40-SUM($F40:BE40)),'DB1'!$U$8),0))</f>
        <v>0</v>
      </c>
      <c r="BG40" s="61">
        <f>(IF(BG$17&gt;$C40,IF((SUM($F40:BF40)+'DB1'!$U$8)&gt;$E40,($E40-SUM($F40:BF40)),'DB1'!$U$8),0))</f>
        <v>0</v>
      </c>
      <c r="BH40" s="61">
        <f>(IF(BH$17&gt;$C40,IF((SUM($F40:BG40)+'DB1'!$U$8)&gt;$E40,($E40-SUM($F40:BG40)),'DB1'!$U$8),0))</f>
        <v>0</v>
      </c>
      <c r="BI40" s="61">
        <f>(IF(BI$17&gt;$C40,IF((SUM($F40:BH40)+'DB1'!$U$8)&gt;$E40,($E40-SUM($F40:BH40)),'DB1'!$U$8),0))</f>
        <v>0</v>
      </c>
      <c r="BJ40" s="61">
        <f>(IF(BJ$17&gt;$C40,IF((SUM($F40:BI40)+'DB1'!$U$8)&gt;$E40,($E40-SUM($F40:BI40)),'DB1'!$U$8),0))</f>
        <v>0</v>
      </c>
      <c r="BK40" s="61">
        <f>(IF(BK$17&gt;$C40,IF((SUM($F40:BJ40)+'DB1'!$U$8)&gt;$E40,($E40-SUM($F40:BJ40)),'DB1'!$U$8),0))</f>
        <v>0</v>
      </c>
      <c r="BL40" s="61">
        <f>(IF(BL$17&gt;$C40,IF((SUM($F40:BK40)+'DB1'!$U$8)&gt;$E40,($E40-SUM($F40:BK40)),'DB1'!$U$8),0))</f>
        <v>0</v>
      </c>
      <c r="BM40" s="61">
        <f>(IF(BM$17&gt;$C40,IF((SUM($F40:BL40)+'DB1'!$U$8)&gt;$E40,($E40-SUM($F40:BL40)),'DB1'!$U$8),0))</f>
        <v>0</v>
      </c>
    </row>
    <row r="41" spans="2:65">
      <c r="B41" s="55"/>
      <c r="C41" s="59"/>
      <c r="D41" s="59"/>
      <c r="E41" s="60"/>
      <c r="F41" s="61"/>
      <c r="G41" s="133">
        <f>IF(G40=0,,IF(G40&gt;0,IF(F41=0,'DB1'!$R$8*(1+'DB1'!$O$8),F41+'DB1'!$R$8*(100%-(1+'DB1'!$O$8))/SUMPRODUCT('TS1'!$F$43:$BM$43,'TS1'!$F$56:$BM$56)),))</f>
        <v>0</v>
      </c>
      <c r="H41" s="133">
        <f>IF(H40=0,,IF(H40&gt;0,IF(G41=0,'DB1'!$R$8*(1+'DB1'!$O$8),G41+'DB1'!$R$8*(100%-(1+'DB1'!$O$8))/SUMPRODUCT('TS1'!$F$43:$BM$43,'TS1'!$F$56:$BM$56)),))</f>
        <v>0</v>
      </c>
      <c r="I41" s="133">
        <f>IF(I40=0,,IF(I40&gt;0,IF(H41=0,'DB1'!$R$8*(1+'DB1'!$O$8),H41+'DB1'!$R$8*(100%-(1+'DB1'!$O$8))/SUMPRODUCT('TS1'!$F$43:$BM$43,'TS1'!$F$56:$BM$56)),))</f>
        <v>0</v>
      </c>
      <c r="J41" s="133">
        <f>IF(J40=0,,IF(J40&gt;0,IF(I41=0,'DB1'!$R$8*(1+'DB1'!$O$8),I41+'DB1'!$R$8*(100%-(1+'DB1'!$O$8))/SUMPRODUCT('TS1'!$F$43:$BM$43,'TS1'!$F$56:$BM$56)),))</f>
        <v>0</v>
      </c>
      <c r="K41" s="133">
        <f>IF(K40=0,,IF(K40&gt;0,IF(J41=0,'DB1'!$R$8*(1+'DB1'!$O$8),J41+'DB1'!$R$8*(100%-(1+'DB1'!$O$8))/SUMPRODUCT('TS1'!$F$43:$BM$43,'TS1'!$F$56:$BM$56)),))</f>
        <v>0</v>
      </c>
      <c r="L41" s="133">
        <f>IF(L40=0,,IF(L40&gt;0,IF(K41=0,'DB1'!$R$8*(1+'DB1'!$O$8),K41+'DB1'!$R$8*(100%-(1+'DB1'!$O$8))/SUMPRODUCT('TS1'!$F$43:$BM$43,'TS1'!$F$56:$BM$56)),))</f>
        <v>0</v>
      </c>
      <c r="M41" s="133">
        <f>IF(M40=0,,IF(M40&gt;0,IF(L41=0,'DB1'!$R$8*(1+'DB1'!$O$8),L41+'DB1'!$R$8*(100%-(1+'DB1'!$O$8))/SUMPRODUCT('TS1'!$F$43:$BM$43,'TS1'!$F$56:$BM$56)),))</f>
        <v>0</v>
      </c>
      <c r="N41" s="133">
        <f>IF(N40=0,,IF(N40&gt;0,IF(M41=0,'DB1'!$R$8*(1+'DB1'!$O$8),M41+'DB1'!$R$8*(100%-(1+'DB1'!$O$8))/SUMPRODUCT('TS1'!$F$43:$BM$43,'TS1'!$F$56:$BM$56)),))</f>
        <v>0</v>
      </c>
      <c r="O41" s="133">
        <f>IF(O40=0,,IF(O40&gt;0,IF(N41=0,'DB1'!$R$8*(1+'DB1'!$O$8),N41+'DB1'!$R$8*(100%-(1+'DB1'!$O$8))/SUMPRODUCT('TS1'!$F$43:$BM$43,'TS1'!$F$56:$BM$56)),))</f>
        <v>0</v>
      </c>
      <c r="P41" s="133">
        <f>IF(P40=0,,IF(P40&gt;0,IF(O41=0,'DB1'!$R$8*(1+'DB1'!$O$8),O41+'DB1'!$R$8*(100%-(1+'DB1'!$O$8))/SUMPRODUCT('TS1'!$F$43:$BM$43,'TS1'!$F$56:$BM$56)),))</f>
        <v>0</v>
      </c>
      <c r="Q41" s="133">
        <f>IF(Q40=0,,IF(Q40&gt;0,IF(P41=0,'DB1'!$R$8*(1+'DB1'!$O$8),P41+'DB1'!$R$8*(100%-(1+'DB1'!$O$8))/SUMPRODUCT('TS1'!$F$43:$BM$43,'TS1'!$F$56:$BM$56)),))</f>
        <v>0</v>
      </c>
      <c r="R41" s="133">
        <f>IF(R40=0,,IF(R40&gt;0,IF(Q41=0,'DB1'!$R$8*(1+'DB1'!$O$8),Q41+'DB1'!$R$8*(100%-(1+'DB1'!$O$8))/SUMPRODUCT('TS1'!$F$43:$BM$43,'TS1'!$F$56:$BM$56)),))</f>
        <v>0</v>
      </c>
      <c r="S41" s="133">
        <f>IF(S40=0,,IF(S40&gt;0,IF(R41=0,'DB1'!$R$8*(1+'DB1'!$O$8),R41+'DB1'!$R$8*(100%-(1+'DB1'!$O$8))/SUMPRODUCT('TS1'!$F$43:$BM$43,'TS1'!$F$56:$BM$56)),))</f>
        <v>0</v>
      </c>
      <c r="T41" s="133">
        <f>IF(T40=0,,IF(T40&gt;0,IF(S41=0,'DB1'!$R$8*(1+'DB1'!$O$8),S41+'DB1'!$R$8*(100%-(1+'DB1'!$O$8))/SUMPRODUCT('TS1'!$F$43:$BM$43,'TS1'!$F$56:$BM$56)),))</f>
        <v>522.9</v>
      </c>
      <c r="U41" s="133">
        <f>IF(U40=0,,IF(U40&gt;0,IF(T41=0,'DB1'!$R$8*(1+'DB1'!$O$8),T41+'DB1'!$R$8*(100%-(1+'DB1'!$O$8))/SUMPRODUCT('TS1'!$F$43:$BM$43,'TS1'!$F$56:$BM$56)),))</f>
        <v>534.28376397020361</v>
      </c>
      <c r="V41" s="133">
        <f>IF(V40=0,,IF(V40&gt;0,IF(U41=0,'DB1'!$R$8*(1+'DB1'!$O$8),U41+'DB1'!$R$8*(100%-(1+'DB1'!$O$8))/SUMPRODUCT('TS1'!$F$43:$BM$43,'TS1'!$F$56:$BM$56)),))</f>
        <v>545.66752794040724</v>
      </c>
      <c r="W41" s="133">
        <f>IF(W40=0,,IF(W40&gt;0,IF(V41=0,'DB1'!$R$8*(1+'DB1'!$O$8),V41+'DB1'!$R$8*(100%-(1+'DB1'!$O$8))/SUMPRODUCT('TS1'!$F$43:$BM$43,'TS1'!$F$56:$BM$56)),))</f>
        <v>557.05129191061087</v>
      </c>
      <c r="X41" s="133">
        <f>IF(X40=0,,IF(X40&gt;0,IF(W41=0,'DB1'!$R$8*(1+'DB1'!$O$8),W41+'DB1'!$R$8*(100%-(1+'DB1'!$O$8))/SUMPRODUCT('TS1'!$F$43:$BM$43,'TS1'!$F$56:$BM$56)),))</f>
        <v>568.4350558808145</v>
      </c>
      <c r="Y41" s="133">
        <f>IF(Y40=0,,IF(Y40&gt;0,IF(X41=0,'DB1'!$R$8*(1+'DB1'!$O$8),X41+'DB1'!$R$8*(100%-(1+'DB1'!$O$8))/SUMPRODUCT('TS1'!$F$43:$BM$43,'TS1'!$F$56:$BM$56)),))</f>
        <v>579.81881985101813</v>
      </c>
      <c r="Z41" s="133">
        <f>IF(Z40=0,,IF(Z40&gt;0,IF(Y41=0,'DB1'!$R$8*(1+'DB1'!$O$8),Y41+'DB1'!$R$8*(100%-(1+'DB1'!$O$8))/SUMPRODUCT('TS1'!$F$43:$BM$43,'TS1'!$F$56:$BM$56)),))</f>
        <v>591.20258382122176</v>
      </c>
      <c r="AA41" s="133">
        <f>IF(AA40=0,,IF(AA40&gt;0,IF(Z41=0,'DB1'!$R$8*(1+'DB1'!$O$8),Z41+'DB1'!$R$8*(100%-(1+'DB1'!$O$8))/SUMPRODUCT('TS1'!$F$43:$BM$43,'TS1'!$F$56:$BM$56)),))</f>
        <v>602.5863477914254</v>
      </c>
      <c r="AB41" s="133">
        <f>IF(AB40=0,,IF(AB40&gt;0,IF(AA41=0,'DB1'!$R$8*(1+'DB1'!$O$8),AA41+'DB1'!$R$8*(100%-(1+'DB1'!$O$8))/SUMPRODUCT('TS1'!$F$43:$BM$43,'TS1'!$F$56:$BM$56)),))</f>
        <v>613.97011176162903</v>
      </c>
      <c r="AC41" s="133">
        <f>IF(AC40=0,,IF(AC40&gt;0,IF(AB41=0,'DB1'!$R$8*(1+'DB1'!$O$8),AB41+'DB1'!$R$8*(100%-(1+'DB1'!$O$8))/SUMPRODUCT('TS1'!$F$43:$BM$43,'TS1'!$F$56:$BM$56)),))</f>
        <v>625.35387573183266</v>
      </c>
      <c r="AD41" s="133">
        <f>IF(AD40=0,,IF(AD40&gt;0,IF(AC41=0,'DB1'!$R$8*(1+'DB1'!$O$8),AC41+'DB1'!$R$8*(100%-(1+'DB1'!$O$8))/SUMPRODUCT('TS1'!$F$43:$BM$43,'TS1'!$F$56:$BM$56)),))</f>
        <v>636.73763970203629</v>
      </c>
      <c r="AE41" s="133">
        <f>IF(AE40=0,,IF(AE40&gt;0,IF(AD41=0,'DB1'!$R$8*(1+'DB1'!$O$8),AD41+'DB1'!$R$8*(100%-(1+'DB1'!$O$8))/SUMPRODUCT('TS1'!$F$43:$BM$43,'TS1'!$F$56:$BM$56)),))</f>
        <v>648.12140367223992</v>
      </c>
      <c r="AF41" s="133">
        <f>IF(AF40=0,,IF(AF40&gt;0,IF(AE41=0,'DB1'!$R$8*(1+'DB1'!$O$8),AE41+'DB1'!$R$8*(100%-(1+'DB1'!$O$8))/SUMPRODUCT('TS1'!$F$43:$BM$43,'TS1'!$F$56:$BM$56)),))</f>
        <v>659.50516764244355</v>
      </c>
      <c r="AG41" s="133">
        <f>IF(AG40=0,,IF(AG40&gt;0,IF(AF41=0,'DB1'!$R$8*(1+'DB1'!$O$8),AF41+'DB1'!$R$8*(100%-(1+'DB1'!$O$8))/SUMPRODUCT('TS1'!$F$43:$BM$43,'TS1'!$F$56:$BM$56)),))</f>
        <v>670.88893161264718</v>
      </c>
      <c r="AH41" s="133">
        <f>IF(AH40=0,,IF(AH40&gt;0,IF(AG41=0,'DB1'!$R$8*(1+'DB1'!$O$8),AG41+'DB1'!$R$8*(100%-(1+'DB1'!$O$8))/SUMPRODUCT('TS1'!$F$43:$BM$43,'TS1'!$F$56:$BM$56)),))</f>
        <v>682.27269558285082</v>
      </c>
      <c r="AI41" s="133">
        <f>IF(AI40=0,,IF(AI40&gt;0,IF(AH41=0,'DB1'!$R$8*(1+'DB1'!$O$8),AH41+'DB1'!$R$8*(100%-(1+'DB1'!$O$8))/SUMPRODUCT('TS1'!$F$43:$BM$43,'TS1'!$F$56:$BM$56)),))</f>
        <v>693.65645955305445</v>
      </c>
      <c r="AJ41" s="133">
        <f>IF(AJ40=0,,IF(AJ40&gt;0,IF(AI41=0,'DB1'!$R$8*(1+'DB1'!$O$8),AI41+'DB1'!$R$8*(100%-(1+'DB1'!$O$8))/SUMPRODUCT('TS1'!$F$43:$BM$43,'TS1'!$F$56:$BM$56)),))</f>
        <v>705.04022352325808</v>
      </c>
      <c r="AK41" s="133">
        <f>IF(AK40=0,,IF(AK40&gt;0,IF(AJ41=0,'DB1'!$R$8*(1+'DB1'!$O$8),AJ41+'DB1'!$R$8*(100%-(1+'DB1'!$O$8))/SUMPRODUCT('TS1'!$F$43:$BM$43,'TS1'!$F$56:$BM$56)),))</f>
        <v>716.42398749346171</v>
      </c>
      <c r="AL41" s="133">
        <f>IF(AL40=0,,IF(AL40&gt;0,IF(AK41=0,'DB1'!$R$8*(1+'DB1'!$O$8),AK41+'DB1'!$R$8*(100%-(1+'DB1'!$O$8))/SUMPRODUCT('TS1'!$F$43:$BM$43,'TS1'!$F$56:$BM$56)),))</f>
        <v>727.80775146366534</v>
      </c>
      <c r="AM41" s="133">
        <f>IF(AM40=0,,IF(AM40&gt;0,IF(AL41=0,'DB1'!$R$8*(1+'DB1'!$O$8),AL41+'DB1'!$R$8*(100%-(1+'DB1'!$O$8))/SUMPRODUCT('TS1'!$F$43:$BM$43,'TS1'!$F$56:$BM$56)),))</f>
        <v>739.19151543386897</v>
      </c>
      <c r="AN41" s="133">
        <f>IF(AN40=0,,IF(AN40&gt;0,IF(AM41=0,'DB1'!$R$8*(1+'DB1'!$O$8),AM41+'DB1'!$R$8*(100%-(1+'DB1'!$O$8))/SUMPRODUCT('TS1'!$F$43:$BM$43,'TS1'!$F$56:$BM$56)),))</f>
        <v>0</v>
      </c>
      <c r="AO41" s="133">
        <f>IF(AO40=0,,IF(AO40&gt;0,IF(AN41=0,'DB1'!$R$8*(1+'DB1'!$O$8),AN41+'DB1'!$R$8*(100%-(1+'DB1'!$O$8))/SUMPRODUCT('TS1'!$F$43:$BM$43,'TS1'!$F$56:$BM$56)),))</f>
        <v>0</v>
      </c>
      <c r="AP41" s="133">
        <f>IF(AP40=0,,IF(AP40&gt;0,IF(AO41=0,'DB1'!$R$8*(1+'DB1'!$O$8),AO41+'DB1'!$R$8*(100%-(1+'DB1'!$O$8))/SUMPRODUCT('TS1'!$F$43:$BM$43,'TS1'!$F$56:$BM$56)),))</f>
        <v>0</v>
      </c>
      <c r="AQ41" s="133">
        <f>IF(AQ40=0,,IF(AQ40&gt;0,IF(AP41=0,'DB1'!$R$8*(1+'DB1'!$O$8),AP41+'DB1'!$R$8*(100%-(1+'DB1'!$O$8))/SUMPRODUCT('TS1'!$F$43:$BM$43,'TS1'!$F$56:$BM$56)),))</f>
        <v>0</v>
      </c>
      <c r="AR41" s="133">
        <f>IF(AR40=0,,IF(AR40&gt;0,IF(AQ41=0,'DB1'!$R$8*(1+'DB1'!$O$8),AQ41+'DB1'!$R$8*(100%-(1+'DB1'!$O$8))/SUMPRODUCT('TS1'!$F$43:$BM$43,'TS1'!$F$56:$BM$56)),))</f>
        <v>0</v>
      </c>
      <c r="AS41" s="133">
        <f>IF(AS40=0,,IF(AS40&gt;0,IF(AR41=0,'DB1'!$R$8*(1+'DB1'!$O$8),AR41+'DB1'!$R$8*(100%-(1+'DB1'!$O$8))/SUMPRODUCT('TS1'!$F$43:$BM$43,'TS1'!$F$56:$BM$56)),))</f>
        <v>0</v>
      </c>
      <c r="AT41" s="133">
        <f>IF(AT40=0,,IF(AT40&gt;0,IF(AS41=0,'DB1'!$R$8*(1+'DB1'!$O$8),AS41+'DB1'!$R$8*(100%-(1+'DB1'!$O$8))/SUMPRODUCT('TS1'!$F$43:$BM$43,'TS1'!$F$56:$BM$56)),))</f>
        <v>0</v>
      </c>
      <c r="AU41" s="133">
        <f>IF(AU40=0,,IF(AU40&gt;0,IF(AT41=0,'DB1'!$R$8*(1+'DB1'!$O$8),AT41+'DB1'!$R$8*(100%-(1+'DB1'!$O$8))/SUMPRODUCT('TS1'!$F$43:$BM$43,'TS1'!$F$56:$BM$56)),))</f>
        <v>0</v>
      </c>
      <c r="AV41" s="133">
        <f>IF(AV40=0,,IF(AV40&gt;0,IF(AU41=0,'DB1'!$R$8*(1+'DB1'!$O$8),AU41+'DB1'!$R$8*(100%-(1+'DB1'!$O$8))/SUMPRODUCT('TS1'!$F$43:$BM$43,'TS1'!$F$56:$BM$56)),))</f>
        <v>0</v>
      </c>
      <c r="AW41" s="133">
        <f>IF(AW40=0,,IF(AW40&gt;0,IF(AV41=0,'DB1'!$R$8*(1+'DB1'!$O$8),AV41+'DB1'!$R$8*(100%-(1+'DB1'!$O$8))/SUMPRODUCT('TS1'!$F$43:$BM$43,'TS1'!$F$56:$BM$56)),))</f>
        <v>0</v>
      </c>
      <c r="AX41" s="133">
        <f>IF(AX40=0,,IF(AX40&gt;0,IF(AW41=0,'DB1'!$R$8*(1+'DB1'!$O$8),AW41+'DB1'!$R$8*(100%-(1+'DB1'!$O$8))/SUMPRODUCT('TS1'!$F$43:$BM$43,'TS1'!$F$56:$BM$56)),))</f>
        <v>0</v>
      </c>
      <c r="AY41" s="133">
        <f>IF(AY40=0,,IF(AY40&gt;0,IF(AX41=0,'DB1'!$R$8*(1+'DB1'!$O$8),AX41+'DB1'!$R$8*(100%-(1+'DB1'!$O$8))/SUMPRODUCT('TS1'!$F$43:$BM$43,'TS1'!$F$56:$BM$56)),))</f>
        <v>0</v>
      </c>
      <c r="AZ41" s="133">
        <f>IF(AZ40=0,,IF(AZ40&gt;0,IF(AY41=0,'DB1'!$R$8*(1+'DB1'!$O$8),AY41+'DB1'!$R$8*(100%-(1+'DB1'!$O$8))/SUMPRODUCT('TS1'!$F$43:$BM$43,'TS1'!$F$56:$BM$56)),))</f>
        <v>0</v>
      </c>
      <c r="BA41" s="133">
        <f>IF(BA40=0,,IF(BA40&gt;0,IF(AZ41=0,'DB1'!$R$8*(1+'DB1'!$O$8),AZ41+'DB1'!$R$8*(100%-(1+'DB1'!$O$8))/SUMPRODUCT('TS1'!$F$43:$BM$43,'TS1'!$F$56:$BM$56)),))</f>
        <v>0</v>
      </c>
      <c r="BB41" s="133">
        <f>IF(BB40=0,,IF(BB40&gt;0,IF(BA41=0,'DB1'!$R$8*(1+'DB1'!$O$8),BA41+'DB1'!$R$8*(100%-(1+'DB1'!$O$8))/SUMPRODUCT('TS1'!$F$43:$BM$43,'TS1'!$F$56:$BM$56)),))</f>
        <v>0</v>
      </c>
      <c r="BC41" s="133">
        <f>IF(BC40=0,,IF(BC40&gt;0,IF(BB41=0,'DB1'!$R$8*(1+'DB1'!$O$8),BB41+'DB1'!$R$8*(100%-(1+'DB1'!$O$8))/SUMPRODUCT('TS1'!$F$43:$BM$43,'TS1'!$F$56:$BM$56)),))</f>
        <v>0</v>
      </c>
      <c r="BD41" s="133">
        <f>IF(BD40=0,,IF(BD40&gt;0,IF(BC41=0,'DB1'!$R$8*(1+'DB1'!$O$8),BC41+'DB1'!$R$8*(100%-(1+'DB1'!$O$8))/SUMPRODUCT('TS1'!$F$43:$BM$43,'TS1'!$F$56:$BM$56)),))</f>
        <v>0</v>
      </c>
      <c r="BE41" s="133">
        <f>IF(BE40=0,,IF(BE40&gt;0,IF(BD41=0,'DB1'!$R$8*(1+'DB1'!$O$8),BD41+'DB1'!$R$8*(100%-(1+'DB1'!$O$8))/SUMPRODUCT('TS1'!$F$43:$BM$43,'TS1'!$F$56:$BM$56)),))</f>
        <v>0</v>
      </c>
      <c r="BF41" s="133">
        <f>IF(BF40=0,,IF(BF40&gt;0,IF(BE41=0,'DB1'!$R$8*(1+'DB1'!$O$8),BE41+'DB1'!$R$8*(100%-(1+'DB1'!$O$8))/SUMPRODUCT('TS1'!$F$43:$BM$43,'TS1'!$F$56:$BM$56)),))</f>
        <v>0</v>
      </c>
      <c r="BG41" s="133">
        <f>IF(BG40=0,,IF(BG40&gt;0,IF(BF41=0,'DB1'!$R$8*(1+'DB1'!$O$8),BF41+'DB1'!$R$8*(100%-(1+'DB1'!$O$8))/SUMPRODUCT('TS1'!$F$43:$BM$43,'TS1'!$F$56:$BM$56)),))</f>
        <v>0</v>
      </c>
      <c r="BH41" s="133">
        <f>IF(BH40=0,,IF(BH40&gt;0,IF(BG41=0,'DB1'!$R$8*(1+'DB1'!$O$8),BG41+'DB1'!$R$8*(100%-(1+'DB1'!$O$8))/SUMPRODUCT('TS1'!$F$43:$BM$43,'TS1'!$F$56:$BM$56)),))</f>
        <v>0</v>
      </c>
      <c r="BI41" s="133">
        <f>IF(BI40=0,,IF(BI40&gt;0,IF(BH41=0,'DB1'!$R$8*(1+'DB1'!$O$8),BH41+'DB1'!$R$8*(100%-(1+'DB1'!$O$8))/SUMPRODUCT('TS1'!$F$43:$BM$43,'TS1'!$F$56:$BM$56)),))</f>
        <v>0</v>
      </c>
      <c r="BJ41" s="133">
        <f>IF(BJ40=0,,IF(BJ40&gt;0,IF(BI41=0,'DB1'!$R$8*(1+'DB1'!$O$8),BI41+'DB1'!$R$8*(100%-(1+'DB1'!$O$8))/SUMPRODUCT('TS1'!$F$43:$BM$43,'TS1'!$F$56:$BM$56)),))</f>
        <v>0</v>
      </c>
      <c r="BK41" s="133">
        <f>IF(BK40=0,,IF(BK40&gt;0,IF(BJ41=0,'DB1'!$R$8*(1+'DB1'!$O$8),BJ41+'DB1'!$R$8*(100%-(1+'DB1'!$O$8))/SUMPRODUCT('TS1'!$F$43:$BM$43,'TS1'!$F$56:$BM$56)),))</f>
        <v>0</v>
      </c>
      <c r="BL41" s="133">
        <f>IF(BL40=0,,IF(BL40&gt;0,IF(BK41=0,'DB1'!$R$8*(1+'DB1'!$O$8),BK41+'DB1'!$R$8*(100%-(1+'DB1'!$O$8))/SUMPRODUCT('TS1'!$F$43:$BM$43,'TS1'!$F$56:$BM$56)),))</f>
        <v>0</v>
      </c>
      <c r="BM41" s="133">
        <f>IF(BM40=0,,IF(BM40&gt;0,IF(BL41=0,'DB1'!$R$8*(1+'DB1'!$O$8),BL41+'DB1'!$R$8*(100%-(1+'DB1'!$O$8))/SUMPRODUCT('TS1'!$F$43:$BM$43,'TS1'!$F$56:$BM$56)),))</f>
        <v>0</v>
      </c>
    </row>
    <row r="42" spans="2:65">
      <c r="B42" s="55"/>
      <c r="C42" s="59"/>
      <c r="D42" s="59"/>
      <c r="E42" s="60"/>
      <c r="F42" s="61">
        <f t="shared" ref="F42:S42" si="27">F41</f>
        <v>0</v>
      </c>
      <c r="G42" s="61">
        <f t="shared" si="27"/>
        <v>0</v>
      </c>
      <c r="H42" s="61">
        <f t="shared" si="27"/>
        <v>0</v>
      </c>
      <c r="I42" s="61">
        <f t="shared" si="27"/>
        <v>0</v>
      </c>
      <c r="J42" s="61">
        <f t="shared" si="27"/>
        <v>0</v>
      </c>
      <c r="K42" s="61">
        <f t="shared" si="27"/>
        <v>0</v>
      </c>
      <c r="L42" s="61">
        <f t="shared" si="27"/>
        <v>0</v>
      </c>
      <c r="M42" s="61">
        <f t="shared" si="27"/>
        <v>0</v>
      </c>
      <c r="N42" s="61">
        <f t="shared" si="27"/>
        <v>0</v>
      </c>
      <c r="O42" s="61">
        <f t="shared" si="27"/>
        <v>0</v>
      </c>
      <c r="P42" s="61">
        <f t="shared" si="27"/>
        <v>0</v>
      </c>
      <c r="Q42" s="61">
        <f t="shared" si="27"/>
        <v>0</v>
      </c>
      <c r="R42" s="61">
        <f t="shared" si="27"/>
        <v>0</v>
      </c>
      <c r="S42" s="61">
        <f t="shared" si="27"/>
        <v>0</v>
      </c>
      <c r="T42" s="61">
        <f>T41</f>
        <v>522.9</v>
      </c>
      <c r="U42" s="61">
        <f t="shared" ref="U42:AE42" si="28">U41</f>
        <v>534.28376397020361</v>
      </c>
      <c r="V42" s="61">
        <f t="shared" si="28"/>
        <v>545.66752794040724</v>
      </c>
      <c r="W42" s="61">
        <f t="shared" si="28"/>
        <v>557.05129191061087</v>
      </c>
      <c r="X42" s="61">
        <f t="shared" si="28"/>
        <v>568.4350558808145</v>
      </c>
      <c r="Y42" s="61">
        <f t="shared" si="28"/>
        <v>579.81881985101813</v>
      </c>
      <c r="Z42" s="61">
        <f t="shared" si="28"/>
        <v>591.20258382122176</v>
      </c>
      <c r="AA42" s="61">
        <f t="shared" si="28"/>
        <v>602.5863477914254</v>
      </c>
      <c r="AB42" s="61">
        <f t="shared" si="28"/>
        <v>613.97011176162903</v>
      </c>
      <c r="AC42" s="61">
        <f t="shared" si="28"/>
        <v>625.35387573183266</v>
      </c>
      <c r="AD42" s="61">
        <f t="shared" si="28"/>
        <v>636.73763970203629</v>
      </c>
      <c r="AE42" s="61">
        <f t="shared" si="28"/>
        <v>648.12140367223992</v>
      </c>
      <c r="AF42" s="61">
        <f>SUMPRODUCT($AF$40:$BM$40,$AF$41:$BM$41)/SUM($AF$40:$BM$40)</f>
        <v>698.3709669824749</v>
      </c>
      <c r="AG42" s="61">
        <f t="shared" ref="AG42:BM42" si="29">SUMPRODUCT($AF$40:$BM$40,$AF$41:$BM$41)/SUM($AF$40:$BM$40)</f>
        <v>698.3709669824749</v>
      </c>
      <c r="AH42" s="61">
        <f t="shared" si="29"/>
        <v>698.3709669824749</v>
      </c>
      <c r="AI42" s="61">
        <f t="shared" si="29"/>
        <v>698.3709669824749</v>
      </c>
      <c r="AJ42" s="61">
        <f t="shared" si="29"/>
        <v>698.3709669824749</v>
      </c>
      <c r="AK42" s="61">
        <f t="shared" si="29"/>
        <v>698.3709669824749</v>
      </c>
      <c r="AL42" s="61">
        <f t="shared" si="29"/>
        <v>698.3709669824749</v>
      </c>
      <c r="AM42" s="61">
        <f t="shared" si="29"/>
        <v>698.3709669824749</v>
      </c>
      <c r="AN42" s="61">
        <f t="shared" si="29"/>
        <v>698.3709669824749</v>
      </c>
      <c r="AO42" s="61">
        <f t="shared" si="29"/>
        <v>698.3709669824749</v>
      </c>
      <c r="AP42" s="61">
        <f t="shared" si="29"/>
        <v>698.3709669824749</v>
      </c>
      <c r="AQ42" s="61">
        <f t="shared" si="29"/>
        <v>698.3709669824749</v>
      </c>
      <c r="AR42" s="61">
        <f t="shared" si="29"/>
        <v>698.3709669824749</v>
      </c>
      <c r="AS42" s="61">
        <f t="shared" si="29"/>
        <v>698.3709669824749</v>
      </c>
      <c r="AT42" s="61">
        <f t="shared" si="29"/>
        <v>698.3709669824749</v>
      </c>
      <c r="AU42" s="61">
        <f t="shared" si="29"/>
        <v>698.3709669824749</v>
      </c>
      <c r="AV42" s="61">
        <f t="shared" si="29"/>
        <v>698.3709669824749</v>
      </c>
      <c r="AW42" s="61">
        <f t="shared" si="29"/>
        <v>698.3709669824749</v>
      </c>
      <c r="AX42" s="61">
        <f t="shared" si="29"/>
        <v>698.3709669824749</v>
      </c>
      <c r="AY42" s="61">
        <f t="shared" si="29"/>
        <v>698.3709669824749</v>
      </c>
      <c r="AZ42" s="61">
        <f t="shared" si="29"/>
        <v>698.3709669824749</v>
      </c>
      <c r="BA42" s="61">
        <f t="shared" si="29"/>
        <v>698.3709669824749</v>
      </c>
      <c r="BB42" s="61">
        <f t="shared" si="29"/>
        <v>698.3709669824749</v>
      </c>
      <c r="BC42" s="61">
        <f t="shared" si="29"/>
        <v>698.3709669824749</v>
      </c>
      <c r="BD42" s="61">
        <f t="shared" si="29"/>
        <v>698.3709669824749</v>
      </c>
      <c r="BE42" s="61">
        <f t="shared" si="29"/>
        <v>698.3709669824749</v>
      </c>
      <c r="BF42" s="61">
        <f t="shared" si="29"/>
        <v>698.3709669824749</v>
      </c>
      <c r="BG42" s="61">
        <f t="shared" si="29"/>
        <v>698.3709669824749</v>
      </c>
      <c r="BH42" s="61">
        <f t="shared" si="29"/>
        <v>698.3709669824749</v>
      </c>
      <c r="BI42" s="61">
        <f t="shared" si="29"/>
        <v>698.3709669824749</v>
      </c>
      <c r="BJ42" s="61">
        <f t="shared" si="29"/>
        <v>698.3709669824749</v>
      </c>
      <c r="BK42" s="61">
        <f t="shared" si="29"/>
        <v>698.3709669824749</v>
      </c>
      <c r="BL42" s="61">
        <f t="shared" si="29"/>
        <v>698.3709669824749</v>
      </c>
      <c r="BM42" s="61">
        <f t="shared" si="29"/>
        <v>698.3709669824749</v>
      </c>
    </row>
    <row r="43" spans="2:65" s="188" customFormat="1">
      <c r="B43" s="185"/>
      <c r="C43" s="186"/>
      <c r="D43" s="186"/>
      <c r="E43" s="186"/>
      <c r="F43" s="187">
        <f t="shared" ref="F43:AK43" si="30">F40/$E$40</f>
        <v>0</v>
      </c>
      <c r="G43" s="187">
        <f t="shared" si="30"/>
        <v>0</v>
      </c>
      <c r="H43" s="187">
        <f t="shared" si="30"/>
        <v>0</v>
      </c>
      <c r="I43" s="187">
        <f t="shared" si="30"/>
        <v>0</v>
      </c>
      <c r="J43" s="187">
        <f t="shared" si="30"/>
        <v>0</v>
      </c>
      <c r="K43" s="187">
        <f t="shared" si="30"/>
        <v>0</v>
      </c>
      <c r="L43" s="187">
        <f t="shared" si="30"/>
        <v>0</v>
      </c>
      <c r="M43" s="187">
        <f t="shared" si="30"/>
        <v>0</v>
      </c>
      <c r="N43" s="187">
        <f t="shared" si="30"/>
        <v>0</v>
      </c>
      <c r="O43" s="187">
        <f t="shared" si="30"/>
        <v>0</v>
      </c>
      <c r="P43" s="187">
        <f t="shared" si="30"/>
        <v>0</v>
      </c>
      <c r="Q43" s="187">
        <f t="shared" si="30"/>
        <v>0</v>
      </c>
      <c r="R43" s="187">
        <f t="shared" si="30"/>
        <v>0</v>
      </c>
      <c r="S43" s="187">
        <f t="shared" si="30"/>
        <v>0</v>
      </c>
      <c r="T43" s="187">
        <f t="shared" si="30"/>
        <v>5.0483494562806486E-2</v>
      </c>
      <c r="U43" s="187">
        <f t="shared" si="30"/>
        <v>5.0483494562806486E-2</v>
      </c>
      <c r="V43" s="187">
        <f t="shared" si="30"/>
        <v>5.0483494562806486E-2</v>
      </c>
      <c r="W43" s="187">
        <f t="shared" si="30"/>
        <v>5.0483494562806486E-2</v>
      </c>
      <c r="X43" s="187">
        <f t="shared" si="30"/>
        <v>5.0483494562806486E-2</v>
      </c>
      <c r="Y43" s="187">
        <f t="shared" si="30"/>
        <v>5.0483494562806486E-2</v>
      </c>
      <c r="Z43" s="187">
        <f t="shared" si="30"/>
        <v>5.0483494562806486E-2</v>
      </c>
      <c r="AA43" s="187">
        <f t="shared" si="30"/>
        <v>5.0483494562806486E-2</v>
      </c>
      <c r="AB43" s="187">
        <f t="shared" si="30"/>
        <v>5.0483494562806486E-2</v>
      </c>
      <c r="AC43" s="187">
        <f t="shared" si="30"/>
        <v>5.0483494562806486E-2</v>
      </c>
      <c r="AD43" s="187">
        <f t="shared" si="30"/>
        <v>5.0483494562806486E-2</v>
      </c>
      <c r="AE43" s="187">
        <f t="shared" si="30"/>
        <v>5.0483494562806486E-2</v>
      </c>
      <c r="AF43" s="187">
        <f t="shared" si="30"/>
        <v>5.0483494562806486E-2</v>
      </c>
      <c r="AG43" s="187">
        <f t="shared" si="30"/>
        <v>5.0483494562806486E-2</v>
      </c>
      <c r="AH43" s="187">
        <f t="shared" si="30"/>
        <v>5.0483494562806486E-2</v>
      </c>
      <c r="AI43" s="187">
        <f t="shared" si="30"/>
        <v>5.0483494562806486E-2</v>
      </c>
      <c r="AJ43" s="187">
        <f t="shared" si="30"/>
        <v>5.0483494562806486E-2</v>
      </c>
      <c r="AK43" s="187">
        <f t="shared" si="30"/>
        <v>5.0483494562806486E-2</v>
      </c>
      <c r="AL43" s="187">
        <f t="shared" ref="AL43:BM43" si="31">AL40/$E$40</f>
        <v>5.0483494562806486E-2</v>
      </c>
      <c r="AM43" s="187">
        <f t="shared" si="31"/>
        <v>4.081360330667673E-2</v>
      </c>
      <c r="AN43" s="187">
        <f t="shared" si="31"/>
        <v>0</v>
      </c>
      <c r="AO43" s="187">
        <f t="shared" si="31"/>
        <v>0</v>
      </c>
      <c r="AP43" s="187">
        <f t="shared" si="31"/>
        <v>0</v>
      </c>
      <c r="AQ43" s="187">
        <f t="shared" si="31"/>
        <v>0</v>
      </c>
      <c r="AR43" s="187">
        <f t="shared" si="31"/>
        <v>0</v>
      </c>
      <c r="AS43" s="187">
        <f t="shared" si="31"/>
        <v>0</v>
      </c>
      <c r="AT43" s="187">
        <f t="shared" si="31"/>
        <v>0</v>
      </c>
      <c r="AU43" s="187">
        <f t="shared" si="31"/>
        <v>0</v>
      </c>
      <c r="AV43" s="187">
        <f t="shared" si="31"/>
        <v>0</v>
      </c>
      <c r="AW43" s="187">
        <f t="shared" si="31"/>
        <v>0</v>
      </c>
      <c r="AX43" s="187">
        <f t="shared" si="31"/>
        <v>0</v>
      </c>
      <c r="AY43" s="187">
        <f t="shared" si="31"/>
        <v>0</v>
      </c>
      <c r="AZ43" s="187">
        <f t="shared" si="31"/>
        <v>0</v>
      </c>
      <c r="BA43" s="187">
        <f t="shared" si="31"/>
        <v>0</v>
      </c>
      <c r="BB43" s="187">
        <f t="shared" si="31"/>
        <v>0</v>
      </c>
      <c r="BC43" s="187">
        <f t="shared" si="31"/>
        <v>0</v>
      </c>
      <c r="BD43" s="187">
        <f t="shared" si="31"/>
        <v>0</v>
      </c>
      <c r="BE43" s="187">
        <f t="shared" si="31"/>
        <v>0</v>
      </c>
      <c r="BF43" s="187">
        <f t="shared" si="31"/>
        <v>0</v>
      </c>
      <c r="BG43" s="187">
        <f t="shared" si="31"/>
        <v>0</v>
      </c>
      <c r="BH43" s="187">
        <f t="shared" si="31"/>
        <v>0</v>
      </c>
      <c r="BI43" s="187">
        <f t="shared" si="31"/>
        <v>0</v>
      </c>
      <c r="BJ43" s="187">
        <f t="shared" si="31"/>
        <v>0</v>
      </c>
      <c r="BK43" s="187">
        <f t="shared" si="31"/>
        <v>0</v>
      </c>
      <c r="BL43" s="187">
        <f t="shared" si="31"/>
        <v>0</v>
      </c>
      <c r="BM43" s="187">
        <f t="shared" si="31"/>
        <v>0</v>
      </c>
    </row>
    <row r="44" spans="2:65">
      <c r="B44" s="55" t="str">
        <f>'DB1'!L9</f>
        <v>АПАРТАМЕНТЫ</v>
      </c>
      <c r="C44" s="59">
        <f>'DB1'!M9</f>
        <v>46296</v>
      </c>
      <c r="D44" s="59">
        <f>_xlfn.MAXIFS($F$36:$AS$36,$F44:$AS44,"&gt;0")</f>
        <v>0</v>
      </c>
      <c r="E44" s="60">
        <f>'DB1'!H9</f>
        <v>0</v>
      </c>
      <c r="F44" s="61"/>
      <c r="G44" s="61">
        <f>(IF(G$17&gt;$C44,IF((SUM($F44:F44)+'DB1'!$U$9)&gt;$E44,($E44-SUM($F44:F44)),'DB1'!$U$9),0))</f>
        <v>0</v>
      </c>
      <c r="H44" s="61">
        <f>(IF(H$17&gt;$C44,IF((SUM($F44:G44)+'DB1'!$U$9)&gt;$E44,($E44-SUM($F44:G44)),'DB1'!$U$9),0))</f>
        <v>0</v>
      </c>
      <c r="I44" s="61">
        <f>(IF(I$17&gt;$C44,IF((SUM($F44:H44)+'DB1'!$U$9)&gt;$E44,($E44-SUM($F44:H44)),'DB1'!$U$9),0))</f>
        <v>0</v>
      </c>
      <c r="J44" s="61">
        <f>(IF(J$17&gt;$C44,IF((SUM($F44:I44)+'DB1'!$U$9)&gt;$E44,($E44-SUM($F44:I44)),'DB1'!$U$9),0))</f>
        <v>0</v>
      </c>
      <c r="K44" s="61">
        <f>(IF(K$17&gt;$C44,IF((SUM($F44:J44)+'DB1'!$U$9)&gt;$E44,($E44-SUM($F44:J44)),'DB1'!$U$9),0))</f>
        <v>0</v>
      </c>
      <c r="L44" s="61">
        <f>(IF(L$17&gt;$C44,IF((SUM($F44:K44)+'DB1'!$U$9)&gt;$E44,($E44-SUM($F44:K44)),'DB1'!$U$9),0))</f>
        <v>0</v>
      </c>
      <c r="M44" s="61">
        <f>(IF(M$17&gt;$C44,IF((SUM($F44:L44)+'DB1'!$U$9)&gt;$E44,($E44-SUM($F44:L44)),'DB1'!$U$9),0))</f>
        <v>0</v>
      </c>
      <c r="N44" s="61">
        <f>(IF(N$17&gt;$C44,IF((SUM($F44:M44)+'DB1'!$U$9)&gt;$E44,($E44-SUM($F44:M44)),'DB1'!$U$9),0))</f>
        <v>0</v>
      </c>
      <c r="O44" s="61">
        <f>(IF(O$17&gt;$C44,IF((SUM($F44:N44)+'DB1'!$U$9)&gt;$E44,($E44-SUM($F44:N44)),'DB1'!$U$9),0))</f>
        <v>0</v>
      </c>
      <c r="P44" s="61">
        <f>(IF(P$17&gt;$C44,IF((SUM($F44:O44)+'DB1'!$U$9)&gt;$E44,($E44-SUM($F44:O44)),'DB1'!$U$9),0))</f>
        <v>0</v>
      </c>
      <c r="Q44" s="61">
        <f>(IF(Q$17&gt;$C44,IF((SUM($F44:P44)+'DB1'!$U$9)&gt;$E44,($E44-SUM($F44:P44)),'DB1'!$U$9),0))</f>
        <v>0</v>
      </c>
      <c r="R44" s="61">
        <f>(IF(R$17&gt;$C44,IF((SUM($F44:Q44)+'DB1'!$U$9)&gt;$E44,($E44-SUM($F44:Q44)),'DB1'!$U$9),0))</f>
        <v>0</v>
      </c>
      <c r="S44" s="61">
        <f>(IF(S$17&gt;$C44,IF((SUM($F44:R44)+'DB1'!$U$9)&gt;$E44,($E44-SUM($F44:R44)),'DB1'!$U$9),0))</f>
        <v>0</v>
      </c>
      <c r="T44" s="61">
        <f>(IF(T$17&gt;$C44,IF((SUM($F44:S44)+'DB1'!$U$9)&gt;$E44,($E44-SUM($F44:S44)),'DB1'!$U$9),0))</f>
        <v>0</v>
      </c>
      <c r="U44" s="61">
        <f>(IF(U$17&gt;$C44,IF((SUM($F44:T44)+'DB1'!$U$9)&gt;$E44,($E44-SUM($F44:T44)),'DB1'!$U$9),0))</f>
        <v>0</v>
      </c>
      <c r="V44" s="61">
        <f>(IF(V$17&gt;$C44,IF((SUM($F44:U44)+'DB1'!$U$9)&gt;$E44,($E44-SUM($F44:U44)),'DB1'!$U$9),0))</f>
        <v>0</v>
      </c>
      <c r="W44" s="61">
        <f>(IF(W$17&gt;$C44,IF((SUM($F44:V44)+'DB1'!$U$9)&gt;$E44,($E44-SUM($F44:V44)),'DB1'!$U$9),0))</f>
        <v>0</v>
      </c>
      <c r="X44" s="61">
        <f>(IF(X$17&gt;$C44,IF((SUM($F44:W44)+'DB1'!$U$9)&gt;$E44,($E44-SUM($F44:W44)),'DB1'!$U$9),0))</f>
        <v>0</v>
      </c>
      <c r="Y44" s="61">
        <f>(IF(Y$17&gt;$C44,IF((SUM($F44:X44)+'DB1'!$U$9)&gt;$E44,($E44-SUM($F44:X44)),'DB1'!$U$9),0))</f>
        <v>0</v>
      </c>
      <c r="Z44" s="61">
        <f>(IF(Z$17&gt;$C44,IF((SUM($F44:Y44)+'DB1'!$U$9)&gt;$E44,($E44-SUM($F44:Y44)),'DB1'!$U$9),0))</f>
        <v>0</v>
      </c>
      <c r="AA44" s="61">
        <f>(IF(AA$17&gt;$C44,IF((SUM($F44:Z44)+'DB1'!$U$9)&gt;$E44,($E44-SUM($F44:Z44)),'DB1'!$U$9),0))</f>
        <v>0</v>
      </c>
      <c r="AB44" s="61">
        <f>(IF(AB$17&gt;$C44,IF((SUM($F44:AA44)+'DB1'!$U$9)&gt;$E44,($E44-SUM($F44:AA44)),'DB1'!$U$9),0))</f>
        <v>0</v>
      </c>
      <c r="AC44" s="61">
        <f>(IF(AC$17&gt;$C44,IF((SUM($F44:AB44)+'DB1'!$U$9)&gt;$E44,($E44-SUM($F44:AB44)),'DB1'!$U$9),0))</f>
        <v>0</v>
      </c>
      <c r="AD44" s="61">
        <f>(IF(AD$17&gt;$C44,IF((SUM($F44:AC44)+'DB1'!$U$9)&gt;$E44,($E44-SUM($F44:AC44)),'DB1'!$U$9),0))</f>
        <v>0</v>
      </c>
      <c r="AE44" s="61">
        <f>(IF(AE$17&gt;$C44,IF((SUM($F44:AD44)+'DB1'!$U$9)&gt;$E44,($E44-SUM($F44:AD44)),'DB1'!$U$9),0))</f>
        <v>0</v>
      </c>
      <c r="AF44" s="61">
        <f>(IF(AF$17&gt;$C44,IF((SUM($F44:AE44)+'DB1'!$U$9)&gt;$E44,($E44-SUM($F44:AE44)),'DB1'!$U$9),0))</f>
        <v>0</v>
      </c>
      <c r="AG44" s="61">
        <f>(IF(AG$17&gt;$C44,IF((SUM($F44:AF44)+'DB1'!$U$9)&gt;$E44,($E44-SUM($F44:AF44)),'DB1'!$U$9),0))</f>
        <v>0</v>
      </c>
      <c r="AH44" s="61">
        <f>(IF(AH$17&gt;$C44,IF((SUM($F44:AG44)+'DB1'!$U$9)&gt;$E44,($E44-SUM($F44:AG44)),'DB1'!$U$9),0))</f>
        <v>0</v>
      </c>
      <c r="AI44" s="61">
        <f>(IF(AI$17&gt;$C44,IF((SUM($F44:AH44)+'DB1'!$U$9)&gt;$E44,($E44-SUM($F44:AH44)),'DB1'!$U$9),0))</f>
        <v>0</v>
      </c>
      <c r="AJ44" s="61">
        <f>(IF(AJ$17&gt;$C44,IF((SUM($F44:AI44)+'DB1'!$U$9)&gt;$E44,($E44-SUM($F44:AI44)),'DB1'!$U$9),0))</f>
        <v>0</v>
      </c>
      <c r="AK44" s="61">
        <f>(IF(AK$17&gt;$C44,IF((SUM($F44:AJ44)+'DB1'!$U$9)&gt;$E44,($E44-SUM($F44:AJ44)),'DB1'!$U$9),0))</f>
        <v>0</v>
      </c>
      <c r="AL44" s="61">
        <f>(IF(AL$17&gt;$C44,IF((SUM($F44:AK44)+'DB1'!$U$9)&gt;$E44,($E44-SUM($F44:AK44)),'DB1'!$U$9),0))</f>
        <v>0</v>
      </c>
      <c r="AM44" s="61">
        <f>(IF(AM$17&gt;$C44,IF((SUM($F44:AL44)+'DB1'!$U$9)&gt;$E44,($E44-SUM($F44:AL44)),'DB1'!$U$9),0))</f>
        <v>0</v>
      </c>
      <c r="AN44" s="61">
        <f>(IF(AN$17&gt;$C44,IF((SUM($F44:AM44)+'DB1'!$U$9)&gt;$E44,($E44-SUM($F44:AM44)),'DB1'!$U$9),0))</f>
        <v>0</v>
      </c>
      <c r="AO44" s="61">
        <f>(IF(AO$17&gt;$C44,IF((SUM($F44:AN44)+'DB1'!$U$9)&gt;$E44,($E44-SUM($F44:AN44)),'DB1'!$U$9),0))</f>
        <v>0</v>
      </c>
      <c r="AP44" s="61">
        <f>(IF(AP$17&gt;$C44,IF((SUM($F44:AO44)+'DB1'!$U$9)&gt;$E44,($E44-SUM($F44:AO44)),'DB1'!$U$9),0))</f>
        <v>0</v>
      </c>
      <c r="AQ44" s="61">
        <f>(IF(AQ$17&gt;$C44,IF((SUM($F44:AP44)+'DB1'!$U$9)&gt;$E44,($E44-SUM($F44:AP44)),'DB1'!$U$9),0))</f>
        <v>0</v>
      </c>
      <c r="AR44" s="61">
        <f>(IF(AR$17&gt;$C44,IF((SUM($F44:AQ44)+'DB1'!$U$9)&gt;$E44,($E44-SUM($F44:AQ44)),'DB1'!$U$9),0))</f>
        <v>0</v>
      </c>
      <c r="AS44" s="61">
        <f>(IF(AS$17&gt;$C44,IF((SUM($F44:AR44)+'DB1'!$U$9)&gt;$E44,($E44-SUM($F44:AR44)),'DB1'!$U$9),0))</f>
        <v>0</v>
      </c>
      <c r="AT44" s="61">
        <f>(IF(AT$17&gt;$C44,IF((SUM($F44:AS44)+'DB1'!$U$9)&gt;$E44,($E44-SUM($F44:AS44)),'DB1'!$U$9),0))</f>
        <v>0</v>
      </c>
      <c r="AU44" s="61">
        <f>(IF(AU$17&gt;$C44,IF((SUM($F44:AT44)+'DB1'!$U$9)&gt;$E44,($E44-SUM($F44:AT44)),'DB1'!$U$9),0))</f>
        <v>0</v>
      </c>
      <c r="AV44" s="61">
        <f>(IF(AV$17&gt;$C44,IF((SUM($F44:AU44)+'DB1'!$U$9)&gt;$E44,($E44-SUM($F44:AU44)),'DB1'!$U$9),0))</f>
        <v>0</v>
      </c>
      <c r="AW44" s="61">
        <f>(IF(AW$17&gt;$C44,IF((SUM($F44:AV44)+'DB1'!$U$9)&gt;$E44,($E44-SUM($F44:AV44)),'DB1'!$U$9),0))</f>
        <v>0</v>
      </c>
      <c r="AX44" s="61">
        <f>(IF(AX$17&gt;$C44,IF((SUM($F44:AW44)+'DB1'!$U$9)&gt;$E44,($E44-SUM($F44:AW44)),'DB1'!$U$9),0))</f>
        <v>0</v>
      </c>
      <c r="AY44" s="61">
        <f>(IF(AY$17&gt;$C44,IF((SUM($F44:AX44)+'DB1'!$U$9)&gt;$E44,($E44-SUM($F44:AX44)),'DB1'!$U$9),0))</f>
        <v>0</v>
      </c>
      <c r="AZ44" s="61">
        <f>(IF(AZ$17&gt;$C44,IF((SUM($F44:AY44)+'DB1'!$U$9)&gt;$E44,($E44-SUM($F44:AY44)),'DB1'!$U$9),0))</f>
        <v>0</v>
      </c>
      <c r="BA44" s="61">
        <f>(IF(BA$17&gt;$C44,IF((SUM($F44:AZ44)+'DB1'!$U$9)&gt;$E44,($E44-SUM($F44:AZ44)),'DB1'!$U$9),0))</f>
        <v>0</v>
      </c>
      <c r="BB44" s="61">
        <f>(IF(BB$17&gt;$C44,IF((SUM($F44:BA44)+'DB1'!$U$9)&gt;$E44,($E44-SUM($F44:BA44)),'DB1'!$U$9),0))</f>
        <v>0</v>
      </c>
      <c r="BC44" s="61">
        <f>(IF(BC$17&gt;$C44,IF((SUM($F44:BB44)+'DB1'!$U$9)&gt;$E44,($E44-SUM($F44:BB44)),'DB1'!$U$9),0))</f>
        <v>0</v>
      </c>
      <c r="BD44" s="61">
        <f>(IF(BD$17&gt;$C44,IF((SUM($F44:BC44)+'DB1'!$U$9)&gt;$E44,($E44-SUM($F44:BC44)),'DB1'!$U$9),0))</f>
        <v>0</v>
      </c>
      <c r="BE44" s="61">
        <f>(IF(BE$17&gt;$C44,IF((SUM($F44:BD44)+'DB1'!$U$9)&gt;$E44,($E44-SUM($F44:BD44)),'DB1'!$U$9),0))</f>
        <v>0</v>
      </c>
      <c r="BF44" s="61">
        <f>(IF(BF$17&gt;$C44,IF((SUM($F44:BE44)+'DB1'!$U$9)&gt;$E44,($E44-SUM($F44:BE44)),'DB1'!$U$9),0))</f>
        <v>0</v>
      </c>
      <c r="BG44" s="61">
        <f>(IF(BG$17&gt;$C44,IF((SUM($F44:BF44)+'DB1'!$U$9)&gt;$E44,($E44-SUM($F44:BF44)),'DB1'!$U$9),0))</f>
        <v>0</v>
      </c>
      <c r="BH44" s="61">
        <f>(IF(BH$17&gt;$C44,IF((SUM($F44:BG44)+'DB1'!$U$9)&gt;$E44,($E44-SUM($F44:BG44)),'DB1'!$U$9),0))</f>
        <v>0</v>
      </c>
      <c r="BI44" s="61">
        <f>(IF(BI$17&gt;$C44,IF((SUM($F44:BH44)+'DB1'!$U$9)&gt;$E44,($E44-SUM($F44:BH44)),'DB1'!$U$9),0))</f>
        <v>0</v>
      </c>
      <c r="BJ44" s="61">
        <f>(IF(BJ$17&gt;$C44,IF((SUM($F44:BI44)+'DB1'!$U$9)&gt;$E44,($E44-SUM($F44:BI44)),'DB1'!$U$9),0))</f>
        <v>0</v>
      </c>
      <c r="BK44" s="61">
        <f>(IF(BK$17&gt;$C44,IF((SUM($F44:BJ44)+'DB1'!$U$9)&gt;$E44,($E44-SUM($F44:BJ44)),'DB1'!$U$9),0))</f>
        <v>0</v>
      </c>
      <c r="BL44" s="61">
        <f>(IF(BL$17&gt;$C44,IF((SUM($F44:BK44)+'DB1'!$U$9)&gt;$E44,($E44-SUM($F44:BK44)),'DB1'!$U$9),0))</f>
        <v>0</v>
      </c>
      <c r="BM44" s="61">
        <f>(IF(BM$17&gt;$C44,IF((SUM($F44:BL44)+'DB1'!$U$9)&gt;$E44,($E44-SUM($F44:BL44)),'DB1'!$U$9),0))</f>
        <v>0</v>
      </c>
    </row>
    <row r="45" spans="2:65" s="23" customFormat="1">
      <c r="B45" s="27"/>
      <c r="C45" s="189"/>
      <c r="D45" s="189"/>
      <c r="E45" s="190"/>
      <c r="F45" s="187">
        <f>IFERROR(F44/$E$44,0)</f>
        <v>0</v>
      </c>
      <c r="G45" s="187">
        <f t="shared" ref="G45:N45" si="32">IFERROR(G44/$E$44,0)</f>
        <v>0</v>
      </c>
      <c r="H45" s="187">
        <f t="shared" si="32"/>
        <v>0</v>
      </c>
      <c r="I45" s="187">
        <f t="shared" si="32"/>
        <v>0</v>
      </c>
      <c r="J45" s="187">
        <f t="shared" si="32"/>
        <v>0</v>
      </c>
      <c r="K45" s="187">
        <f t="shared" si="32"/>
        <v>0</v>
      </c>
      <c r="L45" s="187">
        <f t="shared" si="32"/>
        <v>0</v>
      </c>
      <c r="M45" s="187">
        <f t="shared" si="32"/>
        <v>0</v>
      </c>
      <c r="N45" s="187">
        <f t="shared" si="32"/>
        <v>0</v>
      </c>
      <c r="O45" s="187">
        <f t="shared" ref="O45" si="33">IFERROR(O44/$E$44,0)</f>
        <v>0</v>
      </c>
      <c r="P45" s="187">
        <f t="shared" ref="P45" si="34">IFERROR(P44/$E$44,0)</f>
        <v>0</v>
      </c>
      <c r="Q45" s="187">
        <f t="shared" ref="Q45" si="35">IFERROR(Q44/$E$44,0)</f>
        <v>0</v>
      </c>
      <c r="R45" s="187">
        <f t="shared" ref="R45" si="36">IFERROR(R44/$E$44,0)</f>
        <v>0</v>
      </c>
      <c r="S45" s="187">
        <f t="shared" ref="S45" si="37">IFERROR(S44/$E$44,0)</f>
        <v>0</v>
      </c>
      <c r="T45" s="187">
        <f t="shared" ref="T45" si="38">IFERROR(T44/$E$44,0)</f>
        <v>0</v>
      </c>
      <c r="U45" s="187">
        <f t="shared" ref="U45:V45" si="39">IFERROR(U44/$E$44,0)</f>
        <v>0</v>
      </c>
      <c r="V45" s="187">
        <f t="shared" si="39"/>
        <v>0</v>
      </c>
      <c r="W45" s="187">
        <f t="shared" ref="W45" si="40">IFERROR(W44/$E$44,0)</f>
        <v>0</v>
      </c>
      <c r="X45" s="187">
        <f t="shared" ref="X45" si="41">IFERROR(X44/$E$44,0)</f>
        <v>0</v>
      </c>
      <c r="Y45" s="187">
        <f t="shared" ref="Y45" si="42">IFERROR(Y44/$E$44,0)</f>
        <v>0</v>
      </c>
      <c r="Z45" s="187">
        <f t="shared" ref="Z45" si="43">IFERROR(Z44/$E$44,0)</f>
        <v>0</v>
      </c>
      <c r="AA45" s="187">
        <f t="shared" ref="AA45" si="44">IFERROR(AA44/$E$44,0)</f>
        <v>0</v>
      </c>
      <c r="AB45" s="187">
        <f t="shared" ref="AB45" si="45">IFERROR(AB44/$E$44,0)</f>
        <v>0</v>
      </c>
      <c r="AC45" s="187">
        <f t="shared" ref="AC45:AD45" si="46">IFERROR(AC44/$E$44,0)</f>
        <v>0</v>
      </c>
      <c r="AD45" s="187">
        <f t="shared" si="46"/>
        <v>0</v>
      </c>
      <c r="AE45" s="187">
        <f t="shared" ref="AE45" si="47">IFERROR(AE44/$E$44,0)</f>
        <v>0</v>
      </c>
      <c r="AF45" s="187">
        <f t="shared" ref="AF45" si="48">IFERROR(AF44/$E$44,0)</f>
        <v>0</v>
      </c>
      <c r="AG45" s="187">
        <f t="shared" ref="AG45" si="49">IFERROR(AG44/$E$44,0)</f>
        <v>0</v>
      </c>
      <c r="AH45" s="187">
        <f t="shared" ref="AH45" si="50">IFERROR(AH44/$E$44,0)</f>
        <v>0</v>
      </c>
      <c r="AI45" s="187">
        <f t="shared" ref="AI45" si="51">IFERROR(AI44/$E$44,0)</f>
        <v>0</v>
      </c>
      <c r="AJ45" s="187">
        <f t="shared" ref="AJ45" si="52">IFERROR(AJ44/$E$44,0)</f>
        <v>0</v>
      </c>
      <c r="AK45" s="187">
        <f t="shared" ref="AK45:AL45" si="53">IFERROR(AK44/$E$44,0)</f>
        <v>0</v>
      </c>
      <c r="AL45" s="187">
        <f t="shared" si="53"/>
        <v>0</v>
      </c>
      <c r="AM45" s="187">
        <f t="shared" ref="AM45" si="54">IFERROR(AM44/$E$44,0)</f>
        <v>0</v>
      </c>
      <c r="AN45" s="187">
        <f t="shared" ref="AN45" si="55">IFERROR(AN44/$E$44,0)</f>
        <v>0</v>
      </c>
      <c r="AO45" s="187">
        <f t="shared" ref="AO45" si="56">IFERROR(AO44/$E$44,0)</f>
        <v>0</v>
      </c>
      <c r="AP45" s="187">
        <f t="shared" ref="AP45" si="57">IFERROR(AP44/$E$44,0)</f>
        <v>0</v>
      </c>
      <c r="AQ45" s="187">
        <f t="shared" ref="AQ45" si="58">IFERROR(AQ44/$E$44,0)</f>
        <v>0</v>
      </c>
      <c r="AR45" s="187">
        <f t="shared" ref="AR45" si="59">IFERROR(AR44/$E$44,0)</f>
        <v>0</v>
      </c>
      <c r="AS45" s="187">
        <f t="shared" ref="AS45:AT45" si="60">IFERROR(AS44/$E$44,0)</f>
        <v>0</v>
      </c>
      <c r="AT45" s="187">
        <f t="shared" si="60"/>
        <v>0</v>
      </c>
      <c r="AU45" s="187">
        <f t="shared" ref="AU45" si="61">IFERROR(AU44/$E$44,0)</f>
        <v>0</v>
      </c>
      <c r="AV45" s="187">
        <f t="shared" ref="AV45" si="62">IFERROR(AV44/$E$44,0)</f>
        <v>0</v>
      </c>
      <c r="AW45" s="187">
        <f t="shared" ref="AW45" si="63">IFERROR(AW44/$E$44,0)</f>
        <v>0</v>
      </c>
      <c r="AX45" s="187">
        <f t="shared" ref="AX45" si="64">IFERROR(AX44/$E$44,0)</f>
        <v>0</v>
      </c>
      <c r="AY45" s="187">
        <f t="shared" ref="AY45" si="65">IFERROR(AY44/$E$44,0)</f>
        <v>0</v>
      </c>
      <c r="AZ45" s="187">
        <f t="shared" ref="AZ45" si="66">IFERROR(AZ44/$E$44,0)</f>
        <v>0</v>
      </c>
      <c r="BA45" s="187">
        <f t="shared" ref="BA45:BB45" si="67">IFERROR(BA44/$E$44,0)</f>
        <v>0</v>
      </c>
      <c r="BB45" s="187">
        <f t="shared" si="67"/>
        <v>0</v>
      </c>
      <c r="BC45" s="187">
        <f t="shared" ref="BC45" si="68">IFERROR(BC44/$E$44,0)</f>
        <v>0</v>
      </c>
      <c r="BD45" s="187">
        <f t="shared" ref="BD45" si="69">IFERROR(BD44/$E$44,0)</f>
        <v>0</v>
      </c>
      <c r="BE45" s="187">
        <f t="shared" ref="BE45" si="70">IFERROR(BE44/$E$44,0)</f>
        <v>0</v>
      </c>
      <c r="BF45" s="187">
        <f t="shared" ref="BF45" si="71">IFERROR(BF44/$E$44,0)</f>
        <v>0</v>
      </c>
      <c r="BG45" s="187">
        <f t="shared" ref="BG45" si="72">IFERROR(BG44/$E$44,0)</f>
        <v>0</v>
      </c>
      <c r="BH45" s="187">
        <f t="shared" ref="BH45" si="73">IFERROR(BH44/$E$44,0)</f>
        <v>0</v>
      </c>
      <c r="BI45" s="187">
        <f t="shared" ref="BI45:BJ45" si="74">IFERROR(BI44/$E$44,0)</f>
        <v>0</v>
      </c>
      <c r="BJ45" s="187">
        <f t="shared" si="74"/>
        <v>0</v>
      </c>
      <c r="BK45" s="187">
        <f t="shared" ref="BK45" si="75">IFERROR(BK44/$E$44,0)</f>
        <v>0</v>
      </c>
      <c r="BL45" s="187">
        <f t="shared" ref="BL45" si="76">IFERROR(BL44/$E$44,0)</f>
        <v>0</v>
      </c>
      <c r="BM45" s="187">
        <f t="shared" ref="BM45" si="77">IFERROR(BM44/$E$44,0)</f>
        <v>0</v>
      </c>
    </row>
    <row r="46" spans="2:65">
      <c r="B46" s="55" t="str">
        <f>'DB1'!L10</f>
        <v>ОФИСЫ</v>
      </c>
      <c r="C46" s="59">
        <f>'DB1'!M10</f>
        <v>46296</v>
      </c>
      <c r="D46" s="59">
        <f>_xlfn.MAXIFS($F$36:$AS$36,$F46:$AS46,"&gt;0")</f>
        <v>0</v>
      </c>
      <c r="E46" s="60">
        <f>'DB1'!H10</f>
        <v>0</v>
      </c>
      <c r="F46" s="61"/>
      <c r="G46" s="61">
        <f>(IF(G$17&gt;$C46,IF((SUM($F46:F46)+'DB1'!$U$10)&gt;$E46,($E46-SUM($F46:F46)),'DB1'!$U$10),0))</f>
        <v>0</v>
      </c>
      <c r="H46" s="61">
        <f>(IF(H$17&gt;$C46,IF((SUM($F46:G46)+'DB1'!$U$10)&gt;$E46,($E46-SUM($F46:G46)),'DB1'!$U$10),0))</f>
        <v>0</v>
      </c>
      <c r="I46" s="61">
        <f>(IF(I$17&gt;$C46,IF((SUM($F46:H46)+'DB1'!$U$10)&gt;$E46,($E46-SUM($F46:H46)),'DB1'!$U$10),0))</f>
        <v>0</v>
      </c>
      <c r="J46" s="61">
        <f>(IF(J$17&gt;$C46,IF((SUM($F46:I46)+'DB1'!$U$10)&gt;$E46,($E46-SUM($F46:I46)),'DB1'!$U$10),0))</f>
        <v>0</v>
      </c>
      <c r="K46" s="61">
        <f>(IF(K$17&gt;$C46,IF((SUM($F46:J46)+'DB1'!$U$10)&gt;$E46,($E46-SUM($F46:J46)),'DB1'!$U$10),0))</f>
        <v>0</v>
      </c>
      <c r="L46" s="61">
        <f>(IF(L$17&gt;$C46,IF((SUM($F46:K46)+'DB1'!$U$10)&gt;$E46,($E46-SUM($F46:K46)),'DB1'!$U$10),0))</f>
        <v>0</v>
      </c>
      <c r="M46" s="61">
        <f>(IF(M$17&gt;$C46,IF((SUM($F46:L46)+'DB1'!$U$10)&gt;$E46,($E46-SUM($F46:L46)),'DB1'!$U$10),0))</f>
        <v>0</v>
      </c>
      <c r="N46" s="61">
        <f>(IF(N$17&gt;$C46,IF((SUM($F46:M46)+'DB1'!$U$10)&gt;$E46,($E46-SUM($F46:M46)),'DB1'!$U$10),0))</f>
        <v>0</v>
      </c>
      <c r="O46" s="61">
        <f>(IF(O$17&gt;$C46,IF((SUM($F46:N46)+'DB1'!$U$10)&gt;$E46,($E46-SUM($F46:N46)),'DB1'!$U$10),0))</f>
        <v>0</v>
      </c>
      <c r="P46" s="61">
        <f>(IF(P$17&gt;$C46,IF((SUM($F46:O46)+'DB1'!$U$10)&gt;$E46,($E46-SUM($F46:O46)),'DB1'!$U$10),0))</f>
        <v>0</v>
      </c>
      <c r="Q46" s="61">
        <f>(IF(Q$17&gt;$C46,IF((SUM($F46:P46)+'DB1'!$U$10)&gt;$E46,($E46-SUM($F46:P46)),'DB1'!$U$10),0))</f>
        <v>0</v>
      </c>
      <c r="R46" s="61">
        <f>(IF(R$17&gt;$C46,IF((SUM($F46:Q46)+'DB1'!$U$10)&gt;$E46,($E46-SUM($F46:Q46)),'DB1'!$U$10),0))</f>
        <v>0</v>
      </c>
      <c r="S46" s="61">
        <f>(IF(S$17&gt;$C46,IF((SUM($F46:R46)+'DB1'!$U$10)&gt;$E46,($E46-SUM($F46:R46)),'DB1'!$U$10),0))</f>
        <v>0</v>
      </c>
      <c r="T46" s="61">
        <f>(IF(T$17&gt;$C46,IF((SUM($F46:S46)+'DB1'!$U$10)&gt;$E46,($E46-SUM($F46:S46)),'DB1'!$U$10),0))</f>
        <v>0</v>
      </c>
      <c r="U46" s="61">
        <f>(IF(U$17&gt;$C46,IF((SUM($F46:T46)+'DB1'!$U$10)&gt;$E46,($E46-SUM($F46:T46)),'DB1'!$U$10),0))</f>
        <v>0</v>
      </c>
      <c r="V46" s="61">
        <f>(IF(V$17&gt;$C46,IF((SUM($F46:U46)+'DB1'!$U$10)&gt;$E46,($E46-SUM($F46:U46)),'DB1'!$U$10),0))</f>
        <v>0</v>
      </c>
      <c r="W46" s="61">
        <f>(IF(W$17&gt;$C46,IF((SUM($F46:V46)+'DB1'!$U$10)&gt;$E46,($E46-SUM($F46:V46)),'DB1'!$U$10),0))</f>
        <v>0</v>
      </c>
      <c r="X46" s="61">
        <f>(IF(X$17&gt;$C46,IF((SUM($F46:W46)+'DB1'!$U$10)&gt;$E46,($E46-SUM($F46:W46)),'DB1'!$U$10),0))</f>
        <v>0</v>
      </c>
      <c r="Y46" s="61">
        <f>(IF(Y$17&gt;$C46,IF((SUM($F46:X46)+'DB1'!$U$10)&gt;$E46,($E46-SUM($F46:X46)),'DB1'!$U$10),0))</f>
        <v>0</v>
      </c>
      <c r="Z46" s="61">
        <f>(IF(Z$17&gt;$C46,IF((SUM($F46:Y46)+'DB1'!$U$10)&gt;$E46,($E46-SUM($F46:Y46)),'DB1'!$U$10),0))</f>
        <v>0</v>
      </c>
      <c r="AA46" s="61">
        <f>(IF(AA$17&gt;$C46,IF((SUM($F46:Z46)+'DB1'!$U$10)&gt;$E46,($E46-SUM($F46:Z46)),'DB1'!$U$10),0))</f>
        <v>0</v>
      </c>
      <c r="AB46" s="61">
        <f>(IF(AB$17&gt;$C46,IF((SUM($F46:AA46)+'DB1'!$U$10)&gt;$E46,($E46-SUM($F46:AA46)),'DB1'!$U$10),0))</f>
        <v>0</v>
      </c>
      <c r="AC46" s="61">
        <f>(IF(AC$17&gt;$C46,IF((SUM($F46:AB46)+'DB1'!$U$10)&gt;$E46,($E46-SUM($F46:AB46)),'DB1'!$U$10),0))</f>
        <v>0</v>
      </c>
      <c r="AD46" s="61">
        <f>(IF(AD$17&gt;$C46,IF((SUM($F46:AC46)+'DB1'!$U$10)&gt;$E46,($E46-SUM($F46:AC46)),'DB1'!$U$10),0))</f>
        <v>0</v>
      </c>
      <c r="AE46" s="61">
        <f>(IF(AE$17&gt;$C46,IF((SUM($F46:AD46)+'DB1'!$U$10)&gt;$E46,($E46-SUM($F46:AD46)),'DB1'!$U$10),0))</f>
        <v>0</v>
      </c>
      <c r="AF46" s="61">
        <f>(IF(AF$17&gt;$C46,IF((SUM($F46:AE46)+'DB1'!$U$10)&gt;$E46,($E46-SUM($F46:AE46)),'DB1'!$U$10),0))</f>
        <v>0</v>
      </c>
      <c r="AG46" s="61">
        <f>(IF(AG$17&gt;$C46,IF((SUM($F46:AF46)+'DB1'!$U$10)&gt;$E46,($E46-SUM($F46:AF46)),'DB1'!$U$10),0))</f>
        <v>0</v>
      </c>
      <c r="AH46" s="61">
        <f>(IF(AH$17&gt;$C46,IF((SUM($F46:AG46)+'DB1'!$U$10)&gt;$E46,($E46-SUM($F46:AG46)),'DB1'!$U$10),0))</f>
        <v>0</v>
      </c>
      <c r="AI46" s="61">
        <f>(IF(AI$17&gt;$C46,IF((SUM($F46:AH46)+'DB1'!$U$10)&gt;$E46,($E46-SUM($F46:AH46)),'DB1'!$U$10),0))</f>
        <v>0</v>
      </c>
      <c r="AJ46" s="61">
        <f>(IF(AJ$17&gt;$C46,IF((SUM($F46:AI46)+'DB1'!$U$10)&gt;$E46,($E46-SUM($F46:AI46)),'DB1'!$U$10),0))</f>
        <v>0</v>
      </c>
      <c r="AK46" s="61">
        <f>(IF(AK$17&gt;$C46,IF((SUM($F46:AJ46)+'DB1'!$U$10)&gt;$E46,($E46-SUM($F46:AJ46)),'DB1'!$U$10),0))</f>
        <v>0</v>
      </c>
      <c r="AL46" s="61">
        <f>(IF(AL$17&gt;$C46,IF((SUM($F46:AK46)+'DB1'!$U$10)&gt;$E46,($E46-SUM($F46:AK46)),'DB1'!$U$10),0))</f>
        <v>0</v>
      </c>
      <c r="AM46" s="61">
        <f>(IF(AM$17&gt;$C46,IF((SUM($F46:AL46)+'DB1'!$U$10)&gt;$E46,($E46-SUM($F46:AL46)),'DB1'!$U$10),0))</f>
        <v>0</v>
      </c>
      <c r="AN46" s="61">
        <f>(IF(AN$17&gt;$C46,IF((SUM($F46:AM46)+'DB1'!$U$10)&gt;$E46,($E46-SUM($F46:AM46)),'DB1'!$U$10),0))</f>
        <v>0</v>
      </c>
      <c r="AO46" s="61">
        <f>(IF(AO$17&gt;$C46,IF((SUM($F46:AN46)+'DB1'!$U$10)&gt;$E46,($E46-SUM($F46:AN46)),'DB1'!$U$10),0))</f>
        <v>0</v>
      </c>
      <c r="AP46" s="61">
        <f>(IF(AP$17&gt;$C46,IF((SUM($F46:AO46)+'DB1'!$U$10)&gt;$E46,($E46-SUM($F46:AO46)),'DB1'!$U$10),0))</f>
        <v>0</v>
      </c>
      <c r="AQ46" s="61">
        <f>(IF(AQ$17&gt;$C46,IF((SUM($F46:AP46)+'DB1'!$U$10)&gt;$E46,($E46-SUM($F46:AP46)),'DB1'!$U$10),0))</f>
        <v>0</v>
      </c>
      <c r="AR46" s="61">
        <f>(IF(AR$17&gt;$C46,IF((SUM($F46:AQ46)+'DB1'!$U$10)&gt;$E46,($E46-SUM($F46:AQ46)),'DB1'!$U$10),0))</f>
        <v>0</v>
      </c>
      <c r="AS46" s="61">
        <f>(IF(AS$17&gt;$C46,IF((SUM($F46:AR46)+'DB1'!$U$10)&gt;$E46,($E46-SUM($F46:AR46)),'DB1'!$U$10),0))</f>
        <v>0</v>
      </c>
      <c r="AT46" s="61">
        <f>(IF(AT$17&gt;$C46,IF((SUM($F46:AS46)+'DB1'!$U$10)&gt;$E46,($E46-SUM($F46:AS46)),'DB1'!$U$10),0))</f>
        <v>0</v>
      </c>
      <c r="AU46" s="61">
        <f>(IF(AU$17&gt;$C46,IF((SUM($F46:AT46)+'DB1'!$U$10)&gt;$E46,($E46-SUM($F46:AT46)),'DB1'!$U$10),0))</f>
        <v>0</v>
      </c>
      <c r="AV46" s="61">
        <f>(IF(AV$17&gt;$C46,IF((SUM($F46:AU46)+'DB1'!$U$10)&gt;$E46,($E46-SUM($F46:AU46)),'DB1'!$U$10),0))</f>
        <v>0</v>
      </c>
      <c r="AW46" s="61">
        <f>(IF(AW$17&gt;$C46,IF((SUM($F46:AV46)+'DB1'!$U$10)&gt;$E46,($E46-SUM($F46:AV46)),'DB1'!$U$10),0))</f>
        <v>0</v>
      </c>
      <c r="AX46" s="61">
        <f>(IF(AX$17&gt;$C46,IF((SUM($F46:AW46)+'DB1'!$U$10)&gt;$E46,($E46-SUM($F46:AW46)),'DB1'!$U$10),0))</f>
        <v>0</v>
      </c>
      <c r="AY46" s="61">
        <f>(IF(AY$17&gt;$C46,IF((SUM($F46:AX46)+'DB1'!$U$10)&gt;$E46,($E46-SUM($F46:AX46)),'DB1'!$U$10),0))</f>
        <v>0</v>
      </c>
      <c r="AZ46" s="61">
        <f>(IF(AZ$17&gt;$C46,IF((SUM($F46:AY46)+'DB1'!$U$10)&gt;$E46,($E46-SUM($F46:AY46)),'DB1'!$U$10),0))</f>
        <v>0</v>
      </c>
      <c r="BA46" s="61">
        <f>(IF(BA$17&gt;$C46,IF((SUM($F46:AZ46)+'DB1'!$U$10)&gt;$E46,($E46-SUM($F46:AZ46)),'DB1'!$U$10),0))</f>
        <v>0</v>
      </c>
      <c r="BB46" s="61">
        <f>(IF(BB$17&gt;$C46,IF((SUM($F46:BA46)+'DB1'!$U$10)&gt;$E46,($E46-SUM($F46:BA46)),'DB1'!$U$10),0))</f>
        <v>0</v>
      </c>
      <c r="BC46" s="61">
        <f>(IF(BC$17&gt;$C46,IF((SUM($F46:BB46)+'DB1'!$U$10)&gt;$E46,($E46-SUM($F46:BB46)),'DB1'!$U$10),0))</f>
        <v>0</v>
      </c>
      <c r="BD46" s="61">
        <f>(IF(BD$17&gt;$C46,IF((SUM($F46:BC46)+'DB1'!$U$10)&gt;$E46,($E46-SUM($F46:BC46)),'DB1'!$U$10),0))</f>
        <v>0</v>
      </c>
      <c r="BE46" s="61">
        <f>(IF(BE$17&gt;$C46,IF((SUM($F46:BD46)+'DB1'!$U$10)&gt;$E46,($E46-SUM($F46:BD46)),'DB1'!$U$10),0))</f>
        <v>0</v>
      </c>
      <c r="BF46" s="61">
        <f>(IF(BF$17&gt;$C46,IF((SUM($F46:BE46)+'DB1'!$U$10)&gt;$E46,($E46-SUM($F46:BE46)),'DB1'!$U$10),0))</f>
        <v>0</v>
      </c>
      <c r="BG46" s="61">
        <f>(IF(BG$17&gt;$C46,IF((SUM($F46:BF46)+'DB1'!$U$10)&gt;$E46,($E46-SUM($F46:BF46)),'DB1'!$U$10),0))</f>
        <v>0</v>
      </c>
      <c r="BH46" s="61">
        <f>(IF(BH$17&gt;$C46,IF((SUM($F46:BG46)+'DB1'!$U$10)&gt;$E46,($E46-SUM($F46:BG46)),'DB1'!$U$10),0))</f>
        <v>0</v>
      </c>
      <c r="BI46" s="61">
        <f>(IF(BI$17&gt;$C46,IF((SUM($F46:BH46)+'DB1'!$U$10)&gt;$E46,($E46-SUM($F46:BH46)),'DB1'!$U$10),0))</f>
        <v>0</v>
      </c>
      <c r="BJ46" s="61">
        <f>(IF(BJ$17&gt;$C46,IF((SUM($F46:BI46)+'DB1'!$U$10)&gt;$E46,($E46-SUM($F46:BI46)),'DB1'!$U$10),0))</f>
        <v>0</v>
      </c>
      <c r="BK46" s="61">
        <f>(IF(BK$17&gt;$C46,IF((SUM($F46:BJ46)+'DB1'!$U$10)&gt;$E46,($E46-SUM($F46:BJ46)),'DB1'!$U$10),0))</f>
        <v>0</v>
      </c>
      <c r="BL46" s="61">
        <f>(IF(BL$17&gt;$C46,IF((SUM($F46:BK46)+'DB1'!$U$10)&gt;$E46,($E46-SUM($F46:BK46)),'DB1'!$U$10),0))</f>
        <v>0</v>
      </c>
      <c r="BM46" s="61">
        <f>(IF(BM$17&gt;$C46,IF((SUM($F46:BL46)+'DB1'!$U$10)&gt;$E46,($E46-SUM($F46:BL46)),'DB1'!$U$10),0))</f>
        <v>0</v>
      </c>
    </row>
    <row r="47" spans="2:65" s="188" customFormat="1">
      <c r="B47" s="185"/>
      <c r="C47" s="186"/>
      <c r="D47" s="186"/>
      <c r="E47" s="186"/>
      <c r="F47" s="187">
        <f t="shared" ref="F47:AK47" si="78">IFERROR(F46/$E$46,0)</f>
        <v>0</v>
      </c>
      <c r="G47" s="187">
        <f t="shared" si="78"/>
        <v>0</v>
      </c>
      <c r="H47" s="187">
        <f t="shared" si="78"/>
        <v>0</v>
      </c>
      <c r="I47" s="187">
        <f t="shared" si="78"/>
        <v>0</v>
      </c>
      <c r="J47" s="187">
        <f t="shared" si="78"/>
        <v>0</v>
      </c>
      <c r="K47" s="187">
        <f t="shared" si="78"/>
        <v>0</v>
      </c>
      <c r="L47" s="187">
        <f t="shared" si="78"/>
        <v>0</v>
      </c>
      <c r="M47" s="187">
        <f t="shared" si="78"/>
        <v>0</v>
      </c>
      <c r="N47" s="187">
        <f t="shared" si="78"/>
        <v>0</v>
      </c>
      <c r="O47" s="187">
        <f t="shared" si="78"/>
        <v>0</v>
      </c>
      <c r="P47" s="187">
        <f t="shared" si="78"/>
        <v>0</v>
      </c>
      <c r="Q47" s="187">
        <f t="shared" si="78"/>
        <v>0</v>
      </c>
      <c r="R47" s="187">
        <f t="shared" si="78"/>
        <v>0</v>
      </c>
      <c r="S47" s="187">
        <f t="shared" si="78"/>
        <v>0</v>
      </c>
      <c r="T47" s="187">
        <f t="shared" si="78"/>
        <v>0</v>
      </c>
      <c r="U47" s="187">
        <f t="shared" si="78"/>
        <v>0</v>
      </c>
      <c r="V47" s="187">
        <f t="shared" si="78"/>
        <v>0</v>
      </c>
      <c r="W47" s="187">
        <f t="shared" si="78"/>
        <v>0</v>
      </c>
      <c r="X47" s="187">
        <f t="shared" si="78"/>
        <v>0</v>
      </c>
      <c r="Y47" s="187">
        <f t="shared" si="78"/>
        <v>0</v>
      </c>
      <c r="Z47" s="187">
        <f t="shared" si="78"/>
        <v>0</v>
      </c>
      <c r="AA47" s="187">
        <f t="shared" si="78"/>
        <v>0</v>
      </c>
      <c r="AB47" s="187">
        <f t="shared" si="78"/>
        <v>0</v>
      </c>
      <c r="AC47" s="187">
        <f t="shared" si="78"/>
        <v>0</v>
      </c>
      <c r="AD47" s="187">
        <f t="shared" si="78"/>
        <v>0</v>
      </c>
      <c r="AE47" s="187">
        <f t="shared" si="78"/>
        <v>0</v>
      </c>
      <c r="AF47" s="187">
        <f t="shared" si="78"/>
        <v>0</v>
      </c>
      <c r="AG47" s="187">
        <f t="shared" si="78"/>
        <v>0</v>
      </c>
      <c r="AH47" s="187">
        <f t="shared" si="78"/>
        <v>0</v>
      </c>
      <c r="AI47" s="187">
        <f t="shared" si="78"/>
        <v>0</v>
      </c>
      <c r="AJ47" s="187">
        <f t="shared" si="78"/>
        <v>0</v>
      </c>
      <c r="AK47" s="187">
        <f t="shared" si="78"/>
        <v>0</v>
      </c>
      <c r="AL47" s="187">
        <f t="shared" ref="AL47:BM47" si="79">IFERROR(AL46/$E$46,0)</f>
        <v>0</v>
      </c>
      <c r="AM47" s="187">
        <f t="shared" si="79"/>
        <v>0</v>
      </c>
      <c r="AN47" s="187">
        <f t="shared" si="79"/>
        <v>0</v>
      </c>
      <c r="AO47" s="187">
        <f t="shared" si="79"/>
        <v>0</v>
      </c>
      <c r="AP47" s="187">
        <f t="shared" si="79"/>
        <v>0</v>
      </c>
      <c r="AQ47" s="187">
        <f t="shared" si="79"/>
        <v>0</v>
      </c>
      <c r="AR47" s="187">
        <f t="shared" si="79"/>
        <v>0</v>
      </c>
      <c r="AS47" s="187">
        <f t="shared" si="79"/>
        <v>0</v>
      </c>
      <c r="AT47" s="187">
        <f t="shared" si="79"/>
        <v>0</v>
      </c>
      <c r="AU47" s="187">
        <f t="shared" si="79"/>
        <v>0</v>
      </c>
      <c r="AV47" s="187">
        <f t="shared" si="79"/>
        <v>0</v>
      </c>
      <c r="AW47" s="187">
        <f t="shared" si="79"/>
        <v>0</v>
      </c>
      <c r="AX47" s="187">
        <f t="shared" si="79"/>
        <v>0</v>
      </c>
      <c r="AY47" s="187">
        <f t="shared" si="79"/>
        <v>0</v>
      </c>
      <c r="AZ47" s="187">
        <f t="shared" si="79"/>
        <v>0</v>
      </c>
      <c r="BA47" s="187">
        <f t="shared" si="79"/>
        <v>0</v>
      </c>
      <c r="BB47" s="187">
        <f t="shared" si="79"/>
        <v>0</v>
      </c>
      <c r="BC47" s="187">
        <f t="shared" si="79"/>
        <v>0</v>
      </c>
      <c r="BD47" s="187">
        <f t="shared" si="79"/>
        <v>0</v>
      </c>
      <c r="BE47" s="187">
        <f t="shared" si="79"/>
        <v>0</v>
      </c>
      <c r="BF47" s="187">
        <f t="shared" si="79"/>
        <v>0</v>
      </c>
      <c r="BG47" s="187">
        <f t="shared" si="79"/>
        <v>0</v>
      </c>
      <c r="BH47" s="187">
        <f t="shared" si="79"/>
        <v>0</v>
      </c>
      <c r="BI47" s="187">
        <f t="shared" si="79"/>
        <v>0</v>
      </c>
      <c r="BJ47" s="187">
        <f t="shared" si="79"/>
        <v>0</v>
      </c>
      <c r="BK47" s="187">
        <f t="shared" si="79"/>
        <v>0</v>
      </c>
      <c r="BL47" s="187">
        <f t="shared" si="79"/>
        <v>0</v>
      </c>
      <c r="BM47" s="187">
        <f t="shared" si="79"/>
        <v>0</v>
      </c>
    </row>
    <row r="48" spans="2:65">
      <c r="B48" s="55" t="str">
        <f>'DB1'!L11</f>
        <v>РИТЕЙЛ</v>
      </c>
      <c r="C48" s="59">
        <f>EOMONTH(_xlfn.MINIFS($F$36:$AS$36,$F48:$AS48,"&gt;0"),-3)+1</f>
        <v>47484</v>
      </c>
      <c r="D48" s="59">
        <f>_xlfn.MAXIFS($F$36:$AS$36,$F48:$AS48,"&gt;0")</f>
        <v>47664</v>
      </c>
      <c r="E48" s="60">
        <f>'DB1'!H11</f>
        <v>3517.3530000000001</v>
      </c>
      <c r="F48" s="61"/>
      <c r="G48" s="61">
        <f>IF(F36=EOMONTH('DB1'!$U$27,3*'DB1'!$M$11),$E48*0.5,IF(SUM($F48:F48)=0,0,$E48-SUM($F48:F48)))</f>
        <v>0</v>
      </c>
      <c r="H48" s="61">
        <f>IF(G36=EOMONTH('DB1'!$U$27,3*'DB1'!$M$11),$E48*0.5,IF(SUM($F48:G48)=0,0,$E48-SUM($F48:G48)))</f>
        <v>0</v>
      </c>
      <c r="I48" s="61">
        <f>IF(H36=EOMONTH('DB1'!$U$27,3*'DB1'!$M$11),$E48*0.5,IF(SUM($F48:H48)=0,0,$E48-SUM($F48:H48)))</f>
        <v>0</v>
      </c>
      <c r="J48" s="61">
        <f>IF(I36=EOMONTH('DB1'!$U$27,3*'DB1'!$M$11),$E48*0.5,IF(SUM($F48:I48)=0,0,$E48-SUM($F48:I48)))</f>
        <v>0</v>
      </c>
      <c r="K48" s="61">
        <f>IF(J36=EOMONTH('DB1'!$U$27,3*'DB1'!$M$11),$E48*0.5,IF(SUM($F48:J48)=0,0,$E48-SUM($F48:J48)))</f>
        <v>0</v>
      </c>
      <c r="L48" s="61">
        <f>IF(K36=EOMONTH('DB1'!$U$27,3*'DB1'!$M$11),$E48*0.5,IF(SUM($F48:K48)=0,0,$E48-SUM($F48:K48)))</f>
        <v>0</v>
      </c>
      <c r="M48" s="61">
        <f>IF(L36=EOMONTH('DB1'!$U$27,3*'DB1'!$M$11),$E48*0.5,IF(SUM($F48:L48)=0,0,$E48-SUM($F48:L48)))</f>
        <v>0</v>
      </c>
      <c r="N48" s="61">
        <f>IF(M36=EOMONTH('DB1'!$U$27,3*'DB1'!$M$11),$E48*0.5,IF(SUM($F48:M48)=0,0,$E48-SUM($F48:M48)))</f>
        <v>0</v>
      </c>
      <c r="O48" s="61">
        <f>IF(N36=EOMONTH('DB1'!$U$27,3*'DB1'!$M$11),$E48*0.5,IF(SUM($F48:N48)=0,0,$E48-SUM($F48:N48)))</f>
        <v>0</v>
      </c>
      <c r="P48" s="61">
        <f>IF(O36=EOMONTH('DB1'!$U$27,3*'DB1'!$M$11),$E48*0.5,IF(SUM($F48:O48)=0,0,$E48-SUM($F48:O48)))</f>
        <v>0</v>
      </c>
      <c r="Q48" s="61">
        <f>IF(P36=EOMONTH('DB1'!$U$27,3*'DB1'!$M$11),$E48*0.5,IF(SUM($F48:P48)=0,0,$E48-SUM($F48:P48)))</f>
        <v>0</v>
      </c>
      <c r="R48" s="61">
        <f>IF(Q36=EOMONTH('DB1'!$U$27,3*'DB1'!$M$11),$E48*0.5,IF(SUM($F48:Q48)=0,0,$E48-SUM($F48:Q48)))</f>
        <v>0</v>
      </c>
      <c r="S48" s="61">
        <f>IF(R36=EOMONTH('DB1'!$U$27,3*'DB1'!$M$11),$E48*0.5,IF(SUM($F48:R48)=0,0,$E48-SUM($F48:R48)))</f>
        <v>0</v>
      </c>
      <c r="T48" s="61">
        <f>IF(S36=EOMONTH('DB1'!$U$27,3*'DB1'!$M$11),$E48*0.5,IF(SUM($F48:S48)=0,0,$E48-SUM($F48:S48)))</f>
        <v>0</v>
      </c>
      <c r="U48" s="61">
        <f>IF(T36=EOMONTH('DB1'!$U$27,3*'DB1'!$M$11),$E48*0.5,IF(SUM($F48:T48)=0,0,$E48-SUM($F48:T48)))</f>
        <v>0</v>
      </c>
      <c r="V48" s="61">
        <f>IF(U36=EOMONTH('DB1'!$U$27,3*'DB1'!$M$11),$E48*0.5,IF(SUM($F48:U48)=0,0,$E48-SUM($F48:U48)))</f>
        <v>0</v>
      </c>
      <c r="W48" s="61">
        <f>IF(V36=EOMONTH('DB1'!$U$27,3*'DB1'!$M$11),$E48*0.5,IF(SUM($F48:V48)=0,0,$E48-SUM($F48:V48)))</f>
        <v>0</v>
      </c>
      <c r="X48" s="61">
        <f>IF(W36=EOMONTH('DB1'!$U$27,3*'DB1'!$M$11),$E48*0.5,IF(SUM($F48:W48)=0,0,$E48-SUM($F48:W48)))</f>
        <v>0</v>
      </c>
      <c r="Y48" s="61">
        <f>IF(X36=EOMONTH('DB1'!$U$27,3*'DB1'!$M$11),$E48*0.5,IF(SUM($F48:X48)=0,0,$E48-SUM($F48:X48)))</f>
        <v>0</v>
      </c>
      <c r="Z48" s="61">
        <f>IF(Y36=EOMONTH('DB1'!$U$27,3*'DB1'!$M$11),$E48*0.5,IF(SUM($F48:Y48)=0,0,$E48-SUM($F48:Y48)))</f>
        <v>0</v>
      </c>
      <c r="AA48" s="61">
        <f>IF(Z36=EOMONTH('DB1'!$U$27,3*'DB1'!$M$11),$E48*0.5,IF(SUM($F48:Z48)=0,0,$E48-SUM($F48:Z48)))</f>
        <v>0</v>
      </c>
      <c r="AB48" s="61">
        <f>IF(AA36=EOMONTH('DB1'!$U$27,3*'DB1'!$M$11),$E48*0.5,IF(SUM($F48:AA48)=0,0,$E48-SUM($F48:AA48)))</f>
        <v>0</v>
      </c>
      <c r="AC48" s="61">
        <f>IF(AB36=EOMONTH('DB1'!$U$27,3*'DB1'!$M$11),$E48*0.5,IF(SUM($F48:AB48)=0,0,$E48-SUM($F48:AB48)))</f>
        <v>0</v>
      </c>
      <c r="AD48" s="61">
        <f>IF(AC36=EOMONTH('DB1'!$U$27,3*'DB1'!$M$11),$E48*0.5,IF(SUM($F48:AC48)=0,0,$E48-SUM($F48:AC48)))</f>
        <v>0</v>
      </c>
      <c r="AE48" s="61">
        <f>IF(AD36=EOMONTH('DB1'!$U$27,3*'DB1'!$M$11),$E48*0.5,IF(SUM($F48:AD48)=0,0,$E48-SUM($F48:AD48)))</f>
        <v>0</v>
      </c>
      <c r="AF48" s="61">
        <f>IF(AE36=EOMONTH('DB1'!$U$27,3*'DB1'!$M$11),$E48*0.5,IF(SUM($F48:AE48)=0,0,$E48-SUM($F48:AE48)))</f>
        <v>0</v>
      </c>
      <c r="AG48" s="61">
        <f>IF(AF36=EOMONTH('DB1'!$U$27,3*'DB1'!$M$11),$E48*0.5,IF(SUM($F48:AF48)=0,0,$E48-SUM($F48:AF48)))</f>
        <v>1758.6765</v>
      </c>
      <c r="AH48" s="61">
        <f>IF(AG36=EOMONTH('DB1'!$U$27,3*'DB1'!$M$11),$E48*0.5,IF(SUM($F48:AG48)=0,0,$E48-SUM($F48:AG48)))</f>
        <v>1758.6765</v>
      </c>
      <c r="AI48" s="61">
        <f>IF(AH36=EOMONTH('DB1'!$U$27,3*'DB1'!$M$11),$E48*0.5,IF(SUM($F48:AH48)=0,0,$E48-SUM($F48:AH48)))</f>
        <v>0</v>
      </c>
      <c r="AJ48" s="61">
        <f>IF(AI36=EOMONTH('DB1'!$U$27,3*'DB1'!$M$11),$E48*0.5,IF(SUM($F48:AI48)=0,0,$E48-SUM($F48:AI48)))</f>
        <v>0</v>
      </c>
      <c r="AK48" s="61">
        <f>IF(AJ36=EOMONTH('DB1'!$U$27,3*'DB1'!$M$11),$E48*0.5,IF(SUM($F48:AJ48)=0,0,$E48-SUM($F48:AJ48)))</f>
        <v>0</v>
      </c>
      <c r="AL48" s="61">
        <f>IF(AK36=EOMONTH('DB1'!$U$27,3*'DB1'!$M$11),$E48*0.5,IF(SUM($F48:AK48)=0,0,$E48-SUM($F48:AK48)))</f>
        <v>0</v>
      </c>
      <c r="AM48" s="61">
        <f>IF(AL36=EOMONTH('DB1'!$U$27,3*'DB1'!$M$11),$E48*0.5,IF(SUM($F48:AL48)=0,0,$E48-SUM($F48:AL48)))</f>
        <v>0</v>
      </c>
      <c r="AN48" s="61">
        <f>IF(AM36=EOMONTH('DB1'!$U$27,3*'DB1'!$M$11),$E48*0.5,IF(SUM($F48:AM48)=0,0,$E48-SUM($F48:AM48)))</f>
        <v>0</v>
      </c>
      <c r="AO48" s="61">
        <f>IF(AN36=EOMONTH('DB1'!$U$27,3*'DB1'!$M$11),$E48*0.5,IF(SUM($F48:AN48)=0,0,$E48-SUM($F48:AN48)))</f>
        <v>0</v>
      </c>
      <c r="AP48" s="61">
        <f>IF(AO36=EOMONTH('DB1'!$U$27,3*'DB1'!$M$11),$E48*0.5,IF(SUM($F48:AO48)=0,0,$E48-SUM($F48:AO48)))</f>
        <v>0</v>
      </c>
      <c r="AQ48" s="61">
        <f>IF(AP36=EOMONTH('DB1'!$U$27,3*'DB1'!$M$11),$E48*0.5,IF(SUM($F48:AP48)=0,0,$E48-SUM($F48:AP48)))</f>
        <v>0</v>
      </c>
      <c r="AR48" s="61">
        <f>IF(AQ36=EOMONTH('DB1'!$U$27,3*'DB1'!$M$11),$E48*0.5,IF(SUM($F48:AQ48)=0,0,$E48-SUM($F48:AQ48)))</f>
        <v>0</v>
      </c>
      <c r="AS48" s="61">
        <f>IF(AR36=EOMONTH('DB1'!$U$27,3*'DB1'!$M$11),$E48*0.5,IF(SUM($F48:AR48)=0,0,$E48-SUM($F48:AR48)))</f>
        <v>0</v>
      </c>
      <c r="AT48" s="61">
        <f>IF(AS36=EOMONTH('DB1'!$U$27,3*'DB1'!$M$11),$E48*0.5,IF(SUM($F48:AS48)=0,0,$E48-SUM($F48:AS48)))</f>
        <v>0</v>
      </c>
      <c r="AU48" s="61">
        <f>IF(AT36=EOMONTH('DB1'!$U$27,3*'DB1'!$M$11),$E48*0.5,IF(SUM($F48:AT48)=0,0,$E48-SUM($F48:AT48)))</f>
        <v>0</v>
      </c>
      <c r="AV48" s="61">
        <f>IF(AU36=EOMONTH('DB1'!$U$27,3*'DB1'!$M$11),$E48*0.5,IF(SUM($F48:AU48)=0,0,$E48-SUM($F48:AU48)))</f>
        <v>0</v>
      </c>
      <c r="AW48" s="61">
        <f>IF(AV36=EOMONTH('DB1'!$U$27,3*'DB1'!$M$11),$E48*0.5,IF(SUM($F48:AV48)=0,0,$E48-SUM($F48:AV48)))</f>
        <v>0</v>
      </c>
      <c r="AX48" s="61">
        <f>IF(AW36=EOMONTH('DB1'!$U$27,3*'DB1'!$M$11),$E48*0.5,IF(SUM($F48:AW48)=0,0,$E48-SUM($F48:AW48)))</f>
        <v>0</v>
      </c>
      <c r="AY48" s="61">
        <f>IF(AX36=EOMONTH('DB1'!$U$27,3*'DB1'!$M$11),$E48*0.5,IF(SUM($F48:AX48)=0,0,$E48-SUM($F48:AX48)))</f>
        <v>0</v>
      </c>
      <c r="AZ48" s="61">
        <f>IF(AY36=EOMONTH('DB1'!$U$27,3*'DB1'!$M$11),$E48*0.5,IF(SUM($F48:AY48)=0,0,$E48-SUM($F48:AY48)))</f>
        <v>0</v>
      </c>
      <c r="BA48" s="61">
        <f>IF(AZ36=EOMONTH('DB1'!$U$27,3*'DB1'!$M$11),$E48*0.5,IF(SUM($F48:AZ48)=0,0,$E48-SUM($F48:AZ48)))</f>
        <v>0</v>
      </c>
      <c r="BB48" s="61">
        <f>IF(BA36=EOMONTH('DB1'!$U$27,3*'DB1'!$M$11),$E48*0.5,IF(SUM($F48:BA48)=0,0,$E48-SUM($F48:BA48)))</f>
        <v>0</v>
      </c>
      <c r="BC48" s="61">
        <f>IF(BB36=EOMONTH('DB1'!$U$27,3*'DB1'!$M$11),$E48*0.5,IF(SUM($F48:BB48)=0,0,$E48-SUM($F48:BB48)))</f>
        <v>0</v>
      </c>
      <c r="BD48" s="61">
        <f>IF(BC36=EOMONTH('DB1'!$U$27,3*'DB1'!$M$11),$E48*0.5,IF(SUM($F48:BC48)=0,0,$E48-SUM($F48:BC48)))</f>
        <v>0</v>
      </c>
      <c r="BE48" s="61">
        <f>IF(BD36=EOMONTH('DB1'!$U$27,3*'DB1'!$M$11),$E48*0.5,IF(SUM($F48:BD48)=0,0,$E48-SUM($F48:BD48)))</f>
        <v>0</v>
      </c>
      <c r="BF48" s="61">
        <f>IF(BE36=EOMONTH('DB1'!$U$27,3*'DB1'!$M$11),$E48*0.5,IF(SUM($F48:BE48)=0,0,$E48-SUM($F48:BE48)))</f>
        <v>0</v>
      </c>
      <c r="BG48" s="61">
        <f>IF(BF36=EOMONTH('DB1'!$U$27,3*'DB1'!$M$11),$E48*0.5,IF(SUM($F48:BF48)=0,0,$E48-SUM($F48:BF48)))</f>
        <v>0</v>
      </c>
      <c r="BH48" s="61">
        <f>IF(BG36=EOMONTH('DB1'!$U$27,3*'DB1'!$M$11),$E48*0.5,IF(SUM($F48:BG48)=0,0,$E48-SUM($F48:BG48)))</f>
        <v>0</v>
      </c>
      <c r="BI48" s="61">
        <f>IF(BH36=EOMONTH('DB1'!$U$27,3*'DB1'!$M$11),$E48*0.5,IF(SUM($F48:BH48)=0,0,$E48-SUM($F48:BH48)))</f>
        <v>0</v>
      </c>
      <c r="BJ48" s="61">
        <f>IF(BI36=EOMONTH('DB1'!$U$27,3*'DB1'!$M$11),$E48*0.5,IF(SUM($F48:BI48)=0,0,$E48-SUM($F48:BI48)))</f>
        <v>0</v>
      </c>
      <c r="BK48" s="61">
        <f>IF(BJ36=EOMONTH('DB1'!$U$27,3*'DB1'!$M$11),$E48*0.5,IF(SUM($F48:BJ48)=0,0,$E48-SUM($F48:BJ48)))</f>
        <v>0</v>
      </c>
      <c r="BL48" s="61">
        <f>IF(BK36=EOMONTH('DB1'!$U$27,3*'DB1'!$M$11),$E48*0.5,IF(SUM($F48:BK48)=0,0,$E48-SUM($F48:BK48)))</f>
        <v>0</v>
      </c>
      <c r="BM48" s="61">
        <f>IF(BL36=EOMONTH('DB1'!$U$27,3*'DB1'!$M$11),$E48*0.5,IF(SUM($F48:BL48)=0,0,$E48-SUM($F48:BL48)))</f>
        <v>0</v>
      </c>
    </row>
    <row r="49" spans="2:65" s="188" customFormat="1">
      <c r="B49" s="185"/>
      <c r="C49" s="186"/>
      <c r="D49" s="186"/>
      <c r="E49" s="186"/>
      <c r="F49" s="187">
        <f t="shared" ref="F49:AK49" si="80">IFERROR(F48/$E$48,0)</f>
        <v>0</v>
      </c>
      <c r="G49" s="187">
        <f t="shared" si="80"/>
        <v>0</v>
      </c>
      <c r="H49" s="187">
        <f t="shared" si="80"/>
        <v>0</v>
      </c>
      <c r="I49" s="187">
        <f t="shared" si="80"/>
        <v>0</v>
      </c>
      <c r="J49" s="187">
        <f t="shared" si="80"/>
        <v>0</v>
      </c>
      <c r="K49" s="187">
        <f t="shared" si="80"/>
        <v>0</v>
      </c>
      <c r="L49" s="187">
        <f t="shared" si="80"/>
        <v>0</v>
      </c>
      <c r="M49" s="187">
        <f t="shared" si="80"/>
        <v>0</v>
      </c>
      <c r="N49" s="187">
        <f t="shared" si="80"/>
        <v>0</v>
      </c>
      <c r="O49" s="187">
        <f t="shared" si="80"/>
        <v>0</v>
      </c>
      <c r="P49" s="187">
        <f t="shared" si="80"/>
        <v>0</v>
      </c>
      <c r="Q49" s="187">
        <f t="shared" si="80"/>
        <v>0</v>
      </c>
      <c r="R49" s="187">
        <f t="shared" si="80"/>
        <v>0</v>
      </c>
      <c r="S49" s="187">
        <f t="shared" si="80"/>
        <v>0</v>
      </c>
      <c r="T49" s="187">
        <f t="shared" si="80"/>
        <v>0</v>
      </c>
      <c r="U49" s="187">
        <f t="shared" si="80"/>
        <v>0</v>
      </c>
      <c r="V49" s="187">
        <f t="shared" si="80"/>
        <v>0</v>
      </c>
      <c r="W49" s="187">
        <f t="shared" si="80"/>
        <v>0</v>
      </c>
      <c r="X49" s="187">
        <f t="shared" si="80"/>
        <v>0</v>
      </c>
      <c r="Y49" s="187">
        <f t="shared" si="80"/>
        <v>0</v>
      </c>
      <c r="Z49" s="187">
        <f t="shared" si="80"/>
        <v>0</v>
      </c>
      <c r="AA49" s="187">
        <f t="shared" si="80"/>
        <v>0</v>
      </c>
      <c r="AB49" s="187">
        <f t="shared" si="80"/>
        <v>0</v>
      </c>
      <c r="AC49" s="187">
        <f t="shared" si="80"/>
        <v>0</v>
      </c>
      <c r="AD49" s="187">
        <f t="shared" si="80"/>
        <v>0</v>
      </c>
      <c r="AE49" s="187">
        <f t="shared" si="80"/>
        <v>0</v>
      </c>
      <c r="AF49" s="187">
        <f t="shared" si="80"/>
        <v>0</v>
      </c>
      <c r="AG49" s="187">
        <f t="shared" si="80"/>
        <v>0.5</v>
      </c>
      <c r="AH49" s="187">
        <f t="shared" si="80"/>
        <v>0.5</v>
      </c>
      <c r="AI49" s="187">
        <f t="shared" si="80"/>
        <v>0</v>
      </c>
      <c r="AJ49" s="187">
        <f t="shared" si="80"/>
        <v>0</v>
      </c>
      <c r="AK49" s="187">
        <f t="shared" si="80"/>
        <v>0</v>
      </c>
      <c r="AL49" s="187">
        <f t="shared" ref="AL49:BM49" si="81">IFERROR(AL48/$E$48,0)</f>
        <v>0</v>
      </c>
      <c r="AM49" s="187">
        <f t="shared" si="81"/>
        <v>0</v>
      </c>
      <c r="AN49" s="187">
        <f t="shared" si="81"/>
        <v>0</v>
      </c>
      <c r="AO49" s="187">
        <f t="shared" si="81"/>
        <v>0</v>
      </c>
      <c r="AP49" s="187">
        <f t="shared" si="81"/>
        <v>0</v>
      </c>
      <c r="AQ49" s="187">
        <f t="shared" si="81"/>
        <v>0</v>
      </c>
      <c r="AR49" s="187">
        <f t="shared" si="81"/>
        <v>0</v>
      </c>
      <c r="AS49" s="187">
        <f t="shared" si="81"/>
        <v>0</v>
      </c>
      <c r="AT49" s="187">
        <f t="shared" si="81"/>
        <v>0</v>
      </c>
      <c r="AU49" s="187">
        <f t="shared" si="81"/>
        <v>0</v>
      </c>
      <c r="AV49" s="187">
        <f t="shared" si="81"/>
        <v>0</v>
      </c>
      <c r="AW49" s="187">
        <f t="shared" si="81"/>
        <v>0</v>
      </c>
      <c r="AX49" s="187">
        <f t="shared" si="81"/>
        <v>0</v>
      </c>
      <c r="AY49" s="187">
        <f t="shared" si="81"/>
        <v>0</v>
      </c>
      <c r="AZ49" s="187">
        <f t="shared" si="81"/>
        <v>0</v>
      </c>
      <c r="BA49" s="187">
        <f t="shared" si="81"/>
        <v>0</v>
      </c>
      <c r="BB49" s="187">
        <f t="shared" si="81"/>
        <v>0</v>
      </c>
      <c r="BC49" s="187">
        <f t="shared" si="81"/>
        <v>0</v>
      </c>
      <c r="BD49" s="187">
        <f t="shared" si="81"/>
        <v>0</v>
      </c>
      <c r="BE49" s="187">
        <f t="shared" si="81"/>
        <v>0</v>
      </c>
      <c r="BF49" s="187">
        <f t="shared" si="81"/>
        <v>0</v>
      </c>
      <c r="BG49" s="187">
        <f t="shared" si="81"/>
        <v>0</v>
      </c>
      <c r="BH49" s="187">
        <f t="shared" si="81"/>
        <v>0</v>
      </c>
      <c r="BI49" s="187">
        <f t="shared" si="81"/>
        <v>0</v>
      </c>
      <c r="BJ49" s="187">
        <f t="shared" si="81"/>
        <v>0</v>
      </c>
      <c r="BK49" s="187">
        <f t="shared" si="81"/>
        <v>0</v>
      </c>
      <c r="BL49" s="187">
        <f t="shared" si="81"/>
        <v>0</v>
      </c>
      <c r="BM49" s="187">
        <f t="shared" si="81"/>
        <v>0</v>
      </c>
    </row>
    <row r="50" spans="2:65">
      <c r="B50" s="55" t="str">
        <f>'DB1'!L12</f>
        <v>ТЦ</v>
      </c>
      <c r="C50" s="59">
        <f>IFERROR(EOMONTH(_xlfn.MINIFS($F$36:$AS$36,$F50:$AS50,"&gt;0"),-3)+1,0)</f>
        <v>0</v>
      </c>
      <c r="D50" s="59">
        <f>_xlfn.MAXIFS($F$36:$AS$36,$F50:$AS50,"&gt;0")</f>
        <v>0</v>
      </c>
      <c r="E50" s="60">
        <f>'DB1'!H12</f>
        <v>0</v>
      </c>
      <c r="F50" s="61"/>
      <c r="G50" s="61">
        <f>IF(F36=EOMONTH('DB1'!$U$27,3*'DB1'!$M$12),$E50,0)</f>
        <v>0</v>
      </c>
      <c r="H50" s="61">
        <f>IF(G36=EOMONTH('DB1'!$U$27,3*'DB1'!$M$12),$E50,0)</f>
        <v>0</v>
      </c>
      <c r="I50" s="61">
        <f>IF(H36=EOMONTH('DB1'!$U$27,3*'DB1'!$M$12),$E50,0)</f>
        <v>0</v>
      </c>
      <c r="J50" s="61">
        <f>IF(I36=EOMONTH('DB1'!$U$27,3*'DB1'!$M$12),$E50,0)</f>
        <v>0</v>
      </c>
      <c r="K50" s="61">
        <f>IF(J36=EOMONTH('DB1'!$U$27,3*'DB1'!$M$12),$E50,0)</f>
        <v>0</v>
      </c>
      <c r="L50" s="61">
        <f>IF(K36=EOMONTH('DB1'!$U$27,3*'DB1'!$M$12),$E50,0)</f>
        <v>0</v>
      </c>
      <c r="M50" s="61">
        <f>IF(L36=EOMONTH('DB1'!$U$27,3*'DB1'!$M$12),$E50,0)</f>
        <v>0</v>
      </c>
      <c r="N50" s="61">
        <f>IF(M36=EOMONTH('DB1'!$U$27,3*'DB1'!$M$12),$E50,0)</f>
        <v>0</v>
      </c>
      <c r="O50" s="61">
        <f>IF(N36=EOMONTH('DB1'!$U$27,3*'DB1'!$M$12),$E50,0)</f>
        <v>0</v>
      </c>
      <c r="P50" s="61">
        <f>IF(O36=EOMONTH('DB1'!$U$27,3*'DB1'!$M$12),$E50,0)</f>
        <v>0</v>
      </c>
      <c r="Q50" s="61">
        <f>IF(P36=EOMONTH('DB1'!$U$27,3*'DB1'!$M$12),$E50,0)</f>
        <v>0</v>
      </c>
      <c r="R50" s="61">
        <f>IF(Q36=EOMONTH('DB1'!$U$27,3*'DB1'!$M$12),$E50,0)</f>
        <v>0</v>
      </c>
      <c r="S50" s="61">
        <f>IF(R36=EOMONTH('DB1'!$U$27,3*'DB1'!$M$12),$E50,0)</f>
        <v>0</v>
      </c>
      <c r="T50" s="61">
        <f>IF(S36=EOMONTH('DB1'!$U$27,3*'DB1'!$M$12),$E50,0)</f>
        <v>0</v>
      </c>
      <c r="U50" s="61">
        <f>IF(T36=EOMONTH('DB1'!$U$27,3*'DB1'!$M$12),$E50,0)</f>
        <v>0</v>
      </c>
      <c r="V50" s="61">
        <f>IF(U36=EOMONTH('DB1'!$U$27,3*'DB1'!$M$12),$E50,0)</f>
        <v>0</v>
      </c>
      <c r="W50" s="61">
        <f>IF(V36=EOMONTH('DB1'!$U$27,3*'DB1'!$M$12),$E50,0)</f>
        <v>0</v>
      </c>
      <c r="X50" s="61">
        <f>IF(W36=EOMONTH('DB1'!$U$27,3*'DB1'!$M$12),$E50,0)</f>
        <v>0</v>
      </c>
      <c r="Y50" s="61">
        <f>IF(X36=EOMONTH('DB1'!$U$27,3*'DB1'!$M$12),$E50,0)</f>
        <v>0</v>
      </c>
      <c r="Z50" s="61">
        <f>IF(Y36=EOMONTH('DB1'!$U$27,3*'DB1'!$M$12),$E50,0)</f>
        <v>0</v>
      </c>
      <c r="AA50" s="61">
        <f>IF(Z36=EOMONTH('DB1'!$U$27,3*'DB1'!$M$12),$E50,0)</f>
        <v>0</v>
      </c>
      <c r="AB50" s="61">
        <f>IF(AA36=EOMONTH('DB1'!$U$27,3*'DB1'!$M$12),$E50,0)</f>
        <v>0</v>
      </c>
      <c r="AC50" s="61">
        <f>IF(AB36=EOMONTH('DB1'!$U$27,3*'DB1'!$M$12),$E50,0)</f>
        <v>0</v>
      </c>
      <c r="AD50" s="61">
        <f>IF(AC36=EOMONTH('DB1'!$U$27,3*'DB1'!$M$12),$E50,0)</f>
        <v>0</v>
      </c>
      <c r="AE50" s="61">
        <f>IF(AD36=EOMONTH('DB1'!$U$27,3*'DB1'!$M$12),$E50,0)</f>
        <v>0</v>
      </c>
      <c r="AF50" s="61">
        <f>IF(AE36=EOMONTH('DB1'!$U$27,3*'DB1'!$M$12),$E50,0)</f>
        <v>0</v>
      </c>
      <c r="AG50" s="61">
        <f>IF(AF36=EOMONTH('DB1'!$U$27,3*'DB1'!$M$12),$E50,0)</f>
        <v>0</v>
      </c>
      <c r="AH50" s="61">
        <f>IF(AG36=EOMONTH('DB1'!$U$27,3*'DB1'!$M$12),$E50,0)</f>
        <v>0</v>
      </c>
      <c r="AI50" s="61">
        <f>IF(AH36=EOMONTH('DB1'!$U$27,3*'DB1'!$M$12),$E50,0)</f>
        <v>0</v>
      </c>
      <c r="AJ50" s="61">
        <f>IF(AI36=EOMONTH('DB1'!$U$27,3*'DB1'!$M$12),$E50,0)</f>
        <v>0</v>
      </c>
      <c r="AK50" s="61">
        <f>IF(AJ36=EOMONTH('DB1'!$U$27,3*'DB1'!$M$12),$E50,0)</f>
        <v>0</v>
      </c>
      <c r="AL50" s="61">
        <f>IF(AK36=EOMONTH('DB1'!$U$27,3*'DB1'!$M$12),$E50,0)</f>
        <v>0</v>
      </c>
      <c r="AM50" s="61">
        <f>IF(AL36=EOMONTH('DB1'!$U$27,3*'DB1'!$M$12),$E50,0)</f>
        <v>0</v>
      </c>
      <c r="AN50" s="61">
        <f>IF(AM36=EOMONTH('DB1'!$U$27,3*'DB1'!$M$12),$E50,0)</f>
        <v>0</v>
      </c>
      <c r="AO50" s="61">
        <f>IF(AN36=EOMONTH('DB1'!$U$27,3*'DB1'!$M$12),$E50,0)</f>
        <v>0</v>
      </c>
      <c r="AP50" s="61">
        <f>IF(AO36=EOMONTH('DB1'!$U$27,3*'DB1'!$M$12),$E50,0)</f>
        <v>0</v>
      </c>
      <c r="AQ50" s="61">
        <f>IF(AP36=EOMONTH('DB1'!$U$27,3*'DB1'!$M$12),$E50,0)</f>
        <v>0</v>
      </c>
      <c r="AR50" s="61">
        <f>IF(AQ36=EOMONTH('DB1'!$U$27,3*'DB1'!$M$12),$E50,0)</f>
        <v>0</v>
      </c>
      <c r="AS50" s="61">
        <f>IF(AR36=EOMONTH('DB1'!$U$27,3*'DB1'!$M$12),$E50,0)</f>
        <v>0</v>
      </c>
      <c r="AT50" s="61">
        <f>IF(AS36=EOMONTH('DB1'!$U$27,3*'DB1'!$M$12),$E50,0)</f>
        <v>0</v>
      </c>
      <c r="AU50" s="61">
        <f>IF(AT36=EOMONTH('DB1'!$U$27,3*'DB1'!$M$12),$E50,0)</f>
        <v>0</v>
      </c>
      <c r="AV50" s="61">
        <f>IF(AU36=EOMONTH('DB1'!$U$27,3*'DB1'!$M$12),$E50,0)</f>
        <v>0</v>
      </c>
      <c r="AW50" s="61">
        <f>IF(AV36=EOMONTH('DB1'!$U$27,3*'DB1'!$M$12),$E50,0)</f>
        <v>0</v>
      </c>
      <c r="AX50" s="61">
        <f>IF(AW36=EOMONTH('DB1'!$U$27,3*'DB1'!$M$12),$E50,0)</f>
        <v>0</v>
      </c>
      <c r="AY50" s="61">
        <f>IF(AX36=EOMONTH('DB1'!$U$27,3*'DB1'!$M$12),$E50,0)</f>
        <v>0</v>
      </c>
      <c r="AZ50" s="61">
        <f>IF(AY36=EOMONTH('DB1'!$U$27,3*'DB1'!$M$12),$E50,0)</f>
        <v>0</v>
      </c>
      <c r="BA50" s="61">
        <f>IF(AZ36=EOMONTH('DB1'!$U$27,3*'DB1'!$M$12),$E50,0)</f>
        <v>0</v>
      </c>
      <c r="BB50" s="61">
        <f>IF(BA36=EOMONTH('DB1'!$U$27,3*'DB1'!$M$12),$E50,0)</f>
        <v>0</v>
      </c>
      <c r="BC50" s="61">
        <f>IF(BB36=EOMONTH('DB1'!$U$27,3*'DB1'!$M$12),$E50,0)</f>
        <v>0</v>
      </c>
      <c r="BD50" s="61">
        <f>IF(BC36=EOMONTH('DB1'!$U$27,3*'DB1'!$M$12),$E50,0)</f>
        <v>0</v>
      </c>
      <c r="BE50" s="61">
        <f>IF(BD36=EOMONTH('DB1'!$U$27,3*'DB1'!$M$12),$E50,0)</f>
        <v>0</v>
      </c>
      <c r="BF50" s="61">
        <f>IF(BE36=EOMONTH('DB1'!$U$27,3*'DB1'!$M$12),$E50,0)</f>
        <v>0</v>
      </c>
      <c r="BG50" s="61">
        <f>IF(BF36=EOMONTH('DB1'!$U$27,3*'DB1'!$M$12),$E50,0)</f>
        <v>0</v>
      </c>
      <c r="BH50" s="61">
        <f>IF(BG36=EOMONTH('DB1'!$U$27,3*'DB1'!$M$12),$E50,0)</f>
        <v>0</v>
      </c>
      <c r="BI50" s="61">
        <f>IF(BH36=EOMONTH('DB1'!$U$27,3*'DB1'!$M$12),$E50,0)</f>
        <v>0</v>
      </c>
      <c r="BJ50" s="61">
        <f>IF(BI36=EOMONTH('DB1'!$U$27,3*'DB1'!$M$12),$E50,0)</f>
        <v>0</v>
      </c>
      <c r="BK50" s="61">
        <f>IF(BJ36=EOMONTH('DB1'!$U$27,3*'DB1'!$M$12),$E50,0)</f>
        <v>0</v>
      </c>
      <c r="BL50" s="61">
        <f>IF(BK36=EOMONTH('DB1'!$U$27,3*'DB1'!$M$12),$E50,0)</f>
        <v>0</v>
      </c>
      <c r="BM50" s="61">
        <f>IF(BL36=EOMONTH('DB1'!$U$27,3*'DB1'!$M$12),$E50,0)</f>
        <v>0</v>
      </c>
    </row>
    <row r="51" spans="2:65" s="188" customFormat="1">
      <c r="B51" s="185"/>
      <c r="C51" s="186"/>
      <c r="D51" s="186"/>
      <c r="E51" s="186"/>
      <c r="F51" s="187">
        <f t="shared" ref="F51:AK51" si="82">IFERROR(F50/$E$50,0)</f>
        <v>0</v>
      </c>
      <c r="G51" s="187">
        <f t="shared" si="82"/>
        <v>0</v>
      </c>
      <c r="H51" s="187">
        <f t="shared" si="82"/>
        <v>0</v>
      </c>
      <c r="I51" s="187">
        <f t="shared" si="82"/>
        <v>0</v>
      </c>
      <c r="J51" s="187">
        <f t="shared" si="82"/>
        <v>0</v>
      </c>
      <c r="K51" s="187">
        <f t="shared" si="82"/>
        <v>0</v>
      </c>
      <c r="L51" s="187">
        <f t="shared" si="82"/>
        <v>0</v>
      </c>
      <c r="M51" s="187">
        <f t="shared" si="82"/>
        <v>0</v>
      </c>
      <c r="N51" s="187">
        <f t="shared" si="82"/>
        <v>0</v>
      </c>
      <c r="O51" s="187">
        <f t="shared" si="82"/>
        <v>0</v>
      </c>
      <c r="P51" s="187">
        <f t="shared" si="82"/>
        <v>0</v>
      </c>
      <c r="Q51" s="187">
        <f t="shared" si="82"/>
        <v>0</v>
      </c>
      <c r="R51" s="187">
        <f t="shared" si="82"/>
        <v>0</v>
      </c>
      <c r="S51" s="187">
        <f t="shared" si="82"/>
        <v>0</v>
      </c>
      <c r="T51" s="187">
        <f t="shared" si="82"/>
        <v>0</v>
      </c>
      <c r="U51" s="187">
        <f t="shared" si="82"/>
        <v>0</v>
      </c>
      <c r="V51" s="187">
        <f t="shared" si="82"/>
        <v>0</v>
      </c>
      <c r="W51" s="187">
        <f t="shared" si="82"/>
        <v>0</v>
      </c>
      <c r="X51" s="187">
        <f t="shared" si="82"/>
        <v>0</v>
      </c>
      <c r="Y51" s="187">
        <f t="shared" si="82"/>
        <v>0</v>
      </c>
      <c r="Z51" s="187">
        <f t="shared" si="82"/>
        <v>0</v>
      </c>
      <c r="AA51" s="187">
        <f t="shared" si="82"/>
        <v>0</v>
      </c>
      <c r="AB51" s="187">
        <f t="shared" si="82"/>
        <v>0</v>
      </c>
      <c r="AC51" s="187">
        <f t="shared" si="82"/>
        <v>0</v>
      </c>
      <c r="AD51" s="187">
        <f t="shared" si="82"/>
        <v>0</v>
      </c>
      <c r="AE51" s="187">
        <f t="shared" si="82"/>
        <v>0</v>
      </c>
      <c r="AF51" s="187">
        <f t="shared" si="82"/>
        <v>0</v>
      </c>
      <c r="AG51" s="187">
        <f t="shared" si="82"/>
        <v>0</v>
      </c>
      <c r="AH51" s="187">
        <f t="shared" si="82"/>
        <v>0</v>
      </c>
      <c r="AI51" s="187">
        <f t="shared" si="82"/>
        <v>0</v>
      </c>
      <c r="AJ51" s="187">
        <f t="shared" si="82"/>
        <v>0</v>
      </c>
      <c r="AK51" s="187">
        <f t="shared" si="82"/>
        <v>0</v>
      </c>
      <c r="AL51" s="187">
        <f t="shared" ref="AL51:BM51" si="83">IFERROR(AL50/$E$50,0)</f>
        <v>0</v>
      </c>
      <c r="AM51" s="187">
        <f t="shared" si="83"/>
        <v>0</v>
      </c>
      <c r="AN51" s="187">
        <f t="shared" si="83"/>
        <v>0</v>
      </c>
      <c r="AO51" s="187">
        <f t="shared" si="83"/>
        <v>0</v>
      </c>
      <c r="AP51" s="187">
        <f t="shared" si="83"/>
        <v>0</v>
      </c>
      <c r="AQ51" s="187">
        <f t="shared" si="83"/>
        <v>0</v>
      </c>
      <c r="AR51" s="187">
        <f t="shared" si="83"/>
        <v>0</v>
      </c>
      <c r="AS51" s="187">
        <f t="shared" si="83"/>
        <v>0</v>
      </c>
      <c r="AT51" s="187">
        <f t="shared" si="83"/>
        <v>0</v>
      </c>
      <c r="AU51" s="187">
        <f t="shared" si="83"/>
        <v>0</v>
      </c>
      <c r="AV51" s="187">
        <f t="shared" si="83"/>
        <v>0</v>
      </c>
      <c r="AW51" s="187">
        <f t="shared" si="83"/>
        <v>0</v>
      </c>
      <c r="AX51" s="187">
        <f t="shared" si="83"/>
        <v>0</v>
      </c>
      <c r="AY51" s="187">
        <f t="shared" si="83"/>
        <v>0</v>
      </c>
      <c r="AZ51" s="187">
        <f t="shared" si="83"/>
        <v>0</v>
      </c>
      <c r="BA51" s="187">
        <f t="shared" si="83"/>
        <v>0</v>
      </c>
      <c r="BB51" s="187">
        <f t="shared" si="83"/>
        <v>0</v>
      </c>
      <c r="BC51" s="187">
        <f t="shared" si="83"/>
        <v>0</v>
      </c>
      <c r="BD51" s="187">
        <f t="shared" si="83"/>
        <v>0</v>
      </c>
      <c r="BE51" s="187">
        <f t="shared" si="83"/>
        <v>0</v>
      </c>
      <c r="BF51" s="187">
        <f t="shared" si="83"/>
        <v>0</v>
      </c>
      <c r="BG51" s="187">
        <f t="shared" si="83"/>
        <v>0</v>
      </c>
      <c r="BH51" s="187">
        <f t="shared" si="83"/>
        <v>0</v>
      </c>
      <c r="BI51" s="187">
        <f t="shared" si="83"/>
        <v>0</v>
      </c>
      <c r="BJ51" s="187">
        <f t="shared" si="83"/>
        <v>0</v>
      </c>
      <c r="BK51" s="187">
        <f t="shared" si="83"/>
        <v>0</v>
      </c>
      <c r="BL51" s="187">
        <f t="shared" si="83"/>
        <v>0</v>
      </c>
      <c r="BM51" s="187">
        <f t="shared" si="83"/>
        <v>0</v>
      </c>
    </row>
    <row r="52" spans="2:65">
      <c r="B52" s="55" t="str">
        <f>'DB1'!B16</f>
        <v>ПАРКИНГ ЖИЛЬЕ</v>
      </c>
      <c r="C52" s="59">
        <f>EOMONTH(_xlfn.MINIFS($F$36:$AS$36,$F52:$AS52,"&gt;0"),-3)+1</f>
        <v>46296</v>
      </c>
      <c r="D52" s="59">
        <f>_xlfn.MAXIFS($F$36:$AS$36,$F52:$AS52,"&gt;0")</f>
        <v>48121</v>
      </c>
      <c r="E52" s="60">
        <f>'DB1'!J16</f>
        <v>599</v>
      </c>
      <c r="F52" s="61"/>
      <c r="G52" s="61">
        <f>IF(SUM($F40:G40)=$E40,$E52-SUM($F52:F52),IF((SUM($F52:F52)+ROUND(G40/$E40*$E52,0))&gt;$E52,$E52-SUM($F52:F52),ROUND(G40/$E40*$E52,0)))</f>
        <v>0</v>
      </c>
      <c r="H52" s="61">
        <f>IF(SUM($F40:H40)=$E40,$E52-SUM($F52:G52),IF((SUM($F52:G52)+ROUND(H40/$E40*$E52,0))&gt;$E52,$E52-SUM($F52:G52),ROUND(H40/$E40*$E52,0)))</f>
        <v>0</v>
      </c>
      <c r="I52" s="61">
        <f>IF(SUM($F40:I40)=$E40,$E52-SUM($F52:H52),IF((SUM($F52:H52)+ROUND(I40/$E40*$E52,0))&gt;$E52,$E52-SUM($F52:H52),ROUND(I40/$E40*$E52,0)))</f>
        <v>0</v>
      </c>
      <c r="J52" s="61">
        <f>IF(SUM($F40:J40)=$E40,$E52-SUM($F52:I52),IF((SUM($F52:I52)+ROUND(J40/$E40*$E52,0))&gt;$E52,$E52-SUM($F52:I52),ROUND(J40/$E40*$E52,0)))</f>
        <v>0</v>
      </c>
      <c r="K52" s="61">
        <f>IF(SUM($F40:K40)=$E40,$E52-SUM($F52:J52),IF((SUM($F52:J52)+ROUND(K40/$E40*$E52,0))&gt;$E52,$E52-SUM($F52:J52),ROUND(K40/$E40*$E52,0)))</f>
        <v>0</v>
      </c>
      <c r="L52" s="61">
        <f>IF(SUM($F40:L40)=$E40,$E52-SUM($F52:K52),IF((SUM($F52:K52)+ROUND(L40/$E40*$E52,0))&gt;$E52,$E52-SUM($F52:K52),ROUND(L40/$E40*$E52,0)))</f>
        <v>0</v>
      </c>
      <c r="M52" s="61">
        <f>IF(SUM($F40:M40)=$E40,$E52-SUM($F52:L52),IF((SUM($F52:L52)+ROUND(M40/$E40*$E52,0))&gt;$E52,$E52-SUM($F52:L52),ROUND(M40/$E40*$E52,0)))</f>
        <v>0</v>
      </c>
      <c r="N52" s="61">
        <f>IF(SUM($F40:N40)=$E40,$E52-SUM($F52:M52),IF((SUM($F52:M52)+ROUND(N40/$E40*$E52,0))&gt;$E52,$E52-SUM($F52:M52),ROUND(N40/$E40*$E52,0)))</f>
        <v>0</v>
      </c>
      <c r="O52" s="61">
        <f>IF(SUM($F40:O40)=$E40,$E52-SUM($F52:N52),IF((SUM($F52:N52)+ROUND(O40/$E40*$E52,0))&gt;$E52,$E52-SUM($F52:N52),ROUND(O40/$E40*$E52,0)))</f>
        <v>0</v>
      </c>
      <c r="P52" s="61">
        <f>IF(SUM($F40:P40)=$E40,$E52-SUM($F52:O52),IF((SUM($F52:O52)+ROUND(P40/$E40*$E52,0))&gt;$E52,$E52-SUM($F52:O52),ROUND(P40/$E40*$E52,0)))</f>
        <v>0</v>
      </c>
      <c r="Q52" s="61">
        <f>IF(SUM($F40:Q40)=$E40,$E52-SUM($F52:P52),IF((SUM($F52:P52)+ROUND(Q40/$E40*$E52,0))&gt;$E52,$E52-SUM($F52:P52),ROUND(Q40/$E40*$E52,0)))</f>
        <v>0</v>
      </c>
      <c r="R52" s="61">
        <f>IF(SUM($F40:R40)=$E40,$E52-SUM($F52:Q52),IF((SUM($F52:Q52)+ROUND(R40/$E40*$E52,0))&gt;$E52,$E52-SUM($F52:Q52),ROUND(R40/$E40*$E52,0)))</f>
        <v>0</v>
      </c>
      <c r="S52" s="61">
        <f>IF(SUM($F40:S40)=$E40,$E52-SUM($F52:R52),IF((SUM($F52:R52)+ROUND(S40/$E40*$E52,0))&gt;$E52,$E52-SUM($F52:R52),ROUND(S40/$E40*$E52,0)))</f>
        <v>0</v>
      </c>
      <c r="T52" s="61">
        <f>IF(SUM($F40:T40)=$E40,$E52-SUM($F52:S52),IF((SUM($F52:S52)+ROUND(T40/$E40*$E52,0))&gt;$E52,$E52-SUM($F52:S52),ROUND(T40/$E40*$E52,0)))</f>
        <v>30</v>
      </c>
      <c r="U52" s="61">
        <f>IF(SUM($F40:U40)=$E40,$E52-SUM($F52:T52),IF((SUM($F52:T52)+ROUND(U40/$E40*$E52,0))&gt;$E52,$E52-SUM($F52:T52),ROUND(U40/$E40*$E52,0)))</f>
        <v>30</v>
      </c>
      <c r="V52" s="61">
        <f>IF(SUM($F40:V40)=$E40,$E52-SUM($F52:U52),IF((SUM($F52:U52)+ROUND(V40/$E40*$E52,0))&gt;$E52,$E52-SUM($F52:U52),ROUND(V40/$E40*$E52,0)))</f>
        <v>30</v>
      </c>
      <c r="W52" s="61">
        <f>IF(SUM($F40:W40)=$E40,$E52-SUM($F52:V52),IF((SUM($F52:V52)+ROUND(W40/$E40*$E52,0))&gt;$E52,$E52-SUM($F52:V52),ROUND(W40/$E40*$E52,0)))</f>
        <v>30</v>
      </c>
      <c r="X52" s="61">
        <f>IF(SUM($F40:X40)=$E40,$E52-SUM($F52:W52),IF((SUM($F52:W52)+ROUND(X40/$E40*$E52,0))&gt;$E52,$E52-SUM($F52:W52),ROUND(X40/$E40*$E52,0)))</f>
        <v>30</v>
      </c>
      <c r="Y52" s="61">
        <f>IF(SUM($F40:Y40)=$E40,$E52-SUM($F52:X52),IF((SUM($F52:X52)+ROUND(Y40/$E40*$E52,0))&gt;$E52,$E52-SUM($F52:X52),ROUND(Y40/$E40*$E52,0)))</f>
        <v>30</v>
      </c>
      <c r="Z52" s="61">
        <f>IF(SUM($F40:Z40)=$E40,$E52-SUM($F52:Y52),IF((SUM($F52:Y52)+ROUND(Z40/$E40*$E52,0))&gt;$E52,$E52-SUM($F52:Y52),ROUND(Z40/$E40*$E52,0)))</f>
        <v>30</v>
      </c>
      <c r="AA52" s="61">
        <f>IF(SUM($F40:AA40)=$E40,$E52-SUM($F52:Z52),IF((SUM($F52:Z52)+ROUND(AA40/$E40*$E52,0))&gt;$E52,$E52-SUM($F52:Z52),ROUND(AA40/$E40*$E52,0)))</f>
        <v>30</v>
      </c>
      <c r="AB52" s="61">
        <f>IF(SUM($F40:AB40)=$E40,$E52-SUM($F52:AA52),IF((SUM($F52:AA52)+ROUND(AB40/$E40*$E52,0))&gt;$E52,$E52-SUM($F52:AA52),ROUND(AB40/$E40*$E52,0)))</f>
        <v>30</v>
      </c>
      <c r="AC52" s="61">
        <f>IF(SUM($F40:AC40)=$E40,$E52-SUM($F52:AB52),IF((SUM($F52:AB52)+ROUND(AC40/$E40*$E52,0))&gt;$E52,$E52-SUM($F52:AB52),ROUND(AC40/$E40*$E52,0)))</f>
        <v>30</v>
      </c>
      <c r="AD52" s="61">
        <f>IF(SUM($F40:AD40)=$E40,$E52-SUM($F52:AC52),IF((SUM($F52:AC52)+ROUND(AD40/$E40*$E52,0))&gt;$E52,$E52-SUM($F52:AC52),ROUND(AD40/$E40*$E52,0)))</f>
        <v>30</v>
      </c>
      <c r="AE52" s="61">
        <f>IF(SUM($F40:AE40)=$E40,$E52-SUM($F52:AD52),IF((SUM($F52:AD52)+ROUND(AE40/$E40*$E52,0))&gt;$E52,$E52-SUM($F52:AD52),ROUND(AE40/$E40*$E52,0)))</f>
        <v>30</v>
      </c>
      <c r="AF52" s="61">
        <f>IF(SUM($F40:AF40)=$E40,$E52-SUM($F52:AE52),IF((SUM($F52:AE52)+ROUND(AF40/$E40*$E52,0))&gt;$E52,$E52-SUM($F52:AE52),ROUND(AF40/$E40*$E52,0)))</f>
        <v>30</v>
      </c>
      <c r="AG52" s="61">
        <f>IF(SUM($F40:AG40)=$E40,$E52-SUM($F52:AF52),IF((SUM($F52:AF52)+ROUND(AG40/$E40*$E52,0))&gt;$E52,$E52-SUM($F52:AF52),ROUND(AG40/$E40*$E52,0)))</f>
        <v>30</v>
      </c>
      <c r="AH52" s="61">
        <f>IF(SUM($F40:AH40)=$E40,$E52-SUM($F52:AG52),IF((SUM($F52:AG52)+ROUND(AH40/$E40*$E52,0))&gt;$E52,$E52-SUM($F52:AG52),ROUND(AH40/$E40*$E52,0)))</f>
        <v>30</v>
      </c>
      <c r="AI52" s="61">
        <f>IF(SUM($F40:AI40)=$E40,$E52-SUM($F52:AH52),IF((SUM($F52:AH52)+ROUND(AI40/$E40*$E52,0))&gt;$E52,$E52-SUM($F52:AH52),ROUND(AI40/$E40*$E52,0)))</f>
        <v>30</v>
      </c>
      <c r="AJ52" s="61">
        <f>IF(SUM($F40:AJ40)=$E40,$E52-SUM($F52:AI52),IF((SUM($F52:AI52)+ROUND(AJ40/$E40*$E52,0))&gt;$E52,$E52-SUM($F52:AI52),ROUND(AJ40/$E40*$E52,0)))</f>
        <v>30</v>
      </c>
      <c r="AK52" s="61">
        <f>IF(SUM($F40:AK40)=$E40,$E52-SUM($F52:AJ52),IF((SUM($F52:AJ52)+ROUND(AK40/$E40*$E52,0))&gt;$E52,$E52-SUM($F52:AJ52),ROUND(AK40/$E40*$E52,0)))</f>
        <v>30</v>
      </c>
      <c r="AL52" s="61">
        <f>IF(SUM($F40:AL40)=$E40,$E52-SUM($F52:AK52),IF((SUM($F52:AK52)+ROUND(AL40/$E40*$E52,0))&gt;$E52,$E52-SUM($F52:AK52),ROUND(AL40/$E40*$E52,0)))</f>
        <v>30</v>
      </c>
      <c r="AM52" s="61">
        <f>IF(SUM($F40:AM40)=$E40,$E52-SUM($F52:AL52),IF((SUM($F52:AL52)+ROUND(AM40/$E40*$E52,0))&gt;$E52,$E52-SUM($F52:AL52),ROUND(AM40/$E40*$E52,0)))</f>
        <v>29</v>
      </c>
      <c r="AN52" s="61">
        <f>IF(SUM($F40:AN40)=$E40,$E52-SUM($F52:AM52),IF((SUM($F52:AM52)+ROUND(AN40/$E40*$E52,0))&gt;$E52,$E52-SUM($F52:AM52),ROUND(AN40/$E40*$E52,0)))</f>
        <v>0</v>
      </c>
      <c r="AO52" s="61">
        <f>IF(SUM($F40:AO40)=$E40,$E52-SUM($F52:AN52),IF((SUM($F52:AN52)+ROUND(AO40/$E40*$E52,0))&gt;$E52,$E52-SUM($F52:AN52),ROUND(AO40/$E40*$E52,0)))</f>
        <v>0</v>
      </c>
      <c r="AP52" s="61">
        <f>IF(SUM($F40:AP40)=$E40,$E52-SUM($F52:AO52),IF((SUM($F52:AO52)+ROUND(AP40/$E40*$E52,0))&gt;$E52,$E52-SUM($F52:AO52),ROUND(AP40/$E40*$E52,0)))</f>
        <v>0</v>
      </c>
      <c r="AQ52" s="61">
        <f>IF(SUM($F40:AQ40)=$E40,$E52-SUM($F52:AP52),IF((SUM($F52:AP52)+ROUND(AQ40/$E40*$E52,0))&gt;$E52,$E52-SUM($F52:AP52),ROUND(AQ40/$E40*$E52,0)))</f>
        <v>0</v>
      </c>
      <c r="AR52" s="61">
        <f>IF(SUM($F40:AR40)=$E40,$E52-SUM($F52:AQ52),IF((SUM($F52:AQ52)+ROUND(AR40/$E40*$E52,0))&gt;$E52,$E52-SUM($F52:AQ52),ROUND(AR40/$E40*$E52,0)))</f>
        <v>0</v>
      </c>
      <c r="AS52" s="61">
        <f>IF(SUM($F40:AS40)=$E40,$E52-SUM($F52:AR52),IF((SUM($F52:AR52)+ROUND(AS40/$E40*$E52,0))&gt;$E52,$E52-SUM($F52:AR52),ROUND(AS40/$E40*$E52,0)))</f>
        <v>0</v>
      </c>
      <c r="AT52" s="61">
        <f>IF(SUM($F40:AT40)=$E40,$E52-SUM($F52:AS52),IF((SUM($F52:AS52)+ROUND(AT40/$E40*$E52,0))&gt;$E52,$E52-SUM($F52:AS52),ROUND(AT40/$E40*$E52,0)))</f>
        <v>0</v>
      </c>
      <c r="AU52" s="61">
        <f>IF(SUM($F40:AU40)=$E40,$E52-SUM($F52:AT52),IF((SUM($F52:AT52)+ROUND(AU40/$E40*$E52,0))&gt;$E52,$E52-SUM($F52:AT52),ROUND(AU40/$E40*$E52,0)))</f>
        <v>0</v>
      </c>
      <c r="AV52" s="61">
        <f>IF(SUM($F40:AV40)=$E40,$E52-SUM($F52:AU52),IF((SUM($F52:AU52)+ROUND(AV40/$E40*$E52,0))&gt;$E52,$E52-SUM($F52:AU52),ROUND(AV40/$E40*$E52,0)))</f>
        <v>0</v>
      </c>
      <c r="AW52" s="61">
        <f>IF(SUM($F40:AW40)=$E40,$E52-SUM($F52:AV52),IF((SUM($F52:AV52)+ROUND(AW40/$E40*$E52,0))&gt;$E52,$E52-SUM($F52:AV52),ROUND(AW40/$E40*$E52,0)))</f>
        <v>0</v>
      </c>
      <c r="AX52" s="61">
        <f>IF(SUM($F40:AX40)=$E40,$E52-SUM($F52:AW52),IF((SUM($F52:AW52)+ROUND(AX40/$E40*$E52,0))&gt;$E52,$E52-SUM($F52:AW52),ROUND(AX40/$E40*$E52,0)))</f>
        <v>0</v>
      </c>
      <c r="AY52" s="61">
        <f>IF(SUM($F40:AY40)=$E40,$E52-SUM($F52:AX52),IF((SUM($F52:AX52)+ROUND(AY40/$E40*$E52,0))&gt;$E52,$E52-SUM($F52:AX52),ROUND(AY40/$E40*$E52,0)))</f>
        <v>0</v>
      </c>
      <c r="AZ52" s="61">
        <f>IF(SUM($F40:AZ40)=$E40,$E52-SUM($F52:AY52),IF((SUM($F52:AY52)+ROUND(AZ40/$E40*$E52,0))&gt;$E52,$E52-SUM($F52:AY52),ROUND(AZ40/$E40*$E52,0)))</f>
        <v>0</v>
      </c>
      <c r="BA52" s="61">
        <f>IF(SUM($F40:BA40)=$E40,$E52-SUM($F52:AZ52),IF((SUM($F52:AZ52)+ROUND(BA40/$E40*$E52,0))&gt;$E52,$E52-SUM($F52:AZ52),ROUND(BA40/$E40*$E52,0)))</f>
        <v>0</v>
      </c>
      <c r="BB52" s="61">
        <f>IF(SUM($F40:BB40)=$E40,$E52-SUM($F52:BA52),IF((SUM($F52:BA52)+ROUND(BB40/$E40*$E52,0))&gt;$E52,$E52-SUM($F52:BA52),ROUND(BB40/$E40*$E52,0)))</f>
        <v>0</v>
      </c>
      <c r="BC52" s="61">
        <f>IF(SUM($F40:BC40)=$E40,$E52-SUM($F52:BB52),IF((SUM($F52:BB52)+ROUND(BC40/$E40*$E52,0))&gt;$E52,$E52-SUM($F52:BB52),ROUND(BC40/$E40*$E52,0)))</f>
        <v>0</v>
      </c>
      <c r="BD52" s="61">
        <f>IF(SUM($F40:BD40)=$E40,$E52-SUM($F52:BC52),IF((SUM($F52:BC52)+ROUND(BD40/$E40*$E52,0))&gt;$E52,$E52-SUM($F52:BC52),ROUND(BD40/$E40*$E52,0)))</f>
        <v>0</v>
      </c>
      <c r="BE52" s="61">
        <f>IF(SUM($F40:BE40)=$E40,$E52-SUM($F52:BD52),IF((SUM($F52:BD52)+ROUND(BE40/$E40*$E52,0))&gt;$E52,$E52-SUM($F52:BD52),ROUND(BE40/$E40*$E52,0)))</f>
        <v>0</v>
      </c>
      <c r="BF52" s="61">
        <f>IF(SUM($F40:BF40)=$E40,$E52-SUM($F52:BE52),IF((SUM($F52:BE52)+ROUND(BF40/$E40*$E52,0))&gt;$E52,$E52-SUM($F52:BE52),ROUND(BF40/$E40*$E52,0)))</f>
        <v>0</v>
      </c>
      <c r="BG52" s="61">
        <f>IF(SUM($F40:BG40)=$E40,$E52-SUM($F52:BF52),IF((SUM($F52:BF52)+ROUND(BG40/$E40*$E52,0))&gt;$E52,$E52-SUM($F52:BF52),ROUND(BG40/$E40*$E52,0)))</f>
        <v>0</v>
      </c>
      <c r="BH52" s="61">
        <f>IF(SUM($F40:BH40)=$E40,$E52-SUM($F52:BG52),IF((SUM($F52:BG52)+ROUND(BH40/$E40*$E52,0))&gt;$E52,$E52-SUM($F52:BG52),ROUND(BH40/$E40*$E52,0)))</f>
        <v>0</v>
      </c>
      <c r="BI52" s="61">
        <f>IF(SUM($F40:BI40)=$E40,$E52-SUM($F52:BH52),IF((SUM($F52:BH52)+ROUND(BI40/$E40*$E52,0))&gt;$E52,$E52-SUM($F52:BH52),ROUND(BI40/$E40*$E52,0)))</f>
        <v>0</v>
      </c>
      <c r="BJ52" s="61">
        <f>IF(SUM($F40:BJ40)=$E40,$E52-SUM($F52:BI52),IF((SUM($F52:BI52)+ROUND(BJ40/$E40*$E52,0))&gt;$E52,$E52-SUM($F52:BI52),ROUND(BJ40/$E40*$E52,0)))</f>
        <v>0</v>
      </c>
      <c r="BK52" s="61">
        <f>IF(SUM($F40:BK40)=$E40,$E52-SUM($F52:BJ52),IF((SUM($F52:BJ52)+ROUND(BK40/$E40*$E52,0))&gt;$E52,$E52-SUM($F52:BJ52),ROUND(BK40/$E40*$E52,0)))</f>
        <v>0</v>
      </c>
      <c r="BL52" s="61">
        <f>IF(SUM($F40:BL40)=$E40,$E52-SUM($F52:BK52),IF((SUM($F52:BK52)+ROUND(BL40/$E40*$E52,0))&gt;$E52,$E52-SUM($F52:BK52),ROUND(BL40/$E40*$E52,0)))</f>
        <v>0</v>
      </c>
      <c r="BM52" s="61">
        <f>IF(SUM($F40:BM40)=$E40,$E52-SUM($F52:BL52),IF((SUM($F52:BL52)+ROUND(BM40/$E40*$E52,0))&gt;$E52,$E52-SUM($F52:BL52),ROUND(BM40/$E40*$E52,0)))</f>
        <v>0</v>
      </c>
    </row>
    <row r="53" spans="2:65" s="188" customFormat="1">
      <c r="B53" s="185"/>
      <c r="C53" s="186"/>
      <c r="D53" s="186"/>
      <c r="E53" s="186"/>
      <c r="F53" s="187">
        <f t="shared" ref="F53:N53" si="84">F52/$E$52</f>
        <v>0</v>
      </c>
      <c r="G53" s="187">
        <f t="shared" si="84"/>
        <v>0</v>
      </c>
      <c r="H53" s="187">
        <f t="shared" si="84"/>
        <v>0</v>
      </c>
      <c r="I53" s="187">
        <f t="shared" si="84"/>
        <v>0</v>
      </c>
      <c r="J53" s="187">
        <f t="shared" si="84"/>
        <v>0</v>
      </c>
      <c r="K53" s="187">
        <f t="shared" si="84"/>
        <v>0</v>
      </c>
      <c r="L53" s="187">
        <f t="shared" si="84"/>
        <v>0</v>
      </c>
      <c r="M53" s="187">
        <f t="shared" si="84"/>
        <v>0</v>
      </c>
      <c r="N53" s="187">
        <f t="shared" si="84"/>
        <v>0</v>
      </c>
      <c r="O53" s="187">
        <f t="shared" ref="O53:AT53" si="85">O52/$E$52</f>
        <v>0</v>
      </c>
      <c r="P53" s="187">
        <f t="shared" si="85"/>
        <v>0</v>
      </c>
      <c r="Q53" s="187">
        <f t="shared" si="85"/>
        <v>0</v>
      </c>
      <c r="R53" s="187">
        <f t="shared" si="85"/>
        <v>0</v>
      </c>
      <c r="S53" s="187">
        <f t="shared" si="85"/>
        <v>0</v>
      </c>
      <c r="T53" s="187">
        <f t="shared" si="85"/>
        <v>5.0083472454090151E-2</v>
      </c>
      <c r="U53" s="187">
        <f t="shared" si="85"/>
        <v>5.0083472454090151E-2</v>
      </c>
      <c r="V53" s="187">
        <f t="shared" si="85"/>
        <v>5.0083472454090151E-2</v>
      </c>
      <c r="W53" s="187">
        <f t="shared" si="85"/>
        <v>5.0083472454090151E-2</v>
      </c>
      <c r="X53" s="187">
        <f t="shared" si="85"/>
        <v>5.0083472454090151E-2</v>
      </c>
      <c r="Y53" s="187">
        <f t="shared" si="85"/>
        <v>5.0083472454090151E-2</v>
      </c>
      <c r="Z53" s="187">
        <f t="shared" si="85"/>
        <v>5.0083472454090151E-2</v>
      </c>
      <c r="AA53" s="187">
        <f t="shared" si="85"/>
        <v>5.0083472454090151E-2</v>
      </c>
      <c r="AB53" s="187">
        <f t="shared" si="85"/>
        <v>5.0083472454090151E-2</v>
      </c>
      <c r="AC53" s="187">
        <f t="shared" si="85"/>
        <v>5.0083472454090151E-2</v>
      </c>
      <c r="AD53" s="187">
        <f t="shared" si="85"/>
        <v>5.0083472454090151E-2</v>
      </c>
      <c r="AE53" s="187">
        <f t="shared" si="85"/>
        <v>5.0083472454090151E-2</v>
      </c>
      <c r="AF53" s="187">
        <f t="shared" si="85"/>
        <v>5.0083472454090151E-2</v>
      </c>
      <c r="AG53" s="187">
        <f t="shared" si="85"/>
        <v>5.0083472454090151E-2</v>
      </c>
      <c r="AH53" s="187">
        <f t="shared" si="85"/>
        <v>5.0083472454090151E-2</v>
      </c>
      <c r="AI53" s="187">
        <f t="shared" si="85"/>
        <v>5.0083472454090151E-2</v>
      </c>
      <c r="AJ53" s="187">
        <f t="shared" si="85"/>
        <v>5.0083472454090151E-2</v>
      </c>
      <c r="AK53" s="187">
        <f t="shared" si="85"/>
        <v>5.0083472454090151E-2</v>
      </c>
      <c r="AL53" s="187">
        <f t="shared" si="85"/>
        <v>5.0083472454090151E-2</v>
      </c>
      <c r="AM53" s="187">
        <f t="shared" si="85"/>
        <v>4.8414023372287146E-2</v>
      </c>
      <c r="AN53" s="187">
        <f t="shared" si="85"/>
        <v>0</v>
      </c>
      <c r="AO53" s="187">
        <f t="shared" si="85"/>
        <v>0</v>
      </c>
      <c r="AP53" s="187">
        <f t="shared" si="85"/>
        <v>0</v>
      </c>
      <c r="AQ53" s="187">
        <f t="shared" si="85"/>
        <v>0</v>
      </c>
      <c r="AR53" s="187">
        <f t="shared" si="85"/>
        <v>0</v>
      </c>
      <c r="AS53" s="187">
        <f t="shared" si="85"/>
        <v>0</v>
      </c>
      <c r="AT53" s="187">
        <f t="shared" si="85"/>
        <v>0</v>
      </c>
      <c r="AU53" s="187">
        <f t="shared" ref="AU53:BM53" si="86">AU52/$E$52</f>
        <v>0</v>
      </c>
      <c r="AV53" s="187">
        <f t="shared" si="86"/>
        <v>0</v>
      </c>
      <c r="AW53" s="187">
        <f t="shared" si="86"/>
        <v>0</v>
      </c>
      <c r="AX53" s="187">
        <f t="shared" si="86"/>
        <v>0</v>
      </c>
      <c r="AY53" s="187">
        <f t="shared" si="86"/>
        <v>0</v>
      </c>
      <c r="AZ53" s="187">
        <f t="shared" si="86"/>
        <v>0</v>
      </c>
      <c r="BA53" s="187">
        <f t="shared" si="86"/>
        <v>0</v>
      </c>
      <c r="BB53" s="187">
        <f t="shared" si="86"/>
        <v>0</v>
      </c>
      <c r="BC53" s="187">
        <f t="shared" si="86"/>
        <v>0</v>
      </c>
      <c r="BD53" s="187">
        <f t="shared" si="86"/>
        <v>0</v>
      </c>
      <c r="BE53" s="187">
        <f t="shared" si="86"/>
        <v>0</v>
      </c>
      <c r="BF53" s="187">
        <f t="shared" si="86"/>
        <v>0</v>
      </c>
      <c r="BG53" s="187">
        <f t="shared" si="86"/>
        <v>0</v>
      </c>
      <c r="BH53" s="187">
        <f t="shared" si="86"/>
        <v>0</v>
      </c>
      <c r="BI53" s="187">
        <f t="shared" si="86"/>
        <v>0</v>
      </c>
      <c r="BJ53" s="187">
        <f t="shared" si="86"/>
        <v>0</v>
      </c>
      <c r="BK53" s="187">
        <f t="shared" si="86"/>
        <v>0</v>
      </c>
      <c r="BL53" s="187">
        <f t="shared" si="86"/>
        <v>0</v>
      </c>
      <c r="BM53" s="187">
        <f t="shared" si="86"/>
        <v>0</v>
      </c>
    </row>
    <row r="54" spans="2:65">
      <c r="B54" s="55" t="s">
        <v>132</v>
      </c>
      <c r="C54" s="59">
        <f>IFERROR(EOMONTH(_xlfn.MINIFS($F$36:$AS$36,$F54:$AS54,"&gt;0"),-3)+1,0)</f>
        <v>0</v>
      </c>
      <c r="D54" s="59">
        <f>_xlfn.MAXIFS($F$36:$AS$36,$F54:$AS54,"&gt;0")</f>
        <v>0</v>
      </c>
      <c r="E54" s="60">
        <f>'DB1'!J17</f>
        <v>0</v>
      </c>
      <c r="F54" s="61"/>
      <c r="G54" s="61">
        <f>IF(SUM($F46:G46)=$E46,$E54-SUM($F54:F54),IF((SUM($F54:F54)+ROUND(G46/$E46*$E54,0))&gt;$E54,$E54-SUM($F54:F54),ROUND(G46/$E46*$E54,0)))</f>
        <v>0</v>
      </c>
      <c r="H54" s="61">
        <f>IF(SUM($F46:H46)=$E46,$E54-SUM($F54:G54),IF((SUM($F54:G54)+ROUND(H46/$E46*$E54,0))&gt;$E54,$E54-SUM($F54:G54),ROUND(H46/$E46*$E54,0)))</f>
        <v>0</v>
      </c>
      <c r="I54" s="61">
        <f>IF(SUM($F46:I46)=$E46,$E54-SUM($F54:H54),IF((SUM($F54:H54)+ROUND(I46/$E46*$E54,0))&gt;$E54,$E54-SUM($F54:H54),ROUND(I46/$E46*$E54,0)))</f>
        <v>0</v>
      </c>
      <c r="J54" s="61">
        <f>IF(SUM($F46:J46)=$E46,$E54-SUM($F54:I54),IF((SUM($F54:I54)+ROUND(J46/$E46*$E54,0))&gt;$E54,$E54-SUM($F54:I54),ROUND(J46/$E46*$E54,0)))</f>
        <v>0</v>
      </c>
      <c r="K54" s="61">
        <f>IF(SUM($F46:K46)=$E46,$E54-SUM($F54:J54),IF((SUM($F54:J54)+ROUND(K46/$E46*$E54,0))&gt;$E54,$E54-SUM($F54:J54),ROUND(K46/$E46*$E54,0)))</f>
        <v>0</v>
      </c>
      <c r="L54" s="61">
        <f>IF(SUM($F46:L46)=$E46,$E54-SUM($F54:K54),IF((SUM($F54:K54)+ROUND(L46/$E46*$E54,0))&gt;$E54,$E54-SUM($F54:K54),ROUND(L46/$E46*$E54,0)))</f>
        <v>0</v>
      </c>
      <c r="M54" s="61">
        <f>IF(SUM($F46:M46)=$E46,$E54-SUM($F54:L54),IF((SUM($F54:L54)+ROUND(M46/$E46*$E54,0))&gt;$E54,$E54-SUM($F54:L54),ROUND(M46/$E46*$E54,0)))</f>
        <v>0</v>
      </c>
      <c r="N54" s="61">
        <f>IF(SUM($F46:N46)=$E46,$E54-SUM($F54:M54),IF((SUM($F54:M54)+ROUND(N46/$E46*$E54,0))&gt;$E54,$E54-SUM($F54:M54),ROUND(N46/$E46*$E54,0)))</f>
        <v>0</v>
      </c>
      <c r="O54" s="61">
        <f>IF(SUM($F46:O46)=$E46,$E54-SUM($F54:N54),IF((SUM($F54:N54)+ROUND(O46/$E46*$E54,0))&gt;$E54,$E54-SUM($F54:N54),ROUND(O46/$E46*$E54,0)))</f>
        <v>0</v>
      </c>
      <c r="P54" s="61">
        <f>IF(SUM($F46:P46)=$E46,$E54-SUM($F54:O54),IF((SUM($F54:O54)+ROUND(P46/$E46*$E54,0))&gt;$E54,$E54-SUM($F54:O54),ROUND(P46/$E46*$E54,0)))</f>
        <v>0</v>
      </c>
      <c r="Q54" s="61">
        <f>IF(SUM($F46:Q46)=$E46,$E54-SUM($F54:P54),IF((SUM($F54:P54)+ROUND(Q46/$E46*$E54,0))&gt;$E54,$E54-SUM($F54:P54),ROUND(Q46/$E46*$E54,0)))</f>
        <v>0</v>
      </c>
      <c r="R54" s="61">
        <f>IF(SUM($F46:R46)=$E46,$E54-SUM($F54:Q54),IF((SUM($F54:Q54)+ROUND(R46/$E46*$E54,0))&gt;$E54,$E54-SUM($F54:Q54),ROUND(R46/$E46*$E54,0)))</f>
        <v>0</v>
      </c>
      <c r="S54" s="61">
        <f>IF(SUM($F46:S46)=$E46,$E54-SUM($F54:R54),IF((SUM($F54:R54)+ROUND(S46/$E46*$E54,0))&gt;$E54,$E54-SUM($F54:R54),ROUND(S46/$E46*$E54,0)))</f>
        <v>0</v>
      </c>
      <c r="T54" s="61">
        <f>IF(SUM($F46:T46)=$E46,$E54-SUM($F54:S54),IF((SUM($F54:S54)+ROUND(T46/$E46*$E54,0))&gt;$E54,$E54-SUM($F54:S54),ROUND(T46/$E46*$E54,0)))</f>
        <v>0</v>
      </c>
      <c r="U54" s="61">
        <f>IF(SUM($F46:U46)=$E46,$E54-SUM($F54:T54),IF((SUM($F54:T54)+ROUND(U46/$E46*$E54,0))&gt;$E54,$E54-SUM($F54:T54),ROUND(U46/$E46*$E54,0)))</f>
        <v>0</v>
      </c>
      <c r="V54" s="61">
        <f>IF(SUM($F46:V46)=$E46,$E54-SUM($F54:U54),IF((SUM($F54:U54)+ROUND(V46/$E46*$E54,0))&gt;$E54,$E54-SUM($F54:U54),ROUND(V46/$E46*$E54,0)))</f>
        <v>0</v>
      </c>
      <c r="W54" s="61">
        <f>IF(SUM($F46:W46)=$E46,$E54-SUM($F54:V54),IF((SUM($F54:V54)+ROUND(W46/$E46*$E54,0))&gt;$E54,$E54-SUM($F54:V54),ROUND(W46/$E46*$E54,0)))</f>
        <v>0</v>
      </c>
      <c r="X54" s="61">
        <f>IF(SUM($F46:X46)=$E46,$E54-SUM($F54:W54),IF((SUM($F54:W54)+ROUND(X46/$E46*$E54,0))&gt;$E54,$E54-SUM($F54:W54),ROUND(X46/$E46*$E54,0)))</f>
        <v>0</v>
      </c>
      <c r="Y54" s="61">
        <f>IF(SUM($F46:Y46)=$E46,$E54-SUM($F54:X54),IF((SUM($F54:X54)+ROUND(Y46/$E46*$E54,0))&gt;$E54,$E54-SUM($F54:X54),ROUND(Y46/$E46*$E54,0)))</f>
        <v>0</v>
      </c>
      <c r="Z54" s="61">
        <f>IF(SUM($F46:Z46)=$E46,$E54-SUM($F54:Y54),IF((SUM($F54:Y54)+ROUND(Z46/$E46*$E54,0))&gt;$E54,$E54-SUM($F54:Y54),ROUND(Z46/$E46*$E54,0)))</f>
        <v>0</v>
      </c>
      <c r="AA54" s="61">
        <f>IF(SUM($F46:AA46)=$E46,$E54-SUM($F54:Z54),IF((SUM($F54:Z54)+ROUND(AA46/$E46*$E54,0))&gt;$E54,$E54-SUM($F54:Z54),ROUND(AA46/$E46*$E54,0)))</f>
        <v>0</v>
      </c>
      <c r="AB54" s="61">
        <f>IF(SUM($F46:AB46)=$E46,$E54-SUM($F54:AA54),IF((SUM($F54:AA54)+ROUND(AB46/$E46*$E54,0))&gt;$E54,$E54-SUM($F54:AA54),ROUND(AB46/$E46*$E54,0)))</f>
        <v>0</v>
      </c>
      <c r="AC54" s="61">
        <f>IF(SUM($F46:AC46)=$E46,$E54-SUM($F54:AB54),IF((SUM($F54:AB54)+ROUND(AC46/$E46*$E54,0))&gt;$E54,$E54-SUM($F54:AB54),ROUND(AC46/$E46*$E54,0)))</f>
        <v>0</v>
      </c>
      <c r="AD54" s="61">
        <f>IF(SUM($F46:AD46)=$E46,$E54-SUM($F54:AC54),IF((SUM($F54:AC54)+ROUND(AD46/$E46*$E54,0))&gt;$E54,$E54-SUM($F54:AC54),ROUND(AD46/$E46*$E54,0)))</f>
        <v>0</v>
      </c>
      <c r="AE54" s="61">
        <f>IF(SUM($F46:AE46)=$E46,$E54-SUM($F54:AD54),IF((SUM($F54:AD54)+ROUND(AE46/$E46*$E54,0))&gt;$E54,$E54-SUM($F54:AD54),ROUND(AE46/$E46*$E54,0)))</f>
        <v>0</v>
      </c>
      <c r="AF54" s="61">
        <f>IF(SUM($F46:AF46)=$E46,$E54-SUM($F54:AE54),IF((SUM($F54:AE54)+ROUND(AF46/$E46*$E54,0))&gt;$E54,$E54-SUM($F54:AE54),ROUND(AF46/$E46*$E54,0)))</f>
        <v>0</v>
      </c>
      <c r="AG54" s="61">
        <f>IF(SUM($F46:AG46)=$E46,$E54-SUM($F54:AF54),IF((SUM($F54:AF54)+ROUND(AG46/$E46*$E54,0))&gt;$E54,$E54-SUM($F54:AF54),ROUND(AG46/$E46*$E54,0)))</f>
        <v>0</v>
      </c>
      <c r="AH54" s="61">
        <f>IF(SUM($F46:AH46)=$E46,$E54-SUM($F54:AG54),IF((SUM($F54:AG54)+ROUND(AH46/$E46*$E54,0))&gt;$E54,$E54-SUM($F54:AG54),ROUND(AH46/$E46*$E54,0)))</f>
        <v>0</v>
      </c>
      <c r="AI54" s="61">
        <f>IF(SUM($F46:AI46)=$E46,$E54-SUM($F54:AH54),IF((SUM($F54:AH54)+ROUND(AI46/$E46*$E54,0))&gt;$E54,$E54-SUM($F54:AH54),ROUND(AI46/$E46*$E54,0)))</f>
        <v>0</v>
      </c>
      <c r="AJ54" s="61">
        <f>IF(SUM($F46:AJ46)=$E46,$E54-SUM($F54:AI54),IF((SUM($F54:AI54)+ROUND(AJ46/$E46*$E54,0))&gt;$E54,$E54-SUM($F54:AI54),ROUND(AJ46/$E46*$E54,0)))</f>
        <v>0</v>
      </c>
      <c r="AK54" s="61">
        <f>IF(SUM($F46:AK46)=$E46,$E54-SUM($F54:AJ54),IF((SUM($F54:AJ54)+ROUND(AK46/$E46*$E54,0))&gt;$E54,$E54-SUM($F54:AJ54),ROUND(AK46/$E46*$E54,0)))</f>
        <v>0</v>
      </c>
      <c r="AL54" s="61">
        <f>IF(SUM($F46:AL46)=$E46,$E54-SUM($F54:AK54),IF((SUM($F54:AK54)+ROUND(AL46/$E46*$E54,0))&gt;$E54,$E54-SUM($F54:AK54),ROUND(AL46/$E46*$E54,0)))</f>
        <v>0</v>
      </c>
      <c r="AM54" s="61">
        <f>IF(SUM($F46:AM46)=$E46,$E54-SUM($F54:AL54),IF((SUM($F54:AL54)+ROUND(AM46/$E46*$E54,0))&gt;$E54,$E54-SUM($F54:AL54),ROUND(AM46/$E46*$E54,0)))</f>
        <v>0</v>
      </c>
      <c r="AN54" s="61">
        <f>IF(SUM($F46:AN46)=$E46,$E54-SUM($F54:AM54),IF((SUM($F54:AM54)+ROUND(AN46/$E46*$E54,0))&gt;$E54,$E54-SUM($F54:AM54),ROUND(AN46/$E46*$E54,0)))</f>
        <v>0</v>
      </c>
      <c r="AO54" s="61">
        <f>IF(SUM($F46:AO46)=$E46,$E54-SUM($F54:AN54),IF((SUM($F54:AN54)+ROUND(AO46/$E46*$E54,0))&gt;$E54,$E54-SUM($F54:AN54),ROUND(AO46/$E46*$E54,0)))</f>
        <v>0</v>
      </c>
      <c r="AP54" s="61">
        <f>IF(SUM($F46:AP46)=$E46,$E54-SUM($F54:AO54),IF((SUM($F54:AO54)+ROUND(AP46/$E46*$E54,0))&gt;$E54,$E54-SUM($F54:AO54),ROUND(AP46/$E46*$E54,0)))</f>
        <v>0</v>
      </c>
      <c r="AQ54" s="61">
        <f>IF(SUM($F46:AQ46)=$E46,$E54-SUM($F54:AP54),IF((SUM($F54:AP54)+ROUND(AQ46/$E46*$E54,0))&gt;$E54,$E54-SUM($F54:AP54),ROUND(AQ46/$E46*$E54,0)))</f>
        <v>0</v>
      </c>
      <c r="AR54" s="61">
        <f>IF(SUM($F46:AR46)=$E46,$E54-SUM($F54:AQ54),IF((SUM($F54:AQ54)+ROUND(AR46/$E46*$E54,0))&gt;$E54,$E54-SUM($F54:AQ54),ROUND(AR46/$E46*$E54,0)))</f>
        <v>0</v>
      </c>
      <c r="AS54" s="61">
        <f>IF(SUM($F46:AS46)=$E46,$E54-SUM($F54:AR54),IF((SUM($F54:AR54)+ROUND(AS46/$E46*$E54,0))&gt;$E54,$E54-SUM($F54:AR54),ROUND(AS46/$E46*$E54,0)))</f>
        <v>0</v>
      </c>
      <c r="AT54" s="61">
        <f>IF(SUM($F46:AT46)=$E46,$E54-SUM($F54:AS54),IF((SUM($F54:AS54)+ROUND(AT46/$E46*$E54,0))&gt;$E54,$E54-SUM($F54:AS54),ROUND(AT46/$E46*$E54,0)))</f>
        <v>0</v>
      </c>
      <c r="AU54" s="61">
        <f>IF(SUM($F46:AU46)=$E46,$E54-SUM($F54:AT54),IF((SUM($F54:AT54)+ROUND(AU46/$E46*$E54,0))&gt;$E54,$E54-SUM($F54:AT54),ROUND(AU46/$E46*$E54,0)))</f>
        <v>0</v>
      </c>
      <c r="AV54" s="61">
        <f>IF(SUM($F46:AV46)=$E46,$E54-SUM($F54:AU54),IF((SUM($F54:AU54)+ROUND(AV46/$E46*$E54,0))&gt;$E54,$E54-SUM($F54:AU54),ROUND(AV46/$E46*$E54,0)))</f>
        <v>0</v>
      </c>
      <c r="AW54" s="61">
        <f>IF(SUM($F46:AW46)=$E46,$E54-SUM($F54:AV54),IF((SUM($F54:AV54)+ROUND(AW46/$E46*$E54,0))&gt;$E54,$E54-SUM($F54:AV54),ROUND(AW46/$E46*$E54,0)))</f>
        <v>0</v>
      </c>
      <c r="AX54" s="61">
        <f>IF(SUM($F46:AX46)=$E46,$E54-SUM($F54:AW54),IF((SUM($F54:AW54)+ROUND(AX46/$E46*$E54,0))&gt;$E54,$E54-SUM($F54:AW54),ROUND(AX46/$E46*$E54,0)))</f>
        <v>0</v>
      </c>
      <c r="AY54" s="61">
        <f>IF(SUM($F46:AY46)=$E46,$E54-SUM($F54:AX54),IF((SUM($F54:AX54)+ROUND(AY46/$E46*$E54,0))&gt;$E54,$E54-SUM($F54:AX54),ROUND(AY46/$E46*$E54,0)))</f>
        <v>0</v>
      </c>
      <c r="AZ54" s="61">
        <f>IF(SUM($F46:AZ46)=$E46,$E54-SUM($F54:AY54),IF((SUM($F54:AY54)+ROUND(AZ46/$E46*$E54,0))&gt;$E54,$E54-SUM($F54:AY54),ROUND(AZ46/$E46*$E54,0)))</f>
        <v>0</v>
      </c>
      <c r="BA54" s="61">
        <f>IF(SUM($F46:BA46)=$E46,$E54-SUM($F54:AZ54),IF((SUM($F54:AZ54)+ROUND(BA46/$E46*$E54,0))&gt;$E54,$E54-SUM($F54:AZ54),ROUND(BA46/$E46*$E54,0)))</f>
        <v>0</v>
      </c>
      <c r="BB54" s="61">
        <f>IF(SUM($F46:BB46)=$E46,$E54-SUM($F54:BA54),IF((SUM($F54:BA54)+ROUND(BB46/$E46*$E54,0))&gt;$E54,$E54-SUM($F54:BA54),ROUND(BB46/$E46*$E54,0)))</f>
        <v>0</v>
      </c>
      <c r="BC54" s="61">
        <f>IF(SUM($F46:BC46)=$E46,$E54-SUM($F54:BB54),IF((SUM($F54:BB54)+ROUND(BC46/$E46*$E54,0))&gt;$E54,$E54-SUM($F54:BB54),ROUND(BC46/$E46*$E54,0)))</f>
        <v>0</v>
      </c>
      <c r="BD54" s="61">
        <f>IF(SUM($F46:BD46)=$E46,$E54-SUM($F54:BC54),IF((SUM($F54:BC54)+ROUND(BD46/$E46*$E54,0))&gt;$E54,$E54-SUM($F54:BC54),ROUND(BD46/$E46*$E54,0)))</f>
        <v>0</v>
      </c>
      <c r="BE54" s="61">
        <f>IF(SUM($F46:BE46)=$E46,$E54-SUM($F54:BD54),IF((SUM($F54:BD54)+ROUND(BE46/$E46*$E54,0))&gt;$E54,$E54-SUM($F54:BD54),ROUND(BE46/$E46*$E54,0)))</f>
        <v>0</v>
      </c>
      <c r="BF54" s="61">
        <f>IF(SUM($F46:BF46)=$E46,$E54-SUM($F54:BE54),IF((SUM($F54:BE54)+ROUND(BF46/$E46*$E54,0))&gt;$E54,$E54-SUM($F54:BE54),ROUND(BF46/$E46*$E54,0)))</f>
        <v>0</v>
      </c>
      <c r="BG54" s="61">
        <f>IF(SUM($F46:BG46)=$E46,$E54-SUM($F54:BF54),IF((SUM($F54:BF54)+ROUND(BG46/$E46*$E54,0))&gt;$E54,$E54-SUM($F54:BF54),ROUND(BG46/$E46*$E54,0)))</f>
        <v>0</v>
      </c>
      <c r="BH54" s="61">
        <f>IF(SUM($F46:BH46)=$E46,$E54-SUM($F54:BG54),IF((SUM($F54:BG54)+ROUND(BH46/$E46*$E54,0))&gt;$E54,$E54-SUM($F54:BG54),ROUND(BH46/$E46*$E54,0)))</f>
        <v>0</v>
      </c>
      <c r="BI54" s="61">
        <f>IF(SUM($F46:BI46)=$E46,$E54-SUM($F54:BH54),IF((SUM($F54:BH54)+ROUND(BI46/$E46*$E54,0))&gt;$E54,$E54-SUM($F54:BH54),ROUND(BI46/$E46*$E54,0)))</f>
        <v>0</v>
      </c>
      <c r="BJ54" s="61">
        <f>IF(SUM($F46:BJ46)=$E46,$E54-SUM($F54:BI54),IF((SUM($F54:BI54)+ROUND(BJ46/$E46*$E54,0))&gt;$E54,$E54-SUM($F54:BI54),ROUND(BJ46/$E46*$E54,0)))</f>
        <v>0</v>
      </c>
      <c r="BK54" s="61">
        <f>IF(SUM($F46:BK46)=$E46,$E54-SUM($F54:BJ54),IF((SUM($F54:BJ54)+ROUND(BK46/$E46*$E54,0))&gt;$E54,$E54-SUM($F54:BJ54),ROUND(BK46/$E46*$E54,0)))</f>
        <v>0</v>
      </c>
      <c r="BL54" s="61">
        <f>IF(SUM($F46:BL46)=$E46,$E54-SUM($F54:BK54),IF((SUM($F54:BK54)+ROUND(BL46/$E46*$E54,0))&gt;$E54,$E54-SUM($F54:BK54),ROUND(BL46/$E46*$E54,0)))</f>
        <v>0</v>
      </c>
      <c r="BM54" s="61">
        <f>IF(SUM($F46:BM46)=$E46,$E54-SUM($F54:BL54),IF((SUM($F54:BL54)+ROUND(BM46/$E46*$E54,0))&gt;$E54,$E54-SUM($F54:BL54),ROUND(BM46/$E46*$E54,0)))</f>
        <v>0</v>
      </c>
    </row>
    <row r="55" spans="2:65" s="188" customFormat="1">
      <c r="B55" s="185"/>
      <c r="C55" s="185"/>
      <c r="D55" s="185"/>
      <c r="E55" s="185"/>
      <c r="F55" s="187"/>
      <c r="G55" s="187"/>
      <c r="H55" s="187">
        <f>IFERROR(H54/$E$54,0)</f>
        <v>0</v>
      </c>
      <c r="I55" s="187">
        <f t="shared" ref="I55:BM55" si="87">IFERROR(I54/$E$54,0)</f>
        <v>0</v>
      </c>
      <c r="J55" s="187">
        <f t="shared" si="87"/>
        <v>0</v>
      </c>
      <c r="K55" s="187">
        <f t="shared" si="87"/>
        <v>0</v>
      </c>
      <c r="L55" s="187">
        <f t="shared" si="87"/>
        <v>0</v>
      </c>
      <c r="M55" s="187">
        <f t="shared" si="87"/>
        <v>0</v>
      </c>
      <c r="N55" s="187">
        <f t="shared" si="87"/>
        <v>0</v>
      </c>
      <c r="O55" s="187">
        <f t="shared" si="87"/>
        <v>0</v>
      </c>
      <c r="P55" s="187">
        <f t="shared" si="87"/>
        <v>0</v>
      </c>
      <c r="Q55" s="187">
        <f t="shared" si="87"/>
        <v>0</v>
      </c>
      <c r="R55" s="187">
        <f t="shared" si="87"/>
        <v>0</v>
      </c>
      <c r="S55" s="187">
        <f t="shared" si="87"/>
        <v>0</v>
      </c>
      <c r="T55" s="187">
        <f t="shared" si="87"/>
        <v>0</v>
      </c>
      <c r="U55" s="187">
        <f t="shared" si="87"/>
        <v>0</v>
      </c>
      <c r="V55" s="187">
        <f t="shared" si="87"/>
        <v>0</v>
      </c>
      <c r="W55" s="187">
        <f t="shared" si="87"/>
        <v>0</v>
      </c>
      <c r="X55" s="187">
        <f t="shared" si="87"/>
        <v>0</v>
      </c>
      <c r="Y55" s="187">
        <f t="shared" si="87"/>
        <v>0</v>
      </c>
      <c r="Z55" s="187">
        <f t="shared" si="87"/>
        <v>0</v>
      </c>
      <c r="AA55" s="187">
        <f t="shared" si="87"/>
        <v>0</v>
      </c>
      <c r="AB55" s="187">
        <f t="shared" si="87"/>
        <v>0</v>
      </c>
      <c r="AC55" s="187">
        <f t="shared" si="87"/>
        <v>0</v>
      </c>
      <c r="AD55" s="187">
        <f t="shared" si="87"/>
        <v>0</v>
      </c>
      <c r="AE55" s="187">
        <f t="shared" si="87"/>
        <v>0</v>
      </c>
      <c r="AF55" s="187">
        <f t="shared" si="87"/>
        <v>0</v>
      </c>
      <c r="AG55" s="187">
        <f t="shared" si="87"/>
        <v>0</v>
      </c>
      <c r="AH55" s="187">
        <f t="shared" si="87"/>
        <v>0</v>
      </c>
      <c r="AI55" s="187">
        <f t="shared" si="87"/>
        <v>0</v>
      </c>
      <c r="AJ55" s="187">
        <f t="shared" si="87"/>
        <v>0</v>
      </c>
      <c r="AK55" s="187">
        <f t="shared" si="87"/>
        <v>0</v>
      </c>
      <c r="AL55" s="187">
        <f t="shared" si="87"/>
        <v>0</v>
      </c>
      <c r="AM55" s="187">
        <f t="shared" si="87"/>
        <v>0</v>
      </c>
      <c r="AN55" s="187">
        <f t="shared" si="87"/>
        <v>0</v>
      </c>
      <c r="AO55" s="187">
        <f t="shared" si="87"/>
        <v>0</v>
      </c>
      <c r="AP55" s="187">
        <f t="shared" si="87"/>
        <v>0</v>
      </c>
      <c r="AQ55" s="187">
        <f t="shared" si="87"/>
        <v>0</v>
      </c>
      <c r="AR55" s="187">
        <f t="shared" si="87"/>
        <v>0</v>
      </c>
      <c r="AS55" s="187">
        <f t="shared" si="87"/>
        <v>0</v>
      </c>
      <c r="AT55" s="187">
        <f t="shared" si="87"/>
        <v>0</v>
      </c>
      <c r="AU55" s="187">
        <f t="shared" si="87"/>
        <v>0</v>
      </c>
      <c r="AV55" s="187">
        <f t="shared" si="87"/>
        <v>0</v>
      </c>
      <c r="AW55" s="187">
        <f t="shared" si="87"/>
        <v>0</v>
      </c>
      <c r="AX55" s="187">
        <f t="shared" si="87"/>
        <v>0</v>
      </c>
      <c r="AY55" s="187">
        <f t="shared" si="87"/>
        <v>0</v>
      </c>
      <c r="AZ55" s="187">
        <f t="shared" si="87"/>
        <v>0</v>
      </c>
      <c r="BA55" s="187">
        <f t="shared" si="87"/>
        <v>0</v>
      </c>
      <c r="BB55" s="187">
        <f t="shared" si="87"/>
        <v>0</v>
      </c>
      <c r="BC55" s="187">
        <f t="shared" si="87"/>
        <v>0</v>
      </c>
      <c r="BD55" s="187">
        <f t="shared" si="87"/>
        <v>0</v>
      </c>
      <c r="BE55" s="187">
        <f t="shared" si="87"/>
        <v>0</v>
      </c>
      <c r="BF55" s="187">
        <f t="shared" si="87"/>
        <v>0</v>
      </c>
      <c r="BG55" s="187">
        <f t="shared" si="87"/>
        <v>0</v>
      </c>
      <c r="BH55" s="187">
        <f t="shared" si="87"/>
        <v>0</v>
      </c>
      <c r="BI55" s="187">
        <f t="shared" si="87"/>
        <v>0</v>
      </c>
      <c r="BJ55" s="187">
        <f t="shared" si="87"/>
        <v>0</v>
      </c>
      <c r="BK55" s="187">
        <f t="shared" si="87"/>
        <v>0</v>
      </c>
      <c r="BL55" s="187">
        <f t="shared" si="87"/>
        <v>0</v>
      </c>
      <c r="BM55" s="187">
        <f t="shared" si="87"/>
        <v>0</v>
      </c>
    </row>
    <row r="56" spans="2:65" s="65" customFormat="1" ht="15">
      <c r="B56" s="62" t="s">
        <v>48</v>
      </c>
      <c r="C56" s="63"/>
      <c r="D56" s="63"/>
      <c r="E56" s="63"/>
      <c r="F56" s="64"/>
      <c r="G56" s="64"/>
      <c r="H56" s="64" t="str">
        <f t="shared" ref="H56:AM56" si="88">IF(AND(F40=0,G40&gt;0),1,IF(AND(G56&gt;0,G40&gt;0),G56+1,""))</f>
        <v/>
      </c>
      <c r="I56" s="64" t="str">
        <f t="shared" si="88"/>
        <v/>
      </c>
      <c r="J56" s="64" t="str">
        <f t="shared" si="88"/>
        <v/>
      </c>
      <c r="K56" s="64" t="str">
        <f t="shared" si="88"/>
        <v/>
      </c>
      <c r="L56" s="64" t="str">
        <f t="shared" si="88"/>
        <v/>
      </c>
      <c r="M56" s="64" t="str">
        <f t="shared" si="88"/>
        <v/>
      </c>
      <c r="N56" s="64" t="str">
        <f t="shared" si="88"/>
        <v/>
      </c>
      <c r="O56" s="64" t="str">
        <f t="shared" si="88"/>
        <v/>
      </c>
      <c r="P56" s="64" t="str">
        <f t="shared" si="88"/>
        <v/>
      </c>
      <c r="Q56" s="64" t="str">
        <f t="shared" si="88"/>
        <v/>
      </c>
      <c r="R56" s="64" t="str">
        <f t="shared" si="88"/>
        <v/>
      </c>
      <c r="S56" s="64" t="str">
        <f t="shared" si="88"/>
        <v/>
      </c>
      <c r="T56" s="64" t="str">
        <f t="shared" si="88"/>
        <v/>
      </c>
      <c r="U56" s="64">
        <f t="shared" si="88"/>
        <v>1</v>
      </c>
      <c r="V56" s="64">
        <f t="shared" si="88"/>
        <v>2</v>
      </c>
      <c r="W56" s="64">
        <f t="shared" si="88"/>
        <v>3</v>
      </c>
      <c r="X56" s="64">
        <f t="shared" si="88"/>
        <v>4</v>
      </c>
      <c r="Y56" s="64">
        <f t="shared" si="88"/>
        <v>5</v>
      </c>
      <c r="Z56" s="64">
        <f t="shared" si="88"/>
        <v>6</v>
      </c>
      <c r="AA56" s="64">
        <f t="shared" si="88"/>
        <v>7</v>
      </c>
      <c r="AB56" s="64">
        <f t="shared" si="88"/>
        <v>8</v>
      </c>
      <c r="AC56" s="64">
        <f t="shared" si="88"/>
        <v>9</v>
      </c>
      <c r="AD56" s="64">
        <f t="shared" si="88"/>
        <v>10</v>
      </c>
      <c r="AE56" s="64">
        <f t="shared" si="88"/>
        <v>11</v>
      </c>
      <c r="AF56" s="64">
        <f t="shared" si="88"/>
        <v>12</v>
      </c>
      <c r="AG56" s="64">
        <f t="shared" si="88"/>
        <v>13</v>
      </c>
      <c r="AH56" s="64">
        <f t="shared" si="88"/>
        <v>14</v>
      </c>
      <c r="AI56" s="64">
        <f t="shared" si="88"/>
        <v>15</v>
      </c>
      <c r="AJ56" s="64">
        <f t="shared" si="88"/>
        <v>16</v>
      </c>
      <c r="AK56" s="64">
        <f t="shared" si="88"/>
        <v>17</v>
      </c>
      <c r="AL56" s="64">
        <f t="shared" si="88"/>
        <v>18</v>
      </c>
      <c r="AM56" s="64">
        <f t="shared" si="88"/>
        <v>19</v>
      </c>
      <c r="AN56" s="64">
        <f t="shared" ref="AN56:BM56" si="89">IF(AND(AL40=0,AM40&gt;0),1,IF(AND(AM56&gt;0,AM40&gt;0),AM56+1,""))</f>
        <v>20</v>
      </c>
      <c r="AO56" s="64" t="str">
        <f t="shared" si="89"/>
        <v/>
      </c>
      <c r="AP56" s="64" t="str">
        <f t="shared" si="89"/>
        <v/>
      </c>
      <c r="AQ56" s="64" t="str">
        <f t="shared" si="89"/>
        <v/>
      </c>
      <c r="AR56" s="64" t="str">
        <f t="shared" si="89"/>
        <v/>
      </c>
      <c r="AS56" s="64" t="str">
        <f t="shared" si="89"/>
        <v/>
      </c>
      <c r="AT56" s="64" t="str">
        <f t="shared" si="89"/>
        <v/>
      </c>
      <c r="AU56" s="64" t="str">
        <f t="shared" si="89"/>
        <v/>
      </c>
      <c r="AV56" s="64" t="str">
        <f t="shared" si="89"/>
        <v/>
      </c>
      <c r="AW56" s="64" t="str">
        <f t="shared" si="89"/>
        <v/>
      </c>
      <c r="AX56" s="64" t="str">
        <f t="shared" si="89"/>
        <v/>
      </c>
      <c r="AY56" s="64" t="str">
        <f t="shared" si="89"/>
        <v/>
      </c>
      <c r="AZ56" s="64" t="str">
        <f t="shared" si="89"/>
        <v/>
      </c>
      <c r="BA56" s="64" t="str">
        <f t="shared" si="89"/>
        <v/>
      </c>
      <c r="BB56" s="64" t="str">
        <f t="shared" si="89"/>
        <v/>
      </c>
      <c r="BC56" s="64" t="str">
        <f t="shared" si="89"/>
        <v/>
      </c>
      <c r="BD56" s="64" t="str">
        <f t="shared" si="89"/>
        <v/>
      </c>
      <c r="BE56" s="64" t="str">
        <f t="shared" si="89"/>
        <v/>
      </c>
      <c r="BF56" s="64" t="str">
        <f t="shared" si="89"/>
        <v/>
      </c>
      <c r="BG56" s="64" t="str">
        <f t="shared" si="89"/>
        <v/>
      </c>
      <c r="BH56" s="64" t="str">
        <f t="shared" si="89"/>
        <v/>
      </c>
      <c r="BI56" s="64" t="str">
        <f t="shared" si="89"/>
        <v/>
      </c>
      <c r="BJ56" s="64" t="str">
        <f t="shared" si="89"/>
        <v/>
      </c>
      <c r="BK56" s="64" t="str">
        <f t="shared" si="89"/>
        <v/>
      </c>
      <c r="BL56" s="64" t="str">
        <f t="shared" si="89"/>
        <v/>
      </c>
      <c r="BM56" s="64" t="str">
        <f t="shared" si="89"/>
        <v/>
      </c>
    </row>
    <row r="57" spans="2:65" s="65" customFormat="1" ht="15">
      <c r="B57" s="62" t="s">
        <v>113</v>
      </c>
      <c r="C57" s="63"/>
      <c r="D57" s="63"/>
      <c r="E57" s="63"/>
      <c r="F57" s="64"/>
      <c r="G57" s="64"/>
      <c r="H57" s="64" t="str">
        <f t="shared" ref="H57:AM57" si="90">IF(AND(F44=0,G44&gt;0),1,IF(AND(G57&gt;0,G44&gt;0),G57+1,""))</f>
        <v/>
      </c>
      <c r="I57" s="64" t="str">
        <f t="shared" si="90"/>
        <v/>
      </c>
      <c r="J57" s="64" t="str">
        <f t="shared" si="90"/>
        <v/>
      </c>
      <c r="K57" s="64" t="str">
        <f t="shared" si="90"/>
        <v/>
      </c>
      <c r="L57" s="64" t="str">
        <f t="shared" si="90"/>
        <v/>
      </c>
      <c r="M57" s="64" t="str">
        <f t="shared" si="90"/>
        <v/>
      </c>
      <c r="N57" s="64" t="str">
        <f t="shared" si="90"/>
        <v/>
      </c>
      <c r="O57" s="64" t="str">
        <f>IF(AND(M44=0,N44&gt;0),1,IF(AND(N57&gt;0,N44&gt;0),N57+1,""))</f>
        <v/>
      </c>
      <c r="P57" s="64" t="str">
        <f t="shared" si="90"/>
        <v/>
      </c>
      <c r="Q57" s="64" t="str">
        <f t="shared" si="90"/>
        <v/>
      </c>
      <c r="R57" s="64" t="str">
        <f t="shared" si="90"/>
        <v/>
      </c>
      <c r="S57" s="64" t="str">
        <f t="shared" si="90"/>
        <v/>
      </c>
      <c r="T57" s="64" t="str">
        <f t="shared" si="90"/>
        <v/>
      </c>
      <c r="U57" s="64" t="str">
        <f t="shared" si="90"/>
        <v/>
      </c>
      <c r="V57" s="64" t="str">
        <f t="shared" si="90"/>
        <v/>
      </c>
      <c r="W57" s="64" t="str">
        <f t="shared" si="90"/>
        <v/>
      </c>
      <c r="X57" s="64" t="str">
        <f t="shared" si="90"/>
        <v/>
      </c>
      <c r="Y57" s="64" t="str">
        <f t="shared" si="90"/>
        <v/>
      </c>
      <c r="Z57" s="64" t="str">
        <f t="shared" si="90"/>
        <v/>
      </c>
      <c r="AA57" s="64" t="str">
        <f t="shared" si="90"/>
        <v/>
      </c>
      <c r="AB57" s="64" t="str">
        <f t="shared" si="90"/>
        <v/>
      </c>
      <c r="AC57" s="64" t="str">
        <f t="shared" si="90"/>
        <v/>
      </c>
      <c r="AD57" s="64" t="str">
        <f t="shared" si="90"/>
        <v/>
      </c>
      <c r="AE57" s="64" t="str">
        <f t="shared" si="90"/>
        <v/>
      </c>
      <c r="AF57" s="64" t="str">
        <f t="shared" si="90"/>
        <v/>
      </c>
      <c r="AG57" s="64" t="str">
        <f t="shared" si="90"/>
        <v/>
      </c>
      <c r="AH57" s="64" t="str">
        <f t="shared" si="90"/>
        <v/>
      </c>
      <c r="AI57" s="64" t="str">
        <f t="shared" si="90"/>
        <v/>
      </c>
      <c r="AJ57" s="64" t="str">
        <f t="shared" si="90"/>
        <v/>
      </c>
      <c r="AK57" s="64" t="str">
        <f t="shared" si="90"/>
        <v/>
      </c>
      <c r="AL57" s="64" t="str">
        <f t="shared" si="90"/>
        <v/>
      </c>
      <c r="AM57" s="64" t="str">
        <f t="shared" si="90"/>
        <v/>
      </c>
      <c r="AN57" s="64" t="str">
        <f t="shared" ref="AN57:BM57" si="91">IF(AND(AL44=0,AM44&gt;0),1,IF(AND(AM57&gt;0,AM44&gt;0),AM57+1,""))</f>
        <v/>
      </c>
      <c r="AO57" s="64" t="str">
        <f t="shared" si="91"/>
        <v/>
      </c>
      <c r="AP57" s="64" t="str">
        <f t="shared" si="91"/>
        <v/>
      </c>
      <c r="AQ57" s="64" t="str">
        <f t="shared" si="91"/>
        <v/>
      </c>
      <c r="AR57" s="64" t="str">
        <f t="shared" si="91"/>
        <v/>
      </c>
      <c r="AS57" s="64" t="str">
        <f t="shared" si="91"/>
        <v/>
      </c>
      <c r="AT57" s="64" t="str">
        <f t="shared" si="91"/>
        <v/>
      </c>
      <c r="AU57" s="64" t="str">
        <f t="shared" si="91"/>
        <v/>
      </c>
      <c r="AV57" s="64" t="str">
        <f t="shared" si="91"/>
        <v/>
      </c>
      <c r="AW57" s="64" t="str">
        <f t="shared" si="91"/>
        <v/>
      </c>
      <c r="AX57" s="64" t="str">
        <f t="shared" si="91"/>
        <v/>
      </c>
      <c r="AY57" s="64" t="str">
        <f t="shared" si="91"/>
        <v/>
      </c>
      <c r="AZ57" s="64" t="str">
        <f t="shared" si="91"/>
        <v/>
      </c>
      <c r="BA57" s="64" t="str">
        <f t="shared" si="91"/>
        <v/>
      </c>
      <c r="BB57" s="64" t="str">
        <f t="shared" si="91"/>
        <v/>
      </c>
      <c r="BC57" s="64" t="str">
        <f t="shared" si="91"/>
        <v/>
      </c>
      <c r="BD57" s="64" t="str">
        <f t="shared" si="91"/>
        <v/>
      </c>
      <c r="BE57" s="64" t="str">
        <f t="shared" si="91"/>
        <v/>
      </c>
      <c r="BF57" s="64" t="str">
        <f t="shared" si="91"/>
        <v/>
      </c>
      <c r="BG57" s="64" t="str">
        <f t="shared" si="91"/>
        <v/>
      </c>
      <c r="BH57" s="64" t="str">
        <f t="shared" si="91"/>
        <v/>
      </c>
      <c r="BI57" s="64" t="str">
        <f t="shared" si="91"/>
        <v/>
      </c>
      <c r="BJ57" s="64" t="str">
        <f t="shared" si="91"/>
        <v/>
      </c>
      <c r="BK57" s="64" t="str">
        <f t="shared" si="91"/>
        <v/>
      </c>
      <c r="BL57" s="64" t="str">
        <f t="shared" si="91"/>
        <v/>
      </c>
      <c r="BM57" s="64" t="str">
        <f t="shared" si="91"/>
        <v/>
      </c>
    </row>
    <row r="58" spans="2:65" s="65" customFormat="1" ht="15">
      <c r="B58" s="62" t="s">
        <v>114</v>
      </c>
      <c r="C58" s="63"/>
      <c r="D58" s="63"/>
      <c r="E58" s="63"/>
      <c r="F58" s="64"/>
      <c r="G58" s="64"/>
      <c r="H58" s="64" t="str">
        <f>IF(AND(F46=0,G46&gt;0),1,IF(AND(G58&gt;0,G46&gt;0),G58+1,""))</f>
        <v/>
      </c>
      <c r="I58" s="64" t="str">
        <f>IF(AND(G46=0,H46&gt;0),1,IF(AND(H58&gt;0,H46&gt;0),H58+1,""))</f>
        <v/>
      </c>
      <c r="J58" s="64" t="str">
        <f t="shared" ref="J58:P58" si="92">IF(AND(H46=0,I46&gt;0),1,IF(AND(I58&gt;0,I46&gt;0),I58+1,""))</f>
        <v/>
      </c>
      <c r="K58" s="64" t="str">
        <f t="shared" si="92"/>
        <v/>
      </c>
      <c r="L58" s="64" t="str">
        <f t="shared" si="92"/>
        <v/>
      </c>
      <c r="M58" s="64" t="str">
        <f t="shared" si="92"/>
        <v/>
      </c>
      <c r="N58" s="64" t="str">
        <f t="shared" si="92"/>
        <v/>
      </c>
      <c r="O58" s="64" t="str">
        <f t="shared" si="92"/>
        <v/>
      </c>
      <c r="P58" s="64" t="str">
        <f t="shared" si="92"/>
        <v/>
      </c>
      <c r="Q58" s="64" t="str">
        <f t="shared" ref="Q58:AV58" si="93">IF(AND(O46=0,P46&gt;0),1,IF(AND(P58&gt;0,P46&gt;0),P58+1,""))</f>
        <v/>
      </c>
      <c r="R58" s="64" t="str">
        <f t="shared" si="93"/>
        <v/>
      </c>
      <c r="S58" s="64" t="str">
        <f t="shared" si="93"/>
        <v/>
      </c>
      <c r="T58" s="64" t="str">
        <f t="shared" si="93"/>
        <v/>
      </c>
      <c r="U58" s="64" t="str">
        <f t="shared" si="93"/>
        <v/>
      </c>
      <c r="V58" s="64" t="str">
        <f t="shared" si="93"/>
        <v/>
      </c>
      <c r="W58" s="64" t="str">
        <f t="shared" si="93"/>
        <v/>
      </c>
      <c r="X58" s="64" t="str">
        <f t="shared" si="93"/>
        <v/>
      </c>
      <c r="Y58" s="64" t="str">
        <f t="shared" si="93"/>
        <v/>
      </c>
      <c r="Z58" s="64" t="str">
        <f t="shared" si="93"/>
        <v/>
      </c>
      <c r="AA58" s="64" t="str">
        <f t="shared" si="93"/>
        <v/>
      </c>
      <c r="AB58" s="64" t="str">
        <f t="shared" si="93"/>
        <v/>
      </c>
      <c r="AC58" s="64" t="str">
        <f t="shared" si="93"/>
        <v/>
      </c>
      <c r="AD58" s="64" t="str">
        <f t="shared" si="93"/>
        <v/>
      </c>
      <c r="AE58" s="64" t="str">
        <f t="shared" si="93"/>
        <v/>
      </c>
      <c r="AF58" s="64" t="str">
        <f t="shared" si="93"/>
        <v/>
      </c>
      <c r="AG58" s="64" t="str">
        <f t="shared" si="93"/>
        <v/>
      </c>
      <c r="AH58" s="64" t="str">
        <f t="shared" si="93"/>
        <v/>
      </c>
      <c r="AI58" s="64" t="str">
        <f t="shared" si="93"/>
        <v/>
      </c>
      <c r="AJ58" s="64" t="str">
        <f t="shared" si="93"/>
        <v/>
      </c>
      <c r="AK58" s="64" t="str">
        <f t="shared" si="93"/>
        <v/>
      </c>
      <c r="AL58" s="64" t="str">
        <f t="shared" si="93"/>
        <v/>
      </c>
      <c r="AM58" s="64" t="str">
        <f t="shared" si="93"/>
        <v/>
      </c>
      <c r="AN58" s="64" t="str">
        <f t="shared" si="93"/>
        <v/>
      </c>
      <c r="AO58" s="64" t="str">
        <f t="shared" si="93"/>
        <v/>
      </c>
      <c r="AP58" s="64" t="str">
        <f t="shared" si="93"/>
        <v/>
      </c>
      <c r="AQ58" s="64" t="str">
        <f t="shared" si="93"/>
        <v/>
      </c>
      <c r="AR58" s="64" t="str">
        <f t="shared" si="93"/>
        <v/>
      </c>
      <c r="AS58" s="64" t="str">
        <f t="shared" si="93"/>
        <v/>
      </c>
      <c r="AT58" s="64" t="str">
        <f t="shared" si="93"/>
        <v/>
      </c>
      <c r="AU58" s="64" t="str">
        <f t="shared" si="93"/>
        <v/>
      </c>
      <c r="AV58" s="64" t="str">
        <f t="shared" si="93"/>
        <v/>
      </c>
      <c r="AW58" s="64" t="str">
        <f t="shared" ref="AW58:BM58" si="94">IF(AND(AU46=0,AV46&gt;0),1,IF(AND(AV58&gt;0,AV46&gt;0),AV58+1,""))</f>
        <v/>
      </c>
      <c r="AX58" s="64" t="str">
        <f t="shared" si="94"/>
        <v/>
      </c>
      <c r="AY58" s="64" t="str">
        <f t="shared" si="94"/>
        <v/>
      </c>
      <c r="AZ58" s="64" t="str">
        <f t="shared" si="94"/>
        <v/>
      </c>
      <c r="BA58" s="64" t="str">
        <f t="shared" si="94"/>
        <v/>
      </c>
      <c r="BB58" s="64" t="str">
        <f t="shared" si="94"/>
        <v/>
      </c>
      <c r="BC58" s="64" t="str">
        <f t="shared" si="94"/>
        <v/>
      </c>
      <c r="BD58" s="64" t="str">
        <f t="shared" si="94"/>
        <v/>
      </c>
      <c r="BE58" s="64" t="str">
        <f t="shared" si="94"/>
        <v/>
      </c>
      <c r="BF58" s="64" t="str">
        <f t="shared" si="94"/>
        <v/>
      </c>
      <c r="BG58" s="64" t="str">
        <f t="shared" si="94"/>
        <v/>
      </c>
      <c r="BH58" s="64" t="str">
        <f t="shared" si="94"/>
        <v/>
      </c>
      <c r="BI58" s="64" t="str">
        <f t="shared" si="94"/>
        <v/>
      </c>
      <c r="BJ58" s="64" t="str">
        <f t="shared" si="94"/>
        <v/>
      </c>
      <c r="BK58" s="64" t="str">
        <f t="shared" si="94"/>
        <v/>
      </c>
      <c r="BL58" s="64" t="str">
        <f t="shared" si="94"/>
        <v/>
      </c>
      <c r="BM58" s="64" t="str">
        <f t="shared" si="94"/>
        <v/>
      </c>
    </row>
    <row r="60" spans="2:65">
      <c r="B60" s="121" t="s">
        <v>87</v>
      </c>
      <c r="E60" s="66" t="s">
        <v>211</v>
      </c>
      <c r="F60" s="67" t="str">
        <f>LEFT('DB1'!P48,5)</f>
        <v>77:02</v>
      </c>
      <c r="H60" s="121" t="s">
        <v>212</v>
      </c>
      <c r="J60" s="68" t="s">
        <v>216</v>
      </c>
      <c r="K60" s="69" t="s">
        <v>159</v>
      </c>
      <c r="M60" s="196" t="s">
        <v>38</v>
      </c>
      <c r="O60" s="70" t="s">
        <v>228</v>
      </c>
      <c r="P60" s="337">
        <f>HLOOKUP($O$63,'CF1'!$F$188:$BM$194,7,0)+J88</f>
        <v>0.16</v>
      </c>
      <c r="Q60" s="71"/>
      <c r="R60" s="72"/>
      <c r="S60" s="72"/>
      <c r="T60" s="72"/>
      <c r="U60" s="72"/>
      <c r="V60" s="72"/>
      <c r="W60" s="196" t="s">
        <v>384</v>
      </c>
      <c r="X60" s="71"/>
      <c r="Y60" s="71"/>
      <c r="Z60" s="71"/>
      <c r="AA60" s="72"/>
      <c r="AB60" s="72"/>
      <c r="AC60" s="72"/>
      <c r="AD60" s="72"/>
    </row>
    <row r="61" spans="2:65" s="73" customFormat="1" ht="45">
      <c r="B61" s="191"/>
      <c r="C61" s="191"/>
      <c r="D61" s="192" t="s">
        <v>232</v>
      </c>
      <c r="E61" s="17" t="s">
        <v>207</v>
      </c>
      <c r="F61" s="17" t="s">
        <v>241</v>
      </c>
      <c r="G61" s="54"/>
      <c r="H61" s="191"/>
      <c r="I61" s="191"/>
      <c r="J61" s="191"/>
      <c r="K61" s="191" t="s">
        <v>213</v>
      </c>
      <c r="M61" s="17" t="s">
        <v>87</v>
      </c>
      <c r="N61" s="17"/>
      <c r="O61" s="17" t="s">
        <v>174</v>
      </c>
      <c r="P61" s="17" t="s">
        <v>175</v>
      </c>
      <c r="Q61" s="17" t="s">
        <v>176</v>
      </c>
      <c r="R61" s="17" t="s">
        <v>177</v>
      </c>
      <c r="S61" s="17" t="s">
        <v>178</v>
      </c>
      <c r="T61" s="17" t="s">
        <v>179</v>
      </c>
      <c r="U61" s="17" t="s">
        <v>180</v>
      </c>
      <c r="W61" s="17" t="s">
        <v>218</v>
      </c>
      <c r="X61" s="17"/>
      <c r="Y61" s="17" t="s">
        <v>174</v>
      </c>
      <c r="Z61" s="17" t="s">
        <v>175</v>
      </c>
      <c r="AA61" s="17" t="s">
        <v>373</v>
      </c>
      <c r="AB61" s="17" t="s">
        <v>372</v>
      </c>
      <c r="AC61" s="17" t="s">
        <v>371</v>
      </c>
      <c r="AF61" s="17" t="s">
        <v>147</v>
      </c>
      <c r="AG61" s="17"/>
      <c r="AH61" s="17" t="s">
        <v>202</v>
      </c>
      <c r="AI61" s="17" t="s">
        <v>109</v>
      </c>
      <c r="AJ61" s="17" t="s">
        <v>90</v>
      </c>
      <c r="AK61" s="17" t="s">
        <v>91</v>
      </c>
      <c r="AL61" s="17" t="s">
        <v>148</v>
      </c>
      <c r="AN61" s="17" t="s">
        <v>109</v>
      </c>
      <c r="AO61" s="17" t="s">
        <v>145</v>
      </c>
      <c r="AP61" s="17" t="s">
        <v>146</v>
      </c>
      <c r="AR61" s="17" t="s">
        <v>60</v>
      </c>
      <c r="AS61" s="17" t="s">
        <v>233</v>
      </c>
      <c r="AT61" s="17" t="s">
        <v>234</v>
      </c>
    </row>
    <row r="62" spans="2:65">
      <c r="B62" s="74" t="s">
        <v>159</v>
      </c>
      <c r="C62" s="75" t="s">
        <v>230</v>
      </c>
      <c r="D62" s="45">
        <v>230298.39</v>
      </c>
      <c r="E62" s="76">
        <f>'МАСТЕР ПЛАН'!AB22</f>
        <v>91283.199999999997</v>
      </c>
      <c r="F62" s="76">
        <f>(D62*E62)/1000000</f>
        <v>21022.373994048001</v>
      </c>
      <c r="H62" s="74" t="s">
        <v>159</v>
      </c>
      <c r="I62" s="75" t="s">
        <v>154</v>
      </c>
      <c r="J62" s="77"/>
      <c r="K62" s="45">
        <v>91277.94</v>
      </c>
      <c r="M62" s="78"/>
      <c r="N62" s="78"/>
      <c r="O62" s="79"/>
      <c r="P62" s="80"/>
      <c r="Q62" s="81"/>
      <c r="R62" s="82"/>
      <c r="S62" s="82"/>
      <c r="T62" s="82"/>
      <c r="U62" s="82"/>
      <c r="W62" s="78"/>
      <c r="X62" s="78"/>
      <c r="Y62" s="79"/>
      <c r="Z62" s="80"/>
      <c r="AA62" s="81"/>
      <c r="AB62" s="82"/>
      <c r="AC62" s="82"/>
      <c r="AL62" s="83"/>
      <c r="AO62" s="84">
        <f>'TS1'!$J$86</f>
        <v>1.4999999999999999E-2</v>
      </c>
      <c r="AP62" s="84">
        <f>'TS1'!$J$87</f>
        <v>3.0000000000000001E-3</v>
      </c>
      <c r="AR62" s="85" t="s">
        <v>92</v>
      </c>
      <c r="AS62" s="86"/>
      <c r="AT62" s="86"/>
      <c r="AU62" s="120" t="s">
        <v>137</v>
      </c>
    </row>
    <row r="63" spans="2:65">
      <c r="B63" s="74" t="s">
        <v>205</v>
      </c>
      <c r="C63" s="75" t="s">
        <v>149</v>
      </c>
      <c r="D63" s="45">
        <v>0</v>
      </c>
      <c r="E63" s="76">
        <f>SUMIFS('DB1'!$F$8:$F$14,'DB1'!$A$8:$A$14,'TS1'!B63)</f>
        <v>0</v>
      </c>
      <c r="F63" s="76">
        <f t="shared" ref="F63:F68" si="95">(D63*E63)/1000000</f>
        <v>0</v>
      </c>
      <c r="H63" s="74" t="s">
        <v>208</v>
      </c>
      <c r="I63" s="75" t="s">
        <v>155</v>
      </c>
      <c r="J63" s="77"/>
      <c r="K63" s="45">
        <v>56292.57</v>
      </c>
      <c r="M63" s="181" t="s">
        <v>222</v>
      </c>
      <c r="N63" s="193">
        <f>E89/10^6</f>
        <v>0</v>
      </c>
      <c r="O63" s="87" t="str">
        <f>CONCATENATE(IF(MONTH(P63)&lt;=3,"1",IF(MONTH(P63)&lt;=6,"2",IF(MONTH(P63)&lt;=9,"3","4"))),"Q",YEAR(P63))</f>
        <v>3Q2026</v>
      </c>
      <c r="P63" s="88">
        <f>'DB1'!U25-1</f>
        <v>46295</v>
      </c>
      <c r="Q63" s="89">
        <f>IF(SUM(Q62:Q$62)&lt;$N$63,$N$65,)</f>
        <v>0</v>
      </c>
      <c r="R63" s="89">
        <f>$N$63-SUM(Q$62:Q62)</f>
        <v>0</v>
      </c>
      <c r="S63" s="90">
        <f>R63*$P$60/4</f>
        <v>0</v>
      </c>
      <c r="T63" s="89">
        <f>SUM(Q63,S63)</f>
        <v>0</v>
      </c>
      <c r="U63" s="90">
        <f>IF(P63&gt;$N$66,0,IF(P64&gt;$N$66,SUM(Q63:$Q$63)+S63,T63))</f>
        <v>0</v>
      </c>
      <c r="W63" s="181" t="s">
        <v>222</v>
      </c>
      <c r="X63" s="193">
        <f>C81/10^6</f>
        <v>4556.6214499938897</v>
      </c>
      <c r="Y63" s="87" t="str">
        <f>CONCATENATE(IF(MONTH(Z63)&lt;=3,"1",IF(MONTH(Z63)&lt;=6,"2",IF(MONTH(Z63)&lt;=9,"3","4"))),"Q",YEAR(Z63))</f>
        <v>3Q2026</v>
      </c>
      <c r="Z63" s="88">
        <f>'DB1'!U25-3*29.4</f>
        <v>46207.8</v>
      </c>
      <c r="AA63" s="89">
        <f>$X$63*$X$64/4</f>
        <v>569.57768124923621</v>
      </c>
      <c r="AB63" s="89">
        <f t="shared" ref="AB63:AB94" si="96">IF(Z63&lt;$X$65,$C$81,)/10^6</f>
        <v>4556.6214499938897</v>
      </c>
      <c r="AC63" s="89">
        <f>AB63*$X$66/4</f>
        <v>28.478884062461812</v>
      </c>
      <c r="AF63" s="87" t="str">
        <f>CONCATENATE(IF(MONTH(AG63)&lt;=3,"1",IF(MONTH(AG63)&lt;=6,"2",IF(MONTH(AG63)&lt;=9,"3","4"))),"Q",YEAR(AG63))</f>
        <v>2Q2025</v>
      </c>
      <c r="AG63" s="88">
        <f>C4</f>
        <v>45838</v>
      </c>
      <c r="AH63" s="76">
        <f>IF(AND(AH62&lt;0,AG63&lt;=EOMONTH('DB1'!U$27,3*'DB1'!$P$50)),1,IF(AG63&lt;=EOMONTH('DB1'!U$27,3*'DB1'!$P$50),AH62+1,0))</f>
        <v>1</v>
      </c>
      <c r="AI63" s="76">
        <f>IF(AND(AI62&gt;0,AG63&lt;=EOMONTH('DB1'!$U$27,0)),AI62+1,IF(AND(AG63&gt;'DB1'!$U$25,AG63&lt;='DB1'!$U$27),1,0))</f>
        <v>0</v>
      </c>
      <c r="AJ63" s="90">
        <f>IF(AG63&lt;=$P$63,$E$85,$E$86)</f>
        <v>549331516.79999995</v>
      </c>
      <c r="AK63" s="91">
        <f>IF($E$83="АРЕНДА",IF(OR(AG63&lt;'DB1'!$U$25,AG63&gt;'DB1'!$U$27),$AO$62,VLOOKUP(AI63,$AN$63:$AO$122,2,0)),IF(AG63&gt;0,AP63,0))</f>
        <v>1.4999999999999999E-2</v>
      </c>
      <c r="AL63" s="92">
        <f>IF(AH63&gt;0,AJ63*AK63/4,0)/10^6</f>
        <v>2.059993188</v>
      </c>
      <c r="AN63" s="90">
        <v>1</v>
      </c>
      <c r="AO63" s="91"/>
      <c r="AP63" s="91">
        <f t="shared" ref="AP63:AP94" si="97">$AP$62</f>
        <v>3.0000000000000001E-3</v>
      </c>
      <c r="AR63" s="194" t="str">
        <f>'CF1'!B8</f>
        <v>КВАРТИРЫ</v>
      </c>
      <c r="AS63" s="60">
        <f>SUMPRODUCT('CF1'!$F8:$BM8,'CF1'!$F$174:$BM$174)</f>
        <v>36000</v>
      </c>
      <c r="AT63" s="60">
        <f>'CF1'!E8-AS63</f>
        <v>23425.363199999985</v>
      </c>
      <c r="AU63" s="117">
        <f>AS63+AT63-'CF1'!E129-'CF1'!E137</f>
        <v>0</v>
      </c>
    </row>
    <row r="64" spans="2:65">
      <c r="B64" s="74" t="s">
        <v>208</v>
      </c>
      <c r="C64" s="75" t="s">
        <v>231</v>
      </c>
      <c r="D64" s="45">
        <v>0</v>
      </c>
      <c r="E64" s="76">
        <f>SUMIFS('DB1'!$F$8:$F$14,'DB1'!$A$8:$A$14,'TS1'!B64)</f>
        <v>5042.8</v>
      </c>
      <c r="F64" s="76">
        <f t="shared" si="95"/>
        <v>0</v>
      </c>
      <c r="H64" s="74" t="s">
        <v>204</v>
      </c>
      <c r="I64" s="75" t="s">
        <v>156</v>
      </c>
      <c r="J64" s="77"/>
      <c r="K64" s="45">
        <v>63891.1</v>
      </c>
      <c r="M64" s="181" t="s">
        <v>220</v>
      </c>
      <c r="N64" s="193">
        <f>IF($E$89&lt;100000000,12,IF($E$89&lt;=500000000,36,72))/3</f>
        <v>4</v>
      </c>
      <c r="O64" s="87" t="str">
        <f t="shared" ref="O64:O102" si="98">CONCATENATE(IF(MONTH(P64)&lt;=3,"1",IF(MONTH(P64)&lt;=6,"2",IF(MONTH(P64)&lt;=9,"3","4"))),"Q",YEAR(P64))</f>
        <v>4Q2026</v>
      </c>
      <c r="P64" s="88">
        <f>EOMONTH(P63,3)</f>
        <v>46387</v>
      </c>
      <c r="Q64" s="89">
        <f>IF(SUM(Q$62:Q63)&lt;$N$63,$N$65,)</f>
        <v>0</v>
      </c>
      <c r="R64" s="89">
        <f>$N$63-SUM(Q$62:Q63)</f>
        <v>0</v>
      </c>
      <c r="S64" s="89">
        <f t="shared" ref="S64:S94" si="99">R64*$P$60/4</f>
        <v>0</v>
      </c>
      <c r="T64" s="89">
        <f t="shared" ref="T64:T102" si="100">SUM(Q64,S64)</f>
        <v>0</v>
      </c>
      <c r="U64" s="90">
        <f>IF(P64&gt;$N$66,0,IF(P65&gt;$N$66,SUM(Q$63:$Q64)+S64,T64))</f>
        <v>0</v>
      </c>
      <c r="W64" s="181" t="s">
        <v>374</v>
      </c>
      <c r="X64" s="337">
        <v>0.5</v>
      </c>
      <c r="Y64" s="87" t="str">
        <f t="shared" ref="Y64:Y108" si="101">CONCATENATE(IF(MONTH(Z64)&lt;=3,"1",IF(MONTH(Z64)&lt;=6,"2",IF(MONTH(Z64)&lt;=9,"3","4"))),"Q",YEAR(Z64))</f>
        <v>4Q2026</v>
      </c>
      <c r="Z64" s="88">
        <f>EOMONTH(Z63,3)</f>
        <v>46326</v>
      </c>
      <c r="AA64" s="89">
        <f t="shared" ref="AA64:AA66" si="102">$X$63*$X$64/4</f>
        <v>569.57768124923621</v>
      </c>
      <c r="AB64" s="89">
        <f t="shared" si="96"/>
        <v>4556.6214499938897</v>
      </c>
      <c r="AC64" s="89">
        <f t="shared" ref="AC64:AC112" si="103">AB64*$X$66/4</f>
        <v>28.478884062461812</v>
      </c>
      <c r="AF64" s="87" t="str">
        <f t="shared" ref="AF64:AF102" si="104">CONCATENATE(IF(MONTH(AG64)&lt;=3,"1",IF(MONTH(AG64)&lt;=6,"2",IF(MONTH(AG64)&lt;=9,"3","4"))),"Q",YEAR(AG64))</f>
        <v>3Q2025</v>
      </c>
      <c r="AG64" s="88">
        <f>EOMONTH(AG63,3)</f>
        <v>45930</v>
      </c>
      <c r="AH64" s="76">
        <f>IF(AND(AH63&lt;0,AG64&lt;=EOMONTH('DB1'!U$27,3*'DB1'!$P$50)),1,IF(AG64&lt;=EOMONTH('DB1'!U$27,3*'DB1'!$P$50),AH63+1,0))</f>
        <v>2</v>
      </c>
      <c r="AI64" s="76">
        <f>IF(AND(AI63&gt;0,AG64&lt;=EOMONTH('DB1'!$U$27,0)),AI63+1,IF(AND(AG64&gt;'DB1'!$U$25,AG64&lt;='DB1'!$U$27),1,0))</f>
        <v>0</v>
      </c>
      <c r="AJ64" s="90">
        <f t="shared" ref="AJ64:AJ122" si="105">IF(AG64&lt;=$P$63,$E$85,$E$86)</f>
        <v>549331516.79999995</v>
      </c>
      <c r="AK64" s="91">
        <f>IF($E$83="АРЕНДА",IF(OR(AG64&lt;'DB1'!$U$25,AG64&gt;'DB1'!$U$27),$AO$62,VLOOKUP(AI64,$AN$63:$AO$122,2,0)),IF(AG64&gt;0,AP64,0))</f>
        <v>1.4999999999999999E-2</v>
      </c>
      <c r="AL64" s="92">
        <f t="shared" ref="AL64:AL122" si="106">IF(AH64&gt;0,AJ64*AK64/4,0)/10^6</f>
        <v>2.059993188</v>
      </c>
      <c r="AN64" s="90">
        <v>2</v>
      </c>
      <c r="AO64" s="91"/>
      <c r="AP64" s="91">
        <f t="shared" si="97"/>
        <v>3.0000000000000001E-3</v>
      </c>
      <c r="AR64" s="194" t="str">
        <f>'CF1'!B9</f>
        <v>АПАРТАМЕНТЫ</v>
      </c>
      <c r="AS64" s="60">
        <f>SUMPRODUCT('CF1'!$F9:$BM9,'CF1'!$F$174:$BM$174)</f>
        <v>0</v>
      </c>
      <c r="AT64" s="60">
        <f>'CF1'!E9-AS64</f>
        <v>0</v>
      </c>
      <c r="AU64" s="117">
        <f>AS64+AT64-'CF1'!E130-'CF1'!E138</f>
        <v>0</v>
      </c>
    </row>
    <row r="65" spans="2:48">
      <c r="B65" s="74" t="s">
        <v>209</v>
      </c>
      <c r="C65" s="75" t="s">
        <v>150</v>
      </c>
      <c r="D65" s="45">
        <v>165199.29</v>
      </c>
      <c r="E65" s="76">
        <f>SUMIFS('DB1'!$F$8:$F$14,'DB1'!$A$8:$A$14,'TS1'!B65)</f>
        <v>0</v>
      </c>
      <c r="F65" s="76">
        <f t="shared" si="95"/>
        <v>0</v>
      </c>
      <c r="M65" s="181" t="s">
        <v>226</v>
      </c>
      <c r="N65" s="193">
        <f>N63/N64</f>
        <v>0</v>
      </c>
      <c r="O65" s="87" t="str">
        <f t="shared" si="98"/>
        <v>1Q2027</v>
      </c>
      <c r="P65" s="88">
        <f t="shared" ref="P65:P112" si="107">EOMONTH(P64,3)</f>
        <v>46477</v>
      </c>
      <c r="Q65" s="89">
        <f>IF(SUM(Q$62:Q64)&lt;$N$63,$N$65,)</f>
        <v>0</v>
      </c>
      <c r="R65" s="89">
        <f>$N$63-SUM(Q$62:Q64)</f>
        <v>0</v>
      </c>
      <c r="S65" s="89">
        <f t="shared" si="99"/>
        <v>0</v>
      </c>
      <c r="T65" s="89">
        <f t="shared" si="100"/>
        <v>0</v>
      </c>
      <c r="U65" s="90">
        <f>IF(P65&gt;$N$66,0,IF(P66&gt;$N$66,SUM(Q$63:$Q65)+S65,T65))</f>
        <v>0</v>
      </c>
      <c r="W65" s="181" t="s">
        <v>376</v>
      </c>
      <c r="X65" s="338">
        <f>EOMONTH(Z63,(3*12+7+3))</f>
        <v>47634</v>
      </c>
      <c r="Y65" s="87" t="str">
        <f t="shared" si="101"/>
        <v>1Q2027</v>
      </c>
      <c r="Z65" s="88">
        <f t="shared" ref="Z65:Z112" si="108">EOMONTH(Z64,3)</f>
        <v>46418</v>
      </c>
      <c r="AA65" s="89">
        <f t="shared" si="102"/>
        <v>569.57768124923621</v>
      </c>
      <c r="AB65" s="89">
        <f t="shared" si="96"/>
        <v>4556.6214499938897</v>
      </c>
      <c r="AC65" s="89">
        <f t="shared" si="103"/>
        <v>28.478884062461812</v>
      </c>
      <c r="AF65" s="87" t="str">
        <f t="shared" si="104"/>
        <v>4Q2025</v>
      </c>
      <c r="AG65" s="88">
        <f t="shared" ref="AG65:AG122" si="109">EOMONTH(AG64,3)</f>
        <v>46022</v>
      </c>
      <c r="AH65" s="76">
        <f>IF(AND(AH64&lt;0,AG65&lt;=EOMONTH('DB1'!U$27,3*'DB1'!$P$50)),1,IF(AG65&lt;=EOMONTH('DB1'!U$27,3*'DB1'!$P$50),AH64+1,0))</f>
        <v>3</v>
      </c>
      <c r="AI65" s="76">
        <f>IF(AND(AI64&gt;0,AG65&lt;=EOMONTH('DB1'!$U$27,0)),AI64+1,IF(AND(AG65&gt;'DB1'!$U$25,AG65&lt;='DB1'!$U$27),1,0))</f>
        <v>0</v>
      </c>
      <c r="AJ65" s="90">
        <f t="shared" si="105"/>
        <v>549331516.79999995</v>
      </c>
      <c r="AK65" s="91">
        <f>IF($E$83="АРЕНДА",IF(OR(AG65&lt;'DB1'!$U$25,AG65&gt;'DB1'!$U$27),$AO$62,VLOOKUP(AI65,$AN$63:$AO$122,2,0)),IF(AG65&gt;0,AP65,0))</f>
        <v>1.4999999999999999E-2</v>
      </c>
      <c r="AL65" s="92">
        <f t="shared" si="106"/>
        <v>2.059993188</v>
      </c>
      <c r="AN65" s="90">
        <v>3</v>
      </c>
      <c r="AO65" s="91"/>
      <c r="AP65" s="91">
        <f t="shared" si="97"/>
        <v>3.0000000000000001E-3</v>
      </c>
      <c r="AR65" s="194" t="str">
        <f>'CF1'!B10</f>
        <v>ОФИСЫ</v>
      </c>
      <c r="AS65" s="60">
        <f>SUMPRODUCT('CF1'!$F10:$BM10,'CF1'!$F$174:$BM$174)</f>
        <v>0</v>
      </c>
      <c r="AT65" s="60">
        <f>'CF1'!E10-AS65</f>
        <v>0</v>
      </c>
      <c r="AU65" s="117">
        <f>AS65+AT65-'CF1'!E131-'CF1'!E139</f>
        <v>0</v>
      </c>
    </row>
    <row r="66" spans="2:48">
      <c r="B66" s="74" t="s">
        <v>204</v>
      </c>
      <c r="C66" s="75" t="s">
        <v>153</v>
      </c>
      <c r="D66" s="45">
        <v>0</v>
      </c>
      <c r="E66" s="76">
        <f>SUMIFS('DB1'!$F$8:$F$14,'DB1'!$A$8:$A$14,'TS1'!B66)</f>
        <v>0</v>
      </c>
      <c r="F66" s="76">
        <f t="shared" si="95"/>
        <v>0</v>
      </c>
      <c r="M66" s="181" t="s">
        <v>221</v>
      </c>
      <c r="N66" s="53">
        <f>'DB1'!U27</f>
        <v>47391</v>
      </c>
      <c r="O66" s="87" t="str">
        <f t="shared" si="98"/>
        <v>2Q2027</v>
      </c>
      <c r="P66" s="88">
        <f t="shared" si="107"/>
        <v>46568</v>
      </c>
      <c r="Q66" s="89">
        <f>IF(SUM(Q$62:Q65)&lt;$N$63,$N$65,)</f>
        <v>0</v>
      </c>
      <c r="R66" s="89">
        <f>$N$63-SUM(Q$62:Q65)</f>
        <v>0</v>
      </c>
      <c r="S66" s="89">
        <f t="shared" si="99"/>
        <v>0</v>
      </c>
      <c r="T66" s="89">
        <f t="shared" si="100"/>
        <v>0</v>
      </c>
      <c r="U66" s="90">
        <f>IF(P66&gt;$N$66,0,IF(P67&gt;$N$66,SUM(Q$63:$Q66)+S66,T66))</f>
        <v>0</v>
      </c>
      <c r="W66" s="181" t="s">
        <v>375</v>
      </c>
      <c r="X66" s="337">
        <v>2.5000000000000001E-2</v>
      </c>
      <c r="Y66" s="87" t="str">
        <f t="shared" si="101"/>
        <v>2Q2027</v>
      </c>
      <c r="Z66" s="88">
        <f t="shared" si="108"/>
        <v>46507</v>
      </c>
      <c r="AA66" s="89">
        <f t="shared" si="102"/>
        <v>569.57768124923621</v>
      </c>
      <c r="AB66" s="89">
        <f t="shared" si="96"/>
        <v>4556.6214499938897</v>
      </c>
      <c r="AC66" s="89">
        <f t="shared" si="103"/>
        <v>28.478884062461812</v>
      </c>
      <c r="AF66" s="87" t="str">
        <f t="shared" si="104"/>
        <v>1Q2026</v>
      </c>
      <c r="AG66" s="88">
        <f t="shared" si="109"/>
        <v>46112</v>
      </c>
      <c r="AH66" s="76">
        <f>IF(AND(AH65&lt;0,AG66&lt;=EOMONTH('DB1'!U$27,3*'DB1'!$P$50)),1,IF(AG66&lt;=EOMONTH('DB1'!U$27,3*'DB1'!$P$50),AH65+1,0))</f>
        <v>4</v>
      </c>
      <c r="AI66" s="76">
        <f>IF(AND(AI65&gt;0,AG66&lt;=EOMONTH('DB1'!$U$27,0)),AI65+1,IF(AND(AG66&gt;'DB1'!$U$25,AG66&lt;='DB1'!$U$27),1,0))</f>
        <v>0</v>
      </c>
      <c r="AJ66" s="90">
        <f t="shared" si="105"/>
        <v>549331516.79999995</v>
      </c>
      <c r="AK66" s="91">
        <f>IF($E$83="АРЕНДА",IF(OR(AG66&lt;'DB1'!$U$25,AG66&gt;'DB1'!$U$27),$AO$62,VLOOKUP(AI66,$AN$63:$AO$122,2,0)),IF(AG66&gt;0,AP66,0))</f>
        <v>1.4999999999999999E-2</v>
      </c>
      <c r="AL66" s="92">
        <f t="shared" si="106"/>
        <v>2.059993188</v>
      </c>
      <c r="AN66" s="90">
        <v>4</v>
      </c>
      <c r="AO66" s="91"/>
      <c r="AP66" s="91">
        <f t="shared" si="97"/>
        <v>3.0000000000000001E-3</v>
      </c>
      <c r="AR66" s="194" t="str">
        <f>'CF1'!B11</f>
        <v>РИТЕЙЛ</v>
      </c>
      <c r="AS66" s="60">
        <f>SUMPRODUCT('CF1'!$F11:$BM11,'CF1'!$F$174:$BM$174)</f>
        <v>0</v>
      </c>
      <c r="AT66" s="60">
        <f>'CF1'!E11-AS66</f>
        <v>3517.3530000000001</v>
      </c>
      <c r="AU66" s="117">
        <f>AS66+AT66-'CF1'!E132-'CF1'!E140</f>
        <v>0</v>
      </c>
    </row>
    <row r="67" spans="2:48">
      <c r="B67" s="74" t="s">
        <v>210</v>
      </c>
      <c r="C67" s="75" t="s">
        <v>151</v>
      </c>
      <c r="D67" s="45">
        <v>0</v>
      </c>
      <c r="E67" s="76">
        <f>SUMIFS('DB1'!$F$8:$F$14,'DB1'!$A$8:$A$14,'TS1'!B67)</f>
        <v>0</v>
      </c>
      <c r="F67" s="76">
        <f t="shared" si="95"/>
        <v>0</v>
      </c>
      <c r="H67" s="121" t="s">
        <v>219</v>
      </c>
      <c r="I67" s="122"/>
      <c r="J67" s="54" t="s">
        <v>217</v>
      </c>
      <c r="K67" s="93">
        <f>'DB1'!P2</f>
        <v>35000</v>
      </c>
      <c r="M67" s="181" t="s">
        <v>236</v>
      </c>
      <c r="N67" s="193">
        <f>U113-Q113</f>
        <v>0</v>
      </c>
      <c r="O67" s="87" t="str">
        <f t="shared" si="98"/>
        <v>3Q2027</v>
      </c>
      <c r="P67" s="88">
        <f t="shared" si="107"/>
        <v>46660</v>
      </c>
      <c r="Q67" s="89">
        <f>IF(SUM(Q$62:Q66)&lt;$N$63,$N$65,)</f>
        <v>0</v>
      </c>
      <c r="R67" s="89">
        <f>$N$63-SUM(Q$62:Q66)</f>
        <v>0</v>
      </c>
      <c r="S67" s="89">
        <f t="shared" si="99"/>
        <v>0</v>
      </c>
      <c r="T67" s="89">
        <f t="shared" si="100"/>
        <v>0</v>
      </c>
      <c r="U67" s="90">
        <f>IF(P67&gt;$N$66,0,IF(P68&gt;$N$66,SUM(Q$63:$Q67)+S67,T67))</f>
        <v>0</v>
      </c>
      <c r="Y67" s="87" t="str">
        <f t="shared" si="101"/>
        <v>3Q2027</v>
      </c>
      <c r="Z67" s="88">
        <f t="shared" si="108"/>
        <v>46599</v>
      </c>
      <c r="AA67" s="89"/>
      <c r="AB67" s="89">
        <f t="shared" si="96"/>
        <v>4556.6214499938897</v>
      </c>
      <c r="AC67" s="89">
        <f t="shared" si="103"/>
        <v>28.478884062461812</v>
      </c>
      <c r="AF67" s="87" t="str">
        <f t="shared" si="104"/>
        <v>2Q2026</v>
      </c>
      <c r="AG67" s="88">
        <f t="shared" si="109"/>
        <v>46203</v>
      </c>
      <c r="AH67" s="76">
        <f>IF(AND(AH66&lt;0,AG67&lt;=EOMONTH('DB1'!U$27,3*'DB1'!$P$50)),1,IF(AG67&lt;=EOMONTH('DB1'!U$27,3*'DB1'!$P$50),AH66+1,0))</f>
        <v>5</v>
      </c>
      <c r="AI67" s="76">
        <f>IF(AND(AI66&gt;0,AG67&lt;=EOMONTH('DB1'!$U$27,0)),AI66+1,IF(AND(AG67&gt;'DB1'!$U$25,AG67&lt;='DB1'!$U$27),1,0))</f>
        <v>0</v>
      </c>
      <c r="AJ67" s="90">
        <f t="shared" si="105"/>
        <v>549331516.79999995</v>
      </c>
      <c r="AK67" s="91">
        <f>IF($E$83="АРЕНДА",IF(OR(AG67&lt;'DB1'!$U$25,AG67&gt;'DB1'!$U$27),$AO$62,VLOOKUP(AI67,$AN$63:$AO$122,2,0)),IF(AG67&gt;0,AP67,0))</f>
        <v>1.4999999999999999E-2</v>
      </c>
      <c r="AL67" s="92">
        <f t="shared" si="106"/>
        <v>2.059993188</v>
      </c>
      <c r="AN67" s="90">
        <v>5</v>
      </c>
      <c r="AO67" s="91">
        <f>$AO$62</f>
        <v>1.4999999999999999E-2</v>
      </c>
      <c r="AP67" s="91">
        <f t="shared" si="97"/>
        <v>3.0000000000000001E-3</v>
      </c>
      <c r="AR67" s="194" t="str">
        <f>'CF1'!B12</f>
        <v>ТЦ</v>
      </c>
      <c r="AS67" s="60">
        <f>SUMPRODUCT('CF1'!$F12:$BM12,'CF1'!$F$174:$BM$174)</f>
        <v>0</v>
      </c>
      <c r="AT67" s="60">
        <f>'CF1'!E12-AS67</f>
        <v>0</v>
      </c>
      <c r="AU67" s="117">
        <f>AS67+AT67-'CF1'!E133-'CF1'!E141</f>
        <v>0</v>
      </c>
    </row>
    <row r="68" spans="2:48" ht="25" customHeight="1">
      <c r="B68" s="74" t="s">
        <v>206</v>
      </c>
      <c r="C68" s="75" t="s">
        <v>152</v>
      </c>
      <c r="D68" s="45">
        <v>0</v>
      </c>
      <c r="E68" s="76">
        <f>SUMIFS('DB1'!$F$8:$F$14,'DB1'!$A$8:$A$14,'TS1'!B68)</f>
        <v>0</v>
      </c>
      <c r="F68" s="76">
        <f t="shared" si="95"/>
        <v>0</v>
      </c>
      <c r="H68" s="17" t="s">
        <v>203</v>
      </c>
      <c r="I68" s="17" t="s">
        <v>173</v>
      </c>
      <c r="J68" s="17" t="s">
        <v>172</v>
      </c>
      <c r="K68" s="17" t="s">
        <v>171</v>
      </c>
      <c r="M68" s="78"/>
      <c r="N68" s="78"/>
      <c r="O68" s="87" t="str">
        <f t="shared" si="98"/>
        <v>4Q2027</v>
      </c>
      <c r="P68" s="88">
        <f t="shared" si="107"/>
        <v>46752</v>
      </c>
      <c r="Q68" s="89">
        <f>IF(SUM(Q$62:Q67)&lt;$N$63,$N$65,)</f>
        <v>0</v>
      </c>
      <c r="R68" s="89">
        <f>$N$63-SUM(Q$62:Q67)</f>
        <v>0</v>
      </c>
      <c r="S68" s="89">
        <f t="shared" si="99"/>
        <v>0</v>
      </c>
      <c r="T68" s="89">
        <f t="shared" si="100"/>
        <v>0</v>
      </c>
      <c r="U68" s="90">
        <f>IF(P68&gt;$N$66,0,IF(P69&gt;$N$66,SUM(Q$63:$Q68)+S68,T68))</f>
        <v>0</v>
      </c>
      <c r="Y68" s="87" t="str">
        <f t="shared" si="101"/>
        <v>4Q2027</v>
      </c>
      <c r="Z68" s="88">
        <f t="shared" si="108"/>
        <v>46691</v>
      </c>
      <c r="AA68" s="89"/>
      <c r="AB68" s="89">
        <f t="shared" si="96"/>
        <v>4556.6214499938897</v>
      </c>
      <c r="AC68" s="89">
        <f t="shared" si="103"/>
        <v>28.478884062461812</v>
      </c>
      <c r="AF68" s="87" t="str">
        <f t="shared" si="104"/>
        <v>3Q2026</v>
      </c>
      <c r="AG68" s="88">
        <f t="shared" si="109"/>
        <v>46295</v>
      </c>
      <c r="AH68" s="76">
        <f>IF(AND(AH67&lt;0,AG68&lt;=EOMONTH('DB1'!U$27,3*'DB1'!$P$50)),1,IF(AG68&lt;=EOMONTH('DB1'!U$27,3*'DB1'!$P$50),AH67+1,0))</f>
        <v>6</v>
      </c>
      <c r="AI68" s="76">
        <f>IF(AND(AI67&gt;0,AG68&lt;=EOMONTH('DB1'!$U$27,0)),AI67+1,IF(AND(AG68&gt;'DB1'!$U$25,AG68&lt;='DB1'!$U$27),1,0))</f>
        <v>0</v>
      </c>
      <c r="AJ68" s="90">
        <f>IF(AG68&lt;=$P$63,$E$85,$E$86)</f>
        <v>549331516.79999995</v>
      </c>
      <c r="AK68" s="91">
        <f>IF($E$83="АРЕНДА",IF(OR(AG68&lt;'DB1'!$U$25,AG68&gt;'DB1'!$U$27),$AO$62,VLOOKUP(AI68,$AN$63:$AO$122,2,0)),IF(AG68&gt;0,AP68,0))</f>
        <v>1.4999999999999999E-2</v>
      </c>
      <c r="AL68" s="92">
        <f t="shared" si="106"/>
        <v>2.059993188</v>
      </c>
      <c r="AN68" s="90">
        <v>6</v>
      </c>
      <c r="AO68" s="91">
        <f>$AO$62</f>
        <v>1.4999999999999999E-2</v>
      </c>
      <c r="AP68" s="91">
        <f t="shared" si="97"/>
        <v>3.0000000000000001E-3</v>
      </c>
      <c r="AR68" s="194" t="str">
        <f>'CF1'!B13</f>
        <v>ПАРКИНГ ЖИЛЬЕ</v>
      </c>
      <c r="AS68" s="60">
        <f>SUMPRODUCT('CF1'!$F13:$BM13,'CF1'!$F$174:$BM$174)</f>
        <v>360</v>
      </c>
      <c r="AT68" s="60">
        <f>'CF1'!E13-AS68</f>
        <v>239</v>
      </c>
      <c r="AU68" s="117">
        <f>AS68+AT68-'CF1'!E134-'CF1'!E142</f>
        <v>0</v>
      </c>
    </row>
    <row r="69" spans="2:48">
      <c r="E69" s="94">
        <f>SUM(E62:E68)</f>
        <v>96326</v>
      </c>
      <c r="F69" s="94">
        <f>SUM(F62:F68)</f>
        <v>21022.373994048001</v>
      </c>
      <c r="H69" s="76">
        <f t="shared" ref="H69:H80" si="110">IF(AND($K$67&gt;=I69,$K$67&lt;=J69),1,0)</f>
        <v>0</v>
      </c>
      <c r="I69" s="76">
        <v>0</v>
      </c>
      <c r="J69" s="76">
        <v>3000</v>
      </c>
      <c r="K69" s="91">
        <v>0.05</v>
      </c>
      <c r="M69" s="78"/>
      <c r="N69" s="78"/>
      <c r="O69" s="87" t="str">
        <f t="shared" si="98"/>
        <v>1Q2028</v>
      </c>
      <c r="P69" s="88">
        <f t="shared" si="107"/>
        <v>46843</v>
      </c>
      <c r="Q69" s="89">
        <f>IF(SUM(Q$62:Q68)&lt;$N$63,$N$65,)</f>
        <v>0</v>
      </c>
      <c r="R69" s="89">
        <f>$N$63-SUM(Q$62:Q68)</f>
        <v>0</v>
      </c>
      <c r="S69" s="89">
        <f t="shared" si="99"/>
        <v>0</v>
      </c>
      <c r="T69" s="89">
        <f t="shared" si="100"/>
        <v>0</v>
      </c>
      <c r="U69" s="90">
        <f>IF(P69&gt;$N$66,0,IF(P70&gt;$N$66,SUM(Q$63:$Q69)+S69,T69))</f>
        <v>0</v>
      </c>
      <c r="Y69" s="87" t="str">
        <f t="shared" si="101"/>
        <v>1Q2028</v>
      </c>
      <c r="Z69" s="88">
        <f t="shared" si="108"/>
        <v>46783</v>
      </c>
      <c r="AA69" s="89"/>
      <c r="AB69" s="89">
        <f t="shared" si="96"/>
        <v>4556.6214499938897</v>
      </c>
      <c r="AC69" s="89">
        <f t="shared" si="103"/>
        <v>28.478884062461812</v>
      </c>
      <c r="AF69" s="87" t="str">
        <f t="shared" si="104"/>
        <v>4Q2026</v>
      </c>
      <c r="AG69" s="88">
        <f t="shared" si="109"/>
        <v>46387</v>
      </c>
      <c r="AH69" s="76">
        <f>IF(AND(AH68&lt;0,AG69&lt;=EOMONTH('DB1'!U$27,3*'DB1'!$P$50)),1,IF(AG69&lt;=EOMONTH('DB1'!U$27,3*'DB1'!$P$50),AH68+1,0))</f>
        <v>7</v>
      </c>
      <c r="AI69" s="76">
        <f>IF(AND(AI68&gt;0,AG69&lt;=EOMONTH('DB1'!$U$27,0)),AI68+1,IF(AND(AG69&gt;'DB1'!$U$25,AG69&lt;='DB1'!$U$27),1,0))</f>
        <v>1</v>
      </c>
      <c r="AJ69" s="90">
        <f t="shared" si="105"/>
        <v>2322110793.5999999</v>
      </c>
      <c r="AK69" s="91">
        <f>IF($E$83="АРЕНДА",IF(OR(AG69&lt;'DB1'!$U$25,AG69&gt;'DB1'!$U$27),$AO$62,VLOOKUP(AI69,$AN$63:$AO$122,2,0)),IF(AG69&gt;0,AP69,0))</f>
        <v>0</v>
      </c>
      <c r="AL69" s="92">
        <f t="shared" si="106"/>
        <v>0</v>
      </c>
      <c r="AN69" s="90">
        <v>7</v>
      </c>
      <c r="AO69" s="91">
        <f>$AO$62</f>
        <v>1.4999999999999999E-2</v>
      </c>
      <c r="AP69" s="91">
        <f t="shared" si="97"/>
        <v>3.0000000000000001E-3</v>
      </c>
      <c r="AR69" s="194" t="str">
        <f>'CF1'!B14</f>
        <v>ПАРКИНГ ОФИС</v>
      </c>
      <c r="AS69" s="60">
        <f>SUMPRODUCT('CF1'!$F14:$BM14,'CF1'!$F$174:$BM$174)</f>
        <v>0</v>
      </c>
      <c r="AT69" s="60">
        <f>'CF1'!E14-AS69</f>
        <v>0</v>
      </c>
      <c r="AU69" s="117">
        <f>AS69+AT69-'CF1'!E135-'CF1'!E143</f>
        <v>0</v>
      </c>
    </row>
    <row r="70" spans="2:48">
      <c r="B70" s="95" t="s">
        <v>211</v>
      </c>
      <c r="C70" s="96" t="str">
        <f>LEFT('DB1'!P48,13)</f>
        <v>77:02:0019010</v>
      </c>
      <c r="D70" s="66"/>
      <c r="H70" s="76">
        <f t="shared" si="110"/>
        <v>0</v>
      </c>
      <c r="I70" s="76">
        <v>3000</v>
      </c>
      <c r="J70" s="76">
        <v>7000</v>
      </c>
      <c r="K70" s="91">
        <v>0.1</v>
      </c>
      <c r="M70" s="78"/>
      <c r="N70" s="78"/>
      <c r="O70" s="87" t="str">
        <f t="shared" si="98"/>
        <v>2Q2028</v>
      </c>
      <c r="P70" s="88">
        <f t="shared" si="107"/>
        <v>46934</v>
      </c>
      <c r="Q70" s="89">
        <f>IF(SUM(Q$62:Q69)&lt;$N$63,$N$65,)</f>
        <v>0</v>
      </c>
      <c r="R70" s="89">
        <f>$N$63-SUM(Q$62:Q69)</f>
        <v>0</v>
      </c>
      <c r="S70" s="89">
        <f t="shared" si="99"/>
        <v>0</v>
      </c>
      <c r="T70" s="89">
        <f t="shared" si="100"/>
        <v>0</v>
      </c>
      <c r="U70" s="90">
        <f>IF(P70&gt;$N$66,0,IF(P71&gt;$N$66,SUM(Q$63:$Q70)+S70,T70))</f>
        <v>0</v>
      </c>
      <c r="Y70" s="87" t="str">
        <f t="shared" si="101"/>
        <v>2Q2028</v>
      </c>
      <c r="Z70" s="88">
        <f t="shared" si="108"/>
        <v>46873</v>
      </c>
      <c r="AA70" s="89"/>
      <c r="AB70" s="89">
        <f t="shared" si="96"/>
        <v>4556.6214499938897</v>
      </c>
      <c r="AC70" s="89">
        <f t="shared" si="103"/>
        <v>28.478884062461812</v>
      </c>
      <c r="AF70" s="87" t="str">
        <f t="shared" si="104"/>
        <v>1Q2027</v>
      </c>
      <c r="AG70" s="88">
        <f t="shared" si="109"/>
        <v>46477</v>
      </c>
      <c r="AH70" s="76">
        <f>IF(AND(AH69&lt;0,AG70&lt;=EOMONTH('DB1'!U$27,3*'DB1'!$P$50)),1,IF(AG70&lt;=EOMONTH('DB1'!U$27,3*'DB1'!$P$50),AH69+1,0))</f>
        <v>8</v>
      </c>
      <c r="AI70" s="76">
        <f>IF(AND(AI69&gt;0,AG70&lt;=EOMONTH('DB1'!$U$27,0)),AI69+1,IF(AND(AG70&gt;'DB1'!$U$25,AG70&lt;='DB1'!$U$27),1,0))</f>
        <v>2</v>
      </c>
      <c r="AJ70" s="90">
        <f t="shared" si="105"/>
        <v>2322110793.5999999</v>
      </c>
      <c r="AK70" s="91">
        <f>IF($E$83="АРЕНДА",IF(OR(AG70&lt;'DB1'!$U$25,AG70&gt;'DB1'!$U$27),$AO$62,VLOOKUP(AI70,$AN$63:$AO$122,2,0)),IF(AG70&gt;0,AP70,0))</f>
        <v>0</v>
      </c>
      <c r="AL70" s="92">
        <f t="shared" si="106"/>
        <v>0</v>
      </c>
      <c r="AN70" s="90">
        <v>8</v>
      </c>
      <c r="AO70" s="91">
        <f>$AO$62</f>
        <v>1.4999999999999999E-2</v>
      </c>
      <c r="AP70" s="91">
        <f t="shared" si="97"/>
        <v>3.0000000000000001E-3</v>
      </c>
      <c r="AR70" s="85" t="s">
        <v>13</v>
      </c>
      <c r="AS70" s="85" t="s">
        <v>1</v>
      </c>
      <c r="AT70" s="97">
        <f>SUM(AT71:AT74)</f>
        <v>24268.147993469589</v>
      </c>
    </row>
    <row r="71" spans="2:48">
      <c r="B71" s="116"/>
      <c r="C71" s="116"/>
      <c r="H71" s="76">
        <f t="shared" si="110"/>
        <v>0</v>
      </c>
      <c r="I71" s="76">
        <v>7000</v>
      </c>
      <c r="J71" s="76">
        <v>11000</v>
      </c>
      <c r="K71" s="91">
        <v>0.15000000000000002</v>
      </c>
      <c r="O71" s="87" t="str">
        <f t="shared" si="98"/>
        <v>3Q2028</v>
      </c>
      <c r="P71" s="88">
        <f t="shared" si="107"/>
        <v>47026</v>
      </c>
      <c r="Q71" s="89">
        <f>IF(SUM(Q$62:Q70)&lt;$N$63,$N$65,)</f>
        <v>0</v>
      </c>
      <c r="R71" s="89">
        <f>$N$63-SUM(Q$62:Q70)</f>
        <v>0</v>
      </c>
      <c r="S71" s="89">
        <f t="shared" si="99"/>
        <v>0</v>
      </c>
      <c r="T71" s="89">
        <f t="shared" si="100"/>
        <v>0</v>
      </c>
      <c r="U71" s="90">
        <f>IF(P71&gt;$N$66,0,IF(P72&gt;$N$66,SUM(Q$63:$Q71)+S71,T71))</f>
        <v>0</v>
      </c>
      <c r="Y71" s="87" t="str">
        <f t="shared" si="101"/>
        <v>3Q2028</v>
      </c>
      <c r="Z71" s="88">
        <f t="shared" si="108"/>
        <v>46965</v>
      </c>
      <c r="AA71" s="89"/>
      <c r="AB71" s="89">
        <f t="shared" si="96"/>
        <v>4556.6214499938897</v>
      </c>
      <c r="AC71" s="89">
        <f t="shared" si="103"/>
        <v>28.478884062461812</v>
      </c>
      <c r="AF71" s="87" t="str">
        <f t="shared" si="104"/>
        <v>2Q2027</v>
      </c>
      <c r="AG71" s="88">
        <f t="shared" si="109"/>
        <v>46568</v>
      </c>
      <c r="AH71" s="76">
        <f>IF(AND(AH70&lt;0,AG71&lt;=EOMONTH('DB1'!U$27,3*'DB1'!$P$50)),1,IF(AG71&lt;=EOMONTH('DB1'!U$27,3*'DB1'!$P$50),AH70+1,0))</f>
        <v>9</v>
      </c>
      <c r="AI71" s="76">
        <f>IF(AND(AI70&gt;0,AG71&lt;=EOMONTH('DB1'!$U$27,0)),AI70+1,IF(AND(AG71&gt;'DB1'!$U$25,AG71&lt;='DB1'!$U$27),1,0))</f>
        <v>3</v>
      </c>
      <c r="AJ71" s="90">
        <f t="shared" si="105"/>
        <v>2322110793.5999999</v>
      </c>
      <c r="AK71" s="91">
        <f>IF($E$83="АРЕНДА",IF(OR(AG71&lt;'DB1'!$U$25,AG71&gt;'DB1'!$U$27),$AO$62,VLOOKUP(AI71,$AN$63:$AO$122,2,0)),IF(AG71&gt;0,AP71,0))</f>
        <v>0</v>
      </c>
      <c r="AL71" s="92">
        <f t="shared" si="106"/>
        <v>0</v>
      </c>
      <c r="AN71" s="90">
        <v>9</v>
      </c>
      <c r="AO71" s="91">
        <f>$AO$70*2</f>
        <v>0.03</v>
      </c>
      <c r="AP71" s="91">
        <f t="shared" si="97"/>
        <v>3.0000000000000001E-3</v>
      </c>
      <c r="AR71" s="98" t="s">
        <v>13</v>
      </c>
      <c r="AS71" s="98" t="s">
        <v>135</v>
      </c>
      <c r="AT71" s="99">
        <f>-'CF1'!E59-AT72-AT73-AT74-'TS1'!AA113-'CF1'!E60+AU71/2</f>
        <v>8712.7323334695939</v>
      </c>
      <c r="AU71" s="1171">
        <f>'CF1'!E60+'CF2'!E60</f>
        <v>-3841.3457539823703</v>
      </c>
      <c r="AV71" s="1172" t="s">
        <v>1692</v>
      </c>
    </row>
    <row r="72" spans="2:48">
      <c r="B72" s="74" t="s">
        <v>215</v>
      </c>
      <c r="C72" s="182">
        <v>0.12989999999999999</v>
      </c>
      <c r="H72" s="76">
        <f t="shared" si="110"/>
        <v>0</v>
      </c>
      <c r="I72" s="76">
        <v>11000</v>
      </c>
      <c r="J72" s="76">
        <v>15000</v>
      </c>
      <c r="K72" s="91">
        <v>0.2</v>
      </c>
      <c r="O72" s="87" t="str">
        <f t="shared" si="98"/>
        <v>4Q2028</v>
      </c>
      <c r="P72" s="88">
        <f t="shared" si="107"/>
        <v>47118</v>
      </c>
      <c r="Q72" s="89">
        <f>IF(SUM(Q$62:Q71)&lt;$N$63,$N$65,)</f>
        <v>0</v>
      </c>
      <c r="R72" s="89">
        <f>$N$63-SUM(Q$62:Q71)</f>
        <v>0</v>
      </c>
      <c r="S72" s="89">
        <f t="shared" si="99"/>
        <v>0</v>
      </c>
      <c r="T72" s="89">
        <f t="shared" si="100"/>
        <v>0</v>
      </c>
      <c r="U72" s="90">
        <f>IF(P72&gt;$N$66,0,IF(P73&gt;$N$66,SUM(Q$63:$Q72)+S72,T72))</f>
        <v>0</v>
      </c>
      <c r="Y72" s="87" t="str">
        <f t="shared" si="101"/>
        <v>4Q2028</v>
      </c>
      <c r="Z72" s="88">
        <f t="shared" si="108"/>
        <v>47057</v>
      </c>
      <c r="AA72" s="89"/>
      <c r="AB72" s="89">
        <f t="shared" si="96"/>
        <v>4556.6214499938897</v>
      </c>
      <c r="AC72" s="89">
        <f t="shared" si="103"/>
        <v>28.478884062461812</v>
      </c>
      <c r="AF72" s="87" t="str">
        <f t="shared" si="104"/>
        <v>3Q2027</v>
      </c>
      <c r="AG72" s="88">
        <f t="shared" si="109"/>
        <v>46660</v>
      </c>
      <c r="AH72" s="76">
        <f>IF(AND(AH71&lt;0,AG72&lt;=EOMONTH('DB1'!U$27,3*'DB1'!$P$50)),1,IF(AG72&lt;=EOMONTH('DB1'!U$27,3*'DB1'!$P$50),AH71+1,0))</f>
        <v>10</v>
      </c>
      <c r="AI72" s="76">
        <f>IF(AND(AI71&gt;0,AG72&lt;=EOMONTH('DB1'!$U$27,0)),AI71+1,IF(AND(AG72&gt;'DB1'!$U$25,AG72&lt;='DB1'!$U$27),1,0))</f>
        <v>4</v>
      </c>
      <c r="AJ72" s="90">
        <f t="shared" si="105"/>
        <v>2322110793.5999999</v>
      </c>
      <c r="AK72" s="91">
        <f>IF($E$83="АРЕНДА",IF(OR(AG72&lt;'DB1'!$U$25,AG72&gt;'DB1'!$U$27),$AO$62,VLOOKUP(AI72,$AN$63:$AO$122,2,0)),IF(AG72&gt;0,AP72,0))</f>
        <v>0</v>
      </c>
      <c r="AL72" s="92">
        <f t="shared" si="106"/>
        <v>0</v>
      </c>
      <c r="AN72" s="90">
        <v>10</v>
      </c>
      <c r="AO72" s="91">
        <f>$AO$70*2</f>
        <v>0.03</v>
      </c>
      <c r="AP72" s="91">
        <f t="shared" si="97"/>
        <v>3.0000000000000001E-3</v>
      </c>
      <c r="AR72" s="98" t="s">
        <v>13</v>
      </c>
      <c r="AS72" s="98" t="str">
        <f>'CF1'!B65</f>
        <v>СМР жилье</v>
      </c>
      <c r="AT72" s="99">
        <f>-'CF1'!E65</f>
        <v>15555.415659999993</v>
      </c>
      <c r="AU72" s="100"/>
    </row>
    <row r="73" spans="2:48">
      <c r="B73" s="74" t="s">
        <v>244</v>
      </c>
      <c r="C73" s="183">
        <v>1.6575</v>
      </c>
      <c r="D73" s="335" t="s">
        <v>369</v>
      </c>
      <c r="H73" s="76">
        <f t="shared" si="110"/>
        <v>0</v>
      </c>
      <c r="I73" s="76">
        <v>15000</v>
      </c>
      <c r="J73" s="76">
        <v>19000</v>
      </c>
      <c r="K73" s="91">
        <v>0.25</v>
      </c>
      <c r="O73" s="87" t="str">
        <f t="shared" si="98"/>
        <v>1Q2029</v>
      </c>
      <c r="P73" s="88">
        <f t="shared" si="107"/>
        <v>47208</v>
      </c>
      <c r="Q73" s="89">
        <f>IF(SUM(Q$62:Q72)&lt;$N$63,$N$65,)</f>
        <v>0</v>
      </c>
      <c r="R73" s="89">
        <f>$N$63-SUM(Q$62:Q72)</f>
        <v>0</v>
      </c>
      <c r="S73" s="89">
        <f t="shared" si="99"/>
        <v>0</v>
      </c>
      <c r="T73" s="89">
        <f t="shared" si="100"/>
        <v>0</v>
      </c>
      <c r="U73" s="90">
        <f>IF(P73&gt;$N$66,0,IF(P74&gt;$N$66,SUM(Q$63:$Q73)+S73,T73))</f>
        <v>0</v>
      </c>
      <c r="Y73" s="87" t="str">
        <f t="shared" si="101"/>
        <v>1Q2029</v>
      </c>
      <c r="Z73" s="88">
        <f t="shared" si="108"/>
        <v>47149</v>
      </c>
      <c r="AA73" s="89"/>
      <c r="AB73" s="89">
        <f t="shared" si="96"/>
        <v>4556.6214499938897</v>
      </c>
      <c r="AC73" s="89">
        <f t="shared" si="103"/>
        <v>28.478884062461812</v>
      </c>
      <c r="AF73" s="87" t="str">
        <f t="shared" si="104"/>
        <v>4Q2027</v>
      </c>
      <c r="AG73" s="88">
        <f t="shared" si="109"/>
        <v>46752</v>
      </c>
      <c r="AH73" s="76">
        <f>IF(AND(AH72&lt;0,AG73&lt;=EOMONTH('DB1'!U$27,3*'DB1'!$P$50)),1,IF(AG73&lt;=EOMONTH('DB1'!U$27,3*'DB1'!$P$50),AH72+1,0))</f>
        <v>11</v>
      </c>
      <c r="AI73" s="76">
        <f>IF(AND(AI72&gt;0,AG73&lt;=EOMONTH('DB1'!$U$27,0)),AI72+1,IF(AND(AG73&gt;'DB1'!$U$25,AG73&lt;='DB1'!$U$27),1,0))</f>
        <v>5</v>
      </c>
      <c r="AJ73" s="90">
        <f t="shared" si="105"/>
        <v>2322110793.5999999</v>
      </c>
      <c r="AK73" s="91">
        <f>IF($E$83="АРЕНДА",IF(OR(AG73&lt;'DB1'!$U$25,AG73&gt;'DB1'!$U$27),$AO$62,VLOOKUP(AI73,$AN$63:$AO$122,2,0)),IF(AG73&gt;0,AP73,0))</f>
        <v>1.4999999999999999E-2</v>
      </c>
      <c r="AL73" s="92">
        <f t="shared" si="106"/>
        <v>8.7079154760000002</v>
      </c>
      <c r="AN73" s="90">
        <v>11</v>
      </c>
      <c r="AO73" s="91">
        <f>$AO$70*2</f>
        <v>0.03</v>
      </c>
      <c r="AP73" s="91">
        <f t="shared" si="97"/>
        <v>3.0000000000000001E-3</v>
      </c>
      <c r="AR73" s="98" t="s">
        <v>13</v>
      </c>
      <c r="AS73" s="98" t="str">
        <f>'CF1'!B66</f>
        <v>СМР офисы</v>
      </c>
      <c r="AT73" s="99">
        <f>-'CF1'!E66</f>
        <v>0</v>
      </c>
    </row>
    <row r="74" spans="2:48">
      <c r="B74" s="339" t="s">
        <v>245</v>
      </c>
      <c r="C74" s="195">
        <v>1</v>
      </c>
      <c r="H74" s="76">
        <f t="shared" si="110"/>
        <v>0</v>
      </c>
      <c r="I74" s="76">
        <v>19000</v>
      </c>
      <c r="J74" s="76">
        <v>23000</v>
      </c>
      <c r="K74" s="91">
        <v>0.3</v>
      </c>
      <c r="O74" s="87" t="str">
        <f t="shared" si="98"/>
        <v>2Q2029</v>
      </c>
      <c r="P74" s="88">
        <f t="shared" si="107"/>
        <v>47299</v>
      </c>
      <c r="Q74" s="89">
        <f>IF(SUM(Q$62:Q73)&lt;$N$63,$N$65,)</f>
        <v>0</v>
      </c>
      <c r="R74" s="89">
        <f>$N$63-SUM(Q$62:Q73)</f>
        <v>0</v>
      </c>
      <c r="S74" s="89">
        <f t="shared" si="99"/>
        <v>0</v>
      </c>
      <c r="T74" s="89">
        <f t="shared" si="100"/>
        <v>0</v>
      </c>
      <c r="U74" s="90">
        <f>IF(P74&gt;$N$66,0,IF(P75&gt;$N$66,SUM(Q$63:$Q74)+S74,T74))</f>
        <v>0</v>
      </c>
      <c r="Y74" s="87" t="str">
        <f t="shared" si="101"/>
        <v>2Q2029</v>
      </c>
      <c r="Z74" s="88">
        <f t="shared" si="108"/>
        <v>47238</v>
      </c>
      <c r="AA74" s="89"/>
      <c r="AB74" s="89">
        <f t="shared" si="96"/>
        <v>4556.6214499938897</v>
      </c>
      <c r="AC74" s="89">
        <f t="shared" si="103"/>
        <v>28.478884062461812</v>
      </c>
      <c r="AF74" s="87" t="str">
        <f t="shared" si="104"/>
        <v>1Q2028</v>
      </c>
      <c r="AG74" s="88">
        <f t="shared" si="109"/>
        <v>46843</v>
      </c>
      <c r="AH74" s="76">
        <f>IF(AND(AH73&lt;0,AG74&lt;=EOMONTH('DB1'!U$27,3*'DB1'!$P$50)),1,IF(AG74&lt;=EOMONTH('DB1'!U$27,3*'DB1'!$P$50),AH73+1,0))</f>
        <v>12</v>
      </c>
      <c r="AI74" s="76">
        <f>IF(AND(AI73&gt;0,AG74&lt;=EOMONTH('DB1'!$U$27,0)),AI73+1,IF(AND(AG74&gt;'DB1'!$U$25,AG74&lt;='DB1'!$U$27),1,0))</f>
        <v>6</v>
      </c>
      <c r="AJ74" s="90">
        <f t="shared" si="105"/>
        <v>2322110793.5999999</v>
      </c>
      <c r="AK74" s="91">
        <f>IF($E$83="АРЕНДА",IF(OR(AG74&lt;'DB1'!$U$25,AG74&gt;'DB1'!$U$27),$AO$62,VLOOKUP(AI74,$AN$63:$AO$122,2,0)),IF(AG74&gt;0,AP74,0))</f>
        <v>1.4999999999999999E-2</v>
      </c>
      <c r="AL74" s="92">
        <f t="shared" si="106"/>
        <v>8.7079154760000002</v>
      </c>
      <c r="AN74" s="90">
        <v>12</v>
      </c>
      <c r="AO74" s="91">
        <f>$AO$70*2</f>
        <v>0.03</v>
      </c>
      <c r="AP74" s="91">
        <f t="shared" si="97"/>
        <v>3.0000000000000001E-3</v>
      </c>
      <c r="AR74" s="98" t="s">
        <v>13</v>
      </c>
      <c r="AS74" s="98" t="str">
        <f>'CF1'!B67</f>
        <v>СМР ТЦ</v>
      </c>
      <c r="AT74" s="99">
        <f>-'CF1'!E67</f>
        <v>0</v>
      </c>
      <c r="AU74" s="100"/>
    </row>
    <row r="75" spans="2:48">
      <c r="B75" s="104" t="s">
        <v>382</v>
      </c>
      <c r="C75" s="105"/>
      <c r="D75" s="105"/>
      <c r="E75" s="102">
        <f>E86*E87</f>
        <v>4556621449.9938898</v>
      </c>
      <c r="H75" s="76">
        <f t="shared" si="110"/>
        <v>0</v>
      </c>
      <c r="I75" s="76">
        <v>23000</v>
      </c>
      <c r="J75" s="76">
        <v>26999.999999999996</v>
      </c>
      <c r="K75" s="91">
        <v>0.4</v>
      </c>
      <c r="O75" s="87" t="str">
        <f t="shared" si="98"/>
        <v>3Q2029</v>
      </c>
      <c r="P75" s="88">
        <f t="shared" si="107"/>
        <v>47391</v>
      </c>
      <c r="Q75" s="89">
        <f>IF(SUM(Q$62:Q74)&lt;$N$63,$N$65,)</f>
        <v>0</v>
      </c>
      <c r="R75" s="89">
        <f>$N$63-SUM(Q$62:Q74)</f>
        <v>0</v>
      </c>
      <c r="S75" s="89">
        <f t="shared" si="99"/>
        <v>0</v>
      </c>
      <c r="T75" s="89">
        <f t="shared" si="100"/>
        <v>0</v>
      </c>
      <c r="U75" s="90">
        <f>IF(P75&gt;$N$66,0,IF(P76&gt;$N$66,SUM(Q$63:$Q75)+S75,T75))</f>
        <v>0</v>
      </c>
      <c r="Y75" s="87" t="str">
        <f t="shared" si="101"/>
        <v>3Q2029</v>
      </c>
      <c r="Z75" s="88">
        <f t="shared" si="108"/>
        <v>47330</v>
      </c>
      <c r="AA75" s="89"/>
      <c r="AB75" s="89">
        <f t="shared" si="96"/>
        <v>4556.6214499938897</v>
      </c>
      <c r="AC75" s="89">
        <f t="shared" si="103"/>
        <v>28.478884062461812</v>
      </c>
      <c r="AF75" s="87" t="str">
        <f t="shared" si="104"/>
        <v>2Q2028</v>
      </c>
      <c r="AG75" s="88">
        <f t="shared" si="109"/>
        <v>46934</v>
      </c>
      <c r="AH75" s="76">
        <f>IF(AND(AH74&lt;0,AG75&lt;=EOMONTH('DB1'!U$27,3*'DB1'!$P$50)),1,IF(AG75&lt;=EOMONTH('DB1'!U$27,3*'DB1'!$P$50),AH74+1,0))</f>
        <v>13</v>
      </c>
      <c r="AI75" s="76">
        <f>IF(AND(AI74&gt;0,AG75&lt;=EOMONTH('DB1'!$U$27,0)),AI74+1,IF(AND(AG75&gt;'DB1'!$U$25,AG75&lt;='DB1'!$U$27),1,0))</f>
        <v>7</v>
      </c>
      <c r="AJ75" s="90">
        <f t="shared" si="105"/>
        <v>2322110793.5999999</v>
      </c>
      <c r="AK75" s="91">
        <f>IF($E$83="АРЕНДА",IF(OR(AG75&lt;'DB1'!$U$25,AG75&gt;'DB1'!$U$27),$AO$62,VLOOKUP(AI75,$AN$63:$AO$122,2,0)),IF(AG75&gt;0,AP75,0))</f>
        <v>1.4999999999999999E-2</v>
      </c>
      <c r="AL75" s="92">
        <f t="shared" si="106"/>
        <v>8.7079154760000002</v>
      </c>
      <c r="AN75" s="90">
        <v>13</v>
      </c>
      <c r="AO75" s="91">
        <f>$AO$74+2%</f>
        <v>0.05</v>
      </c>
      <c r="AP75" s="91">
        <f t="shared" si="97"/>
        <v>3.0000000000000001E-3</v>
      </c>
      <c r="AR75" s="55" t="str">
        <f>AR63</f>
        <v>КВАРТИРЫ</v>
      </c>
      <c r="AS75" s="60">
        <f>($AT$71)/SUM($AS$63:$AT$67)*AS63+($AT$72-SUM($AS$80:$AT$80))/SUM($AS$63:$AT$64,$AS$66:$AT$66)*AS63</f>
        <v>12338.446362835948</v>
      </c>
      <c r="AT75" s="60">
        <f>($AT$71)/SUM($AS$63:$AT$67)*AT63+($AT$72-SUM($AS$80:$AT$80))/SUM($AS$63:$AT$64,$AS$66:$AT$66)*AT63</f>
        <v>8028.6829825875247</v>
      </c>
    </row>
    <row r="76" spans="2:48" ht="13.5" customHeight="1">
      <c r="B76" s="104" t="s">
        <v>380</v>
      </c>
      <c r="C76" s="105"/>
      <c r="D76" s="105"/>
      <c r="E76" s="1165"/>
      <c r="G76" s="54">
        <f>IF(AND($K$67&gt;=I77,$K$67&lt;=J77),1,0)</f>
        <v>1</v>
      </c>
      <c r="H76" s="76">
        <f t="shared" si="110"/>
        <v>0</v>
      </c>
      <c r="I76" s="76">
        <v>26999.999999999996</v>
      </c>
      <c r="J76" s="76">
        <v>30999.999999999996</v>
      </c>
      <c r="K76" s="91">
        <v>0.5</v>
      </c>
      <c r="O76" s="87" t="str">
        <f t="shared" si="98"/>
        <v>4Q2029</v>
      </c>
      <c r="P76" s="88">
        <f t="shared" si="107"/>
        <v>47483</v>
      </c>
      <c r="Q76" s="89">
        <f>IF(SUM(Q$62:Q75)&lt;$N$63,$N$65,)</f>
        <v>0</v>
      </c>
      <c r="R76" s="89">
        <f>$N$63-SUM(Q$62:Q75)</f>
        <v>0</v>
      </c>
      <c r="S76" s="89">
        <f t="shared" si="99"/>
        <v>0</v>
      </c>
      <c r="T76" s="89">
        <f t="shared" si="100"/>
        <v>0</v>
      </c>
      <c r="U76" s="90">
        <f>IF(P76&gt;$N$66,0,IF(P77&gt;$N$66,SUM(Q$63:$Q76)+S76,T76))</f>
        <v>0</v>
      </c>
      <c r="Y76" s="87" t="str">
        <f t="shared" si="101"/>
        <v>4Q2029</v>
      </c>
      <c r="Z76" s="88">
        <f t="shared" si="108"/>
        <v>47422</v>
      </c>
      <c r="AA76" s="89"/>
      <c r="AB76" s="89">
        <f t="shared" si="96"/>
        <v>4556.6214499938897</v>
      </c>
      <c r="AC76" s="89">
        <f t="shared" si="103"/>
        <v>28.478884062461812</v>
      </c>
      <c r="AF76" s="87" t="str">
        <f t="shared" si="104"/>
        <v>3Q2028</v>
      </c>
      <c r="AG76" s="88">
        <f t="shared" si="109"/>
        <v>47026</v>
      </c>
      <c r="AH76" s="76">
        <f>IF(AND(AH75&lt;0,AG76&lt;=EOMONTH('DB1'!U$27,3*'DB1'!$P$50)),1,IF(AG76&lt;=EOMONTH('DB1'!U$27,3*'DB1'!$P$50),AH75+1,0))</f>
        <v>14</v>
      </c>
      <c r="AI76" s="76">
        <f>IF(AND(AI75&gt;0,AG76&lt;=EOMONTH('DB1'!$U$27,0)),AI75+1,IF(AND(AG76&gt;'DB1'!$U$25,AG76&lt;='DB1'!$U$27),1,0))</f>
        <v>8</v>
      </c>
      <c r="AJ76" s="90">
        <f t="shared" si="105"/>
        <v>2322110793.5999999</v>
      </c>
      <c r="AK76" s="91">
        <f>IF($E$83="АРЕНДА",IF(OR(AG76&lt;'DB1'!$U$25,AG76&gt;'DB1'!$U$27),$AO$62,VLOOKUP(AI76,$AN$63:$AO$122,2,0)),IF(AG76&gt;0,AP76,0))</f>
        <v>1.4999999999999999E-2</v>
      </c>
      <c r="AL76" s="92">
        <f t="shared" si="106"/>
        <v>8.7079154760000002</v>
      </c>
      <c r="AN76" s="90">
        <v>14</v>
      </c>
      <c r="AO76" s="91">
        <f>$AO$74+2%</f>
        <v>0.05</v>
      </c>
      <c r="AP76" s="91">
        <f t="shared" si="97"/>
        <v>3.0000000000000001E-3</v>
      </c>
      <c r="AR76" s="55" t="str">
        <f t="shared" ref="AR76:AR81" si="111">AR64</f>
        <v>АПАРТАМЕНТЫ</v>
      </c>
      <c r="AS76" s="60">
        <f>($AT$71)/SUM($AS$63:$AT$67)*AS64+($AT$72-SUM($AS$80:$AT$80))/SUM($AS$63:$AT$64,$AS$66:$AT$66)*AS64</f>
        <v>0</v>
      </c>
      <c r="AT76" s="60">
        <f>($AT$71)/SUM($AS$63:$AT$67)*AT64+($AT$72-SUM($AS$80:$AT$80))/SUM($AS$63:$AT$64,$AS$66:$AT$66)*AT64</f>
        <v>0</v>
      </c>
    </row>
    <row r="77" spans="2:48">
      <c r="B77" s="104" t="s">
        <v>383</v>
      </c>
      <c r="C77" s="105"/>
      <c r="D77" s="105"/>
      <c r="E77" s="102">
        <f>E75*(1-E76)</f>
        <v>4556621449.9938898</v>
      </c>
      <c r="G77" s="54">
        <f>IF(AND($K$67&gt;=I78,$K$67&lt;=J78),1,0)</f>
        <v>1</v>
      </c>
      <c r="H77" s="76">
        <f t="shared" si="110"/>
        <v>1</v>
      </c>
      <c r="I77" s="76">
        <v>30999.999999999996</v>
      </c>
      <c r="J77" s="76">
        <v>34999.999999999993</v>
      </c>
      <c r="K77" s="91">
        <v>0.6</v>
      </c>
      <c r="O77" s="87" t="str">
        <f t="shared" si="98"/>
        <v>1Q2030</v>
      </c>
      <c r="P77" s="88">
        <f t="shared" si="107"/>
        <v>47573</v>
      </c>
      <c r="Q77" s="89">
        <f>IF(SUM(Q$62:Q76)&lt;$N$63,$N$65,)</f>
        <v>0</v>
      </c>
      <c r="R77" s="89">
        <f>$N$63-SUM(Q$62:Q76)</f>
        <v>0</v>
      </c>
      <c r="S77" s="89">
        <f t="shared" si="99"/>
        <v>0</v>
      </c>
      <c r="T77" s="89">
        <f t="shared" si="100"/>
        <v>0</v>
      </c>
      <c r="U77" s="90">
        <f>IF(P77&gt;$N$66,0,IF(P78&gt;$N$66,SUM(Q$63:$Q77)+S77,T77))</f>
        <v>0</v>
      </c>
      <c r="Y77" s="87" t="str">
        <f t="shared" si="101"/>
        <v>1Q2030</v>
      </c>
      <c r="Z77" s="88">
        <f t="shared" si="108"/>
        <v>47514</v>
      </c>
      <c r="AA77" s="89"/>
      <c r="AB77" s="89">
        <f t="shared" si="96"/>
        <v>4556.6214499938897</v>
      </c>
      <c r="AC77" s="89">
        <f>AB77*$X$66/4</f>
        <v>28.478884062461812</v>
      </c>
      <c r="AF77" s="87" t="str">
        <f t="shared" si="104"/>
        <v>4Q2028</v>
      </c>
      <c r="AG77" s="88">
        <f t="shared" si="109"/>
        <v>47118</v>
      </c>
      <c r="AH77" s="76">
        <f>IF(AND(AH76&lt;0,AG77&lt;=EOMONTH('DB1'!U$27,3*'DB1'!$P$50)),1,IF(AG77&lt;=EOMONTH('DB1'!U$27,3*'DB1'!$P$50),AH76+1,0))</f>
        <v>15</v>
      </c>
      <c r="AI77" s="76">
        <f>IF(AND(AI76&gt;0,AG77&lt;=EOMONTH('DB1'!$U$27,0)),AI76+1,IF(AND(AG77&gt;'DB1'!$U$25,AG77&lt;='DB1'!$U$27),1,0))</f>
        <v>9</v>
      </c>
      <c r="AJ77" s="90">
        <f t="shared" si="105"/>
        <v>2322110793.5999999</v>
      </c>
      <c r="AK77" s="91">
        <f>IF($E$83="АРЕНДА",IF(OR(AG77&lt;'DB1'!$U$25,AG77&gt;'DB1'!$U$27),$AO$62,VLOOKUP(AI77,$AN$63:$AO$122,2,0)),IF(AG77&gt;0,AP77,0))</f>
        <v>0.03</v>
      </c>
      <c r="AL77" s="92">
        <f t="shared" si="106"/>
        <v>17.415830952</v>
      </c>
      <c r="AN77" s="90">
        <v>15</v>
      </c>
      <c r="AO77" s="91">
        <f>$AO$74+2%</f>
        <v>0.05</v>
      </c>
      <c r="AP77" s="91">
        <f t="shared" si="97"/>
        <v>3.0000000000000001E-3</v>
      </c>
      <c r="AR77" s="55" t="str">
        <f t="shared" si="111"/>
        <v>ОФИСЫ</v>
      </c>
      <c r="AS77" s="60">
        <f>IFERROR(($AT$71)/SUM($AS$63:$AT$67)*AS65+($AT$73-SUM($AS$81:$AT$81))/SUM($AS$65:$AT$65)*AS65,0)</f>
        <v>0</v>
      </c>
      <c r="AT77" s="60">
        <f>IFERROR(($AT$71)/SUM($AS$63:$AT$67)*AT65+($AT$73-SUM($AS$81:$AT$81))/SUM($AS$65:$AT$65)*AT65,0)</f>
        <v>0</v>
      </c>
    </row>
    <row r="78" spans="2:48">
      <c r="H78" s="76">
        <f t="shared" si="110"/>
        <v>1</v>
      </c>
      <c r="I78" s="76">
        <v>34999.999999999993</v>
      </c>
      <c r="J78" s="76">
        <v>38999.999999999993</v>
      </c>
      <c r="K78" s="91">
        <v>0.7</v>
      </c>
      <c r="O78" s="87" t="str">
        <f t="shared" si="98"/>
        <v>2Q2030</v>
      </c>
      <c r="P78" s="88">
        <f t="shared" si="107"/>
        <v>47664</v>
      </c>
      <c r="Q78" s="89">
        <f>IF(SUM(Q$62:Q77)&lt;$N$63,$N$65,)</f>
        <v>0</v>
      </c>
      <c r="R78" s="89">
        <f>$N$63-SUM(Q$62:Q77)</f>
        <v>0</v>
      </c>
      <c r="S78" s="89">
        <f t="shared" si="99"/>
        <v>0</v>
      </c>
      <c r="T78" s="89">
        <f t="shared" si="100"/>
        <v>0</v>
      </c>
      <c r="U78" s="90">
        <f>IF(P78&gt;$N$66,0,IF(P79&gt;$N$66,SUM(Q$63:$Q78)+S78,T78))</f>
        <v>0</v>
      </c>
      <c r="Y78" s="87" t="str">
        <f t="shared" si="101"/>
        <v>2Q2030</v>
      </c>
      <c r="Z78" s="88">
        <f t="shared" si="108"/>
        <v>47603</v>
      </c>
      <c r="AA78" s="89"/>
      <c r="AB78" s="89">
        <f>IF(Z78&lt;$X$65,$C$81,)/10^6</f>
        <v>4556.6214499938897</v>
      </c>
      <c r="AC78" s="89">
        <f t="shared" si="103"/>
        <v>28.478884062461812</v>
      </c>
      <c r="AF78" s="87" t="str">
        <f t="shared" si="104"/>
        <v>1Q2029</v>
      </c>
      <c r="AG78" s="88">
        <f t="shared" si="109"/>
        <v>47208</v>
      </c>
      <c r="AH78" s="76">
        <f>IF(AND(AH77&lt;0,AG78&lt;=EOMONTH('DB1'!U$27,3*'DB1'!$P$50)),1,IF(AG78&lt;=EOMONTH('DB1'!U$27,3*'DB1'!$P$50),AH77+1,0))</f>
        <v>16</v>
      </c>
      <c r="AI78" s="76">
        <f>IF(AND(AI77&gt;0,AG78&lt;=EOMONTH('DB1'!$U$27,0)),AI77+1,IF(AND(AG78&gt;'DB1'!$U$25,AG78&lt;='DB1'!$U$27),1,0))</f>
        <v>10</v>
      </c>
      <c r="AJ78" s="90">
        <f t="shared" si="105"/>
        <v>2322110793.5999999</v>
      </c>
      <c r="AK78" s="91">
        <f>IF($E$83="АРЕНДА",IF(OR(AG78&lt;'DB1'!$U$25,AG78&gt;'DB1'!$U$27),$AO$62,VLOOKUP(AI78,$AN$63:$AO$122,2,0)),IF(AG78&gt;0,AP78,0))</f>
        <v>0.03</v>
      </c>
      <c r="AL78" s="92">
        <f t="shared" si="106"/>
        <v>17.415830952</v>
      </c>
      <c r="AN78" s="90">
        <v>16</v>
      </c>
      <c r="AO78" s="91">
        <f>$AO$74+2%</f>
        <v>0.05</v>
      </c>
      <c r="AP78" s="91">
        <f t="shared" si="97"/>
        <v>3.0000000000000001E-3</v>
      </c>
      <c r="AR78" s="55" t="str">
        <f t="shared" si="111"/>
        <v>РИТЕЙЛ</v>
      </c>
      <c r="AS78" s="60">
        <f>($AT$71)/SUM($AS$63:$AT$67)*AS66+($AT$72-SUM($AS$80:$AT$80))/SUM($AS$63:$AT$64,$AS$66:$AT$66)*AS66</f>
        <v>0</v>
      </c>
      <c r="AT78" s="60">
        <f>($AT$71)/SUM($AS$63:$AT$67)*AT66+($AT$72-SUM($AS$80:$AT$80))/SUM($AS$63:$AT$64,$AS$66:$AT$66)*AT66</f>
        <v>1205.5186480461141</v>
      </c>
    </row>
    <row r="79" spans="2:48">
      <c r="B79" s="123" t="s">
        <v>218</v>
      </c>
      <c r="H79" s="76">
        <f t="shared" si="110"/>
        <v>0</v>
      </c>
      <c r="I79" s="76">
        <v>38999.999999999993</v>
      </c>
      <c r="J79" s="76">
        <v>50000</v>
      </c>
      <c r="K79" s="91">
        <v>0.79999999999999993</v>
      </c>
      <c r="O79" s="87" t="str">
        <f t="shared" si="98"/>
        <v>3Q2030</v>
      </c>
      <c r="P79" s="88">
        <f t="shared" si="107"/>
        <v>47756</v>
      </c>
      <c r="Q79" s="89">
        <f>IF(SUM(Q$62:Q78)&lt;$N$63,$N$65,)</f>
        <v>0</v>
      </c>
      <c r="R79" s="89">
        <f>$N$63-SUM(Q$62:Q78)</f>
        <v>0</v>
      </c>
      <c r="S79" s="89">
        <f t="shared" si="99"/>
        <v>0</v>
      </c>
      <c r="T79" s="89">
        <f t="shared" si="100"/>
        <v>0</v>
      </c>
      <c r="U79" s="90">
        <f>IF(P79&gt;$N$66,0,IF(P80&gt;$N$66,SUM(Q$63:$Q79)+S79,T79))</f>
        <v>0</v>
      </c>
      <c r="Y79" s="87" t="str">
        <f t="shared" si="101"/>
        <v>3Q2030</v>
      </c>
      <c r="Z79" s="88">
        <f t="shared" si="108"/>
        <v>47695</v>
      </c>
      <c r="AA79" s="89"/>
      <c r="AB79" s="89">
        <f t="shared" si="96"/>
        <v>0</v>
      </c>
      <c r="AC79" s="89">
        <f t="shared" si="103"/>
        <v>0</v>
      </c>
      <c r="AF79" s="87" t="str">
        <f t="shared" si="104"/>
        <v>2Q2029</v>
      </c>
      <c r="AG79" s="88">
        <f t="shared" si="109"/>
        <v>47299</v>
      </c>
      <c r="AH79" s="76">
        <f>IF(AND(AH78&lt;0,AG79&lt;=EOMONTH('DB1'!U$27,3*'DB1'!$P$50)),1,IF(AG79&lt;=EOMONTH('DB1'!U$27,3*'DB1'!$P$50),AH78+1,0))</f>
        <v>17</v>
      </c>
      <c r="AI79" s="76">
        <f>IF(AND(AI78&gt;0,AG79&lt;=EOMONTH('DB1'!$U$27,0)),AI78+1,IF(AND(AG79&gt;'DB1'!$U$25,AG79&lt;='DB1'!$U$27),1,0))</f>
        <v>11</v>
      </c>
      <c r="AJ79" s="90">
        <f t="shared" si="105"/>
        <v>2322110793.5999999</v>
      </c>
      <c r="AK79" s="91">
        <f>IF($E$83="АРЕНДА",IF(OR(AG79&lt;'DB1'!$U$25,AG79&gt;'DB1'!$U$27),$AO$62,VLOOKUP(AI79,$AN$63:$AO$122,2,0)),IF(AG79&gt;0,AP79,0))</f>
        <v>0.03</v>
      </c>
      <c r="AL79" s="92">
        <f t="shared" si="106"/>
        <v>17.415830952</v>
      </c>
      <c r="AN79" s="90">
        <v>17</v>
      </c>
      <c r="AO79" s="91">
        <f>$AO$78+2%</f>
        <v>7.0000000000000007E-2</v>
      </c>
      <c r="AP79" s="91">
        <f t="shared" si="97"/>
        <v>3.0000000000000001E-3</v>
      </c>
      <c r="AR79" s="55" t="str">
        <f t="shared" si="111"/>
        <v>ТЦ</v>
      </c>
      <c r="AS79" s="60">
        <f>IFERROR(($AT$71)/SUM($AS$63:$AT$67)*AS67+$AT$74/SUM($AS$67:$AT$67)*AS67,0)</f>
        <v>0</v>
      </c>
      <c r="AT79" s="60">
        <f>IFERROR(($AT$71)/SUM($AS$63:$AT$67)*AT67+$AT$74/SUM($AS$67:$AT$67)*AT67,0)</f>
        <v>0</v>
      </c>
    </row>
    <row r="80" spans="2:48">
      <c r="B80" s="191"/>
      <c r="C80" s="191"/>
      <c r="H80" s="76">
        <f t="shared" si="110"/>
        <v>0</v>
      </c>
      <c r="I80" s="76">
        <f>J79</f>
        <v>50000</v>
      </c>
      <c r="J80" s="76">
        <v>500000</v>
      </c>
      <c r="K80" s="91">
        <v>0.8</v>
      </c>
      <c r="N80" s="103"/>
      <c r="O80" s="87" t="str">
        <f t="shared" si="98"/>
        <v>4Q2030</v>
      </c>
      <c r="P80" s="88">
        <f t="shared" si="107"/>
        <v>47848</v>
      </c>
      <c r="Q80" s="89">
        <f>IF(SUM(Q$62:Q79)&lt;$N$63,$N$65,)</f>
        <v>0</v>
      </c>
      <c r="R80" s="89">
        <f>$N$63-SUM(Q$62:Q79)</f>
        <v>0</v>
      </c>
      <c r="S80" s="89">
        <f t="shared" si="99"/>
        <v>0</v>
      </c>
      <c r="T80" s="89">
        <f t="shared" si="100"/>
        <v>0</v>
      </c>
      <c r="U80" s="90">
        <f>IF(P80&gt;$N$66,0,IF(P81&gt;$N$66,SUM(Q$63:$Q80)+S80,T80))</f>
        <v>0</v>
      </c>
      <c r="Y80" s="87" t="str">
        <f t="shared" si="101"/>
        <v>4Q2030</v>
      </c>
      <c r="Z80" s="88">
        <f t="shared" si="108"/>
        <v>47787</v>
      </c>
      <c r="AA80" s="89"/>
      <c r="AB80" s="89">
        <f t="shared" si="96"/>
        <v>0</v>
      </c>
      <c r="AC80" s="89">
        <f t="shared" si="103"/>
        <v>0</v>
      </c>
      <c r="AF80" s="87" t="str">
        <f t="shared" si="104"/>
        <v>3Q2029</v>
      </c>
      <c r="AG80" s="88">
        <f t="shared" si="109"/>
        <v>47391</v>
      </c>
      <c r="AH80" s="76">
        <f>IF(AND(AH79&lt;0,AG80&lt;=EOMONTH('DB1'!U$27,3*'DB1'!$P$50)),1,IF(AG80&lt;=EOMONTH('DB1'!U$27,3*'DB1'!$P$50),AH79+1,0))</f>
        <v>18</v>
      </c>
      <c r="AI80" s="76">
        <f>IF(AND(AI79&gt;0,AG80&lt;=EOMONTH('DB1'!$U$27,0)),AI79+1,IF(AND(AG80&gt;'DB1'!$U$25,AG80&lt;='DB1'!$U$27),1,0))</f>
        <v>12</v>
      </c>
      <c r="AJ80" s="90">
        <f t="shared" si="105"/>
        <v>2322110793.5999999</v>
      </c>
      <c r="AK80" s="91">
        <f>IF($E$83="АРЕНДА",IF(OR(AG80&lt;'DB1'!$U$25,AG80&gt;'DB1'!$U$27),$AO$62,VLOOKUP(AI80,$AN$63:$AO$122,2,0)),IF(AG80&gt;0,AP80,0))</f>
        <v>0.03</v>
      </c>
      <c r="AL80" s="92">
        <f t="shared" si="106"/>
        <v>17.415830952</v>
      </c>
      <c r="AN80" s="90">
        <v>18</v>
      </c>
      <c r="AO80" s="91">
        <f>$AO$78+2%</f>
        <v>7.0000000000000007E-2</v>
      </c>
      <c r="AP80" s="91">
        <f t="shared" si="97"/>
        <v>3.0000000000000001E-3</v>
      </c>
      <c r="AR80" s="55" t="str">
        <f>AR68</f>
        <v>ПАРКИНГ ЖИЛЬЕ</v>
      </c>
      <c r="AS80" s="60">
        <f>SUMPRODUCT('CF1'!$F$31:$BM$31,'CF1'!$F$174:$BM$174)</f>
        <v>1620</v>
      </c>
      <c r="AT80" s="60">
        <f>'CF1'!E46-AS80</f>
        <v>1075.5</v>
      </c>
    </row>
    <row r="81" spans="2:47">
      <c r="B81" s="74" t="s">
        <v>222</v>
      </c>
      <c r="C81" s="101">
        <f>E77</f>
        <v>4556621449.9938898</v>
      </c>
      <c r="N81" s="103"/>
      <c r="O81" s="87" t="str">
        <f t="shared" si="98"/>
        <v>1Q2031</v>
      </c>
      <c r="P81" s="88">
        <f t="shared" si="107"/>
        <v>47938</v>
      </c>
      <c r="Q81" s="89">
        <f>IF(SUM(Q$62:Q80)&lt;$N$63,$N$65,)</f>
        <v>0</v>
      </c>
      <c r="R81" s="89">
        <f>$N$63-SUM(Q$62:Q80)</f>
        <v>0</v>
      </c>
      <c r="S81" s="89">
        <f t="shared" si="99"/>
        <v>0</v>
      </c>
      <c r="T81" s="89">
        <f t="shared" si="100"/>
        <v>0</v>
      </c>
      <c r="U81" s="90">
        <f>IF(P81&gt;$N$66,0,IF(P82&gt;$N$66,SUM(Q$63:$Q81)+S81,T81))</f>
        <v>0</v>
      </c>
      <c r="Y81" s="87" t="str">
        <f t="shared" si="101"/>
        <v>1Q2031</v>
      </c>
      <c r="Z81" s="88">
        <f t="shared" si="108"/>
        <v>47879</v>
      </c>
      <c r="AA81" s="89"/>
      <c r="AB81" s="89">
        <f t="shared" si="96"/>
        <v>0</v>
      </c>
      <c r="AC81" s="89">
        <f t="shared" si="103"/>
        <v>0</v>
      </c>
      <c r="AF81" s="87" t="str">
        <f t="shared" si="104"/>
        <v>4Q2029</v>
      </c>
      <c r="AG81" s="88">
        <f t="shared" si="109"/>
        <v>47483</v>
      </c>
      <c r="AH81" s="76">
        <f>IF(AND(AH80&lt;0,AG81&lt;=EOMONTH('DB1'!U$27,3*'DB1'!$P$50)),1,IF(AG81&lt;=EOMONTH('DB1'!U$27,3*'DB1'!$P$50),AH80+1,0))</f>
        <v>19</v>
      </c>
      <c r="AI81" s="76">
        <f>IF(AND(AI80&gt;0,AG81&lt;=EOMONTH('DB1'!$U$27,0)),AI80+1,IF(AND(AG81&gt;'DB1'!$U$25,AG81&lt;='DB1'!$U$27),1,0))</f>
        <v>0</v>
      </c>
      <c r="AJ81" s="90">
        <f t="shared" si="105"/>
        <v>2322110793.5999999</v>
      </c>
      <c r="AK81" s="91">
        <f>IF($E$83="АРЕНДА",IF(OR(AG81&lt;'DB1'!$U$25,AG81&gt;'DB1'!$U$27),$AO$62,VLOOKUP(AI81,$AN$63:$AO$122,2,0)),IF(AG81&gt;0,AP81,0))</f>
        <v>1.4999999999999999E-2</v>
      </c>
      <c r="AL81" s="92">
        <f t="shared" si="106"/>
        <v>8.7079154760000002</v>
      </c>
      <c r="AN81" s="90">
        <v>19</v>
      </c>
      <c r="AO81" s="91">
        <f>$AO$78+2%</f>
        <v>7.0000000000000007E-2</v>
      </c>
      <c r="AP81" s="91">
        <f t="shared" si="97"/>
        <v>3.0000000000000001E-3</v>
      </c>
      <c r="AR81" s="55" t="str">
        <f t="shared" si="111"/>
        <v>ПАРКИНГ ОФИС</v>
      </c>
      <c r="AS81" s="60">
        <f>SUMPRODUCT('CF1'!$F$32:$BM$32,'CF1'!$F$174:$BM$174)</f>
        <v>0</v>
      </c>
      <c r="AT81" s="60">
        <f>'CF1'!E47-AS81</f>
        <v>0</v>
      </c>
    </row>
    <row r="82" spans="2:47" ht="15">
      <c r="H82" s="192" t="s">
        <v>102</v>
      </c>
      <c r="I82" s="315"/>
      <c r="J82" s="192"/>
      <c r="O82" s="87" t="str">
        <f t="shared" si="98"/>
        <v>2Q2031</v>
      </c>
      <c r="P82" s="88">
        <f t="shared" si="107"/>
        <v>48029</v>
      </c>
      <c r="Q82" s="89">
        <f>IF(SUM(Q$62:Q81)&lt;$N$63,$N$65,)</f>
        <v>0</v>
      </c>
      <c r="R82" s="89">
        <f>$N$63-SUM(Q$62:Q81)</f>
        <v>0</v>
      </c>
      <c r="S82" s="89">
        <f t="shared" si="99"/>
        <v>0</v>
      </c>
      <c r="T82" s="89">
        <f t="shared" si="100"/>
        <v>0</v>
      </c>
      <c r="U82" s="90">
        <f>IF(P82&gt;$N$66,0,IF(P83&gt;$N$66,SUM(Q$63:$Q82)+S82,T82))</f>
        <v>0</v>
      </c>
      <c r="Y82" s="87" t="str">
        <f t="shared" si="101"/>
        <v>2Q2031</v>
      </c>
      <c r="Z82" s="88">
        <f t="shared" si="108"/>
        <v>47968</v>
      </c>
      <c r="AA82" s="89"/>
      <c r="AB82" s="89">
        <f t="shared" si="96"/>
        <v>0</v>
      </c>
      <c r="AC82" s="89">
        <f t="shared" si="103"/>
        <v>0</v>
      </c>
      <c r="AF82" s="87" t="str">
        <f t="shared" si="104"/>
        <v>1Q2030</v>
      </c>
      <c r="AG82" s="88">
        <f t="shared" si="109"/>
        <v>47573</v>
      </c>
      <c r="AH82" s="76">
        <f>IF(AND(AH81&lt;0,AG82&lt;=EOMONTH('DB1'!U$27,3*'DB1'!$P$50)),1,IF(AG82&lt;=EOMONTH('DB1'!U$27,3*'DB1'!$P$50),AH81+1,0))</f>
        <v>20</v>
      </c>
      <c r="AI82" s="76">
        <f>IF(AND(AI81&gt;0,AG82&lt;=EOMONTH('DB1'!$U$27,0)),AI81+1,IF(AND(AG82&gt;'DB1'!$U$25,AG82&lt;='DB1'!$U$27),1,0))</f>
        <v>0</v>
      </c>
      <c r="AJ82" s="90">
        <f t="shared" si="105"/>
        <v>2322110793.5999999</v>
      </c>
      <c r="AK82" s="91">
        <f>IF($E$83="АРЕНДА",IF(OR(AG82&lt;'DB1'!$U$25,AG82&gt;'DB1'!$U$27),$AO$62,VLOOKUP(AI82,$AN$63:$AO$122,2,0)),IF(AG82&gt;0,AP82,0))</f>
        <v>1.4999999999999999E-2</v>
      </c>
      <c r="AL82" s="92">
        <f t="shared" si="106"/>
        <v>8.7079154760000002</v>
      </c>
      <c r="AN82" s="90">
        <v>20</v>
      </c>
      <c r="AO82" s="91">
        <f>$AO$78+2%</f>
        <v>7.0000000000000007E-2</v>
      </c>
      <c r="AP82" s="91">
        <f t="shared" si="97"/>
        <v>3.0000000000000001E-3</v>
      </c>
      <c r="AR82" s="106" t="s">
        <v>21</v>
      </c>
      <c r="AS82" s="107" t="s">
        <v>1</v>
      </c>
      <c r="AT82" s="97">
        <f>-SUM('CF1'!E63:E74)/(1+'TS1'!$J$84)*'TS1'!$J$84</f>
        <v>3163.6020454427735</v>
      </c>
    </row>
    <row r="83" spans="2:47" ht="15">
      <c r="B83" s="313" t="s">
        <v>157</v>
      </c>
      <c r="C83" s="192" t="s">
        <v>214</v>
      </c>
      <c r="D83" s="192"/>
      <c r="E83" s="314" t="str">
        <f>'DB1'!P49</f>
        <v>АРЕНДА</v>
      </c>
      <c r="H83" s="29" t="s">
        <v>61</v>
      </c>
      <c r="I83" s="30"/>
      <c r="J83" s="32">
        <v>0.25</v>
      </c>
      <c r="O83" s="87" t="str">
        <f t="shared" si="98"/>
        <v>3Q2031</v>
      </c>
      <c r="P83" s="88">
        <f t="shared" si="107"/>
        <v>48121</v>
      </c>
      <c r="Q83" s="89">
        <f>IF(SUM(Q$62:Q82)&lt;$N$63,$N$65,)</f>
        <v>0</v>
      </c>
      <c r="R83" s="89">
        <f>$N$63-SUM(Q$62:Q82)</f>
        <v>0</v>
      </c>
      <c r="S83" s="89">
        <f t="shared" si="99"/>
        <v>0</v>
      </c>
      <c r="T83" s="89">
        <f t="shared" si="100"/>
        <v>0</v>
      </c>
      <c r="U83" s="90">
        <f>IF(P83&gt;$N$66,0,IF(P84&gt;$N$66,SUM(Q$63:$Q83)+S83,T83))</f>
        <v>0</v>
      </c>
      <c r="Y83" s="87" t="str">
        <f t="shared" si="101"/>
        <v>3Q2031</v>
      </c>
      <c r="Z83" s="88">
        <f t="shared" si="108"/>
        <v>48060</v>
      </c>
      <c r="AA83" s="89"/>
      <c r="AB83" s="89">
        <f t="shared" si="96"/>
        <v>0</v>
      </c>
      <c r="AC83" s="89">
        <f t="shared" si="103"/>
        <v>0</v>
      </c>
      <c r="AF83" s="87" t="str">
        <f t="shared" si="104"/>
        <v>2Q2030</v>
      </c>
      <c r="AG83" s="88">
        <f t="shared" si="109"/>
        <v>47664</v>
      </c>
      <c r="AH83" s="76">
        <f>IF(AND(AH82&lt;0,AG83&lt;=EOMONTH('DB1'!U$27,3*'DB1'!$P$50)),1,IF(AG83&lt;=EOMONTH('DB1'!U$27,3*'DB1'!$P$50),AH82+1,0))</f>
        <v>0</v>
      </c>
      <c r="AI83" s="76">
        <f>IF(AND(AI82&gt;0,AG83&lt;=EOMONTH('DB1'!$U$27,0)),AI82+1,IF(AND(AG83&gt;'DB1'!$U$25,AG83&lt;='DB1'!$U$27),1,0))</f>
        <v>0</v>
      </c>
      <c r="AJ83" s="90">
        <f t="shared" si="105"/>
        <v>2322110793.5999999</v>
      </c>
      <c r="AK83" s="91">
        <f>IF($E$83="АРЕНДА",IF(OR(AG83&lt;'DB1'!$U$25,AG83&gt;'DB1'!$U$27),$AO$62,VLOOKUP(AI83,$AN$63:$AO$122,2,0)),IF(AG83&gt;0,AP83,0))</f>
        <v>1.4999999999999999E-2</v>
      </c>
      <c r="AL83" s="92">
        <f t="shared" si="106"/>
        <v>0</v>
      </c>
      <c r="AN83" s="90">
        <v>21</v>
      </c>
      <c r="AO83" s="91">
        <f>$AO$82+1%</f>
        <v>0.08</v>
      </c>
      <c r="AP83" s="91">
        <f t="shared" si="97"/>
        <v>3.0000000000000001E-3</v>
      </c>
      <c r="AR83" s="98" t="s">
        <v>21</v>
      </c>
      <c r="AS83" s="98" t="str">
        <f>AS71</f>
        <v>без СМР</v>
      </c>
      <c r="AT83" s="99">
        <f>AT82-AT84-AT85-AT86</f>
        <v>571.03276877610779</v>
      </c>
    </row>
    <row r="84" spans="2:47">
      <c r="B84" s="75" t="s">
        <v>223</v>
      </c>
      <c r="C84" s="77"/>
      <c r="D84" s="77"/>
      <c r="E84" s="102">
        <f>'DB1'!P51</f>
        <v>25440</v>
      </c>
      <c r="H84" s="29" t="s">
        <v>21</v>
      </c>
      <c r="I84" s="30"/>
      <c r="J84" s="32">
        <v>0.2</v>
      </c>
      <c r="O84" s="87" t="str">
        <f t="shared" si="98"/>
        <v>4Q2031</v>
      </c>
      <c r="P84" s="88">
        <f t="shared" si="107"/>
        <v>48213</v>
      </c>
      <c r="Q84" s="89">
        <f>IF(SUM(Q$62:Q83)&lt;$N$63,$N$65,)</f>
        <v>0</v>
      </c>
      <c r="R84" s="89">
        <f>$N$63-SUM(Q$62:Q83)</f>
        <v>0</v>
      </c>
      <c r="S84" s="89">
        <f t="shared" si="99"/>
        <v>0</v>
      </c>
      <c r="T84" s="89">
        <f t="shared" si="100"/>
        <v>0</v>
      </c>
      <c r="U84" s="90">
        <f>IF(P84&gt;$N$66,0,IF(P85&gt;$N$66,SUM(Q$63:$Q84)+S84,T84))</f>
        <v>0</v>
      </c>
      <c r="Y84" s="87" t="str">
        <f t="shared" si="101"/>
        <v>4Q2031</v>
      </c>
      <c r="Z84" s="88">
        <f t="shared" si="108"/>
        <v>48152</v>
      </c>
      <c r="AA84" s="89"/>
      <c r="AB84" s="89">
        <f t="shared" si="96"/>
        <v>0</v>
      </c>
      <c r="AC84" s="89">
        <f t="shared" si="103"/>
        <v>0</v>
      </c>
      <c r="AF84" s="87" t="str">
        <f t="shared" si="104"/>
        <v>3Q2030</v>
      </c>
      <c r="AG84" s="88">
        <f t="shared" si="109"/>
        <v>47756</v>
      </c>
      <c r="AH84" s="76">
        <f>IF(AND(AH83&lt;0,AG84&lt;=EOMONTH('DB1'!U$27,3*'DB1'!$P$50)),1,IF(AG84&lt;=EOMONTH('DB1'!U$27,3*'DB1'!$P$50),AH83+1,0))</f>
        <v>0</v>
      </c>
      <c r="AI84" s="76">
        <f>IF(AND(AI83&gt;0,AG84&lt;=EOMONTH('DB1'!$U$27,0)),AI83+1,IF(AND(AG84&gt;'DB1'!$U$25,AG84&lt;='DB1'!$U$27),1,0))</f>
        <v>0</v>
      </c>
      <c r="AJ84" s="90">
        <f t="shared" si="105"/>
        <v>2322110793.5999999</v>
      </c>
      <c r="AK84" s="91">
        <f>IF($E$83="АРЕНДА",IF(OR(AG84&lt;'DB1'!$U$25,AG84&gt;'DB1'!$U$27),$AO$62,VLOOKUP(AI84,$AN$63:$AO$122,2,0)),IF(AG84&gt;0,AP84,0))</f>
        <v>1.4999999999999999E-2</v>
      </c>
      <c r="AL84" s="92">
        <f t="shared" si="106"/>
        <v>0</v>
      </c>
      <c r="AN84" s="90">
        <v>22</v>
      </c>
      <c r="AO84" s="91">
        <f>$AO$82+1%</f>
        <v>0.08</v>
      </c>
      <c r="AP84" s="91">
        <f t="shared" si="97"/>
        <v>3.0000000000000001E-3</v>
      </c>
      <c r="AR84" s="98" t="s">
        <v>21</v>
      </c>
      <c r="AS84" s="98" t="str">
        <f>AS72</f>
        <v>СМР жилье</v>
      </c>
      <c r="AT84" s="99">
        <f>-'CF1'!E65/(1+'TS1'!$J$84)*'TS1'!$J$84</f>
        <v>2592.5692766666657</v>
      </c>
    </row>
    <row r="85" spans="2:47">
      <c r="B85" s="75" t="s">
        <v>224</v>
      </c>
      <c r="C85" s="77"/>
      <c r="D85" s="77"/>
      <c r="E85" s="102">
        <f>'DB1'!P52*'TS1'!E84</f>
        <v>549331516.79999995</v>
      </c>
      <c r="H85" s="29" t="s">
        <v>227</v>
      </c>
      <c r="I85" s="30"/>
      <c r="J85" s="32">
        <v>0.2</v>
      </c>
      <c r="O85" s="87" t="str">
        <f t="shared" si="98"/>
        <v>1Q2032</v>
      </c>
      <c r="P85" s="88">
        <f t="shared" si="107"/>
        <v>48304</v>
      </c>
      <c r="Q85" s="89">
        <f>IF(SUM(Q$62:Q84)&lt;$N$63,$N$65,)</f>
        <v>0</v>
      </c>
      <c r="R85" s="89">
        <f>$N$63-SUM(Q$62:Q84)</f>
        <v>0</v>
      </c>
      <c r="S85" s="89">
        <f t="shared" si="99"/>
        <v>0</v>
      </c>
      <c r="T85" s="89">
        <f t="shared" si="100"/>
        <v>0</v>
      </c>
      <c r="U85" s="90">
        <f>IF(P85&gt;$N$66,0,IF(P86&gt;$N$66,SUM(Q$63:$Q85)+S85,T85))</f>
        <v>0</v>
      </c>
      <c r="Y85" s="87" t="str">
        <f t="shared" si="101"/>
        <v>1Q2032</v>
      </c>
      <c r="Z85" s="88">
        <f t="shared" si="108"/>
        <v>48244</v>
      </c>
      <c r="AA85" s="89"/>
      <c r="AB85" s="89">
        <f t="shared" si="96"/>
        <v>0</v>
      </c>
      <c r="AC85" s="89">
        <f t="shared" si="103"/>
        <v>0</v>
      </c>
      <c r="AF85" s="87" t="str">
        <f t="shared" si="104"/>
        <v>4Q2030</v>
      </c>
      <c r="AG85" s="88">
        <f t="shared" si="109"/>
        <v>47848</v>
      </c>
      <c r="AH85" s="76">
        <f>IF(AND(AH84&lt;0,AG85&lt;=EOMONTH('DB1'!U$27,3*'DB1'!$P$50)),1,IF(AG85&lt;=EOMONTH('DB1'!U$27,3*'DB1'!$P$50),AH84+1,0))</f>
        <v>0</v>
      </c>
      <c r="AI85" s="76">
        <f>IF(AND(AI84&gt;0,AG85&lt;=EOMONTH('DB1'!$U$27,0)),AI84+1,IF(AND(AG85&gt;'DB1'!$U$25,AG85&lt;='DB1'!$U$27),1,0))</f>
        <v>0</v>
      </c>
      <c r="AJ85" s="90">
        <f t="shared" si="105"/>
        <v>2322110793.5999999</v>
      </c>
      <c r="AK85" s="91">
        <f>IF($E$83="АРЕНДА",IF(OR(AG85&lt;'DB1'!$U$25,AG85&gt;'DB1'!$U$27),$AO$62,VLOOKUP(AI85,$AN$63:$AO$122,2,0)),IF(AG85&gt;0,AP85,0))</f>
        <v>1.4999999999999999E-2</v>
      </c>
      <c r="AL85" s="92">
        <f t="shared" si="106"/>
        <v>0</v>
      </c>
      <c r="AN85" s="90">
        <v>23</v>
      </c>
      <c r="AO85" s="91">
        <f>$AO$82+1%</f>
        <v>0.08</v>
      </c>
      <c r="AP85" s="91">
        <f t="shared" si="97"/>
        <v>3.0000000000000001E-3</v>
      </c>
      <c r="AR85" s="98" t="s">
        <v>21</v>
      </c>
      <c r="AS85" s="98" t="str">
        <f>AS73</f>
        <v>СМР офисы</v>
      </c>
      <c r="AT85" s="99">
        <f>-'CF1'!E66/(1+'TS1'!$J$84)*'TS1'!$J$84</f>
        <v>0</v>
      </c>
    </row>
    <row r="86" spans="2:47">
      <c r="B86" s="75" t="s">
        <v>225</v>
      </c>
      <c r="C86" s="77"/>
      <c r="D86" s="77"/>
      <c r="E86" s="102">
        <f>E84*VLOOKUP($K$60,$H$62:$K$64,4,0)</f>
        <v>2322110793.5999999</v>
      </c>
      <c r="H86" s="29" t="s">
        <v>145</v>
      </c>
      <c r="I86" s="30"/>
      <c r="J86" s="32">
        <v>1.4999999999999999E-2</v>
      </c>
      <c r="O86" s="87" t="str">
        <f t="shared" si="98"/>
        <v>2Q2032</v>
      </c>
      <c r="P86" s="88">
        <f t="shared" si="107"/>
        <v>48395</v>
      </c>
      <c r="Q86" s="89">
        <f>IF(SUM(Q$62:Q85)&lt;$N$63,$N$65,)</f>
        <v>0</v>
      </c>
      <c r="R86" s="89">
        <f>$N$63-SUM(Q$62:Q85)</f>
        <v>0</v>
      </c>
      <c r="S86" s="89">
        <f t="shared" si="99"/>
        <v>0</v>
      </c>
      <c r="T86" s="89">
        <f t="shared" si="100"/>
        <v>0</v>
      </c>
      <c r="U86" s="90">
        <f>IF(P86&gt;$N$66,0,IF(P87&gt;$N$66,SUM(Q$63:$Q86)+S86,T86))</f>
        <v>0</v>
      </c>
      <c r="Y86" s="87" t="str">
        <f t="shared" si="101"/>
        <v>2Q2032</v>
      </c>
      <c r="Z86" s="88">
        <f t="shared" si="108"/>
        <v>48334</v>
      </c>
      <c r="AA86" s="89"/>
      <c r="AB86" s="89">
        <f t="shared" si="96"/>
        <v>0</v>
      </c>
      <c r="AC86" s="89">
        <f t="shared" si="103"/>
        <v>0</v>
      </c>
      <c r="AF86" s="87" t="str">
        <f t="shared" si="104"/>
        <v>1Q2031</v>
      </c>
      <c r="AG86" s="88">
        <f t="shared" si="109"/>
        <v>47938</v>
      </c>
      <c r="AH86" s="76">
        <f>IF(AND(AH85&lt;0,AG86&lt;=EOMONTH('DB1'!U$27,3*'DB1'!$P$50)),1,IF(AG86&lt;=EOMONTH('DB1'!U$27,3*'DB1'!$P$50),AH85+1,0))</f>
        <v>0</v>
      </c>
      <c r="AI86" s="76">
        <f>IF(AND(AI85&gt;0,AG86&lt;=EOMONTH('DB1'!$U$27,0)),AI85+1,IF(AND(AG86&gt;'DB1'!$U$25,AG86&lt;='DB1'!$U$27),1,0))</f>
        <v>0</v>
      </c>
      <c r="AJ86" s="90">
        <f t="shared" si="105"/>
        <v>2322110793.5999999</v>
      </c>
      <c r="AK86" s="91">
        <f>IF($E$83="АРЕНДА",IF(OR(AG86&lt;'DB1'!$U$25,AG86&gt;'DB1'!$U$27),$AO$62,VLOOKUP(AI86,$AN$63:$AO$122,2,0)),IF(AG86&gt;0,AP86,0))</f>
        <v>1.4999999999999999E-2</v>
      </c>
      <c r="AL86" s="92">
        <f t="shared" si="106"/>
        <v>0</v>
      </c>
      <c r="AN86" s="90">
        <v>24</v>
      </c>
      <c r="AO86" s="91">
        <f>$AO$82+1%</f>
        <v>0.08</v>
      </c>
      <c r="AP86" s="91">
        <f t="shared" si="97"/>
        <v>3.0000000000000001E-3</v>
      </c>
      <c r="AR86" s="98" t="s">
        <v>21</v>
      </c>
      <c r="AS86" s="98" t="str">
        <f>AS74</f>
        <v>СМР ТЦ</v>
      </c>
      <c r="AT86" s="99">
        <f>-'CF1'!E67/(1+'TS1'!$J$84)*'TS1'!$J$84</f>
        <v>0</v>
      </c>
      <c r="AU86" s="120" t="s">
        <v>137</v>
      </c>
    </row>
    <row r="87" spans="2:47">
      <c r="B87" s="104" t="s">
        <v>161</v>
      </c>
      <c r="C87" s="105"/>
      <c r="D87" s="105"/>
      <c r="E87" s="184">
        <f>IF(E83="СОБСТВЕННОСТЬ",VLOOKUP(1,$H$69:$K$80,4,0),
IF(E83="АРЕНДА",((F69*10^6)/(E86*1.001)*C72*C73*C74)+$J$86,0))</f>
        <v>1.9622756427266321</v>
      </c>
      <c r="H87" s="29" t="s">
        <v>146</v>
      </c>
      <c r="I87" s="30"/>
      <c r="J87" s="32">
        <v>3.0000000000000001E-3</v>
      </c>
      <c r="O87" s="87" t="str">
        <f t="shared" si="98"/>
        <v>3Q2032</v>
      </c>
      <c r="P87" s="88">
        <f t="shared" si="107"/>
        <v>48487</v>
      </c>
      <c r="Q87" s="89">
        <f>IF(SUM(Q$62:Q86)&lt;$N$63,$N$65,)</f>
        <v>0</v>
      </c>
      <c r="R87" s="89">
        <f>$N$63-SUM(Q$62:Q86)</f>
        <v>0</v>
      </c>
      <c r="S87" s="89">
        <f t="shared" si="99"/>
        <v>0</v>
      </c>
      <c r="T87" s="89">
        <f t="shared" si="100"/>
        <v>0</v>
      </c>
      <c r="U87" s="90">
        <f>IF(P87&gt;$N$66,0,IF(P88&gt;$N$66,SUM(Q$63:$Q87)+S87,T87))</f>
        <v>0</v>
      </c>
      <c r="Y87" s="87" t="str">
        <f t="shared" si="101"/>
        <v>3Q2032</v>
      </c>
      <c r="Z87" s="88">
        <f t="shared" si="108"/>
        <v>48426</v>
      </c>
      <c r="AA87" s="89"/>
      <c r="AB87" s="89">
        <f t="shared" si="96"/>
        <v>0</v>
      </c>
      <c r="AC87" s="89">
        <f t="shared" si="103"/>
        <v>0</v>
      </c>
      <c r="AF87" s="87" t="str">
        <f t="shared" si="104"/>
        <v>2Q2031</v>
      </c>
      <c r="AG87" s="88">
        <f t="shared" si="109"/>
        <v>48029</v>
      </c>
      <c r="AH87" s="76">
        <f>IF(AND(AH86&lt;0,AG87&lt;=EOMONTH('DB1'!U$27,3*'DB1'!$P$50)),1,IF(AG87&lt;=EOMONTH('DB1'!U$27,3*'DB1'!$P$50),AH86+1,0))</f>
        <v>0</v>
      </c>
      <c r="AI87" s="76">
        <f>IF(AND(AI86&gt;0,AG87&lt;=EOMONTH('DB1'!$U$27,0)),AI86+1,IF(AND(AG87&gt;'DB1'!$U$25,AG87&lt;='DB1'!$U$27),1,0))</f>
        <v>0</v>
      </c>
      <c r="AJ87" s="90">
        <f t="shared" si="105"/>
        <v>2322110793.5999999</v>
      </c>
      <c r="AK87" s="91">
        <f>IF($E$83="АРЕНДА",IF(OR(AG87&lt;'DB1'!$U$25,AG87&gt;'DB1'!$U$27),$AO$62,VLOOKUP(AI87,$AN$63:$AO$122,2,0)),IF(AG87&gt;0,AP87,0))</f>
        <v>1.4999999999999999E-2</v>
      </c>
      <c r="AL87" s="92">
        <f t="shared" si="106"/>
        <v>0</v>
      </c>
      <c r="AN87" s="90">
        <v>25</v>
      </c>
      <c r="AO87" s="91">
        <f t="shared" ref="AO87:AO122" si="112">$AO$86+2%</f>
        <v>0.1</v>
      </c>
      <c r="AP87" s="91">
        <f t="shared" si="97"/>
        <v>3.0000000000000001E-3</v>
      </c>
      <c r="AR87" s="55" t="str">
        <f>AR75</f>
        <v>КВАРТИРЫ</v>
      </c>
      <c r="AS87" s="60">
        <f>($AT$83)/SUM($AS$63:$AT$67)*AS63+($AT$84-SUM($AS$92:$AT$92))/SUM($AS$63:$AT$64,$AS$66:$AT$66)*AS63</f>
        <v>1552.4699208316001</v>
      </c>
      <c r="AT87" s="60">
        <f>($AT$83)/SUM($AS$63:$AT$67)*AT63+($AT$84-SUM($AS$92:$AT$92))/SUM($AS$63:$AT$64,$AS$66:$AT$66)*AT63</f>
        <v>1010.1992153487627</v>
      </c>
      <c r="AU87" s="117">
        <f>AT88+AS89+AT89+AT90+AS91+AT91+AS93+AT93+AT92-'CF1'!E120</f>
        <v>0</v>
      </c>
    </row>
    <row r="88" spans="2:47">
      <c r="B88" s="104" t="s">
        <v>242</v>
      </c>
      <c r="C88" s="69"/>
      <c r="D88" s="105"/>
      <c r="E88" s="102">
        <f>C81</f>
        <v>4556621449.9938898</v>
      </c>
      <c r="H88" s="29" t="s">
        <v>243</v>
      </c>
      <c r="I88" s="30"/>
      <c r="J88" s="32">
        <v>0.03</v>
      </c>
      <c r="O88" s="87" t="str">
        <f t="shared" si="98"/>
        <v>4Q2032</v>
      </c>
      <c r="P88" s="88">
        <f t="shared" si="107"/>
        <v>48579</v>
      </c>
      <c r="Q88" s="89">
        <f>IF(SUM(Q$62:Q87)&lt;$N$63,$N$65,)</f>
        <v>0</v>
      </c>
      <c r="R88" s="89">
        <f>$N$63-SUM(Q$62:Q87)</f>
        <v>0</v>
      </c>
      <c r="S88" s="89">
        <f t="shared" si="99"/>
        <v>0</v>
      </c>
      <c r="T88" s="89">
        <f t="shared" si="100"/>
        <v>0</v>
      </c>
      <c r="U88" s="90">
        <f>IF(P88&gt;$N$66,0,IF(P89&gt;$N$66,SUM(Q$63:$Q88)+S88,T88))</f>
        <v>0</v>
      </c>
      <c r="Y88" s="87" t="str">
        <f t="shared" si="101"/>
        <v>4Q2032</v>
      </c>
      <c r="Z88" s="88">
        <f t="shared" si="108"/>
        <v>48518</v>
      </c>
      <c r="AA88" s="89"/>
      <c r="AB88" s="89">
        <f t="shared" si="96"/>
        <v>0</v>
      </c>
      <c r="AC88" s="89">
        <f t="shared" si="103"/>
        <v>0</v>
      </c>
      <c r="AF88" s="87" t="str">
        <f t="shared" si="104"/>
        <v>3Q2031</v>
      </c>
      <c r="AG88" s="88">
        <f t="shared" si="109"/>
        <v>48121</v>
      </c>
      <c r="AH88" s="76">
        <f>IF(AND(AH87&lt;0,AG88&lt;=EOMONTH('DB1'!U$27,3*'DB1'!$P$50)),1,IF(AG88&lt;=EOMONTH('DB1'!U$27,3*'DB1'!$P$50),AH87+1,0))</f>
        <v>0</v>
      </c>
      <c r="AI88" s="76">
        <f>IF(AND(AI87&gt;0,AG88&lt;=EOMONTH('DB1'!$U$27,0)),AI87+1,IF(AND(AG88&gt;'DB1'!$U$25,AG88&lt;='DB1'!$U$27),1,0))</f>
        <v>0</v>
      </c>
      <c r="AJ88" s="90">
        <f t="shared" si="105"/>
        <v>2322110793.5999999</v>
      </c>
      <c r="AK88" s="91">
        <f>IF($E$83="АРЕНДА",IF(OR(AG88&lt;'DB1'!$U$25,AG88&gt;'DB1'!$U$27),$AO$62,VLOOKUP(AI88,$AN$63:$AO$122,2,0)),IF(AG88&gt;0,AP88,0))</f>
        <v>1.4999999999999999E-2</v>
      </c>
      <c r="AL88" s="92">
        <f t="shared" si="106"/>
        <v>0</v>
      </c>
      <c r="AN88" s="90">
        <v>26</v>
      </c>
      <c r="AO88" s="91">
        <f t="shared" si="112"/>
        <v>0.1</v>
      </c>
      <c r="AP88" s="91">
        <f t="shared" si="97"/>
        <v>3.0000000000000001E-3</v>
      </c>
      <c r="AR88" s="55" t="str">
        <f t="shared" ref="AR88:AR93" si="113">AR76</f>
        <v>АПАРТАМЕНТЫ</v>
      </c>
      <c r="AS88" s="60">
        <f>($AT$83)/SUM($AS$63:$AT$67)*AS64+($AT$84-SUM($AS$92:$AT$92))/SUM($AS$63:$AT$64,$AS$66:$AT$66)*AS64</f>
        <v>0</v>
      </c>
      <c r="AT88" s="118">
        <f>($AT$83)/SUM($AS$63:$AT$67)*AT64+($AT$84-SUM($AS$92:$AT$92))/SUM($AS$63:$AT$64,$AS$66:$AT$66)*AT64</f>
        <v>0</v>
      </c>
    </row>
    <row r="89" spans="2:47">
      <c r="B89" s="340" t="s">
        <v>381</v>
      </c>
      <c r="C89" s="341"/>
      <c r="D89" s="341"/>
      <c r="E89" s="342">
        <f>(E86*E87)*(1-E76)-E88</f>
        <v>0</v>
      </c>
      <c r="O89" s="87" t="str">
        <f t="shared" si="98"/>
        <v>1Q2033</v>
      </c>
      <c r="P89" s="88">
        <f t="shared" si="107"/>
        <v>48669</v>
      </c>
      <c r="Q89" s="89">
        <f>IF(SUM(Q$62:Q88)&lt;$N$63,$N$65,)</f>
        <v>0</v>
      </c>
      <c r="R89" s="89">
        <f>$N$63-SUM(Q$62:Q88)</f>
        <v>0</v>
      </c>
      <c r="S89" s="89">
        <f t="shared" si="99"/>
        <v>0</v>
      </c>
      <c r="T89" s="89">
        <f t="shared" si="100"/>
        <v>0</v>
      </c>
      <c r="U89" s="90">
        <f>IF(P89&gt;$N$66,0,IF(P90&gt;$N$66,SUM(Q$63:$Q89)+S89,T89))</f>
        <v>0</v>
      </c>
      <c r="Y89" s="87" t="str">
        <f t="shared" si="101"/>
        <v>1Q2033</v>
      </c>
      <c r="Z89" s="88">
        <f t="shared" si="108"/>
        <v>48610</v>
      </c>
      <c r="AA89" s="89"/>
      <c r="AB89" s="89">
        <f t="shared" si="96"/>
        <v>0</v>
      </c>
      <c r="AC89" s="89">
        <f t="shared" si="103"/>
        <v>0</v>
      </c>
      <c r="AF89" s="87" t="str">
        <f t="shared" si="104"/>
        <v>4Q2031</v>
      </c>
      <c r="AG89" s="88">
        <f t="shared" si="109"/>
        <v>48213</v>
      </c>
      <c r="AH89" s="76">
        <f>IF(AND(AH88&lt;0,AG89&lt;=EOMONTH('DB1'!U$27,3*'DB1'!$P$50)),1,IF(AG89&lt;=EOMONTH('DB1'!U$27,3*'DB1'!$P$50),AH88+1,0))</f>
        <v>0</v>
      </c>
      <c r="AI89" s="76">
        <f>IF(AND(AI88&gt;0,AG89&lt;=EOMONTH('DB1'!$U$27,0)),AI88+1,IF(AND(AG89&gt;'DB1'!$U$25,AG89&lt;='DB1'!$U$27),1,0))</f>
        <v>0</v>
      </c>
      <c r="AJ89" s="90">
        <f t="shared" si="105"/>
        <v>2322110793.5999999</v>
      </c>
      <c r="AK89" s="91">
        <f>IF($E$83="АРЕНДА",IF(OR(AG89&lt;'DB1'!$U$25,AG89&gt;'DB1'!$U$27),$AO$62,VLOOKUP(AI89,$AN$63:$AO$122,2,0)),IF(AG89&gt;0,AP89,0))</f>
        <v>1.4999999999999999E-2</v>
      </c>
      <c r="AL89" s="92">
        <f t="shared" si="106"/>
        <v>0</v>
      </c>
      <c r="AN89" s="90">
        <v>27</v>
      </c>
      <c r="AO89" s="91">
        <f t="shared" si="112"/>
        <v>0.1</v>
      </c>
      <c r="AP89" s="91">
        <f t="shared" si="97"/>
        <v>3.0000000000000001E-3</v>
      </c>
      <c r="AR89" s="55" t="str">
        <f t="shared" si="113"/>
        <v>ОФИСЫ</v>
      </c>
      <c r="AS89" s="119">
        <f>IFERROR(($AT$83)/SUM($AS$63:$AT$67)*AS65+($AT$85-SUM($AS$93:$AT$93))/SUM($AS$65:$AT$65)*AS65,0)</f>
        <v>0</v>
      </c>
      <c r="AT89" s="118">
        <f>IFERROR(($AT$83)/SUM($AS$63:$AT$67)*AT65+($AT$85-SUM($AS$93:$AT$93))/SUM($AS$65:$AT$65)*AT65,0)</f>
        <v>0</v>
      </c>
    </row>
    <row r="90" spans="2:47">
      <c r="O90" s="87" t="str">
        <f t="shared" si="98"/>
        <v>2Q2033</v>
      </c>
      <c r="P90" s="88">
        <f t="shared" si="107"/>
        <v>48760</v>
      </c>
      <c r="Q90" s="89">
        <f>IF(SUM(Q$62:Q89)&lt;$N$63,$N$65,)</f>
        <v>0</v>
      </c>
      <c r="R90" s="89">
        <f>$N$63-SUM(Q$62:Q89)</f>
        <v>0</v>
      </c>
      <c r="S90" s="89">
        <f t="shared" si="99"/>
        <v>0</v>
      </c>
      <c r="T90" s="89">
        <f t="shared" si="100"/>
        <v>0</v>
      </c>
      <c r="U90" s="90">
        <f>IF(P90&gt;$N$66,0,IF(P91&gt;$N$66,SUM(Q$63:$Q90)+S90,T90))</f>
        <v>0</v>
      </c>
      <c r="Y90" s="87" t="str">
        <f t="shared" si="101"/>
        <v>2Q2033</v>
      </c>
      <c r="Z90" s="88">
        <f t="shared" si="108"/>
        <v>48699</v>
      </c>
      <c r="AA90" s="89"/>
      <c r="AB90" s="89">
        <f t="shared" si="96"/>
        <v>0</v>
      </c>
      <c r="AC90" s="89">
        <f t="shared" si="103"/>
        <v>0</v>
      </c>
      <c r="AF90" s="87" t="str">
        <f t="shared" si="104"/>
        <v>1Q2032</v>
      </c>
      <c r="AG90" s="88">
        <f t="shared" si="109"/>
        <v>48304</v>
      </c>
      <c r="AH90" s="76">
        <f>IF(AND(AH89&lt;0,AG90&lt;=EOMONTH('DB1'!U$27,3*'DB1'!$P$50)),1,IF(AG90&lt;=EOMONTH('DB1'!U$27,3*'DB1'!$P$50),AH89+1,0))</f>
        <v>0</v>
      </c>
      <c r="AI90" s="76">
        <f>IF(AND(AI89&gt;0,AG90&lt;=EOMONTH('DB1'!$U$27,0)),AI89+1,IF(AND(AG90&gt;'DB1'!$U$25,AG90&lt;='DB1'!$U$27),1,0))</f>
        <v>0</v>
      </c>
      <c r="AJ90" s="90">
        <f t="shared" si="105"/>
        <v>2322110793.5999999</v>
      </c>
      <c r="AK90" s="91">
        <f>IF($E$83="АРЕНДА",IF(OR(AG90&lt;'DB1'!$U$25,AG90&gt;'DB1'!$U$27),$AO$62,VLOOKUP(AI90,$AN$63:$AO$122,2,0)),IF(AG90&gt;0,AP90,0))</f>
        <v>1.4999999999999999E-2</v>
      </c>
      <c r="AL90" s="92">
        <f t="shared" si="106"/>
        <v>0</v>
      </c>
      <c r="AN90" s="90">
        <v>28</v>
      </c>
      <c r="AO90" s="91">
        <f t="shared" si="112"/>
        <v>0.1</v>
      </c>
      <c r="AP90" s="91">
        <f t="shared" si="97"/>
        <v>3.0000000000000001E-3</v>
      </c>
      <c r="AR90" s="55" t="str">
        <f t="shared" si="113"/>
        <v>РИТЕЙЛ</v>
      </c>
      <c r="AS90" s="60">
        <f>($AT$83)/SUM($AS$63:$AT$67)*AS66+($AT$84-SUM($AS$92:$AT$92))/SUM($AS$63:$AT$64,$AS$66:$AT$66)*AS66</f>
        <v>0</v>
      </c>
      <c r="AT90" s="118">
        <f>($AT$83)/SUM($AS$63:$AT$67)*AT66+($AT$84-SUM($AS$92:$AT$92))/SUM($AS$63:$AT$64,$AS$66:$AT$66)*AT66</f>
        <v>151.68290926241087</v>
      </c>
    </row>
    <row r="91" spans="2:47">
      <c r="O91" s="87" t="str">
        <f t="shared" si="98"/>
        <v>3Q2033</v>
      </c>
      <c r="P91" s="88">
        <f t="shared" si="107"/>
        <v>48852</v>
      </c>
      <c r="Q91" s="89">
        <f>IF(SUM(Q$62:Q90)&lt;$N$63,$N$65,)</f>
        <v>0</v>
      </c>
      <c r="R91" s="89">
        <f>$N$63-SUM(Q$62:Q90)</f>
        <v>0</v>
      </c>
      <c r="S91" s="89">
        <f t="shared" si="99"/>
        <v>0</v>
      </c>
      <c r="T91" s="89">
        <f t="shared" si="100"/>
        <v>0</v>
      </c>
      <c r="U91" s="90">
        <f>IF(P91&gt;$N$66,0,IF(P92&gt;$N$66,SUM(Q$63:$Q91)+S91,T91))</f>
        <v>0</v>
      </c>
      <c r="Y91" s="87" t="str">
        <f t="shared" si="101"/>
        <v>3Q2033</v>
      </c>
      <c r="Z91" s="88">
        <f t="shared" si="108"/>
        <v>48791</v>
      </c>
      <c r="AA91" s="89"/>
      <c r="AB91" s="89">
        <f t="shared" si="96"/>
        <v>0</v>
      </c>
      <c r="AC91" s="89">
        <f t="shared" si="103"/>
        <v>0</v>
      </c>
      <c r="AF91" s="87" t="str">
        <f t="shared" si="104"/>
        <v>2Q2032</v>
      </c>
      <c r="AG91" s="88">
        <f t="shared" si="109"/>
        <v>48395</v>
      </c>
      <c r="AH91" s="76">
        <f>IF(AND(AH90&lt;0,AG91&lt;=EOMONTH('DB1'!U$27,3*'DB1'!$P$50)),1,IF(AG91&lt;=EOMONTH('DB1'!U$27,3*'DB1'!$P$50),AH90+1,0))</f>
        <v>0</v>
      </c>
      <c r="AI91" s="76">
        <f>IF(AND(AI90&gt;0,AG91&lt;=EOMONTH('DB1'!$U$27,0)),AI90+1,IF(AND(AG91&gt;'DB1'!$U$25,AG91&lt;='DB1'!$U$27),1,0))</f>
        <v>0</v>
      </c>
      <c r="AJ91" s="90">
        <f t="shared" si="105"/>
        <v>2322110793.5999999</v>
      </c>
      <c r="AK91" s="91">
        <f>IF($E$83="АРЕНДА",IF(OR(AG91&lt;'DB1'!$U$25,AG91&gt;'DB1'!$U$27),$AO$62,VLOOKUP(AI91,$AN$63:$AO$122,2,0)),IF(AG91&gt;0,AP91,0))</f>
        <v>1.4999999999999999E-2</v>
      </c>
      <c r="AL91" s="92">
        <f t="shared" si="106"/>
        <v>0</v>
      </c>
      <c r="AN91" s="90">
        <v>29</v>
      </c>
      <c r="AO91" s="91">
        <f t="shared" si="112"/>
        <v>0.1</v>
      </c>
      <c r="AP91" s="91">
        <f t="shared" si="97"/>
        <v>3.0000000000000001E-3</v>
      </c>
      <c r="AR91" s="55" t="str">
        <f t="shared" si="113"/>
        <v>ТЦ</v>
      </c>
      <c r="AS91" s="119">
        <f>IFERROR(($AT$83)/SUM($AS$63:$AT$67)*AS67+$AT$86/SUM($AS$67:$AT$67)*AS67,0)</f>
        <v>0</v>
      </c>
      <c r="AT91" s="118">
        <f>IFERROR(($AT$83)/SUM($AS$63:$AT$67)*AT67+$AT$86/SUM($AS$67:$AT$67)*AT67,0)</f>
        <v>0</v>
      </c>
    </row>
    <row r="92" spans="2:47">
      <c r="O92" s="87" t="str">
        <f t="shared" si="98"/>
        <v>4Q2033</v>
      </c>
      <c r="P92" s="88">
        <f t="shared" si="107"/>
        <v>48944</v>
      </c>
      <c r="Q92" s="89">
        <f>IF(SUM(Q$62:Q91)&lt;$N$63,$N$65,)</f>
        <v>0</v>
      </c>
      <c r="R92" s="89">
        <f>$N$63-SUM(Q$62:Q91)</f>
        <v>0</v>
      </c>
      <c r="S92" s="89">
        <f t="shared" si="99"/>
        <v>0</v>
      </c>
      <c r="T92" s="89">
        <f t="shared" si="100"/>
        <v>0</v>
      </c>
      <c r="U92" s="90">
        <f>IF(P92&gt;$N$66,0,IF(P93&gt;$N$66,SUM(Q$63:$Q92)+S92,T92))</f>
        <v>0</v>
      </c>
      <c r="Y92" s="87" t="str">
        <f t="shared" si="101"/>
        <v>4Q2033</v>
      </c>
      <c r="Z92" s="88">
        <f t="shared" si="108"/>
        <v>48883</v>
      </c>
      <c r="AA92" s="89"/>
      <c r="AB92" s="89">
        <f t="shared" si="96"/>
        <v>0</v>
      </c>
      <c r="AC92" s="89">
        <f t="shared" si="103"/>
        <v>0</v>
      </c>
      <c r="AF92" s="87" t="str">
        <f t="shared" si="104"/>
        <v>3Q2032</v>
      </c>
      <c r="AG92" s="88">
        <f t="shared" si="109"/>
        <v>48487</v>
      </c>
      <c r="AH92" s="76">
        <f>IF(AND(AH91&lt;0,AG92&lt;=EOMONTH('DB1'!U$27,3*'DB1'!$P$50)),1,IF(AG92&lt;=EOMONTH('DB1'!U$27,3*'DB1'!$P$50),AH91+1,0))</f>
        <v>0</v>
      </c>
      <c r="AI92" s="76">
        <f>IF(AND(AI91&gt;0,AG92&lt;=EOMONTH('DB1'!$U$27,0)),AI91+1,IF(AND(AG92&gt;'DB1'!$U$25,AG92&lt;='DB1'!$U$27),1,0))</f>
        <v>0</v>
      </c>
      <c r="AJ92" s="90">
        <f t="shared" si="105"/>
        <v>2322110793.5999999</v>
      </c>
      <c r="AK92" s="91">
        <f>IF($E$83="АРЕНДА",IF(OR(AG92&lt;'DB1'!$U$25,AG92&gt;'DB1'!$U$27),$AO$62,VLOOKUP(AI92,$AN$63:$AO$122,2,0)),IF(AG92&gt;0,AP92,0))</f>
        <v>1.4999999999999999E-2</v>
      </c>
      <c r="AL92" s="92">
        <f t="shared" si="106"/>
        <v>0</v>
      </c>
      <c r="AN92" s="90">
        <v>30</v>
      </c>
      <c r="AO92" s="91">
        <f t="shared" si="112"/>
        <v>0.1</v>
      </c>
      <c r="AP92" s="91">
        <f t="shared" si="97"/>
        <v>3.0000000000000001E-3</v>
      </c>
      <c r="AR92" s="55" t="str">
        <f t="shared" si="113"/>
        <v>ПАРКИНГ ЖИЛЬЕ</v>
      </c>
      <c r="AS92" s="60">
        <f>AS80/(1+'TS1'!$J$84)*'TS1'!$J$84</f>
        <v>270</v>
      </c>
      <c r="AT92" s="118">
        <f>AT80/(1+'TS1'!$J$84)*'TS1'!$J$84</f>
        <v>179.25</v>
      </c>
    </row>
    <row r="93" spans="2:47">
      <c r="O93" s="87" t="str">
        <f t="shared" si="98"/>
        <v>1Q2034</v>
      </c>
      <c r="P93" s="88">
        <f t="shared" si="107"/>
        <v>49034</v>
      </c>
      <c r="Q93" s="89">
        <f>IF(SUM(Q$62:Q92)&lt;$N$63,$N$65,)</f>
        <v>0</v>
      </c>
      <c r="R93" s="89">
        <f>$N$63-SUM(Q$62:Q92)</f>
        <v>0</v>
      </c>
      <c r="S93" s="89">
        <f t="shared" si="99"/>
        <v>0</v>
      </c>
      <c r="T93" s="89">
        <f t="shared" si="100"/>
        <v>0</v>
      </c>
      <c r="U93" s="90">
        <f>IF(P93&gt;$N$66,0,IF(P94&gt;$N$66,SUM(Q$63:$Q93)+S93,T93))</f>
        <v>0</v>
      </c>
      <c r="Y93" s="87" t="str">
        <f t="shared" si="101"/>
        <v>1Q2034</v>
      </c>
      <c r="Z93" s="88">
        <f t="shared" si="108"/>
        <v>48975</v>
      </c>
      <c r="AA93" s="89"/>
      <c r="AB93" s="89">
        <f t="shared" si="96"/>
        <v>0</v>
      </c>
      <c r="AC93" s="89">
        <f t="shared" si="103"/>
        <v>0</v>
      </c>
      <c r="AF93" s="87" t="str">
        <f t="shared" si="104"/>
        <v>4Q2032</v>
      </c>
      <c r="AG93" s="88">
        <f t="shared" si="109"/>
        <v>48579</v>
      </c>
      <c r="AH93" s="76">
        <f>IF(AND(AH92&lt;0,AG93&lt;=EOMONTH('DB1'!U$27,3*'DB1'!$P$50)),1,IF(AG93&lt;=EOMONTH('DB1'!U$27,3*'DB1'!$P$50),AH92+1,0))</f>
        <v>0</v>
      </c>
      <c r="AI93" s="76">
        <f>IF(AND(AI92&gt;0,AG93&lt;=EOMONTH('DB1'!$U$27,0)),AI92+1,IF(AND(AG93&gt;'DB1'!$U$25,AG93&lt;='DB1'!$U$27),1,0))</f>
        <v>0</v>
      </c>
      <c r="AJ93" s="90">
        <f t="shared" si="105"/>
        <v>2322110793.5999999</v>
      </c>
      <c r="AK93" s="91">
        <f>IF($E$83="АРЕНДА",IF(OR(AG93&lt;'DB1'!$U$25,AG93&gt;'DB1'!$U$27),$AO$62,VLOOKUP(AI93,$AN$63:$AO$122,2,0)),IF(AG93&gt;0,AP93,0))</f>
        <v>1.4999999999999999E-2</v>
      </c>
      <c r="AL93" s="92">
        <f t="shared" si="106"/>
        <v>0</v>
      </c>
      <c r="AN93" s="90">
        <v>31</v>
      </c>
      <c r="AO93" s="91">
        <f t="shared" si="112"/>
        <v>0.1</v>
      </c>
      <c r="AP93" s="91">
        <f t="shared" si="97"/>
        <v>3.0000000000000001E-3</v>
      </c>
      <c r="AR93" s="55" t="str">
        <f t="shared" si="113"/>
        <v>ПАРКИНГ ОФИС</v>
      </c>
      <c r="AS93" s="119">
        <f>AS81/(1+'TS1'!$J$84)*'TS1'!$J$84</f>
        <v>0</v>
      </c>
      <c r="AT93" s="118">
        <f>AT81/(1+'TS1'!$J$84)*'TS1'!$J$84</f>
        <v>0</v>
      </c>
    </row>
    <row r="94" spans="2:47">
      <c r="O94" s="87" t="str">
        <f t="shared" si="98"/>
        <v>2Q2034</v>
      </c>
      <c r="P94" s="88">
        <f t="shared" si="107"/>
        <v>49125</v>
      </c>
      <c r="Q94" s="89">
        <f>IF(SUM(Q$62:Q93)&lt;$N$63,$N$65,)</f>
        <v>0</v>
      </c>
      <c r="R94" s="89">
        <f>$N$63-SUM(Q$62:Q93)</f>
        <v>0</v>
      </c>
      <c r="S94" s="89">
        <f t="shared" si="99"/>
        <v>0</v>
      </c>
      <c r="T94" s="89">
        <f t="shared" si="100"/>
        <v>0</v>
      </c>
      <c r="U94" s="90">
        <f>IF(P94&gt;$N$66,0,IF(P95&gt;$N$66,SUM(Q$63:$Q94)+S94,T94))</f>
        <v>0</v>
      </c>
      <c r="Y94" s="87" t="str">
        <f t="shared" si="101"/>
        <v>2Q2034</v>
      </c>
      <c r="Z94" s="88">
        <f t="shared" si="108"/>
        <v>49064</v>
      </c>
      <c r="AA94" s="89"/>
      <c r="AB94" s="89">
        <f t="shared" si="96"/>
        <v>0</v>
      </c>
      <c r="AC94" s="89">
        <f t="shared" si="103"/>
        <v>0</v>
      </c>
      <c r="AF94" s="87" t="str">
        <f t="shared" si="104"/>
        <v>1Q2033</v>
      </c>
      <c r="AG94" s="88">
        <f t="shared" si="109"/>
        <v>48669</v>
      </c>
      <c r="AH94" s="76">
        <f>IF(AND(AH93&lt;0,AG94&lt;=EOMONTH('DB1'!U$27,3*'DB1'!$P$50)),1,IF(AG94&lt;=EOMONTH('DB1'!U$27,3*'DB1'!$P$50),AH93+1,0))</f>
        <v>0</v>
      </c>
      <c r="AI94" s="76">
        <f>IF(AND(AI93&gt;0,AG94&lt;=EOMONTH('DB1'!$U$27,0)),AI93+1,IF(AND(AG94&gt;'DB1'!$U$25,AG94&lt;='DB1'!$U$27),1,0))</f>
        <v>0</v>
      </c>
      <c r="AJ94" s="90">
        <f t="shared" si="105"/>
        <v>2322110793.5999999</v>
      </c>
      <c r="AK94" s="91">
        <f>IF($E$83="АРЕНДА",IF(OR(AG94&lt;'DB1'!$U$25,AG94&gt;'DB1'!$U$27),$AO$62,VLOOKUP(AI94,$AN$63:$AO$122,2,0)),IF(AG94&gt;0,AP94,0))</f>
        <v>1.4999999999999999E-2</v>
      </c>
      <c r="AL94" s="92">
        <f t="shared" si="106"/>
        <v>0</v>
      </c>
      <c r="AN94" s="90">
        <v>32</v>
      </c>
      <c r="AO94" s="91">
        <f t="shared" si="112"/>
        <v>0.1</v>
      </c>
      <c r="AP94" s="91">
        <f t="shared" si="97"/>
        <v>3.0000000000000001E-3</v>
      </c>
      <c r="AR94" s="85" t="s">
        <v>89</v>
      </c>
      <c r="AS94" s="86"/>
      <c r="AT94" s="108"/>
    </row>
    <row r="95" spans="2:47">
      <c r="O95" s="87" t="str">
        <f t="shared" si="98"/>
        <v>3Q2034</v>
      </c>
      <c r="P95" s="88">
        <f t="shared" si="107"/>
        <v>49217</v>
      </c>
      <c r="Q95" s="89">
        <f>IF(SUM(Q$62:Q94)&lt;$N$63,$N$65,)</f>
        <v>0</v>
      </c>
      <c r="R95" s="89">
        <f>$N$63-SUM(Q$62:Q94)</f>
        <v>0</v>
      </c>
      <c r="S95" s="89">
        <f t="shared" ref="S95:S112" si="114">R95*$P$60/4</f>
        <v>0</v>
      </c>
      <c r="T95" s="89">
        <f t="shared" si="100"/>
        <v>0</v>
      </c>
      <c r="U95" s="90">
        <f>IF(P95&gt;$N$66,0,IF(P96&gt;$N$66,SUM(Q$63:$Q95)+S95,T95))</f>
        <v>0</v>
      </c>
      <c r="Y95" s="87" t="str">
        <f t="shared" si="101"/>
        <v>3Q2034</v>
      </c>
      <c r="Z95" s="88">
        <f t="shared" si="108"/>
        <v>49156</v>
      </c>
      <c r="AA95" s="89"/>
      <c r="AB95" s="89">
        <f t="shared" ref="AB95:AB112" si="115">IF(Z95&lt;$X$65,$C$81,)/10^6</f>
        <v>0</v>
      </c>
      <c r="AC95" s="89">
        <f t="shared" si="103"/>
        <v>0</v>
      </c>
      <c r="AF95" s="87" t="str">
        <f t="shared" si="104"/>
        <v>2Q2033</v>
      </c>
      <c r="AG95" s="88">
        <f t="shared" si="109"/>
        <v>48760</v>
      </c>
      <c r="AH95" s="76">
        <f>IF(AND(AH94&lt;0,AG95&lt;=EOMONTH('DB1'!U$27,3*'DB1'!$P$50)),1,IF(AG95&lt;=EOMONTH('DB1'!U$27,3*'DB1'!$P$50),AH94+1,0))</f>
        <v>0</v>
      </c>
      <c r="AI95" s="76">
        <f>IF(AND(AI94&gt;0,AG95&lt;=EOMONTH('DB1'!$U$27,0)),AI94+1,IF(AND(AG95&gt;'DB1'!$U$25,AG95&lt;='DB1'!$U$27),1,0))</f>
        <v>0</v>
      </c>
      <c r="AJ95" s="90">
        <f t="shared" si="105"/>
        <v>2322110793.5999999</v>
      </c>
      <c r="AK95" s="91">
        <f>IF($E$83="АРЕНДА",IF(OR(AG95&lt;'DB1'!$U$25,AG95&gt;'DB1'!$U$27),$AO$62,VLOOKUP(AI95,$AN$63:$AO$122,2,0)),IF(AG95&gt;0,AP95,0))</f>
        <v>1.4999999999999999E-2</v>
      </c>
      <c r="AL95" s="92">
        <f t="shared" si="106"/>
        <v>0</v>
      </c>
      <c r="AN95" s="90">
        <v>33</v>
      </c>
      <c r="AO95" s="91">
        <f t="shared" si="112"/>
        <v>0.1</v>
      </c>
      <c r="AP95" s="91">
        <f t="shared" ref="AP95:AP122" si="116">$AP$62</f>
        <v>3.0000000000000001E-3</v>
      </c>
      <c r="AR95" s="55" t="str">
        <f>AR87</f>
        <v>КВАРТИРЫ</v>
      </c>
      <c r="AS95" s="60">
        <v>1</v>
      </c>
      <c r="AT95" s="60">
        <v>1</v>
      </c>
    </row>
    <row r="96" spans="2:47">
      <c r="O96" s="87" t="str">
        <f t="shared" si="98"/>
        <v>4Q2034</v>
      </c>
      <c r="P96" s="88">
        <f t="shared" si="107"/>
        <v>49309</v>
      </c>
      <c r="Q96" s="89">
        <f>IF(SUM(Q$62:Q95)&lt;$N$63,$N$65,)</f>
        <v>0</v>
      </c>
      <c r="R96" s="89">
        <f>$N$63-SUM(Q$62:Q95)</f>
        <v>0</v>
      </c>
      <c r="S96" s="89">
        <f t="shared" si="114"/>
        <v>0</v>
      </c>
      <c r="T96" s="89">
        <f t="shared" si="100"/>
        <v>0</v>
      </c>
      <c r="U96" s="90">
        <f>IF(P96&gt;$N$66,0,IF(P97&gt;$N$66,SUM(Q$63:$Q96)+S96,T96))</f>
        <v>0</v>
      </c>
      <c r="Y96" s="87" t="str">
        <f t="shared" si="101"/>
        <v>4Q2034</v>
      </c>
      <c r="Z96" s="88">
        <f t="shared" si="108"/>
        <v>49248</v>
      </c>
      <c r="AA96" s="89"/>
      <c r="AB96" s="89">
        <f t="shared" si="115"/>
        <v>0</v>
      </c>
      <c r="AC96" s="89">
        <f t="shared" si="103"/>
        <v>0</v>
      </c>
      <c r="AF96" s="87" t="str">
        <f t="shared" si="104"/>
        <v>3Q2033</v>
      </c>
      <c r="AG96" s="88">
        <f t="shared" si="109"/>
        <v>48852</v>
      </c>
      <c r="AH96" s="76">
        <f>IF(AND(AH95&lt;0,AG96&lt;=EOMONTH('DB1'!U$27,3*'DB1'!$P$50)),1,IF(AG96&lt;=EOMONTH('DB1'!U$27,3*'DB1'!$P$50),AH95+1,0))</f>
        <v>0</v>
      </c>
      <c r="AI96" s="76">
        <f>IF(AND(AI95&gt;0,AG96&lt;=EOMONTH('DB1'!$U$27,0)),AI95+1,IF(AND(AG96&gt;'DB1'!$U$25,AG96&lt;='DB1'!$U$27),1,0))</f>
        <v>0</v>
      </c>
      <c r="AJ96" s="90">
        <f t="shared" si="105"/>
        <v>2322110793.5999999</v>
      </c>
      <c r="AK96" s="91">
        <f>IF($E$83="АРЕНДА",IF(OR(AG96&lt;'DB1'!$U$25,AG96&gt;'DB1'!$U$27),$AO$62,VLOOKUP(AI96,$AN$63:$AO$122,2,0)),IF(AG96&gt;0,AP96,0))</f>
        <v>1.4999999999999999E-2</v>
      </c>
      <c r="AL96" s="92">
        <f t="shared" si="106"/>
        <v>0</v>
      </c>
      <c r="AN96" s="90">
        <v>34</v>
      </c>
      <c r="AO96" s="91">
        <f t="shared" si="112"/>
        <v>0.1</v>
      </c>
      <c r="AP96" s="91">
        <f t="shared" si="116"/>
        <v>3.0000000000000001E-3</v>
      </c>
      <c r="AR96" s="55" t="str">
        <f t="shared" ref="AR96:AR101" si="117">AR88</f>
        <v>АПАРТАМЕНТЫ</v>
      </c>
      <c r="AS96" s="60">
        <v>1</v>
      </c>
      <c r="AT96" s="60"/>
    </row>
    <row r="97" spans="15:48">
      <c r="O97" s="87" t="str">
        <f t="shared" si="98"/>
        <v>1Q2035</v>
      </c>
      <c r="P97" s="88">
        <f t="shared" si="107"/>
        <v>49399</v>
      </c>
      <c r="Q97" s="89">
        <f>IF(SUM(Q$62:Q96)&lt;$N$63,$N$65,)</f>
        <v>0</v>
      </c>
      <c r="R97" s="89">
        <f>$N$63-SUM(Q$62:Q96)</f>
        <v>0</v>
      </c>
      <c r="S97" s="89">
        <f t="shared" si="114"/>
        <v>0</v>
      </c>
      <c r="T97" s="89">
        <f t="shared" si="100"/>
        <v>0</v>
      </c>
      <c r="U97" s="90">
        <f>IF(P97&gt;$N$66,0,IF(P98&gt;$N$66,SUM(Q$63:$Q97)+S97,T97))</f>
        <v>0</v>
      </c>
      <c r="Y97" s="87" t="str">
        <f t="shared" si="101"/>
        <v>1Q2035</v>
      </c>
      <c r="Z97" s="88">
        <f t="shared" si="108"/>
        <v>49340</v>
      </c>
      <c r="AA97" s="89"/>
      <c r="AB97" s="89">
        <f t="shared" si="115"/>
        <v>0</v>
      </c>
      <c r="AC97" s="89">
        <f t="shared" si="103"/>
        <v>0</v>
      </c>
      <c r="AF97" s="87" t="str">
        <f t="shared" si="104"/>
        <v>4Q2033</v>
      </c>
      <c r="AG97" s="88">
        <f t="shared" si="109"/>
        <v>48944</v>
      </c>
      <c r="AH97" s="76">
        <f>IF(AND(AH96&lt;0,AG97&lt;=EOMONTH('DB1'!U$27,3*'DB1'!$P$50)),1,IF(AG97&lt;=EOMONTH('DB1'!U$27,3*'DB1'!$P$50),AH96+1,0))</f>
        <v>0</v>
      </c>
      <c r="AI97" s="76">
        <f>IF(AND(AI96&gt;0,AG97&lt;=EOMONTH('DB1'!$U$27,0)),AI96+1,IF(AND(AG97&gt;'DB1'!$U$25,AG97&lt;='DB1'!$U$27),1,0))</f>
        <v>0</v>
      </c>
      <c r="AJ97" s="90">
        <f t="shared" si="105"/>
        <v>2322110793.5999999</v>
      </c>
      <c r="AK97" s="91">
        <f>IF($E$83="АРЕНДА",IF(OR(AG97&lt;'DB1'!$U$25,AG97&gt;'DB1'!$U$27),$AO$62,VLOOKUP(AI97,$AN$63:$AO$122,2,0)),IF(AG97&gt;0,AP97,0))</f>
        <v>1.4999999999999999E-2</v>
      </c>
      <c r="AL97" s="92">
        <f t="shared" si="106"/>
        <v>0</v>
      </c>
      <c r="AN97" s="90">
        <v>35</v>
      </c>
      <c r="AO97" s="91">
        <f t="shared" si="112"/>
        <v>0.1</v>
      </c>
      <c r="AP97" s="91">
        <f t="shared" si="116"/>
        <v>3.0000000000000001E-3</v>
      </c>
      <c r="AR97" s="55" t="str">
        <f t="shared" si="117"/>
        <v>ОФИСЫ</v>
      </c>
      <c r="AS97" s="60"/>
      <c r="AT97" s="60"/>
    </row>
    <row r="98" spans="15:48">
      <c r="O98" s="87" t="str">
        <f t="shared" si="98"/>
        <v>2Q2035</v>
      </c>
      <c r="P98" s="88">
        <f t="shared" si="107"/>
        <v>49490</v>
      </c>
      <c r="Q98" s="89">
        <f>IF(SUM(Q$62:Q97)&lt;$N$63,$N$65,)</f>
        <v>0</v>
      </c>
      <c r="R98" s="89">
        <f>$N$63-SUM(Q$62:Q97)</f>
        <v>0</v>
      </c>
      <c r="S98" s="89">
        <f t="shared" si="114"/>
        <v>0</v>
      </c>
      <c r="T98" s="89">
        <f t="shared" si="100"/>
        <v>0</v>
      </c>
      <c r="U98" s="90">
        <f>IF(P98&gt;$N$66,0,IF(P99&gt;$N$66,SUM(Q$63:$Q98)+S98,T98))</f>
        <v>0</v>
      </c>
      <c r="Y98" s="87" t="str">
        <f t="shared" si="101"/>
        <v>2Q2035</v>
      </c>
      <c r="Z98" s="88">
        <f t="shared" si="108"/>
        <v>49429</v>
      </c>
      <c r="AA98" s="89"/>
      <c r="AB98" s="89">
        <f t="shared" si="115"/>
        <v>0</v>
      </c>
      <c r="AC98" s="89">
        <f t="shared" si="103"/>
        <v>0</v>
      </c>
      <c r="AF98" s="87" t="str">
        <f t="shared" si="104"/>
        <v>1Q2034</v>
      </c>
      <c r="AG98" s="88">
        <f t="shared" si="109"/>
        <v>49034</v>
      </c>
      <c r="AH98" s="76">
        <f>IF(AND(AH97&lt;0,AG98&lt;=EOMONTH('DB1'!U$27,3*'DB1'!$P$50)),1,IF(AG98&lt;=EOMONTH('DB1'!U$27,3*'DB1'!$P$50),AH97+1,0))</f>
        <v>0</v>
      </c>
      <c r="AI98" s="76">
        <f>IF(AND(AI97&gt;0,AG98&lt;=EOMONTH('DB1'!$U$27,0)),AI97+1,IF(AND(AG98&gt;'DB1'!$U$25,AG98&lt;='DB1'!$U$27),1,0))</f>
        <v>0</v>
      </c>
      <c r="AJ98" s="90">
        <f t="shared" si="105"/>
        <v>2322110793.5999999</v>
      </c>
      <c r="AK98" s="91">
        <f>IF($E$83="АРЕНДА",IF(OR(AG98&lt;'DB1'!$U$25,AG98&gt;'DB1'!$U$27),$AO$62,VLOOKUP(AI98,$AN$63:$AO$122,2,0)),IF(AG98&gt;0,AP98,0))</f>
        <v>1.4999999999999999E-2</v>
      </c>
      <c r="AL98" s="92">
        <f t="shared" si="106"/>
        <v>0</v>
      </c>
      <c r="AN98" s="90">
        <v>36</v>
      </c>
      <c r="AO98" s="91">
        <f t="shared" si="112"/>
        <v>0.1</v>
      </c>
      <c r="AP98" s="91">
        <f t="shared" si="116"/>
        <v>3.0000000000000001E-3</v>
      </c>
      <c r="AR98" s="55" t="str">
        <f t="shared" si="117"/>
        <v>РИТЕЙЛ</v>
      </c>
      <c r="AS98" s="60">
        <v>1</v>
      </c>
      <c r="AT98" s="60"/>
    </row>
    <row r="99" spans="15:48">
      <c r="O99" s="87" t="str">
        <f t="shared" si="98"/>
        <v>3Q2035</v>
      </c>
      <c r="P99" s="88">
        <f t="shared" si="107"/>
        <v>49582</v>
      </c>
      <c r="Q99" s="89">
        <f>IF(SUM(Q$62:Q98)&lt;$N$63,$N$65,)</f>
        <v>0</v>
      </c>
      <c r="R99" s="89">
        <f>$N$63-SUM(Q$62:Q98)</f>
        <v>0</v>
      </c>
      <c r="S99" s="89">
        <f t="shared" si="114"/>
        <v>0</v>
      </c>
      <c r="T99" s="89">
        <f t="shared" si="100"/>
        <v>0</v>
      </c>
      <c r="U99" s="90">
        <f>IF(P99&gt;$N$66,0,IF(P100&gt;$N$66,SUM(Q$63:$Q99)+S99,T99))</f>
        <v>0</v>
      </c>
      <c r="Y99" s="87" t="str">
        <f t="shared" si="101"/>
        <v>3Q2035</v>
      </c>
      <c r="Z99" s="88">
        <f t="shared" si="108"/>
        <v>49521</v>
      </c>
      <c r="AA99" s="89"/>
      <c r="AB99" s="89">
        <f t="shared" si="115"/>
        <v>0</v>
      </c>
      <c r="AC99" s="89">
        <f t="shared" si="103"/>
        <v>0</v>
      </c>
      <c r="AF99" s="87" t="str">
        <f t="shared" si="104"/>
        <v>2Q2034</v>
      </c>
      <c r="AG99" s="88">
        <f t="shared" si="109"/>
        <v>49125</v>
      </c>
      <c r="AH99" s="76">
        <f>IF(AND(AH98&lt;0,AG99&lt;=EOMONTH('DB1'!U$27,3*'DB1'!$P$50)),1,IF(AG99&lt;=EOMONTH('DB1'!U$27,3*'DB1'!$P$50),AH98+1,0))</f>
        <v>0</v>
      </c>
      <c r="AI99" s="76">
        <f>IF(AND(AI98&gt;0,AG99&lt;=EOMONTH('DB1'!$U$27,0)),AI98+1,IF(AND(AG99&gt;'DB1'!$U$25,AG99&lt;='DB1'!$U$27),1,0))</f>
        <v>0</v>
      </c>
      <c r="AJ99" s="90">
        <f t="shared" si="105"/>
        <v>2322110793.5999999</v>
      </c>
      <c r="AK99" s="91">
        <f>IF($E$83="АРЕНДА",IF(OR(AG99&lt;'DB1'!$U$25,AG99&gt;'DB1'!$U$27),$AO$62,VLOOKUP(AI99,$AN$63:$AO$122,2,0)),IF(AG99&gt;0,AP99,0))</f>
        <v>1.4999999999999999E-2</v>
      </c>
      <c r="AL99" s="92">
        <f t="shared" si="106"/>
        <v>0</v>
      </c>
      <c r="AN99" s="90">
        <v>37</v>
      </c>
      <c r="AO99" s="91">
        <f t="shared" si="112"/>
        <v>0.1</v>
      </c>
      <c r="AP99" s="91">
        <f t="shared" si="116"/>
        <v>3.0000000000000001E-3</v>
      </c>
      <c r="AR99" s="55" t="str">
        <f t="shared" si="117"/>
        <v>ТЦ</v>
      </c>
      <c r="AS99" s="60"/>
      <c r="AT99" s="60"/>
    </row>
    <row r="100" spans="15:48">
      <c r="O100" s="87" t="str">
        <f t="shared" si="98"/>
        <v>4Q2035</v>
      </c>
      <c r="P100" s="88">
        <f t="shared" si="107"/>
        <v>49674</v>
      </c>
      <c r="Q100" s="89">
        <f>IF(SUM(Q$62:Q99)&lt;$N$63,$N$65,)</f>
        <v>0</v>
      </c>
      <c r="R100" s="89">
        <f>$N$63-SUM(Q$62:Q99)</f>
        <v>0</v>
      </c>
      <c r="S100" s="89">
        <f t="shared" si="114"/>
        <v>0</v>
      </c>
      <c r="T100" s="89">
        <f t="shared" si="100"/>
        <v>0</v>
      </c>
      <c r="U100" s="90">
        <f>IF(P100&gt;$N$66,0,IF(P101&gt;$N$66,SUM(Q$63:$Q100)+S100,T100))</f>
        <v>0</v>
      </c>
      <c r="Y100" s="87" t="str">
        <f t="shared" si="101"/>
        <v>4Q2035</v>
      </c>
      <c r="Z100" s="88">
        <f t="shared" si="108"/>
        <v>49613</v>
      </c>
      <c r="AA100" s="89"/>
      <c r="AB100" s="89">
        <f t="shared" si="115"/>
        <v>0</v>
      </c>
      <c r="AC100" s="89">
        <f t="shared" si="103"/>
        <v>0</v>
      </c>
      <c r="AF100" s="87" t="str">
        <f t="shared" si="104"/>
        <v>3Q2034</v>
      </c>
      <c r="AG100" s="88">
        <f t="shared" si="109"/>
        <v>49217</v>
      </c>
      <c r="AH100" s="76">
        <f>IF(AND(AH99&lt;0,AG100&lt;=EOMONTH('DB1'!U$27,3*'DB1'!$P$50)),1,IF(AG100&lt;=EOMONTH('DB1'!U$27,3*'DB1'!$P$50),AH99+1,0))</f>
        <v>0</v>
      </c>
      <c r="AI100" s="76">
        <f>IF(AND(AI99&gt;0,AG100&lt;=EOMONTH('DB1'!$U$27,0)),AI99+1,IF(AND(AG100&gt;'DB1'!$U$25,AG100&lt;='DB1'!$U$27),1,0))</f>
        <v>0</v>
      </c>
      <c r="AJ100" s="90">
        <f t="shared" si="105"/>
        <v>2322110793.5999999</v>
      </c>
      <c r="AK100" s="91">
        <f>IF($E$83="АРЕНДА",IF(OR(AG100&lt;'DB1'!$U$25,AG100&gt;'DB1'!$U$27),$AO$62,VLOOKUP(AI100,$AN$63:$AO$122,2,0)),IF(AG100&gt;0,AP100,0))</f>
        <v>1.4999999999999999E-2</v>
      </c>
      <c r="AL100" s="92">
        <f t="shared" si="106"/>
        <v>0</v>
      </c>
      <c r="AN100" s="90">
        <v>38</v>
      </c>
      <c r="AO100" s="91">
        <f t="shared" si="112"/>
        <v>0.1</v>
      </c>
      <c r="AP100" s="91">
        <f t="shared" si="116"/>
        <v>3.0000000000000001E-3</v>
      </c>
      <c r="AR100" s="55" t="str">
        <f t="shared" si="117"/>
        <v>ПАРКИНГ ЖИЛЬЕ</v>
      </c>
      <c r="AS100" s="60">
        <v>1</v>
      </c>
      <c r="AT100" s="60"/>
    </row>
    <row r="101" spans="15:48">
      <c r="O101" s="87" t="str">
        <f t="shared" si="98"/>
        <v>1Q2036</v>
      </c>
      <c r="P101" s="88">
        <f t="shared" si="107"/>
        <v>49765</v>
      </c>
      <c r="Q101" s="89">
        <f>IF(SUM(Q$62:Q100)&lt;$N$63,$N$65,)</f>
        <v>0</v>
      </c>
      <c r="R101" s="89">
        <f>$N$63-SUM(Q$62:Q100)</f>
        <v>0</v>
      </c>
      <c r="S101" s="89">
        <f t="shared" si="114"/>
        <v>0</v>
      </c>
      <c r="T101" s="89">
        <f t="shared" si="100"/>
        <v>0</v>
      </c>
      <c r="U101" s="90">
        <f>IF(P101&gt;$N$66,0,IF(P102&gt;$N$66,SUM(Q$63:$Q101)+S101,T101))</f>
        <v>0</v>
      </c>
      <c r="Y101" s="87" t="str">
        <f t="shared" si="101"/>
        <v>1Q2036</v>
      </c>
      <c r="Z101" s="88">
        <f t="shared" si="108"/>
        <v>49705</v>
      </c>
      <c r="AA101" s="89"/>
      <c r="AB101" s="89">
        <f t="shared" si="115"/>
        <v>0</v>
      </c>
      <c r="AC101" s="89">
        <f t="shared" si="103"/>
        <v>0</v>
      </c>
      <c r="AF101" s="87" t="str">
        <f t="shared" si="104"/>
        <v>4Q2034</v>
      </c>
      <c r="AG101" s="88">
        <f t="shared" si="109"/>
        <v>49309</v>
      </c>
      <c r="AH101" s="76">
        <f>IF(AND(AH100&lt;0,AG101&lt;=EOMONTH('DB1'!U$27,3*'DB1'!$P$50)),1,IF(AG101&lt;=EOMONTH('DB1'!U$27,3*'DB1'!$P$50),AH100+1,0))</f>
        <v>0</v>
      </c>
      <c r="AI101" s="76">
        <f>IF(AND(AI100&gt;0,AG101&lt;=EOMONTH('DB1'!$U$27,0)),AI100+1,IF(AND(AG101&gt;'DB1'!$U$25,AG101&lt;='DB1'!$U$27),1,0))</f>
        <v>0</v>
      </c>
      <c r="AJ101" s="90">
        <f t="shared" si="105"/>
        <v>2322110793.5999999</v>
      </c>
      <c r="AK101" s="91">
        <f>IF($E$83="АРЕНДА",IF(OR(AG101&lt;'DB1'!$U$25,AG101&gt;'DB1'!$U$27),$AO$62,VLOOKUP(AI101,$AN$63:$AO$122,2,0)),IF(AG101&gt;0,AP101,0))</f>
        <v>1.4999999999999999E-2</v>
      </c>
      <c r="AL101" s="92">
        <f t="shared" si="106"/>
        <v>0</v>
      </c>
      <c r="AN101" s="90">
        <v>39</v>
      </c>
      <c r="AO101" s="91">
        <f t="shared" si="112"/>
        <v>0.1</v>
      </c>
      <c r="AP101" s="91">
        <f t="shared" si="116"/>
        <v>3.0000000000000001E-3</v>
      </c>
      <c r="AR101" s="55" t="str">
        <f t="shared" si="117"/>
        <v>ПАРКИНГ ОФИС</v>
      </c>
      <c r="AS101" s="60"/>
      <c r="AT101" s="60"/>
    </row>
    <row r="102" spans="15:48">
      <c r="O102" s="87" t="str">
        <f t="shared" si="98"/>
        <v>2Q2036</v>
      </c>
      <c r="P102" s="88">
        <f t="shared" si="107"/>
        <v>49856</v>
      </c>
      <c r="Q102" s="89">
        <f>IF(SUM(Q$62:Q101)&lt;$N$63,$N$65,)</f>
        <v>0</v>
      </c>
      <c r="R102" s="89">
        <f>$N$63-SUM(Q$62:Q101)</f>
        <v>0</v>
      </c>
      <c r="S102" s="89">
        <f t="shared" si="114"/>
        <v>0</v>
      </c>
      <c r="T102" s="89">
        <f t="shared" si="100"/>
        <v>0</v>
      </c>
      <c r="U102" s="90">
        <f>IF(P102&gt;$N$66,0,IF(P103&gt;$N$66,SUM(Q$63:$Q102)+S102,T102))</f>
        <v>0</v>
      </c>
      <c r="Y102" s="87" t="str">
        <f t="shared" si="101"/>
        <v>2Q2036</v>
      </c>
      <c r="Z102" s="88">
        <f t="shared" si="108"/>
        <v>49795</v>
      </c>
      <c r="AA102" s="89"/>
      <c r="AB102" s="89">
        <f t="shared" si="115"/>
        <v>0</v>
      </c>
      <c r="AC102" s="89">
        <f t="shared" si="103"/>
        <v>0</v>
      </c>
      <c r="AF102" s="87" t="str">
        <f t="shared" si="104"/>
        <v>1Q2035</v>
      </c>
      <c r="AG102" s="88">
        <f t="shared" si="109"/>
        <v>49399</v>
      </c>
      <c r="AH102" s="76">
        <f>IF(AND(AH101&lt;0,AG102&lt;=EOMONTH('DB1'!U$27,3*'DB1'!$P$50)),1,IF(AG102&lt;=EOMONTH('DB1'!U$27,3*'DB1'!$P$50),AH101+1,0))</f>
        <v>0</v>
      </c>
      <c r="AI102" s="76">
        <f>IF(AND(AI101&gt;0,AG102&lt;=EOMONTH('DB1'!$U$27,0)),AI101+1,IF(AND(AG102&gt;'DB1'!$U$25,AG102&lt;='DB1'!$U$27),1,0))</f>
        <v>0</v>
      </c>
      <c r="AJ102" s="90">
        <f t="shared" si="105"/>
        <v>2322110793.5999999</v>
      </c>
      <c r="AK102" s="91">
        <f>IF($E$83="АРЕНДА",IF(OR(AG102&lt;'DB1'!$U$25,AG102&gt;'DB1'!$U$27),$AO$62,VLOOKUP(AI102,$AN$63:$AO$122,2,0)),IF(AG102&gt;0,AP102,0))</f>
        <v>1.4999999999999999E-2</v>
      </c>
      <c r="AL102" s="92">
        <f t="shared" si="106"/>
        <v>0</v>
      </c>
      <c r="AN102" s="90">
        <v>40</v>
      </c>
      <c r="AO102" s="91">
        <f t="shared" si="112"/>
        <v>0.1</v>
      </c>
      <c r="AP102" s="91">
        <f t="shared" si="116"/>
        <v>3.0000000000000001E-3</v>
      </c>
      <c r="AR102" s="85" t="s">
        <v>229</v>
      </c>
      <c r="AS102" s="86"/>
      <c r="AT102" s="108"/>
    </row>
    <row r="103" spans="15:48">
      <c r="O103" s="87" t="str">
        <f t="shared" ref="O103:O108" si="118">CONCATENATE(IF(MONTH(P103)&lt;=3,"1",IF(MONTH(P103)&lt;=6,"2",IF(MONTH(P103)&lt;=9,"3","4"))),"Q",YEAR(P103))</f>
        <v>3Q2036</v>
      </c>
      <c r="P103" s="88">
        <f t="shared" si="107"/>
        <v>49948</v>
      </c>
      <c r="Q103" s="89">
        <f>IF(SUM(Q$62:Q102)&lt;$N$63,$N$65,)</f>
        <v>0</v>
      </c>
      <c r="R103" s="89">
        <f>$N$63-SUM(Q$62:Q102)</f>
        <v>0</v>
      </c>
      <c r="S103" s="89">
        <f t="shared" si="114"/>
        <v>0</v>
      </c>
      <c r="T103" s="89">
        <f t="shared" ref="T103:T108" si="119">SUM(Q103,S103)</f>
        <v>0</v>
      </c>
      <c r="U103" s="90">
        <f>IF(P103&gt;$N$66,0,IF(P104&gt;$N$66,SUM(Q$63:$Q103)+S103,T103))</f>
        <v>0</v>
      </c>
      <c r="Y103" s="87" t="str">
        <f t="shared" si="101"/>
        <v>3Q2036</v>
      </c>
      <c r="Z103" s="88">
        <f t="shared" si="108"/>
        <v>49887</v>
      </c>
      <c r="AA103" s="89"/>
      <c r="AB103" s="89">
        <f t="shared" si="115"/>
        <v>0</v>
      </c>
      <c r="AC103" s="89">
        <f t="shared" si="103"/>
        <v>0</v>
      </c>
      <c r="AF103" s="87" t="str">
        <f t="shared" ref="AF103:AF111" si="120">CONCATENATE(IF(MONTH(AG103)&lt;=3,"1",IF(MONTH(AG103)&lt;=6,"2",IF(MONTH(AG103)&lt;=9,"3","4"))),"Q",YEAR(AG103))</f>
        <v>2Q2035</v>
      </c>
      <c r="AG103" s="88">
        <f t="shared" si="109"/>
        <v>49490</v>
      </c>
      <c r="AH103" s="76">
        <f>IF(AND(AH102&lt;0,AG103&lt;=EOMONTH('DB1'!U$27,3*'DB1'!$P$50)),1,IF(AG103&lt;=EOMONTH('DB1'!U$27,3*'DB1'!$P$50),AH102+1,0))</f>
        <v>0</v>
      </c>
      <c r="AI103" s="76">
        <f>IF(AND(AI102&gt;0,AG103&lt;=EOMONTH('DB1'!$U$27,0)),AI102+1,IF(AND(AG103&gt;'DB1'!$U$25,AG103&lt;='DB1'!$U$27),1,0))</f>
        <v>0</v>
      </c>
      <c r="AJ103" s="90">
        <f t="shared" si="105"/>
        <v>2322110793.5999999</v>
      </c>
      <c r="AK103" s="91">
        <f>IF($E$83="АРЕНДА",IF(OR(AG103&lt;'DB1'!$U$25,AG103&gt;'DB1'!$U$27),$AO$62,VLOOKUP(AI103,$AN$63:$AO$122,2,0)),IF(AG103&gt;0,AP103,0))</f>
        <v>1.4999999999999999E-2</v>
      </c>
      <c r="AL103" s="92">
        <f t="shared" si="106"/>
        <v>0</v>
      </c>
      <c r="AM103" s="109"/>
      <c r="AN103" s="90">
        <v>41</v>
      </c>
      <c r="AO103" s="91">
        <f t="shared" si="112"/>
        <v>0.1</v>
      </c>
      <c r="AP103" s="91">
        <f t="shared" si="116"/>
        <v>3.0000000000000001E-3</v>
      </c>
      <c r="AR103" s="55" t="str">
        <f>AR95</f>
        <v>КВАРТИРЫ</v>
      </c>
      <c r="AS103" s="60">
        <f>IFERROR(IF(AS95=1,AS75/AS63,(AS75-AS87)/AS63)*1000000,0)</f>
        <v>342734.62118988746</v>
      </c>
      <c r="AT103" s="60">
        <f>IFERROR(IF(AT95=1,AT75/AT63,(AT75-AT87)/AT63)*1000000,0)</f>
        <v>342734.62118988746</v>
      </c>
    </row>
    <row r="104" spans="15:48">
      <c r="O104" s="87" t="str">
        <f t="shared" si="118"/>
        <v>4Q2036</v>
      </c>
      <c r="P104" s="88">
        <f t="shared" si="107"/>
        <v>50040</v>
      </c>
      <c r="Q104" s="89">
        <f>IF(SUM(Q$62:Q103)&lt;$N$63,$N$65,)</f>
        <v>0</v>
      </c>
      <c r="R104" s="89">
        <f>$N$63-SUM(Q$62:Q103)</f>
        <v>0</v>
      </c>
      <c r="S104" s="89">
        <f t="shared" si="114"/>
        <v>0</v>
      </c>
      <c r="T104" s="89">
        <f t="shared" si="119"/>
        <v>0</v>
      </c>
      <c r="U104" s="90">
        <f>IF(P104&gt;$N$66,0,IF(P105&gt;$N$66,SUM(Q$63:$Q104)+S104,T104))</f>
        <v>0</v>
      </c>
      <c r="Y104" s="87" t="str">
        <f t="shared" si="101"/>
        <v>4Q2036</v>
      </c>
      <c r="Z104" s="88">
        <f t="shared" si="108"/>
        <v>49979</v>
      </c>
      <c r="AA104" s="89"/>
      <c r="AB104" s="89">
        <f t="shared" si="115"/>
        <v>0</v>
      </c>
      <c r="AC104" s="89">
        <f t="shared" si="103"/>
        <v>0</v>
      </c>
      <c r="AF104" s="87" t="str">
        <f t="shared" si="120"/>
        <v>3Q2035</v>
      </c>
      <c r="AG104" s="88">
        <f t="shared" si="109"/>
        <v>49582</v>
      </c>
      <c r="AH104" s="76">
        <f>IF(AND(AH103&lt;0,AG104&lt;=EOMONTH('DB1'!U$27,3*'DB1'!$P$50)),1,IF(AG104&lt;=EOMONTH('DB1'!U$27,3*'DB1'!$P$50),AH103+1,0))</f>
        <v>0</v>
      </c>
      <c r="AI104" s="76">
        <f>IF(AND(AI103&gt;0,AG104&lt;=EOMONTH('DB1'!$U$27,0)),AI103+1,IF(AND(AG104&gt;'DB1'!$U$25,AG104&lt;='DB1'!$U$27),1,0))</f>
        <v>0</v>
      </c>
      <c r="AJ104" s="90">
        <f t="shared" si="105"/>
        <v>2322110793.5999999</v>
      </c>
      <c r="AK104" s="91">
        <f>IF($E$83="АРЕНДА",IF(OR(AG104&lt;'DB1'!$U$25,AG104&gt;'DB1'!$U$27),$AO$62,VLOOKUP(AI104,$AN$63:$AO$122,2,0)),IF(AG104&gt;0,AP104,0))</f>
        <v>1.4999999999999999E-2</v>
      </c>
      <c r="AL104" s="92">
        <f t="shared" si="106"/>
        <v>0</v>
      </c>
      <c r="AN104" s="90">
        <v>42</v>
      </c>
      <c r="AO104" s="91">
        <f t="shared" si="112"/>
        <v>0.1</v>
      </c>
      <c r="AP104" s="91">
        <f t="shared" si="116"/>
        <v>3.0000000000000001E-3</v>
      </c>
      <c r="AR104" s="55" t="str">
        <f t="shared" ref="AR104:AR109" si="121">AR96</f>
        <v>АПАРТАМЕНТЫ</v>
      </c>
      <c r="AS104" s="60">
        <f t="shared" ref="AS104:AT109" si="122">IFERROR(IF(AS96=1,AS76/AS64,(AS76-AS88)/AS64)*1000000,0)</f>
        <v>0</v>
      </c>
      <c r="AT104" s="60">
        <f t="shared" si="122"/>
        <v>0</v>
      </c>
    </row>
    <row r="105" spans="15:48">
      <c r="O105" s="87" t="str">
        <f t="shared" si="118"/>
        <v>1Q2037</v>
      </c>
      <c r="P105" s="88">
        <f t="shared" si="107"/>
        <v>50130</v>
      </c>
      <c r="Q105" s="89">
        <f>IF(SUM(Q$62:Q104)&lt;$N$63,$N$65,)</f>
        <v>0</v>
      </c>
      <c r="R105" s="89">
        <f>$N$63-SUM(Q$62:Q104)</f>
        <v>0</v>
      </c>
      <c r="S105" s="89">
        <f t="shared" si="114"/>
        <v>0</v>
      </c>
      <c r="T105" s="89">
        <f t="shared" si="119"/>
        <v>0</v>
      </c>
      <c r="U105" s="90">
        <f>IF(P105&gt;$N$66,0,IF(P106&gt;$N$66,SUM(Q$63:$Q105)+S105,T105))</f>
        <v>0</v>
      </c>
      <c r="Y105" s="87" t="str">
        <f t="shared" si="101"/>
        <v>1Q2037</v>
      </c>
      <c r="Z105" s="88">
        <f t="shared" si="108"/>
        <v>50071</v>
      </c>
      <c r="AA105" s="89"/>
      <c r="AB105" s="89">
        <f t="shared" si="115"/>
        <v>0</v>
      </c>
      <c r="AC105" s="89">
        <f t="shared" si="103"/>
        <v>0</v>
      </c>
      <c r="AF105" s="87" t="str">
        <f t="shared" si="120"/>
        <v>4Q2035</v>
      </c>
      <c r="AG105" s="88">
        <f t="shared" si="109"/>
        <v>49674</v>
      </c>
      <c r="AH105" s="76">
        <f>IF(AND(AH104&lt;0,AG105&lt;=EOMONTH('DB1'!U$27,3*'DB1'!$P$50)),1,IF(AG105&lt;=EOMONTH('DB1'!U$27,3*'DB1'!$P$50),AH104+1,0))</f>
        <v>0</v>
      </c>
      <c r="AI105" s="76">
        <f>IF(AND(AI104&gt;0,AG105&lt;=EOMONTH('DB1'!$U$27,0)),AI104+1,IF(AND(AG105&gt;'DB1'!$U$25,AG105&lt;='DB1'!$U$27),1,0))</f>
        <v>0</v>
      </c>
      <c r="AJ105" s="90">
        <f t="shared" si="105"/>
        <v>2322110793.5999999</v>
      </c>
      <c r="AK105" s="91">
        <f>IF($E$83="АРЕНДА",IF(OR(AG105&lt;'DB1'!$U$25,AG105&gt;'DB1'!$U$27),$AO$62,VLOOKUP(AI105,$AN$63:$AO$122,2,0)),IF(AG105&gt;0,AP105,0))</f>
        <v>1.4999999999999999E-2</v>
      </c>
      <c r="AL105" s="92">
        <f t="shared" si="106"/>
        <v>0</v>
      </c>
      <c r="AM105" s="110"/>
      <c r="AN105" s="90">
        <v>43</v>
      </c>
      <c r="AO105" s="91">
        <f t="shared" si="112"/>
        <v>0.1</v>
      </c>
      <c r="AP105" s="91">
        <f t="shared" si="116"/>
        <v>3.0000000000000001E-3</v>
      </c>
      <c r="AR105" s="55" t="str">
        <f t="shared" si="121"/>
        <v>ОФИСЫ</v>
      </c>
      <c r="AS105" s="60">
        <f t="shared" si="122"/>
        <v>0</v>
      </c>
      <c r="AT105" s="60">
        <f t="shared" si="122"/>
        <v>0</v>
      </c>
      <c r="AU105" s="110"/>
      <c r="AV105" s="110"/>
    </row>
    <row r="106" spans="15:48">
      <c r="O106" s="87" t="str">
        <f t="shared" si="118"/>
        <v>2Q2037</v>
      </c>
      <c r="P106" s="88">
        <f t="shared" si="107"/>
        <v>50221</v>
      </c>
      <c r="Q106" s="89">
        <f>IF(SUM(Q$62:Q105)&lt;$N$63,$N$65,)</f>
        <v>0</v>
      </c>
      <c r="R106" s="89">
        <f>$N$63-SUM(Q$62:Q105)</f>
        <v>0</v>
      </c>
      <c r="S106" s="89">
        <f t="shared" si="114"/>
        <v>0</v>
      </c>
      <c r="T106" s="89">
        <f t="shared" si="119"/>
        <v>0</v>
      </c>
      <c r="U106" s="90">
        <f>IF(P106&gt;$N$66,0,IF(P107&gt;$N$66,SUM(Q$63:$Q106)+S106,T106))</f>
        <v>0</v>
      </c>
      <c r="Y106" s="87" t="str">
        <f t="shared" si="101"/>
        <v>2Q2037</v>
      </c>
      <c r="Z106" s="88">
        <f t="shared" si="108"/>
        <v>50160</v>
      </c>
      <c r="AA106" s="89"/>
      <c r="AB106" s="89">
        <f t="shared" si="115"/>
        <v>0</v>
      </c>
      <c r="AC106" s="89">
        <f t="shared" si="103"/>
        <v>0</v>
      </c>
      <c r="AF106" s="87" t="str">
        <f t="shared" si="120"/>
        <v>1Q2036</v>
      </c>
      <c r="AG106" s="88">
        <f t="shared" si="109"/>
        <v>49765</v>
      </c>
      <c r="AH106" s="76">
        <f>IF(AND(AH105&lt;0,AG106&lt;=EOMONTH('DB1'!U$27,3*'DB1'!$P$50)),1,IF(AG106&lt;=EOMONTH('DB1'!U$27,3*'DB1'!$P$50),AH105+1,0))</f>
        <v>0</v>
      </c>
      <c r="AI106" s="76">
        <f>IF(AND(AI105&gt;0,AG106&lt;=EOMONTH('DB1'!$U$27,0)),AI105+1,IF(AND(AG106&gt;'DB1'!$U$25,AG106&lt;='DB1'!$U$27),1,0))</f>
        <v>0</v>
      </c>
      <c r="AJ106" s="90">
        <f t="shared" si="105"/>
        <v>2322110793.5999999</v>
      </c>
      <c r="AK106" s="91">
        <f>IF($E$83="АРЕНДА",IF(OR(AG106&lt;'DB1'!$U$25,AG106&gt;'DB1'!$U$27),$AO$62,VLOOKUP(AI106,$AN$63:$AO$122,2,0)),IF(AG106&gt;0,AP106,0))</f>
        <v>1.4999999999999999E-2</v>
      </c>
      <c r="AL106" s="92">
        <f t="shared" si="106"/>
        <v>0</v>
      </c>
      <c r="AN106" s="90">
        <v>44</v>
      </c>
      <c r="AO106" s="91">
        <f t="shared" si="112"/>
        <v>0.1</v>
      </c>
      <c r="AP106" s="91">
        <f t="shared" si="116"/>
        <v>3.0000000000000001E-3</v>
      </c>
      <c r="AR106" s="55" t="str">
        <f t="shared" si="121"/>
        <v>РИТЕЙЛ</v>
      </c>
      <c r="AS106" s="60">
        <f t="shared" si="122"/>
        <v>0</v>
      </c>
      <c r="AT106" s="60">
        <f t="shared" si="122"/>
        <v>299610.45672234293</v>
      </c>
    </row>
    <row r="107" spans="15:48">
      <c r="O107" s="87" t="str">
        <f t="shared" si="118"/>
        <v>3Q2037</v>
      </c>
      <c r="P107" s="88">
        <f t="shared" si="107"/>
        <v>50313</v>
      </c>
      <c r="Q107" s="89">
        <f>IF(SUM(Q$62:Q106)&lt;$N$63,$N$65,)</f>
        <v>0</v>
      </c>
      <c r="R107" s="89">
        <f>$N$63-SUM(Q$62:Q106)</f>
        <v>0</v>
      </c>
      <c r="S107" s="89">
        <f t="shared" si="114"/>
        <v>0</v>
      </c>
      <c r="T107" s="89">
        <f t="shared" si="119"/>
        <v>0</v>
      </c>
      <c r="U107" s="90">
        <f>IF(P107&gt;$N$66,0,IF(P108&gt;$N$66,SUM(Q$63:$Q107)+S107,T107))</f>
        <v>0</v>
      </c>
      <c r="Y107" s="87" t="str">
        <f t="shared" si="101"/>
        <v>3Q2037</v>
      </c>
      <c r="Z107" s="88">
        <f t="shared" si="108"/>
        <v>50252</v>
      </c>
      <c r="AA107" s="89"/>
      <c r="AB107" s="89">
        <f t="shared" si="115"/>
        <v>0</v>
      </c>
      <c r="AC107" s="89">
        <f t="shared" si="103"/>
        <v>0</v>
      </c>
      <c r="AF107" s="87" t="str">
        <f t="shared" si="120"/>
        <v>2Q2036</v>
      </c>
      <c r="AG107" s="88">
        <f t="shared" si="109"/>
        <v>49856</v>
      </c>
      <c r="AH107" s="76">
        <f>IF(AND(AH106&lt;0,AG107&lt;=EOMONTH('DB1'!U$27,3*'DB1'!$P$50)),1,IF(AG107&lt;=EOMONTH('DB1'!U$27,3*'DB1'!$P$50),AH106+1,0))</f>
        <v>0</v>
      </c>
      <c r="AI107" s="76">
        <f>IF(AND(AI106&gt;0,AG107&lt;=EOMONTH('DB1'!$U$27,0)),AI106+1,IF(AND(AG107&gt;'DB1'!$U$25,AG107&lt;='DB1'!$U$27),1,0))</f>
        <v>0</v>
      </c>
      <c r="AJ107" s="90">
        <f t="shared" si="105"/>
        <v>2322110793.5999999</v>
      </c>
      <c r="AK107" s="91">
        <f>IF($E$83="АРЕНДА",IF(OR(AG107&lt;'DB1'!$U$25,AG107&gt;'DB1'!$U$27),$AO$62,VLOOKUP(AI107,$AN$63:$AO$122,2,0)),IF(AG107&gt;0,AP107,0))</f>
        <v>1.4999999999999999E-2</v>
      </c>
      <c r="AL107" s="92">
        <f t="shared" si="106"/>
        <v>0</v>
      </c>
      <c r="AN107" s="90">
        <v>45</v>
      </c>
      <c r="AO107" s="91">
        <f t="shared" si="112"/>
        <v>0.1</v>
      </c>
      <c r="AP107" s="91">
        <f t="shared" si="116"/>
        <v>3.0000000000000001E-3</v>
      </c>
      <c r="AR107" s="55" t="str">
        <f t="shared" si="121"/>
        <v>ТЦ</v>
      </c>
      <c r="AS107" s="60">
        <f t="shared" si="122"/>
        <v>0</v>
      </c>
      <c r="AT107" s="60">
        <f t="shared" si="122"/>
        <v>0</v>
      </c>
    </row>
    <row r="108" spans="15:48">
      <c r="O108" s="87" t="str">
        <f t="shared" si="118"/>
        <v>4Q2037</v>
      </c>
      <c r="P108" s="88">
        <f t="shared" si="107"/>
        <v>50405</v>
      </c>
      <c r="Q108" s="89">
        <f>IF(SUM(Q$62:Q107)&lt;$N$63,$N$65,)</f>
        <v>0</v>
      </c>
      <c r="R108" s="89">
        <f>$N$63-SUM(Q$62:Q107)</f>
        <v>0</v>
      </c>
      <c r="S108" s="89">
        <f t="shared" si="114"/>
        <v>0</v>
      </c>
      <c r="T108" s="89">
        <f t="shared" si="119"/>
        <v>0</v>
      </c>
      <c r="U108" s="90">
        <f>IF(P108&gt;$N$66,0,IF(P109&gt;$N$66,SUM(Q$63:$Q108)+S108,T108))</f>
        <v>0</v>
      </c>
      <c r="Y108" s="87" t="str">
        <f t="shared" si="101"/>
        <v>4Q2037</v>
      </c>
      <c r="Z108" s="88">
        <f t="shared" si="108"/>
        <v>50344</v>
      </c>
      <c r="AA108" s="89"/>
      <c r="AB108" s="89">
        <f t="shared" si="115"/>
        <v>0</v>
      </c>
      <c r="AC108" s="89">
        <f t="shared" si="103"/>
        <v>0</v>
      </c>
      <c r="AF108" s="87" t="str">
        <f t="shared" si="120"/>
        <v>3Q2036</v>
      </c>
      <c r="AG108" s="88">
        <f t="shared" si="109"/>
        <v>49948</v>
      </c>
      <c r="AH108" s="76">
        <f>IF(AND(AH107&lt;0,AG108&lt;=EOMONTH('DB1'!U$27,3*'DB1'!$P$50)),1,IF(AG108&lt;=EOMONTH('DB1'!U$27,3*'DB1'!$P$50),AH107+1,0))</f>
        <v>0</v>
      </c>
      <c r="AI108" s="76">
        <f>IF(AND(AI107&gt;0,AG108&lt;=EOMONTH('DB1'!$U$27,0)),AI107+1,IF(AND(AG108&gt;'DB1'!$U$25,AG108&lt;='DB1'!$U$27),1,0))</f>
        <v>0</v>
      </c>
      <c r="AJ108" s="90">
        <f t="shared" si="105"/>
        <v>2322110793.5999999</v>
      </c>
      <c r="AK108" s="91">
        <f>IF($E$83="АРЕНДА",IF(OR(AG108&lt;'DB1'!$U$25,AG108&gt;'DB1'!$U$27),$AO$62,VLOOKUP(AI108,$AN$63:$AO$122,2,0)),IF(AG108&gt;0,AP108,0))</f>
        <v>1.4999999999999999E-2</v>
      </c>
      <c r="AL108" s="92">
        <f t="shared" si="106"/>
        <v>0</v>
      </c>
      <c r="AN108" s="90">
        <v>46</v>
      </c>
      <c r="AO108" s="91">
        <f t="shared" si="112"/>
        <v>0.1</v>
      </c>
      <c r="AP108" s="91">
        <f t="shared" si="116"/>
        <v>3.0000000000000001E-3</v>
      </c>
      <c r="AR108" s="55" t="str">
        <f t="shared" si="121"/>
        <v>ПАРКИНГ ЖИЛЬЕ</v>
      </c>
      <c r="AS108" s="60">
        <f t="shared" si="122"/>
        <v>4500000</v>
      </c>
      <c r="AT108" s="60">
        <f t="shared" si="122"/>
        <v>3750000</v>
      </c>
    </row>
    <row r="109" spans="15:48">
      <c r="O109" s="87" t="str">
        <f>CONCATENATE(IF(MONTH(P109)&lt;=3,"1",IF(MONTH(P109)&lt;=6,"2",IF(MONTH(P109)&lt;=9,"3","4"))),"Q",YEAR(P109))</f>
        <v>1Q2038</v>
      </c>
      <c r="P109" s="88">
        <f t="shared" si="107"/>
        <v>50495</v>
      </c>
      <c r="Q109" s="89">
        <f>IF(SUM(Q$62:Q108)&lt;$N$63,$N$65,)</f>
        <v>0</v>
      </c>
      <c r="R109" s="89">
        <f>$N$63-SUM(Q$62:Q108)</f>
        <v>0</v>
      </c>
      <c r="S109" s="89">
        <f t="shared" si="114"/>
        <v>0</v>
      </c>
      <c r="T109" s="89">
        <f>SUM(Q109,S109)</f>
        <v>0</v>
      </c>
      <c r="U109" s="90">
        <f>IF(P109&gt;$N$66,0,IF(P110&gt;$N$66,SUM(Q$63:$Q109)+S109,T109))</f>
        <v>0</v>
      </c>
      <c r="Y109" s="87" t="str">
        <f>CONCATENATE(IF(MONTH(Z109)&lt;=3,"1",IF(MONTH(Z109)&lt;=6,"2",IF(MONTH(Z109)&lt;=9,"3","4"))),"Q",YEAR(Z109))</f>
        <v>1Q2038</v>
      </c>
      <c r="Z109" s="88">
        <f t="shared" si="108"/>
        <v>50436</v>
      </c>
      <c r="AA109" s="89"/>
      <c r="AB109" s="89">
        <f t="shared" si="115"/>
        <v>0</v>
      </c>
      <c r="AC109" s="89">
        <f t="shared" si="103"/>
        <v>0</v>
      </c>
      <c r="AF109" s="87" t="str">
        <f t="shared" si="120"/>
        <v>4Q2036</v>
      </c>
      <c r="AG109" s="88">
        <f t="shared" si="109"/>
        <v>50040</v>
      </c>
      <c r="AH109" s="76">
        <f>IF(AND(AH108&lt;0,AG109&lt;=EOMONTH('DB1'!U$27,3*'DB1'!$P$50)),1,IF(AG109&lt;=EOMONTH('DB1'!U$27,3*'DB1'!$P$50),AH108+1,0))</f>
        <v>0</v>
      </c>
      <c r="AI109" s="76">
        <f>IF(AND(AI108&gt;0,AG109&lt;=EOMONTH('DB1'!$U$27,0)),AI108+1,IF(AND(AG109&gt;'DB1'!$U$25,AG109&lt;='DB1'!$U$27),1,0))</f>
        <v>0</v>
      </c>
      <c r="AJ109" s="90">
        <f t="shared" si="105"/>
        <v>2322110793.5999999</v>
      </c>
      <c r="AK109" s="91">
        <f>IF($E$83="АРЕНДА",IF(OR(AG109&lt;'DB1'!$U$25,AG109&gt;'DB1'!$U$27),$AO$62,VLOOKUP(AI109,$AN$63:$AO$122,2,0)),IF(AG109&gt;0,AP109,0))</f>
        <v>1.4999999999999999E-2</v>
      </c>
      <c r="AL109" s="92">
        <f t="shared" si="106"/>
        <v>0</v>
      </c>
      <c r="AN109" s="90">
        <v>47</v>
      </c>
      <c r="AO109" s="91">
        <f t="shared" si="112"/>
        <v>0.1</v>
      </c>
      <c r="AP109" s="91">
        <f t="shared" si="116"/>
        <v>3.0000000000000001E-3</v>
      </c>
      <c r="AR109" s="55" t="str">
        <f t="shared" si="121"/>
        <v>ПАРКИНГ ОФИС</v>
      </c>
      <c r="AS109" s="60">
        <f t="shared" si="122"/>
        <v>0</v>
      </c>
      <c r="AT109" s="60">
        <f t="shared" si="122"/>
        <v>0</v>
      </c>
      <c r="AU109" s="120" t="s">
        <v>137</v>
      </c>
    </row>
    <row r="110" spans="15:48">
      <c r="O110" s="87" t="str">
        <f>CONCATENATE(IF(MONTH(P110)&lt;=3,"1",IF(MONTH(P110)&lt;=6,"2",IF(MONTH(P110)&lt;=9,"3","4"))),"Q",YEAR(P110))</f>
        <v>2Q2038</v>
      </c>
      <c r="P110" s="88">
        <f t="shared" si="107"/>
        <v>50586</v>
      </c>
      <c r="Q110" s="89">
        <f>IF(SUM(Q$62:Q109)&lt;$N$63,$N$65,)</f>
        <v>0</v>
      </c>
      <c r="R110" s="89">
        <f>$N$63-SUM(Q$62:Q109)</f>
        <v>0</v>
      </c>
      <c r="S110" s="89">
        <f t="shared" si="114"/>
        <v>0</v>
      </c>
      <c r="T110" s="89">
        <f>SUM(Q110,S110)</f>
        <v>0</v>
      </c>
      <c r="U110" s="90">
        <f>IF(P110&gt;$N$66,0,IF(P111&gt;$N$66,SUM(Q$63:$Q110)+S110,T110))</f>
        <v>0</v>
      </c>
      <c r="Y110" s="87" t="str">
        <f>CONCATENATE(IF(MONTH(Z110)&lt;=3,"1",IF(MONTH(Z110)&lt;=6,"2",IF(MONTH(Z110)&lt;=9,"3","4"))),"Q",YEAR(Z110))</f>
        <v>2Q2038</v>
      </c>
      <c r="Z110" s="88">
        <f t="shared" si="108"/>
        <v>50525</v>
      </c>
      <c r="AA110" s="89"/>
      <c r="AB110" s="89">
        <f t="shared" si="115"/>
        <v>0</v>
      </c>
      <c r="AC110" s="89">
        <f t="shared" si="103"/>
        <v>0</v>
      </c>
      <c r="AF110" s="87" t="str">
        <f t="shared" si="120"/>
        <v>1Q2037</v>
      </c>
      <c r="AG110" s="88">
        <f t="shared" si="109"/>
        <v>50130</v>
      </c>
      <c r="AH110" s="76">
        <f>IF(AND(AH109&lt;0,AG110&lt;=EOMONTH('DB1'!U$27,3*'DB1'!$P$50)),1,IF(AG110&lt;=EOMONTH('DB1'!U$27,3*'DB1'!$P$50),AH109+1,0))</f>
        <v>0</v>
      </c>
      <c r="AI110" s="76">
        <f>IF(AND(AI109&gt;0,AG110&lt;=EOMONTH('DB1'!$U$27,0)),AI109+1,IF(AND(AG110&gt;'DB1'!$U$25,AG110&lt;='DB1'!$U$27),1,0))</f>
        <v>0</v>
      </c>
      <c r="AJ110" s="90">
        <f t="shared" si="105"/>
        <v>2322110793.5999999</v>
      </c>
      <c r="AK110" s="91">
        <f>IF($E$83="АРЕНДА",IF(OR(AG110&lt;'DB1'!$U$25,AG110&gt;'DB1'!$U$27),$AO$62,VLOOKUP(AI110,$AN$63:$AO$122,2,0)),IF(AG110&gt;0,AP110,0))</f>
        <v>1.4999999999999999E-2</v>
      </c>
      <c r="AL110" s="92">
        <f t="shared" si="106"/>
        <v>0</v>
      </c>
      <c r="AN110" s="90">
        <v>48</v>
      </c>
      <c r="AO110" s="91">
        <f t="shared" si="112"/>
        <v>0.1</v>
      </c>
      <c r="AP110" s="91">
        <f t="shared" si="116"/>
        <v>3.0000000000000001E-3</v>
      </c>
      <c r="AR110" s="85" t="s">
        <v>136</v>
      </c>
      <c r="AS110" s="111">
        <f>SUM(AS111:AS117)</f>
        <v>13958.446362835948</v>
      </c>
      <c r="AT110" s="111">
        <f>SUM(AT111:AT117)</f>
        <v>9978.768721371227</v>
      </c>
      <c r="AU110" s="117">
        <f>AS110+AT110+'CF1'!E160</f>
        <v>0</v>
      </c>
    </row>
    <row r="111" spans="15:48">
      <c r="O111" s="87" t="str">
        <f>CONCATENATE(IF(MONTH(P111)&lt;=3,"1",IF(MONTH(P111)&lt;=6,"2",IF(MONTH(P111)&lt;=9,"3","4"))),"Q",YEAR(P111))</f>
        <v>3Q2038</v>
      </c>
      <c r="P111" s="88">
        <f t="shared" si="107"/>
        <v>50678</v>
      </c>
      <c r="Q111" s="89">
        <f>IF(SUM(Q$62:Q110)&lt;$N$63,$N$65,)</f>
        <v>0</v>
      </c>
      <c r="R111" s="89">
        <f>$N$63-SUM(Q$62:Q110)</f>
        <v>0</v>
      </c>
      <c r="S111" s="89">
        <f t="shared" si="114"/>
        <v>0</v>
      </c>
      <c r="T111" s="89">
        <f>SUM(Q111,S111)</f>
        <v>0</v>
      </c>
      <c r="U111" s="90">
        <f>IF(P111&gt;$N$66,0,IF(P112&gt;$N$66,SUM(Q$63:$Q111)+S111,T111))</f>
        <v>0</v>
      </c>
      <c r="Y111" s="87" t="str">
        <f>CONCATENATE(IF(MONTH(Z111)&lt;=3,"1",IF(MONTH(Z111)&lt;=6,"2",IF(MONTH(Z111)&lt;=9,"3","4"))),"Q",YEAR(Z111))</f>
        <v>3Q2038</v>
      </c>
      <c r="Z111" s="88">
        <f t="shared" si="108"/>
        <v>50617</v>
      </c>
      <c r="AA111" s="89"/>
      <c r="AB111" s="89">
        <f t="shared" si="115"/>
        <v>0</v>
      </c>
      <c r="AC111" s="89">
        <f t="shared" si="103"/>
        <v>0</v>
      </c>
      <c r="AF111" s="87" t="str">
        <f t="shared" si="120"/>
        <v>2Q2037</v>
      </c>
      <c r="AG111" s="88">
        <f t="shared" si="109"/>
        <v>50221</v>
      </c>
      <c r="AH111" s="76">
        <f>IF(AND(AH110&lt;0,AG111&lt;=EOMONTH('DB1'!U$27,3*'DB1'!$P$50)),1,IF(AG111&lt;=EOMONTH('DB1'!U$27,3*'DB1'!$P$50),AH110+1,0))</f>
        <v>0</v>
      </c>
      <c r="AI111" s="76">
        <f>IF(AND(AI110&gt;0,AG111&lt;=EOMONTH('DB1'!$U$27,0)),AI110+1,IF(AND(AG111&gt;'DB1'!$U$25,AG111&lt;='DB1'!$U$27),1,0))</f>
        <v>0</v>
      </c>
      <c r="AJ111" s="90">
        <f t="shared" si="105"/>
        <v>2322110793.5999999</v>
      </c>
      <c r="AK111" s="91">
        <f>IF($E$83="АРЕНДА",IF(OR(AG111&lt;'DB1'!$U$25,AG111&gt;'DB1'!$U$27),$AO$62,VLOOKUP(AI111,$AN$63:$AO$122,2,0)),IF(AG111&gt;0,AP111,0))</f>
        <v>1.4999999999999999E-2</v>
      </c>
      <c r="AL111" s="92">
        <f t="shared" si="106"/>
        <v>0</v>
      </c>
      <c r="AN111" s="90">
        <v>49</v>
      </c>
      <c r="AO111" s="91">
        <f t="shared" si="112"/>
        <v>0.1</v>
      </c>
      <c r="AP111" s="91">
        <f t="shared" si="116"/>
        <v>3.0000000000000001E-3</v>
      </c>
      <c r="AR111" s="55" t="str">
        <f>AR103</f>
        <v>КВАРТИРЫ</v>
      </c>
      <c r="AS111" s="60">
        <f t="shared" ref="AS111:AT117" si="123">AS63*AS103/1000000</f>
        <v>12338.446362835948</v>
      </c>
      <c r="AT111" s="60">
        <f t="shared" si="123"/>
        <v>8028.6829825875247</v>
      </c>
    </row>
    <row r="112" spans="15:48">
      <c r="O112" s="87" t="str">
        <f>CONCATENATE(IF(MONTH(P112)&lt;=3,"1",IF(MONTH(P112)&lt;=6,"2",IF(MONTH(P112)&lt;=9,"3","4"))),"Q",YEAR(P112))</f>
        <v>4Q2038</v>
      </c>
      <c r="P112" s="88">
        <f t="shared" si="107"/>
        <v>50770</v>
      </c>
      <c r="Q112" s="89">
        <f>IF(SUM(Q$62:Q111)&lt;$N$63,$N$65,)</f>
        <v>0</v>
      </c>
      <c r="R112" s="89">
        <f>$N$63-SUM(Q$62:Q111)</f>
        <v>0</v>
      </c>
      <c r="S112" s="89">
        <f t="shared" si="114"/>
        <v>0</v>
      </c>
      <c r="T112" s="89">
        <f>SUM(Q112,S112)</f>
        <v>0</v>
      </c>
      <c r="U112" s="90">
        <f>IF(P112&gt;$N$66,0,IF(P113&gt;$N$66,SUM(Q$63:$Q112)+S112,T112))</f>
        <v>0</v>
      </c>
      <c r="Y112" s="87" t="str">
        <f>CONCATENATE(IF(MONTH(Z112)&lt;=3,"1",IF(MONTH(Z112)&lt;=6,"2",IF(MONTH(Z112)&lt;=9,"3","4"))),"Q",YEAR(Z112))</f>
        <v>4Q2038</v>
      </c>
      <c r="Z112" s="88">
        <f t="shared" si="108"/>
        <v>50709</v>
      </c>
      <c r="AA112" s="89"/>
      <c r="AB112" s="89">
        <f t="shared" si="115"/>
        <v>0</v>
      </c>
      <c r="AC112" s="89">
        <f t="shared" si="103"/>
        <v>0</v>
      </c>
      <c r="AF112" s="87" t="str">
        <f t="shared" ref="AF112:AF122" si="124">CONCATENATE(IF(MONTH(AG112)&lt;=3,"1",IF(MONTH(AG112)&lt;=6,"2",IF(MONTH(AG112)&lt;=9,"3","4"))),"Q",YEAR(AG112))</f>
        <v>3Q2037</v>
      </c>
      <c r="AG112" s="88">
        <f t="shared" si="109"/>
        <v>50313</v>
      </c>
      <c r="AH112" s="76">
        <f>IF(AND(AH111&lt;0,AG112&lt;=EOMONTH('DB1'!U$27,3*'DB1'!$P$50)),1,IF(AG112&lt;=EOMONTH('DB1'!U$27,3*'DB1'!$P$50),AH111+1,0))</f>
        <v>0</v>
      </c>
      <c r="AI112" s="76">
        <f>IF(AND(AI111&gt;0,AG112&lt;=EOMONTH('DB1'!$U$27,0)),AI111+1,IF(AND(AG112&gt;'DB1'!$U$25,AG112&lt;='DB1'!$U$27),1,0))</f>
        <v>0</v>
      </c>
      <c r="AJ112" s="90">
        <f t="shared" si="105"/>
        <v>2322110793.5999999</v>
      </c>
      <c r="AK112" s="91">
        <f>IF($E$83="АРЕНДА",IF(OR(AG112&lt;'DB1'!$U$25,AG112&gt;'DB1'!$U$27),$AO$62,VLOOKUP(AI112,$AN$63:$AO$122,2,0)),IF(AG112&gt;0,AP112,0))</f>
        <v>1.4999999999999999E-2</v>
      </c>
      <c r="AL112" s="92">
        <f t="shared" si="106"/>
        <v>0</v>
      </c>
      <c r="AN112" s="90">
        <v>50</v>
      </c>
      <c r="AO112" s="91">
        <f t="shared" si="112"/>
        <v>0.1</v>
      </c>
      <c r="AP112" s="91">
        <f t="shared" si="116"/>
        <v>3.0000000000000001E-3</v>
      </c>
      <c r="AR112" s="55" t="str">
        <f t="shared" ref="AR112:AR117" si="125">AR104</f>
        <v>АПАРТАМЕНТЫ</v>
      </c>
      <c r="AS112" s="60">
        <f t="shared" si="123"/>
        <v>0</v>
      </c>
      <c r="AT112" s="60">
        <f t="shared" si="123"/>
        <v>0</v>
      </c>
    </row>
    <row r="113" spans="17:46">
      <c r="Q113" s="112">
        <f>SUM(Q63:Q112)</f>
        <v>0</v>
      </c>
      <c r="R113" s="112">
        <f t="shared" ref="R113:U113" si="126">SUM(R63:R112)</f>
        <v>0</v>
      </c>
      <c r="S113" s="112">
        <f t="shared" si="126"/>
        <v>0</v>
      </c>
      <c r="T113" s="112">
        <f t="shared" si="126"/>
        <v>0</v>
      </c>
      <c r="U113" s="112">
        <f t="shared" si="126"/>
        <v>0</v>
      </c>
      <c r="AA113" s="390">
        <f>SUM(AA63:AA112)</f>
        <v>2278.3107249969448</v>
      </c>
      <c r="AB113" s="390"/>
      <c r="AC113" s="390">
        <f>SUM(AC63:AC112)</f>
        <v>455.662144999389</v>
      </c>
      <c r="AF113" s="87" t="str">
        <f t="shared" si="124"/>
        <v>4Q2037</v>
      </c>
      <c r="AG113" s="88">
        <f t="shared" si="109"/>
        <v>50405</v>
      </c>
      <c r="AH113" s="76">
        <f>IF(AND(AH112&lt;0,AG113&lt;=EOMONTH('DB1'!U$27,3*'DB1'!$P$50)),1,IF(AG113&lt;=EOMONTH('DB1'!U$27,3*'DB1'!$P$50),AH112+1,0))</f>
        <v>0</v>
      </c>
      <c r="AI113" s="76">
        <f>IF(AND(AI112&gt;0,AG113&lt;=EOMONTH('DB1'!$U$27,0)),AI112+1,IF(AND(AG113&gt;'DB1'!$U$25,AG113&lt;='DB1'!$U$27),1,0))</f>
        <v>0</v>
      </c>
      <c r="AJ113" s="90">
        <f t="shared" si="105"/>
        <v>2322110793.5999999</v>
      </c>
      <c r="AK113" s="91">
        <f>IF($E$83="АРЕНДА",IF(OR(AG113&lt;'DB1'!$U$25,AG113&gt;'DB1'!$U$27),$AO$62,VLOOKUP(AI113,$AN$63:$AO$122,2,0)),IF(AG113&gt;0,AP113,0))</f>
        <v>1.4999999999999999E-2</v>
      </c>
      <c r="AL113" s="92">
        <f t="shared" si="106"/>
        <v>0</v>
      </c>
      <c r="AN113" s="90">
        <v>51</v>
      </c>
      <c r="AO113" s="91">
        <f t="shared" si="112"/>
        <v>0.1</v>
      </c>
      <c r="AP113" s="91">
        <f t="shared" si="116"/>
        <v>3.0000000000000001E-3</v>
      </c>
      <c r="AR113" s="55" t="str">
        <f t="shared" si="125"/>
        <v>ОФИСЫ</v>
      </c>
      <c r="AS113" s="60">
        <f t="shared" si="123"/>
        <v>0</v>
      </c>
      <c r="AT113" s="60">
        <f t="shared" si="123"/>
        <v>0</v>
      </c>
    </row>
    <row r="114" spans="17:46">
      <c r="AB114" s="72"/>
      <c r="AC114" s="72"/>
      <c r="AF114" s="87" t="str">
        <f t="shared" si="124"/>
        <v>1Q2038</v>
      </c>
      <c r="AG114" s="88">
        <f t="shared" si="109"/>
        <v>50495</v>
      </c>
      <c r="AH114" s="76">
        <f>IF(AND(AH113&lt;0,AG114&lt;=EOMONTH('DB1'!U$27,3*'DB1'!$P$50)),1,IF(AG114&lt;=EOMONTH('DB1'!U$27,3*'DB1'!$P$50),AH113+1,0))</f>
        <v>0</v>
      </c>
      <c r="AI114" s="76">
        <f>IF(AND(AI113&gt;0,AG114&lt;=EOMONTH('DB1'!$U$27,0)),AI113+1,IF(AND(AG114&gt;'DB1'!$U$25,AG114&lt;='DB1'!$U$27),1,0))</f>
        <v>0</v>
      </c>
      <c r="AJ114" s="90">
        <f t="shared" si="105"/>
        <v>2322110793.5999999</v>
      </c>
      <c r="AK114" s="91">
        <f>IF($E$83="АРЕНДА",IF(OR(AG114&lt;'DB1'!$U$25,AG114&gt;'DB1'!$U$27),$AO$62,VLOOKUP(AI114,$AN$63:$AO$122,2,0)),IF(AG114&gt;0,AP114,0))</f>
        <v>1.4999999999999999E-2</v>
      </c>
      <c r="AL114" s="92">
        <f t="shared" si="106"/>
        <v>0</v>
      </c>
      <c r="AN114" s="90">
        <v>52</v>
      </c>
      <c r="AO114" s="91">
        <f t="shared" si="112"/>
        <v>0.1</v>
      </c>
      <c r="AP114" s="91">
        <f t="shared" si="116"/>
        <v>3.0000000000000001E-3</v>
      </c>
      <c r="AR114" s="55" t="str">
        <f t="shared" si="125"/>
        <v>РИТЕЙЛ</v>
      </c>
      <c r="AS114" s="60">
        <f t="shared" si="123"/>
        <v>0</v>
      </c>
      <c r="AT114" s="60">
        <f t="shared" si="123"/>
        <v>1053.8357387837032</v>
      </c>
    </row>
    <row r="115" spans="17:46">
      <c r="AF115" s="87" t="str">
        <f t="shared" si="124"/>
        <v>2Q2038</v>
      </c>
      <c r="AG115" s="88">
        <f t="shared" si="109"/>
        <v>50586</v>
      </c>
      <c r="AH115" s="76">
        <f>IF(AND(AH114&lt;0,AG115&lt;=EOMONTH('DB1'!U$27,3*'DB1'!$P$50)),1,IF(AG115&lt;=EOMONTH('DB1'!U$27,3*'DB1'!$P$50),AH114+1,0))</f>
        <v>0</v>
      </c>
      <c r="AI115" s="76">
        <f>IF(AND(AI114&gt;0,AG115&lt;=EOMONTH('DB1'!$U$27,0)),AI114+1,IF(AND(AG115&gt;'DB1'!$U$25,AG115&lt;='DB1'!$U$27),1,0))</f>
        <v>0</v>
      </c>
      <c r="AJ115" s="90">
        <f t="shared" si="105"/>
        <v>2322110793.5999999</v>
      </c>
      <c r="AK115" s="91">
        <f>IF($E$83="АРЕНДА",IF(OR(AG115&lt;'DB1'!$U$25,AG115&gt;'DB1'!$U$27),$AO$62,VLOOKUP(AI115,$AN$63:$AO$122,2,0)),IF(AG115&gt;0,AP115,0))</f>
        <v>1.4999999999999999E-2</v>
      </c>
      <c r="AL115" s="92">
        <f t="shared" si="106"/>
        <v>0</v>
      </c>
      <c r="AN115" s="90">
        <v>53</v>
      </c>
      <c r="AO115" s="91">
        <f t="shared" si="112"/>
        <v>0.1</v>
      </c>
      <c r="AP115" s="91">
        <f t="shared" si="116"/>
        <v>3.0000000000000001E-3</v>
      </c>
      <c r="AR115" s="55" t="str">
        <f t="shared" si="125"/>
        <v>ТЦ</v>
      </c>
      <c r="AS115" s="60">
        <f t="shared" si="123"/>
        <v>0</v>
      </c>
      <c r="AT115" s="60">
        <f t="shared" si="123"/>
        <v>0</v>
      </c>
    </row>
    <row r="116" spans="17:46">
      <c r="AF116" s="87" t="str">
        <f t="shared" si="124"/>
        <v>3Q2038</v>
      </c>
      <c r="AG116" s="88">
        <f t="shared" si="109"/>
        <v>50678</v>
      </c>
      <c r="AH116" s="76">
        <f>IF(AND(AH115&lt;0,AG116&lt;=EOMONTH('DB1'!U$27,3*'DB1'!$P$50)),1,IF(AG116&lt;=EOMONTH('DB1'!U$27,3*'DB1'!$P$50),AH115+1,0))</f>
        <v>0</v>
      </c>
      <c r="AI116" s="76">
        <f>IF(AND(AI115&gt;0,AG116&lt;=EOMONTH('DB1'!$U$27,0)),AI115+1,IF(AND(AG116&gt;'DB1'!$U$25,AG116&lt;='DB1'!$U$27),1,0))</f>
        <v>0</v>
      </c>
      <c r="AJ116" s="90">
        <f t="shared" si="105"/>
        <v>2322110793.5999999</v>
      </c>
      <c r="AK116" s="91">
        <f>IF($E$83="АРЕНДА",IF(OR(AG116&lt;'DB1'!$U$25,AG116&gt;'DB1'!$U$27),$AO$62,VLOOKUP(AI116,$AN$63:$AO$122,2,0)),IF(AG116&gt;0,AP116,0))</f>
        <v>1.4999999999999999E-2</v>
      </c>
      <c r="AL116" s="92">
        <f t="shared" si="106"/>
        <v>0</v>
      </c>
      <c r="AN116" s="90">
        <v>54</v>
      </c>
      <c r="AO116" s="91">
        <f t="shared" si="112"/>
        <v>0.1</v>
      </c>
      <c r="AP116" s="91">
        <f t="shared" si="116"/>
        <v>3.0000000000000001E-3</v>
      </c>
      <c r="AR116" s="55" t="str">
        <f t="shared" si="125"/>
        <v>ПАРКИНГ ЖИЛЬЕ</v>
      </c>
      <c r="AS116" s="60">
        <f t="shared" si="123"/>
        <v>1620</v>
      </c>
      <c r="AT116" s="60">
        <f t="shared" si="123"/>
        <v>896.25</v>
      </c>
    </row>
    <row r="117" spans="17:46">
      <c r="AF117" s="87" t="str">
        <f t="shared" si="124"/>
        <v>4Q2038</v>
      </c>
      <c r="AG117" s="88">
        <f t="shared" si="109"/>
        <v>50770</v>
      </c>
      <c r="AH117" s="76">
        <f>IF(AND(AH116&lt;0,AG117&lt;=EOMONTH('DB1'!U$27,3*'DB1'!$P$50)),1,IF(AG117&lt;=EOMONTH('DB1'!U$27,3*'DB1'!$P$50),AH116+1,0))</f>
        <v>0</v>
      </c>
      <c r="AI117" s="76">
        <f>IF(AND(AI116&gt;0,AG117&lt;=EOMONTH('DB1'!$U$27,0)),AI116+1,IF(AND(AG117&gt;'DB1'!$U$25,AG117&lt;='DB1'!$U$27),1,0))</f>
        <v>0</v>
      </c>
      <c r="AJ117" s="90">
        <f t="shared" si="105"/>
        <v>2322110793.5999999</v>
      </c>
      <c r="AK117" s="91">
        <f>IF($E$83="АРЕНДА",IF(OR(AG117&lt;'DB1'!$U$25,AG117&gt;'DB1'!$U$27),$AO$62,VLOOKUP(AI117,$AN$63:$AO$122,2,0)),IF(AG117&gt;0,AP117,0))</f>
        <v>1.4999999999999999E-2</v>
      </c>
      <c r="AL117" s="92">
        <f t="shared" si="106"/>
        <v>0</v>
      </c>
      <c r="AN117" s="90">
        <v>55</v>
      </c>
      <c r="AO117" s="91">
        <f t="shared" si="112"/>
        <v>0.1</v>
      </c>
      <c r="AP117" s="91">
        <f t="shared" si="116"/>
        <v>3.0000000000000001E-3</v>
      </c>
      <c r="AR117" s="55" t="str">
        <f t="shared" si="125"/>
        <v>ПАРКИНГ ОФИС</v>
      </c>
      <c r="AS117" s="60">
        <f t="shared" si="123"/>
        <v>0</v>
      </c>
      <c r="AT117" s="60">
        <f t="shared" si="123"/>
        <v>0</v>
      </c>
    </row>
    <row r="118" spans="17:46">
      <c r="AF118" s="87" t="str">
        <f t="shared" si="124"/>
        <v>1Q2039</v>
      </c>
      <c r="AG118" s="88">
        <f t="shared" si="109"/>
        <v>50860</v>
      </c>
      <c r="AH118" s="76">
        <f>IF(AND(AH117&lt;0,AG118&lt;=EOMONTH('DB1'!U$27,3*'DB1'!$P$50)),1,IF(AG118&lt;=EOMONTH('DB1'!U$27,3*'DB1'!$P$50),AH117+1,0))</f>
        <v>0</v>
      </c>
      <c r="AI118" s="76">
        <f>IF(AND(AI117&gt;0,AG118&lt;=EOMONTH('DB1'!$U$27,0)),AI117+1,IF(AND(AG118&gt;'DB1'!$U$25,AG118&lt;='DB1'!$U$27),1,0))</f>
        <v>0</v>
      </c>
      <c r="AJ118" s="90">
        <f t="shared" si="105"/>
        <v>2322110793.5999999</v>
      </c>
      <c r="AK118" s="91">
        <f>IF($E$83="АРЕНДА",IF(OR(AG118&lt;'DB1'!$U$25,AG118&gt;'DB1'!$U$27),$AO$62,VLOOKUP(AI118,$AN$63:$AO$122,2,0)),IF(AG118&gt;0,AP118,0))</f>
        <v>1.4999999999999999E-2</v>
      </c>
      <c r="AL118" s="92">
        <f t="shared" si="106"/>
        <v>0</v>
      </c>
      <c r="AN118" s="90">
        <v>56</v>
      </c>
      <c r="AO118" s="91">
        <f t="shared" si="112"/>
        <v>0.1</v>
      </c>
      <c r="AP118" s="91">
        <f t="shared" si="116"/>
        <v>3.0000000000000001E-3</v>
      </c>
    </row>
    <row r="119" spans="17:46">
      <c r="AF119" s="87" t="str">
        <f t="shared" si="124"/>
        <v>2Q2039</v>
      </c>
      <c r="AG119" s="88">
        <f t="shared" si="109"/>
        <v>50951</v>
      </c>
      <c r="AH119" s="76">
        <f>IF(AND(AH118&lt;0,AG119&lt;=EOMONTH('DB1'!U$27,3*'DB1'!$P$50)),1,IF(AG119&lt;=EOMONTH('DB1'!U$27,3*'DB1'!$P$50),AH118+1,0))</f>
        <v>0</v>
      </c>
      <c r="AI119" s="76">
        <f>IF(AND(AI118&gt;0,AG119&lt;=EOMONTH('DB1'!$U$27,0)),AI118+1,IF(AND(AG119&gt;'DB1'!$U$25,AG119&lt;='DB1'!$U$27),1,0))</f>
        <v>0</v>
      </c>
      <c r="AJ119" s="90">
        <f t="shared" si="105"/>
        <v>2322110793.5999999</v>
      </c>
      <c r="AK119" s="91">
        <f>IF($E$83="АРЕНДА",IF(OR(AG119&lt;'DB1'!$U$25,AG119&gt;'DB1'!$U$27),$AO$62,VLOOKUP(AI119,$AN$63:$AO$122,2,0)),IF(AG119&gt;0,AP119,0))</f>
        <v>1.4999999999999999E-2</v>
      </c>
      <c r="AL119" s="92">
        <f t="shared" si="106"/>
        <v>0</v>
      </c>
      <c r="AN119" s="90">
        <v>57</v>
      </c>
      <c r="AO119" s="91">
        <f t="shared" si="112"/>
        <v>0.1</v>
      </c>
      <c r="AP119" s="91">
        <f t="shared" si="116"/>
        <v>3.0000000000000001E-3</v>
      </c>
    </row>
    <row r="120" spans="17:46">
      <c r="AF120" s="87" t="str">
        <f t="shared" si="124"/>
        <v>3Q2039</v>
      </c>
      <c r="AG120" s="88">
        <f t="shared" si="109"/>
        <v>51043</v>
      </c>
      <c r="AH120" s="76">
        <f>IF(AND(AH119&lt;0,AG120&lt;=EOMONTH('DB1'!U$27,3*'DB1'!$P$50)),1,IF(AG120&lt;=EOMONTH('DB1'!U$27,3*'DB1'!$P$50),AH119+1,0))</f>
        <v>0</v>
      </c>
      <c r="AI120" s="76">
        <f>IF(AND(AI119&gt;0,AG120&lt;=EOMONTH('DB1'!$U$27,0)),AI119+1,IF(AND(AG120&gt;'DB1'!$U$25,AG120&lt;='DB1'!$U$27),1,0))</f>
        <v>0</v>
      </c>
      <c r="AJ120" s="90">
        <f t="shared" si="105"/>
        <v>2322110793.5999999</v>
      </c>
      <c r="AK120" s="91">
        <f>IF($E$83="АРЕНДА",IF(OR(AG120&lt;'DB1'!$U$25,AG120&gt;'DB1'!$U$27),$AO$62,VLOOKUP(AI120,$AN$63:$AO$122,2,0)),IF(AG120&gt;0,AP120,0))</f>
        <v>1.4999999999999999E-2</v>
      </c>
      <c r="AL120" s="92">
        <f t="shared" si="106"/>
        <v>0</v>
      </c>
      <c r="AN120" s="90">
        <v>58</v>
      </c>
      <c r="AO120" s="91">
        <f t="shared" si="112"/>
        <v>0.1</v>
      </c>
      <c r="AP120" s="91">
        <f t="shared" si="116"/>
        <v>3.0000000000000001E-3</v>
      </c>
    </row>
    <row r="121" spans="17:46">
      <c r="AF121" s="87" t="str">
        <f t="shared" si="124"/>
        <v>4Q2039</v>
      </c>
      <c r="AG121" s="88">
        <f t="shared" si="109"/>
        <v>51135</v>
      </c>
      <c r="AH121" s="76">
        <f>IF(AND(AH120&lt;0,AG121&lt;=EOMONTH('DB1'!U$27,3*'DB1'!$P$50)),1,IF(AG121&lt;=EOMONTH('DB1'!U$27,3*'DB1'!$P$50),AH120+1,0))</f>
        <v>0</v>
      </c>
      <c r="AI121" s="76">
        <f>IF(AND(AI120&gt;0,AG121&lt;=EOMONTH('DB1'!$U$27,0)),AI120+1,IF(AND(AG121&gt;'DB1'!$U$25,AG121&lt;='DB1'!$U$27),1,0))</f>
        <v>0</v>
      </c>
      <c r="AJ121" s="90">
        <f t="shared" si="105"/>
        <v>2322110793.5999999</v>
      </c>
      <c r="AK121" s="91">
        <f>IF($E$83="АРЕНДА",IF(OR(AG121&lt;'DB1'!$U$25,AG121&gt;'DB1'!$U$27),$AO$62,VLOOKUP(AI121,$AN$63:$AO$122,2,0)),IF(AG121&gt;0,AP121,0))</f>
        <v>1.4999999999999999E-2</v>
      </c>
      <c r="AL121" s="92">
        <f t="shared" si="106"/>
        <v>0</v>
      </c>
      <c r="AN121" s="90">
        <v>59</v>
      </c>
      <c r="AO121" s="91">
        <f t="shared" si="112"/>
        <v>0.1</v>
      </c>
      <c r="AP121" s="91">
        <f t="shared" si="116"/>
        <v>3.0000000000000001E-3</v>
      </c>
    </row>
    <row r="122" spans="17:46">
      <c r="AF122" s="87" t="str">
        <f t="shared" si="124"/>
        <v>1Q2040</v>
      </c>
      <c r="AG122" s="88">
        <f t="shared" si="109"/>
        <v>51226</v>
      </c>
      <c r="AH122" s="76">
        <f>IF(AND(AH121&lt;0,AG122&lt;=EOMONTH('DB1'!U$27,3*'DB1'!$P$50)),1,IF(AG122&lt;=EOMONTH('DB1'!U$27,3*'DB1'!$P$50),AH121+1,0))</f>
        <v>0</v>
      </c>
      <c r="AI122" s="76">
        <f>IF(AND(AI121&gt;0,AG122&lt;=EOMONTH('DB1'!$U$27,0)),AI121+1,IF(AND(AG122&gt;'DB1'!$U$25,AG122&lt;='DB1'!$U$27),1,0))</f>
        <v>0</v>
      </c>
      <c r="AJ122" s="90">
        <f t="shared" si="105"/>
        <v>2322110793.5999999</v>
      </c>
      <c r="AK122" s="91">
        <f>IF($E$83="АРЕНДА",IF(OR(AG122&lt;'DB1'!$U$25,AG122&gt;'DB1'!$U$27),$AO$62,VLOOKUP(AI122,$AN$63:$AO$122,2,0)),IF(AG122&gt;0,AP122,0))</f>
        <v>1.4999999999999999E-2</v>
      </c>
      <c r="AL122" s="92">
        <f t="shared" si="106"/>
        <v>0</v>
      </c>
      <c r="AN122" s="90">
        <v>60</v>
      </c>
      <c r="AO122" s="91">
        <f t="shared" si="112"/>
        <v>0.1</v>
      </c>
      <c r="AP122" s="91">
        <f t="shared" si="116"/>
        <v>3.0000000000000001E-3</v>
      </c>
    </row>
    <row r="123" spans="17:46">
      <c r="AA123" s="100"/>
    </row>
    <row r="124" spans="17:46">
      <c r="Z124" s="100"/>
    </row>
    <row r="125" spans="17:46">
      <c r="V125" s="100"/>
    </row>
  </sheetData>
  <phoneticPr fontId="9" type="noConversion"/>
  <conditionalFormatting sqref="C4 D7:D8 F60 K60 N66 K67 C70 E83 J83:J88 C88">
    <cfRule type="expression" dxfId="10" priority="12">
      <formula>#REF!="Нет"</formula>
    </cfRule>
  </conditionalFormatting>
  <conditionalFormatting sqref="E76">
    <cfRule type="expression" dxfId="9" priority="2">
      <formula>#REF!="Нет"</formula>
    </cfRule>
  </conditionalFormatting>
  <conditionalFormatting sqref="F46">
    <cfRule type="dataBar" priority="29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{1DD34CD8-11CB-4EA8-AA4D-16B1E099B8F6}</x14:id>
        </ext>
      </extLst>
    </cfRule>
  </conditionalFormatting>
  <conditionalFormatting sqref="F40:BM42">
    <cfRule type="dataBar" priority="48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{2B009F51-60ED-4E87-A4D7-F207C3A63776}</x14:id>
        </ext>
      </extLst>
    </cfRule>
  </conditionalFormatting>
  <conditionalFormatting sqref="F44:BM44">
    <cfRule type="dataBar" priority="45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{55D1BF99-3C78-4815-9BDA-303D2BCD6CE8}</x14:id>
        </ext>
      </extLst>
    </cfRule>
  </conditionalFormatting>
  <conditionalFormatting sqref="F48:BM48">
    <cfRule type="dataBar" priority="50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{0C43F74C-70BE-4B05-B5E4-33D610CB7DB4}</x14:id>
        </ext>
      </extLst>
    </cfRule>
  </conditionalFormatting>
  <conditionalFormatting sqref="F50:BM50">
    <cfRule type="dataBar" priority="49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{220A6A07-27EB-435E-B2FE-31BC17B7ADBD}</x14:id>
        </ext>
      </extLst>
    </cfRule>
  </conditionalFormatting>
  <conditionalFormatting sqref="F52:BM52">
    <cfRule type="dataBar" priority="47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{360AAF1C-D3BE-4928-875F-D00552B669FE}</x14:id>
        </ext>
      </extLst>
    </cfRule>
  </conditionalFormatting>
  <conditionalFormatting sqref="F54:BM54">
    <cfRule type="dataBar" priority="51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{F8B50DD5-9E10-495B-B663-F8B3D77C03FD}</x14:id>
        </ext>
      </extLst>
    </cfRule>
  </conditionalFormatting>
  <conditionalFormatting sqref="G46:BM46">
    <cfRule type="dataBar" priority="46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{6B0AA157-1E43-4235-B204-66DCB904C575}</x14:id>
        </ext>
      </extLst>
    </cfRule>
  </conditionalFormatting>
  <conditionalFormatting sqref="P60">
    <cfRule type="expression" dxfId="8" priority="1">
      <formula>#REF!="Нет"</formula>
    </cfRule>
  </conditionalFormatting>
  <conditionalFormatting sqref="X64:X66">
    <cfRule type="expression" dxfId="7" priority="3">
      <formula>#REF!="Нет"</formula>
    </cfRule>
  </conditionalFormatting>
  <dataValidations disablePrompts="1" count="1">
    <dataValidation type="list" allowBlank="1" showInputMessage="1" showErrorMessage="1" sqref="K60" xr:uid="{3B8DE5C5-6A21-4C82-B201-DDF908E6667C}">
      <formula1>$H$62:$H$64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D34CD8-11CB-4EA8-AA4D-16B1E099B8F6}">
            <x14:dataBar minLength="0" maxLength="100" gradient="0">
              <x14:cfvo type="autoMin"/>
              <x14:cfvo type="autoMax"/>
              <x14:negativeFillColor rgb="FFFF0000"/>
              <x14:axisColor theme="0"/>
            </x14:dataBar>
          </x14:cfRule>
          <xm:sqref>F46</xm:sqref>
        </x14:conditionalFormatting>
        <x14:conditionalFormatting xmlns:xm="http://schemas.microsoft.com/office/excel/2006/main">
          <x14:cfRule type="dataBar" id="{2B009F51-60ED-4E87-A4D7-F207C3A63776}">
            <x14:dataBar minLength="0" maxLength="100" gradient="0">
              <x14:cfvo type="autoMin"/>
              <x14:cfvo type="autoMax"/>
              <x14:negativeFillColor rgb="FFFF0000"/>
              <x14:axisColor theme="0"/>
            </x14:dataBar>
          </x14:cfRule>
          <xm:sqref>F40:BM42</xm:sqref>
        </x14:conditionalFormatting>
        <x14:conditionalFormatting xmlns:xm="http://schemas.microsoft.com/office/excel/2006/main">
          <x14:cfRule type="dataBar" id="{55D1BF99-3C78-4815-9BDA-303D2BCD6CE8}">
            <x14:dataBar minLength="0" maxLength="100" gradient="0">
              <x14:cfvo type="autoMin"/>
              <x14:cfvo type="autoMax"/>
              <x14:negativeFillColor rgb="FFFF0000"/>
              <x14:axisColor theme="0"/>
            </x14:dataBar>
          </x14:cfRule>
          <xm:sqref>F44:BM44</xm:sqref>
        </x14:conditionalFormatting>
        <x14:conditionalFormatting xmlns:xm="http://schemas.microsoft.com/office/excel/2006/main">
          <x14:cfRule type="dataBar" id="{0C43F74C-70BE-4B05-B5E4-33D610CB7DB4}">
            <x14:dataBar minLength="0" maxLength="100" gradient="0">
              <x14:cfvo type="autoMin"/>
              <x14:cfvo type="autoMax"/>
              <x14:negativeFillColor rgb="FFFF0000"/>
              <x14:axisColor theme="0"/>
            </x14:dataBar>
          </x14:cfRule>
          <xm:sqref>F48:BM48</xm:sqref>
        </x14:conditionalFormatting>
        <x14:conditionalFormatting xmlns:xm="http://schemas.microsoft.com/office/excel/2006/main">
          <x14:cfRule type="dataBar" id="{220A6A07-27EB-435E-B2FE-31BC17B7ADBD}">
            <x14:dataBar minLength="0" maxLength="100" gradient="0">
              <x14:cfvo type="autoMin"/>
              <x14:cfvo type="autoMax"/>
              <x14:negativeFillColor rgb="FFFF0000"/>
              <x14:axisColor theme="0"/>
            </x14:dataBar>
          </x14:cfRule>
          <xm:sqref>F50:BM50</xm:sqref>
        </x14:conditionalFormatting>
        <x14:conditionalFormatting xmlns:xm="http://schemas.microsoft.com/office/excel/2006/main">
          <x14:cfRule type="dataBar" id="{360AAF1C-D3BE-4928-875F-D00552B669FE}">
            <x14:dataBar minLength="0" maxLength="100" gradient="0">
              <x14:cfvo type="autoMin"/>
              <x14:cfvo type="autoMax"/>
              <x14:negativeFillColor rgb="FFFF0000"/>
              <x14:axisColor theme="0"/>
            </x14:dataBar>
          </x14:cfRule>
          <xm:sqref>F52:BM52</xm:sqref>
        </x14:conditionalFormatting>
        <x14:conditionalFormatting xmlns:xm="http://schemas.microsoft.com/office/excel/2006/main">
          <x14:cfRule type="dataBar" id="{F8B50DD5-9E10-495B-B663-F8B3D77C03FD}">
            <x14:dataBar minLength="0" maxLength="100" gradient="0">
              <x14:cfvo type="autoMin"/>
              <x14:cfvo type="autoMax"/>
              <x14:negativeFillColor rgb="FFFF0000"/>
              <x14:axisColor theme="0"/>
            </x14:dataBar>
          </x14:cfRule>
          <xm:sqref>F54:BM54</xm:sqref>
        </x14:conditionalFormatting>
        <x14:conditionalFormatting xmlns:xm="http://schemas.microsoft.com/office/excel/2006/main">
          <x14:cfRule type="dataBar" id="{6B0AA157-1E43-4235-B204-66DCB904C575}">
            <x14:dataBar minLength="0" maxLength="100" gradient="0">
              <x14:cfvo type="autoMin"/>
              <x14:cfvo type="autoMax"/>
              <x14:negativeFillColor rgb="FFFF0000"/>
              <x14:axisColor theme="0"/>
            </x14:dataBar>
          </x14:cfRule>
          <xm:sqref>G46:BM46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876D-7411-48A0-9585-957CD7A135CE}">
  <sheetPr>
    <tabColor rgb="FFF0CCB9"/>
  </sheetPr>
  <dimension ref="B2:BM125"/>
  <sheetViews>
    <sheetView showGridLines="0" showZeros="0" topLeftCell="A57" zoomScale="90" zoomScaleNormal="90" workbookViewId="0">
      <selection activeCell="N87" sqref="N87"/>
    </sheetView>
  </sheetViews>
  <sheetFormatPr baseColWidth="10" defaultColWidth="9.1640625" defaultRowHeight="14"/>
  <cols>
    <col min="1" max="1" width="4.33203125" style="54" customWidth="1"/>
    <col min="2" max="2" width="13.33203125" style="54" customWidth="1"/>
    <col min="3" max="3" width="12.83203125" style="54" customWidth="1"/>
    <col min="4" max="4" width="12.1640625" style="54" bestFit="1" customWidth="1"/>
    <col min="5" max="5" width="13.5" style="54" customWidth="1"/>
    <col min="6" max="65" width="11.5" style="54" customWidth="1"/>
    <col min="66" max="16384" width="9.1640625" style="54"/>
  </cols>
  <sheetData>
    <row r="2" spans="2:65" ht="16">
      <c r="B2" s="201" t="s">
        <v>250</v>
      </c>
    </row>
    <row r="4" spans="2:65">
      <c r="B4" s="52" t="s">
        <v>42</v>
      </c>
      <c r="C4" s="53">
        <f>EOMONTH('DB2'!U23-1,3)</f>
        <v>45838</v>
      </c>
      <c r="F4" s="199">
        <f>IF(SUM($F11:F11)&gt;=100%,"РнВ",IF(AND(F11&gt;0,E11=0),"РнС",0))</f>
        <v>0</v>
      </c>
      <c r="G4" s="199">
        <f>IF(SUM($F11:G11)&gt;=100%,"РнВ",IF(AND(G11&gt;0,F11=0),"РнС",0))</f>
        <v>0</v>
      </c>
      <c r="H4" s="199">
        <f>IF(SUM($F11:H11)&gt;=100%,"РнВ",IF(AND(H11&gt;0,G11=0),"РнС",0))</f>
        <v>0</v>
      </c>
      <c r="I4" s="199">
        <f>IF(SUM($F11:I11)&gt;=100%,"РнВ",IF(AND(I11&gt;0,H11=0),"РнС",0))</f>
        <v>0</v>
      </c>
      <c r="J4" s="199">
        <f>IF(SUM($F11:J11)&gt;=100%,"РнВ",IF(AND(J11&gt;0,I11=0),"РнС",0))</f>
        <v>0</v>
      </c>
      <c r="K4" s="199">
        <f>IF(SUM($F11:K11)&gt;=100%,"РнВ",IF(AND(K11&gt;0,J11=0),"РнС",0))</f>
        <v>0</v>
      </c>
      <c r="L4" s="199">
        <f>IF(SUM($F11:L11)&gt;=100%,"РнВ",IF(AND(L11&gt;0,K11=0),"РнС",0))</f>
        <v>0</v>
      </c>
      <c r="M4" s="199">
        <f>IF(SUM($F11:M11)&gt;=100%,"РнВ",IF(AND(M11&gt;0,L11=0),"РнС",0))</f>
        <v>0</v>
      </c>
      <c r="N4" s="199">
        <f>IF(SUM($F11:N11)&gt;=100%,"РнВ",IF(AND(N11&gt;0,M11=0),"РнС",0))</f>
        <v>0</v>
      </c>
      <c r="O4" s="199">
        <f>IF(SUM($F11:O11)&gt;=100%,"РнВ",IF(AND(O11&gt;0,N11=0),"РнС",0))</f>
        <v>0</v>
      </c>
      <c r="P4" s="199" t="str">
        <f>IF(SUM($F11:P11)&gt;=100%,"РнВ",IF(AND(P11&gt;0,O11=0),"РнС",0))</f>
        <v>РнС</v>
      </c>
      <c r="Q4" s="199">
        <f>IF(SUM($F11:Q11)&gt;=100%,"РнВ",IF(AND(Q11&gt;0,P11=0),"РнС",0))</f>
        <v>0</v>
      </c>
      <c r="R4" s="199">
        <f>IF(SUM($F11:R11)&gt;=100%,"РнВ",IF(AND(R11&gt;0,Q11=0),"РнС",0))</f>
        <v>0</v>
      </c>
      <c r="S4" s="199">
        <f>IF(SUM($F11:S11)&gt;=100%,"РнВ",IF(AND(S11&gt;0,R11=0),"РнС",0))</f>
        <v>0</v>
      </c>
      <c r="T4" s="199">
        <f>IF(SUM($F11:T11)&gt;=100%,"РнВ",IF(AND(T11&gt;0,S11=0),"РнС",0))</f>
        <v>0</v>
      </c>
      <c r="U4" s="199">
        <f>IF(SUM($F11:U11)&gt;=100%,"РнВ",IF(AND(U11&gt;0,T11=0),"РнС",0))</f>
        <v>0</v>
      </c>
      <c r="V4" s="199">
        <f>IF(SUM($F11:V11)&gt;=100%,"РнВ",IF(AND(V11&gt;0,U11=0),"РнС",0))</f>
        <v>0</v>
      </c>
      <c r="W4" s="199">
        <f>IF(SUM($F11:W11)&gt;=100%,"РнВ",IF(AND(W11&gt;0,V11=0),"РнС",0))</f>
        <v>0</v>
      </c>
      <c r="X4" s="199">
        <f>IF(SUM($F11:X11)&gt;=100%,"РнВ",IF(AND(X11&gt;0,W11=0),"РнС",0))</f>
        <v>0</v>
      </c>
      <c r="Y4" s="199">
        <f>IF(SUM($F11:Y11)&gt;=100%,"РнВ",IF(AND(Y11&gt;0,X11=0),"РнС",0))</f>
        <v>0</v>
      </c>
      <c r="Z4" s="199">
        <f>IF(SUM($F11:Z11)&gt;=100%,"РнВ",IF(AND(Z11&gt;0,Y11=0),"РнС",0))</f>
        <v>0</v>
      </c>
      <c r="AA4" s="199" t="str">
        <f>IF(SUM($F11:AA11)&gt;=100%,"РнВ",IF(AND(AA11&gt;0,Z11=0),"РнС",0))</f>
        <v>РнВ</v>
      </c>
      <c r="AB4" s="199" t="str">
        <f>IF(SUM($F11:AB11)&gt;=100%,"РнВ",IF(AND(AB11&gt;0,AA11=0),"РнС",0))</f>
        <v>РнВ</v>
      </c>
      <c r="AC4" s="199" t="str">
        <f>IF(SUM($F11:AC11)&gt;=100%,"РнВ",IF(AND(AC11&gt;0,AB11=0),"РнС",0))</f>
        <v>РнВ</v>
      </c>
      <c r="AD4" s="199" t="str">
        <f>IF(SUM($F11:AD11)&gt;=100%,"РнВ",IF(AND(AD11&gt;0,AC11=0),"РнС",0))</f>
        <v>РнВ</v>
      </c>
      <c r="AE4" s="199" t="str">
        <f>IF(SUM($F11:AE11)&gt;=100%,"РнВ",IF(AND(AE11&gt;0,AD11=0),"РнС",0))</f>
        <v>РнВ</v>
      </c>
      <c r="AF4" s="199" t="str">
        <f>IF(SUM($F11:AF11)&gt;=100%,"РнВ",IF(AND(AF11&gt;0,AE11=0),"РнС",0))</f>
        <v>РнВ</v>
      </c>
      <c r="AG4" s="199" t="str">
        <f>IF(SUM($F11:AG11)&gt;=100%,"РнВ",IF(AND(AG11&gt;0,AF11=0),"РнС",0))</f>
        <v>РнВ</v>
      </c>
      <c r="AH4" s="199" t="str">
        <f>IF(SUM($F11:AH11)&gt;=100%,"РнВ",IF(AND(AH11&gt;0,AG11=0),"РнС",0))</f>
        <v>РнВ</v>
      </c>
      <c r="AI4" s="199" t="str">
        <f>IF(SUM($F11:AI11)&gt;=100%,"РнВ",IF(AND(AI11&gt;0,AH11=0),"РнС",0))</f>
        <v>РнВ</v>
      </c>
      <c r="AJ4" s="199" t="str">
        <f>IF(SUM($F11:AJ11)&gt;=100%,"РнВ",IF(AND(AJ11&gt;0,AI11=0),"РнС",0))</f>
        <v>РнВ</v>
      </c>
      <c r="AK4" s="199" t="str">
        <f>IF(SUM($F11:AK11)&gt;=100%,"РнВ",IF(AND(AK11&gt;0,AJ11=0),"РнС",0))</f>
        <v>РнВ</v>
      </c>
      <c r="AL4" s="199" t="str">
        <f>IF(SUM($F11:AL11)&gt;=100%,"РнВ",IF(AND(AL11&gt;0,AK11=0),"РнС",0))</f>
        <v>РнВ</v>
      </c>
      <c r="AM4" s="199" t="str">
        <f>IF(SUM($F11:AM11)&gt;=100%,"РнВ",IF(AND(AM11&gt;0,AL11=0),"РнС",0))</f>
        <v>РнВ</v>
      </c>
      <c r="AN4" s="199" t="str">
        <f>IF(SUM($F11:AN11)&gt;=100%,"РнВ",IF(AND(AN11&gt;0,AM11=0),"РнС",0))</f>
        <v>РнВ</v>
      </c>
      <c r="AO4" s="199" t="str">
        <f>IF(SUM($F11:AO11)&gt;=100%,"РнВ",IF(AND(AO11&gt;0,AN11=0),"РнС",0))</f>
        <v>РнВ</v>
      </c>
      <c r="AP4" s="199" t="str">
        <f>IF(SUM($F11:AP11)&gt;=100%,"РнВ",IF(AND(AP11&gt;0,AO11=0),"РнС",0))</f>
        <v>РнВ</v>
      </c>
      <c r="AQ4" s="199" t="str">
        <f>IF(SUM($F11:AQ11)&gt;=100%,"РнВ",IF(AND(AQ11&gt;0,AP11=0),"РнС",0))</f>
        <v>РнВ</v>
      </c>
      <c r="AR4" s="199" t="str">
        <f>IF(SUM($F11:AR11)&gt;=100%,"РнВ",IF(AND(AR11&gt;0,AQ11=0),"РнС",0))</f>
        <v>РнВ</v>
      </c>
      <c r="AS4" s="199" t="str">
        <f>IF(SUM($F11:AS11)&gt;=100%,"РнВ",IF(AND(AS11&gt;0,AR11=0),"РнС",0))</f>
        <v>РнВ</v>
      </c>
      <c r="AT4" s="199" t="str">
        <f>IF(SUM($F11:AT11)&gt;=100%,"РнВ",IF(AND(AT11&gt;0,AS11=0),"РнС",0))</f>
        <v>РнВ</v>
      </c>
      <c r="AU4" s="199" t="str">
        <f>IF(SUM($F11:AU11)&gt;=100%,"РнВ",IF(AND(AU11&gt;0,AT11=0),"РнС",0))</f>
        <v>РнВ</v>
      </c>
      <c r="AV4" s="199" t="str">
        <f>IF(SUM($F11:AV11)&gt;=100%,"РнВ",IF(AND(AV11&gt;0,AU11=0),"РнС",0))</f>
        <v>РнВ</v>
      </c>
      <c r="AW4" s="199" t="str">
        <f>IF(SUM($F11:AW11)&gt;=100%,"РнВ",IF(AND(AW11&gt;0,AV11=0),"РнС",0))</f>
        <v>РнВ</v>
      </c>
      <c r="AX4" s="199" t="str">
        <f>IF(SUM($F11:AX11)&gt;=100%,"РнВ",IF(AND(AX11&gt;0,AW11=0),"РнС",0))</f>
        <v>РнВ</v>
      </c>
      <c r="AY4" s="199" t="str">
        <f>IF(SUM($F11:AY11)&gt;=100%,"РнВ",IF(AND(AY11&gt;0,AX11=0),"РнС",0))</f>
        <v>РнВ</v>
      </c>
      <c r="AZ4" s="199" t="str">
        <f>IF(SUM($F11:AZ11)&gt;=100%,"РнВ",IF(AND(AZ11&gt;0,AY11=0),"РнС",0))</f>
        <v>РнВ</v>
      </c>
      <c r="BA4" s="199" t="str">
        <f>IF(SUM($F11:BA11)&gt;=100%,"РнВ",IF(AND(BA11&gt;0,AZ11=0),"РнС",0))</f>
        <v>РнВ</v>
      </c>
      <c r="BB4" s="199" t="str">
        <f>IF(SUM($F11:BB11)&gt;=100%,"РнВ",IF(AND(BB11&gt;0,BA11=0),"РнС",0))</f>
        <v>РнВ</v>
      </c>
      <c r="BC4" s="199" t="str">
        <f>IF(SUM($F11:BC11)&gt;=100%,"РнВ",IF(AND(BC11&gt;0,BB11=0),"РнС",0))</f>
        <v>РнВ</v>
      </c>
      <c r="BD4" s="199" t="str">
        <f>IF(SUM($F11:BD11)&gt;=100%,"РнВ",IF(AND(BD11&gt;0,BC11=0),"РнС",0))</f>
        <v>РнВ</v>
      </c>
      <c r="BE4" s="199" t="str">
        <f>IF(SUM($F11:BE11)&gt;=100%,"РнВ",IF(AND(BE11&gt;0,BD11=0),"РнС",0))</f>
        <v>РнВ</v>
      </c>
      <c r="BF4" s="199" t="str">
        <f>IF(SUM($F11:BF11)&gt;=100%,"РнВ",IF(AND(BF11&gt;0,BE11=0),"РнС",0))</f>
        <v>РнВ</v>
      </c>
      <c r="BG4" s="199" t="str">
        <f>IF(SUM($F11:BG11)&gt;=100%,"РнВ",IF(AND(BG11&gt;0,BF11=0),"РнС",0))</f>
        <v>РнВ</v>
      </c>
      <c r="BH4" s="199" t="str">
        <f>IF(SUM($F11:BH11)&gt;=100%,"РнВ",IF(AND(BH11&gt;0,BG11=0),"РнС",0))</f>
        <v>РнВ</v>
      </c>
      <c r="BI4" s="199" t="str">
        <f>IF(SUM($F11:BI11)&gt;=100%,"РнВ",IF(AND(BI11&gt;0,BH11=0),"РнС",0))</f>
        <v>РнВ</v>
      </c>
      <c r="BJ4" s="199" t="str">
        <f>IF(SUM($F11:BJ11)&gt;=100%,"РнВ",IF(AND(BJ11&gt;0,BI11=0),"РнС",0))</f>
        <v>РнВ</v>
      </c>
      <c r="BK4" s="199" t="str">
        <f>IF(SUM($F11:BK11)&gt;=100%,"РнВ",IF(AND(BK11&gt;0,BJ11=0),"РнС",0))</f>
        <v>РнВ</v>
      </c>
      <c r="BL4" s="199" t="str">
        <f>IF(SUM($F11:BL11)&gt;=100%,"РнВ",IF(AND(BL11&gt;0,BK11=0),"РнС",0))</f>
        <v>РнВ</v>
      </c>
      <c r="BM4" s="199" t="str">
        <f>IF(SUM($F11:BM11)&gt;=100%,"РнВ",IF(AND(BM11&gt;0,BL11=0),"РнС",0))</f>
        <v>РнВ</v>
      </c>
    </row>
    <row r="5" spans="2:65">
      <c r="B5" s="19" t="s">
        <v>5</v>
      </c>
      <c r="C5" s="113"/>
      <c r="D5" s="113"/>
      <c r="E5" s="16"/>
      <c r="F5" s="115">
        <v>1</v>
      </c>
      <c r="G5" s="115">
        <v>2</v>
      </c>
      <c r="H5" s="115">
        <v>3</v>
      </c>
      <c r="I5" s="115">
        <v>4</v>
      </c>
      <c r="J5" s="115">
        <v>5</v>
      </c>
      <c r="K5" s="115">
        <v>6</v>
      </c>
      <c r="L5" s="115">
        <v>7</v>
      </c>
      <c r="M5" s="115">
        <v>8</v>
      </c>
      <c r="N5" s="115">
        <v>9</v>
      </c>
      <c r="O5" s="115">
        <v>10</v>
      </c>
      <c r="P5" s="115">
        <v>11</v>
      </c>
      <c r="Q5" s="115">
        <v>12</v>
      </c>
      <c r="R5" s="115">
        <v>13</v>
      </c>
      <c r="S5" s="115">
        <v>14</v>
      </c>
      <c r="T5" s="115">
        <v>15</v>
      </c>
      <c r="U5" s="115">
        <v>16</v>
      </c>
      <c r="V5" s="115">
        <v>17</v>
      </c>
      <c r="W5" s="115">
        <v>18</v>
      </c>
      <c r="X5" s="115">
        <v>19</v>
      </c>
      <c r="Y5" s="115">
        <v>20</v>
      </c>
      <c r="Z5" s="115">
        <v>21</v>
      </c>
      <c r="AA5" s="115">
        <v>22</v>
      </c>
      <c r="AB5" s="115">
        <v>23</v>
      </c>
      <c r="AC5" s="115">
        <v>24</v>
      </c>
      <c r="AD5" s="115">
        <v>25</v>
      </c>
      <c r="AE5" s="115">
        <v>26</v>
      </c>
      <c r="AF5" s="115">
        <v>27</v>
      </c>
      <c r="AG5" s="115">
        <v>28</v>
      </c>
      <c r="AH5" s="115">
        <v>29</v>
      </c>
      <c r="AI5" s="115">
        <v>30</v>
      </c>
      <c r="AJ5" s="115">
        <v>31</v>
      </c>
      <c r="AK5" s="115">
        <v>32</v>
      </c>
      <c r="AL5" s="115">
        <v>33</v>
      </c>
      <c r="AM5" s="115">
        <v>34</v>
      </c>
      <c r="AN5" s="115">
        <v>35</v>
      </c>
      <c r="AO5" s="115">
        <v>36</v>
      </c>
      <c r="AP5" s="115">
        <v>37</v>
      </c>
      <c r="AQ5" s="115">
        <v>38</v>
      </c>
      <c r="AR5" s="115">
        <v>39</v>
      </c>
      <c r="AS5" s="115">
        <v>40</v>
      </c>
      <c r="AT5" s="115">
        <v>41</v>
      </c>
      <c r="AU5" s="115">
        <v>42</v>
      </c>
      <c r="AV5" s="115">
        <v>43</v>
      </c>
      <c r="AW5" s="115">
        <v>44</v>
      </c>
      <c r="AX5" s="115">
        <v>45</v>
      </c>
      <c r="AY5" s="115">
        <v>46</v>
      </c>
      <c r="AZ5" s="115">
        <v>47</v>
      </c>
      <c r="BA5" s="115">
        <v>48</v>
      </c>
      <c r="BB5" s="115">
        <v>49</v>
      </c>
      <c r="BC5" s="115">
        <v>50</v>
      </c>
      <c r="BD5" s="115">
        <v>51</v>
      </c>
      <c r="BE5" s="115">
        <v>52</v>
      </c>
      <c r="BF5" s="115">
        <v>53</v>
      </c>
      <c r="BG5" s="115">
        <v>54</v>
      </c>
      <c r="BH5" s="115">
        <v>55</v>
      </c>
      <c r="BI5" s="115">
        <v>56</v>
      </c>
      <c r="BJ5" s="115">
        <v>57</v>
      </c>
      <c r="BK5" s="115">
        <v>58</v>
      </c>
      <c r="BL5" s="115">
        <v>59</v>
      </c>
      <c r="BM5" s="115">
        <v>60</v>
      </c>
    </row>
    <row r="6" spans="2:65">
      <c r="B6" s="55" t="s">
        <v>31</v>
      </c>
      <c r="C6" s="55"/>
      <c r="D6" s="56" t="s">
        <v>133</v>
      </c>
      <c r="E6" s="55"/>
      <c r="F6" s="57"/>
      <c r="G6" s="57"/>
      <c r="H6" s="57">
        <v>1</v>
      </c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</row>
    <row r="7" spans="2:65">
      <c r="B7" s="55" t="str">
        <f>'DB2'!B31</f>
        <v>ПРОЕКТИРОВАНИЕ (П+РД)</v>
      </c>
      <c r="C7" s="55"/>
      <c r="D7" s="31">
        <v>0.5</v>
      </c>
      <c r="E7" s="55"/>
      <c r="F7" s="57">
        <f>IF('TS2'!F5&lt;='DB2'!$U$24,'TS2'!$D$7/'DB2'!$U$24,(1-SUM($E$7:E7)))</f>
        <v>0.05</v>
      </c>
      <c r="G7" s="57">
        <f>IF('TS2'!G5&lt;='DB2'!$U$24,'TS2'!$D$7/'DB2'!$U$24,(1-SUM($E$7:F7)))</f>
        <v>0.05</v>
      </c>
      <c r="H7" s="57">
        <f>IF('TS2'!H5&lt;='DB2'!$U$24,'TS2'!$D$7/'DB2'!$U$24,(1-SUM($E$7:G7)))</f>
        <v>0.05</v>
      </c>
      <c r="I7" s="57">
        <f>IF('TS2'!I5&lt;='DB2'!$U$24,'TS2'!$D$7/'DB2'!$U$24,(1-SUM($E$7:H7)))</f>
        <v>0.05</v>
      </c>
      <c r="J7" s="57">
        <f>IF('TS2'!J5&lt;='DB2'!$U$24,'TS2'!$D$7/'DB2'!$U$24,(1-SUM($E$7:I7)))</f>
        <v>0.05</v>
      </c>
      <c r="K7" s="57"/>
      <c r="L7" s="57"/>
      <c r="M7" s="57"/>
      <c r="N7" s="57"/>
      <c r="O7" s="57"/>
      <c r="P7" s="57"/>
      <c r="Q7" s="57"/>
      <c r="R7" s="57"/>
      <c r="S7" s="57"/>
      <c r="T7" s="57"/>
      <c r="U7" s="57">
        <f>IF('TS2'!U5&lt;='DB2'!$U$24,'TS2'!$D$7/'DB2'!$U$24,(1-SUM($E$7:T7)))</f>
        <v>0.75</v>
      </c>
      <c r="V7" s="57">
        <f>IF('TS2'!V5&lt;='DB2'!$U$24,'TS2'!$D$7/'DB2'!$U$24,(1-SUM($E$7:U7)))</f>
        <v>0</v>
      </c>
      <c r="W7" s="57">
        <f>IF('TS2'!W5&lt;='DB2'!$U$24,'TS2'!$D$7/'DB2'!$U$24,(1-SUM($E$7:V7)))</f>
        <v>0</v>
      </c>
      <c r="X7" s="57">
        <f>IF('TS2'!X5&lt;='DB2'!$U$24,'TS2'!$D$7/'DB2'!$U$24,(1-SUM($E$7:W7)))</f>
        <v>0</v>
      </c>
      <c r="Y7" s="57">
        <f>IF('TS2'!Y5&lt;='DB2'!$U$24,'TS2'!$D$7/'DB2'!$U$24,(1-SUM($E$7:X7)))</f>
        <v>0</v>
      </c>
      <c r="Z7" s="57">
        <f>IF('TS2'!Z5&lt;='DB2'!$U$24,'TS2'!$D$7/'DB2'!$U$24,(1-SUM($E$7:Y7)))</f>
        <v>0</v>
      </c>
      <c r="AA7" s="57">
        <f>IF('TS2'!AA5&lt;='DB2'!$U$24,'TS2'!$D$7/'DB2'!$U$24,(1-SUM($E$7:Z7)))</f>
        <v>0</v>
      </c>
      <c r="AB7" s="57">
        <f>IF('TS2'!AB5&lt;='DB2'!$U$24,'TS2'!$D$7/'DB2'!$U$24,(1-SUM($E$7:AA7)))</f>
        <v>0</v>
      </c>
      <c r="AC7" s="57">
        <f>IF('TS2'!AC5&lt;='DB2'!$U$24,'TS2'!$D$7/'DB2'!$U$24,(1-SUM($E$7:AB7)))</f>
        <v>0</v>
      </c>
      <c r="AD7" s="57">
        <f>IF('TS2'!AD5&lt;='DB2'!$U$24,'TS2'!$D$7/'DB2'!$U$24,(1-SUM($E$7:AC7)))</f>
        <v>0</v>
      </c>
      <c r="AE7" s="57">
        <f>IF('TS2'!AE5&lt;='DB2'!$U$24,'TS2'!$D$7/'DB2'!$U$24,(1-SUM($E$7:AD7)))</f>
        <v>0</v>
      </c>
      <c r="AF7" s="57">
        <f>IF('TS2'!AF5&lt;='DB2'!$U$24,'TS2'!$D$7/'DB2'!$U$24,(1-SUM($E$7:AE7)))</f>
        <v>0</v>
      </c>
      <c r="AG7" s="57">
        <f>IF('TS2'!AG5&lt;='DB2'!$U$24,'TS2'!$D$7/'DB2'!$U$24,(1-SUM($E$7:AF7)))</f>
        <v>0</v>
      </c>
      <c r="AH7" s="57">
        <f>IF('TS2'!AH5&lt;='DB2'!$U$24,'TS2'!$D$7/'DB2'!$U$24,(1-SUM($E$7:AG7)))</f>
        <v>0</v>
      </c>
      <c r="AI7" s="57">
        <f>IF('TS2'!AI5&lt;='DB2'!$U$24,'TS2'!$D$7/'DB2'!$U$24,(1-SUM($E$7:AH7)))</f>
        <v>0</v>
      </c>
      <c r="AJ7" s="57">
        <f>IF('TS2'!AJ5&lt;='DB2'!$U$24,'TS2'!$D$7/'DB2'!$U$24,(1-SUM($E$7:AI7)))</f>
        <v>0</v>
      </c>
      <c r="AK7" s="57">
        <f>IF('TS2'!AK5&lt;='DB2'!$U$24,'TS2'!$D$7/'DB2'!$U$24,(1-SUM($E$7:AJ7)))</f>
        <v>0</v>
      </c>
      <c r="AL7" s="57">
        <f>IF('TS2'!AL5&lt;='DB2'!$U$24,'TS2'!$D$7/'DB2'!$U$24,(1-SUM($E$7:AK7)))</f>
        <v>0</v>
      </c>
      <c r="AM7" s="57">
        <f>IF('TS2'!AM5&lt;='DB2'!$U$24,'TS2'!$D$7/'DB2'!$U$24,(1-SUM($E$7:AL7)))</f>
        <v>0</v>
      </c>
      <c r="AN7" s="57">
        <f>IF('TS2'!AN5&lt;='DB2'!$U$24,'TS2'!$D$7/'DB2'!$U$24,(1-SUM($E$7:AM7)))</f>
        <v>0</v>
      </c>
      <c r="AO7" s="57">
        <f>IF('TS2'!AO5&lt;='DB2'!$U$24,'TS2'!$D$7/'DB2'!$U$24,(1-SUM($E$7:AN7)))</f>
        <v>0</v>
      </c>
      <c r="AP7" s="57">
        <f>IF('TS2'!AP5&lt;='DB2'!$U$24,'TS2'!$D$7/'DB2'!$U$24,(1-SUM($E$7:AO7)))</f>
        <v>0</v>
      </c>
      <c r="AQ7" s="57">
        <f>IF('TS2'!AQ5&lt;='DB2'!$U$24,'TS2'!$D$7/'DB2'!$U$24,(1-SUM($E$7:AP7)))</f>
        <v>0</v>
      </c>
      <c r="AR7" s="57">
        <f>IF('TS2'!AR5&lt;='DB2'!$U$24,'TS2'!$D$7/'DB2'!$U$24,(1-SUM($E$7:AQ7)))</f>
        <v>0</v>
      </c>
      <c r="AS7" s="57">
        <f>IF('TS2'!AS5&lt;='DB2'!$U$24,'TS2'!$D$7/'DB2'!$U$24,(1-SUM($E$7:AR7)))</f>
        <v>0</v>
      </c>
      <c r="AT7" s="57">
        <f>IF('TS2'!AT5&lt;='DB2'!$U$24,'TS2'!$D$7/'DB2'!$U$24,(1-SUM($E$7:AS7)))</f>
        <v>0</v>
      </c>
      <c r="AU7" s="57">
        <f>IF('TS2'!AU5&lt;='DB2'!$U$24,'TS2'!$D$7/'DB2'!$U$24,(1-SUM($E$7:AT7)))</f>
        <v>0</v>
      </c>
      <c r="AV7" s="57">
        <f>IF('TS2'!AV5&lt;='DB2'!$U$24,'TS2'!$D$7/'DB2'!$U$24,(1-SUM($E$7:AU7)))</f>
        <v>0</v>
      </c>
      <c r="AW7" s="57">
        <f>IF('TS2'!AW5&lt;='DB2'!$U$24,'TS2'!$D$7/'DB2'!$U$24,(1-SUM($E$7:AV7)))</f>
        <v>0</v>
      </c>
      <c r="AX7" s="57">
        <f>IF('TS2'!AX5&lt;='DB2'!$U$24,'TS2'!$D$7/'DB2'!$U$24,(1-SUM($E$7:AW7)))</f>
        <v>0</v>
      </c>
      <c r="AY7" s="57">
        <f>IF('TS2'!AY5&lt;='DB2'!$U$24,'TS2'!$D$7/'DB2'!$U$24,(1-SUM($E$7:AX7)))</f>
        <v>0</v>
      </c>
      <c r="AZ7" s="57">
        <f>IF('TS2'!AZ5&lt;='DB2'!$U$24,'TS2'!$D$7/'DB2'!$U$24,(1-SUM($E$7:AY7)))</f>
        <v>0</v>
      </c>
      <c r="BA7" s="57">
        <f>IF('TS2'!BA5&lt;='DB2'!$U$24,'TS2'!$D$7/'DB2'!$U$24,(1-SUM($E$7:AZ7)))</f>
        <v>0</v>
      </c>
      <c r="BB7" s="57">
        <f>IF('TS2'!BB5&lt;='DB2'!$U$24,'TS2'!$D$7/'DB2'!$U$24,(1-SUM($E$7:BA7)))</f>
        <v>0</v>
      </c>
      <c r="BC7" s="57">
        <f>IF('TS2'!BC5&lt;='DB2'!$U$24,'TS2'!$D$7/'DB2'!$U$24,(1-SUM($E$7:BB7)))</f>
        <v>0</v>
      </c>
      <c r="BD7" s="57">
        <f>IF('TS2'!BD5&lt;='DB2'!$U$24,'TS2'!$D$7/'DB2'!$U$24,(1-SUM($E$7:BC7)))</f>
        <v>0</v>
      </c>
      <c r="BE7" s="57">
        <f>IF('TS2'!BE5&lt;='DB2'!$U$24,'TS2'!$D$7/'DB2'!$U$24,(1-SUM($E$7:BD7)))</f>
        <v>0</v>
      </c>
      <c r="BF7" s="57">
        <f>IF('TS2'!BF5&lt;='DB2'!$U$24,'TS2'!$D$7/'DB2'!$U$24,(1-SUM($E$7:BE7)))</f>
        <v>0</v>
      </c>
      <c r="BG7" s="57">
        <f>IF('TS2'!BG5&lt;='DB2'!$U$24,'TS2'!$D$7/'DB2'!$U$24,(1-SUM($E$7:BF7)))</f>
        <v>0</v>
      </c>
      <c r="BH7" s="57">
        <f>IF('TS2'!BH5&lt;='DB2'!$U$24,'TS2'!$D$7/'DB2'!$U$24,(1-SUM($E$7:BG7)))</f>
        <v>0</v>
      </c>
      <c r="BI7" s="57">
        <f>IF('TS2'!BI5&lt;='DB2'!$U$24,'TS2'!$D$7/'DB2'!$U$24,(1-SUM($E$7:BH7)))</f>
        <v>0</v>
      </c>
      <c r="BJ7" s="57">
        <f>IF('TS2'!BJ5&lt;='DB2'!$U$24,'TS2'!$D$7/'DB2'!$U$24,(1-SUM($E$7:BI7)))</f>
        <v>0</v>
      </c>
      <c r="BK7" s="57">
        <f>IF('TS2'!BK5&lt;='DB2'!$U$24,'TS2'!$D$7/'DB2'!$U$24,(1-SUM($E$7:BJ7)))</f>
        <v>0</v>
      </c>
      <c r="BL7" s="57">
        <f>IF('TS2'!BL5&lt;='DB2'!$U$24,'TS2'!$D$7/'DB2'!$U$24,(1-SUM($E$7:BK7)))</f>
        <v>0</v>
      </c>
      <c r="BM7" s="57">
        <f>IF('TS2'!BM5&lt;='DB2'!$U$24,'TS2'!$D$7/'DB2'!$U$24,(1-SUM($E$7:BL7)))</f>
        <v>0</v>
      </c>
    </row>
    <row r="8" spans="2:65">
      <c r="B8" s="55" t="str">
        <f>'DB2'!B32</f>
        <v>СОГЛАСОВАНИЯ</v>
      </c>
      <c r="C8" s="55"/>
      <c r="D8" s="31">
        <v>0.5</v>
      </c>
      <c r="E8" s="55"/>
      <c r="F8" s="57">
        <f>IF('TS2'!F5&lt;='DB2'!$U$24,'TS2'!$D$8/'DB2'!$U$24,(1-$D$8)/SUM($F$11:$BM$11)*F11)</f>
        <v>0.05</v>
      </c>
      <c r="G8" s="57">
        <f>IF('TS2'!G5&lt;='DB2'!$U$24,'TS2'!$D$8/'DB2'!$U$24,(1-$D$8)/SUM($F$11:$BM$11)*G11)</f>
        <v>0.05</v>
      </c>
      <c r="H8" s="57">
        <f>IF('TS2'!H5&lt;='DB2'!$U$24,'TS2'!$D$8/'DB2'!$U$24,(1-$D$8)/SUM($F$11:$BM$11)*H11)</f>
        <v>0.05</v>
      </c>
      <c r="I8" s="57">
        <f>IF('TS2'!I5&lt;='DB2'!$U$24,'TS2'!$D$8/'DB2'!$U$24,(1-$D$8)/SUM($F$11:$BM$11)*I11)</f>
        <v>0.05</v>
      </c>
      <c r="J8" s="57">
        <f>IF('TS2'!J5&lt;='DB2'!$U$24,'TS2'!$D$8/'DB2'!$U$24,(1-$D$8)/SUM($F$11:$BM$11)*J11)</f>
        <v>0.05</v>
      </c>
      <c r="K8" s="57">
        <f>IF('TS2'!K5&lt;='DB2'!$U$24,'TS2'!$D$8/'DB2'!$U$24,(1-$D$8)/SUM($F$11:$BM$11)*K11)</f>
        <v>0.05</v>
      </c>
      <c r="L8" s="57">
        <f>IF('TS2'!L5&lt;='DB2'!$U$24,'TS2'!$D$8/'DB2'!$U$24,(1-$D$8)/SUM($F$11:$BM$11)*L11)</f>
        <v>0.05</v>
      </c>
      <c r="M8" s="57">
        <f>IF('TS2'!M5&lt;='DB2'!$U$24,'TS2'!$D$8/'DB2'!$U$24,(1-$D$8)/SUM($F$11:$BM$11)*M11)</f>
        <v>0.05</v>
      </c>
      <c r="N8" s="57">
        <f>IF('TS2'!N5&lt;='DB2'!$U$24,'TS2'!$D$8/'DB2'!$U$24,(1-$D$8)/SUM($F$11:$BM$11)*N11)</f>
        <v>0.05</v>
      </c>
      <c r="O8" s="57">
        <f>IF('TS2'!O5&lt;='DB2'!$U$24,'TS2'!$D$8/'DB2'!$U$24,(1-$D$8)/SUM($F$11:$BM$11)*O11)</f>
        <v>0.05</v>
      </c>
      <c r="P8" s="57">
        <f>IF('TS2'!P5&lt;='DB2'!$U$24,'TS2'!$D$8/'DB2'!$U$24,(1-$D$8)/SUM($F$11:$BM$11)*P11)</f>
        <v>4.1666666666666664E-2</v>
      </c>
      <c r="Q8" s="57">
        <f>IF('TS2'!Q5&lt;='DB2'!$U$24,'TS2'!$D$8/'DB2'!$U$24,(1-$D$8)/SUM($F$11:$BM$11)*Q11)</f>
        <v>4.1666666666666664E-2</v>
      </c>
      <c r="R8" s="57">
        <f>IF('TS2'!R5&lt;='DB2'!$U$24,'TS2'!$D$8/'DB2'!$U$24,(1-$D$8)/SUM($F$11:$BM$11)*R11)</f>
        <v>4.1666666666666664E-2</v>
      </c>
      <c r="S8" s="57">
        <f>IF('TS2'!S5&lt;='DB2'!$U$24,'TS2'!$D$8/'DB2'!$U$24,(1-$D$8)/SUM($F$11:$BM$11)*S11)</f>
        <v>4.1666666666666664E-2</v>
      </c>
      <c r="T8" s="57">
        <f>IF('TS2'!T5&lt;='DB2'!$U$24,'TS2'!$D$8/'DB2'!$U$24,(1-$D$8)/SUM($F$11:$BM$11)*T11)</f>
        <v>4.1666666666666664E-2</v>
      </c>
      <c r="U8" s="57">
        <f>IF('TS2'!U5&lt;='DB2'!$U$24,'TS2'!$D$8/'DB2'!$U$24,(1-$D$8)/SUM($F$11:$BM$11)*U11)</f>
        <v>4.1666666666666664E-2</v>
      </c>
      <c r="V8" s="57">
        <f>IF('TS2'!V5&lt;='DB2'!$U$24,'TS2'!$D$8/'DB2'!$U$24,(1-$D$8)/SUM($F$11:$BM$11)*V11)</f>
        <v>4.1666666666666664E-2</v>
      </c>
      <c r="W8" s="57">
        <f>IF('TS2'!W5&lt;='DB2'!$U$24,'TS2'!$D$8/'DB2'!$U$24,(1-$D$8)/SUM($F$11:$BM$11)*W11)</f>
        <v>4.1666666666666664E-2</v>
      </c>
      <c r="X8" s="57">
        <f>IF('TS2'!X5&lt;='DB2'!$U$24,'TS2'!$D$8/'DB2'!$U$24,(1-$D$8)/SUM($F$11:$BM$11)*X11)</f>
        <v>4.1666666666666664E-2</v>
      </c>
      <c r="Y8" s="57">
        <f>IF('TS2'!Y5&lt;='DB2'!$U$24,'TS2'!$D$8/'DB2'!$U$24,(1-$D$8)/SUM($F$11:$BM$11)*Y11)</f>
        <v>4.1666666666666664E-2</v>
      </c>
      <c r="Z8" s="57">
        <f>IF('TS2'!Z5&lt;='DB2'!$U$24,'TS2'!$D$8/'DB2'!$U$24,(1-$D$8)/SUM($F$11:$BM$11)*Z11)</f>
        <v>4.1666666666666664E-2</v>
      </c>
      <c r="AA8" s="57">
        <f>IF('TS2'!AA5&lt;='DB2'!$U$24,'TS2'!$D$8/'DB2'!$U$24,(1-$D$8)/SUM($F$11:$BM$11)*AA11)</f>
        <v>4.1666666666666664E-2</v>
      </c>
      <c r="AB8" s="57">
        <f>IF('TS2'!AB5&lt;='DB2'!$U$24,'TS2'!$D$8/'DB2'!$U$24,(1-$D$8)/SUM($F$11:$BM$11)*AB11)</f>
        <v>0</v>
      </c>
      <c r="AC8" s="57">
        <f>IF('TS2'!AC5&lt;='DB2'!$U$24,'TS2'!$D$8/'DB2'!$U$24,(1-$D$8)/SUM($F$11:$BM$11)*AC11)</f>
        <v>0</v>
      </c>
      <c r="AD8" s="57">
        <f>IF('TS2'!AD5&lt;='DB2'!$U$24,'TS2'!$D$8/'DB2'!$U$24,(1-$D$8)/SUM($F$11:$BM$11)*AD11)</f>
        <v>0</v>
      </c>
      <c r="AE8" s="57">
        <f>IF('TS2'!AE5&lt;='DB2'!$U$24,'TS2'!$D$8/'DB2'!$U$24,(1-$D$8)/SUM($F$11:$BM$11)*AE11)</f>
        <v>0</v>
      </c>
      <c r="AF8" s="57">
        <f>IF('TS2'!AF5&lt;='DB2'!$U$24,'TS2'!$D$8/'DB2'!$U$24,(1-$D$8)/SUM($F$11:$BM$11)*AF11)</f>
        <v>0</v>
      </c>
      <c r="AG8" s="57">
        <f>IF('TS2'!AG5&lt;='DB2'!$U$24,'TS2'!$D$8/'DB2'!$U$24,(1-$D$8)/SUM($F$11:$BM$11)*AG11)</f>
        <v>0</v>
      </c>
      <c r="AH8" s="57">
        <f>IF('TS2'!AH5&lt;='DB2'!$U$24,'TS2'!$D$8/'DB2'!$U$24,(1-$D$8)/SUM($F$11:$BM$11)*AH11)</f>
        <v>0</v>
      </c>
      <c r="AI8" s="57">
        <f>IF('TS2'!AI5&lt;='DB2'!$U$24,'TS2'!$D$8/'DB2'!$U$24,(1-$D$8)/SUM($F$11:$BM$11)*AI11)</f>
        <v>0</v>
      </c>
      <c r="AJ8" s="57">
        <f>IF('TS2'!AJ5&lt;='DB2'!$U$24,'TS2'!$D$8/'DB2'!$U$24,(1-$D$8)/SUM($F$11:$BM$11)*AJ11)</f>
        <v>0</v>
      </c>
      <c r="AK8" s="57">
        <f>IF('TS2'!AK5&lt;='DB2'!$U$24,'TS2'!$D$8/'DB2'!$U$24,(1-$D$8)/SUM($F$11:$BM$11)*AK11)</f>
        <v>0</v>
      </c>
      <c r="AL8" s="57">
        <f>IF('TS2'!AL5&lt;='DB2'!$U$24,'TS2'!$D$8/'DB2'!$U$24,(1-$D$8)/SUM($F$11:$BM$11)*AL11)</f>
        <v>0</v>
      </c>
      <c r="AM8" s="57">
        <f>IF('TS2'!AM5&lt;='DB2'!$U$24,'TS2'!$D$8/'DB2'!$U$24,(1-$D$8)/SUM($F$11:$BM$11)*AM11)</f>
        <v>0</v>
      </c>
      <c r="AN8" s="57">
        <f>IF('TS2'!AN5&lt;='DB2'!$U$24,'TS2'!$D$8/'DB2'!$U$24,(1-$D$8)/SUM($F$11:$BM$11)*AN11)</f>
        <v>0</v>
      </c>
      <c r="AO8" s="57">
        <f>IF('TS2'!AO5&lt;='DB2'!$U$24,'TS2'!$D$8/'DB2'!$U$24,(1-$D$8)/SUM($F$11:$BM$11)*AO11)</f>
        <v>0</v>
      </c>
      <c r="AP8" s="57">
        <f>IF('TS2'!AP5&lt;='DB2'!$U$24,'TS2'!$D$8/'DB2'!$U$24,(1-$D$8)/SUM($F$11:$BM$11)*AP11)</f>
        <v>0</v>
      </c>
      <c r="AQ8" s="57">
        <f>IF('TS2'!AQ5&lt;='DB2'!$U$24,'TS2'!$D$8/'DB2'!$U$24,(1-$D$8)/SUM($F$11:$BM$11)*AQ11)</f>
        <v>0</v>
      </c>
      <c r="AR8" s="57">
        <f>IF('TS2'!AR5&lt;='DB2'!$U$24,'TS2'!$D$8/'DB2'!$U$24,(1-$D$8)/SUM($F$11:$BM$11)*AR11)</f>
        <v>0</v>
      </c>
      <c r="AS8" s="57">
        <f>IF('TS2'!AS5&lt;='DB2'!$U$24,'TS2'!$D$8/'DB2'!$U$24,(1-$D$8)/SUM($F$11:$BM$11)*AS11)</f>
        <v>0</v>
      </c>
      <c r="AT8" s="57">
        <f>IF('TS2'!AT5&lt;='DB2'!$U$24,'TS2'!$D$8/'DB2'!$U$24,(1-$D$8)/SUM($F$11:$BM$11)*AT11)</f>
        <v>0</v>
      </c>
      <c r="AU8" s="57">
        <f>IF('TS2'!AU5&lt;='DB2'!$U$24,'TS2'!$D$8/'DB2'!$U$24,(1-$D$8)/SUM($F$11:$BM$11)*AU11)</f>
        <v>0</v>
      </c>
      <c r="AV8" s="57">
        <f>IF('TS2'!AV5&lt;='DB2'!$U$24,'TS2'!$D$8/'DB2'!$U$24,(1-$D$8)/SUM($F$11:$BM$11)*AV11)</f>
        <v>0</v>
      </c>
      <c r="AW8" s="57">
        <f>IF('TS2'!AW5&lt;='DB2'!$U$24,'TS2'!$D$8/'DB2'!$U$24,(1-$D$8)/SUM($F$11:$BM$11)*AW11)</f>
        <v>0</v>
      </c>
      <c r="AX8" s="57">
        <f>IF('TS2'!AX5&lt;='DB2'!$U$24,'TS2'!$D$8/'DB2'!$U$24,(1-$D$8)/SUM($F$11:$BM$11)*AX11)</f>
        <v>0</v>
      </c>
      <c r="AY8" s="57">
        <f>IF('TS2'!AY5&lt;='DB2'!$U$24,'TS2'!$D$8/'DB2'!$U$24,(1-$D$8)/SUM($F$11:$BM$11)*AY11)</f>
        <v>0</v>
      </c>
      <c r="AZ8" s="57">
        <f>IF('TS2'!AZ5&lt;='DB2'!$U$24,'TS2'!$D$8/'DB2'!$U$24,(1-$D$8)/SUM($F$11:$BM$11)*AZ11)</f>
        <v>0</v>
      </c>
      <c r="BA8" s="57">
        <f>IF('TS2'!BA5&lt;='DB2'!$U$24,'TS2'!$D$8/'DB2'!$U$24,(1-$D$8)/SUM($F$11:$BM$11)*BA11)</f>
        <v>0</v>
      </c>
      <c r="BB8" s="57">
        <f>IF('TS2'!BB5&lt;='DB2'!$U$24,'TS2'!$D$8/'DB2'!$U$24,(1-$D$8)/SUM($F$11:$BM$11)*BB11)</f>
        <v>0</v>
      </c>
      <c r="BC8" s="57">
        <f>IF('TS2'!BC5&lt;='DB2'!$U$24,'TS2'!$D$8/'DB2'!$U$24,(1-$D$8)/SUM($F$11:$BM$11)*BC11)</f>
        <v>0</v>
      </c>
      <c r="BD8" s="57">
        <f>IF('TS2'!BD5&lt;='DB2'!$U$24,'TS2'!$D$8/'DB2'!$U$24,(1-$D$8)/SUM($F$11:$BM$11)*BD11)</f>
        <v>0</v>
      </c>
      <c r="BE8" s="57">
        <f>IF('TS2'!BE5&lt;='DB2'!$U$24,'TS2'!$D$8/'DB2'!$U$24,(1-$D$8)/SUM($F$11:$BM$11)*BE11)</f>
        <v>0</v>
      </c>
      <c r="BF8" s="57">
        <f>IF('TS2'!BF5&lt;='DB2'!$U$24,'TS2'!$D$8/'DB2'!$U$24,(1-$D$8)/SUM($F$11:$BM$11)*BF11)</f>
        <v>0</v>
      </c>
      <c r="BG8" s="57">
        <f>IF('TS2'!BG5&lt;='DB2'!$U$24,'TS2'!$D$8/'DB2'!$U$24,(1-$D$8)/SUM($F$11:$BM$11)*BG11)</f>
        <v>0</v>
      </c>
      <c r="BH8" s="57">
        <f>IF('TS2'!BH5&lt;='DB2'!$U$24,'TS2'!$D$8/'DB2'!$U$24,(1-$D$8)/SUM($F$11:$BM$11)*BH11)</f>
        <v>0</v>
      </c>
      <c r="BI8" s="57">
        <f>IF('TS2'!BI5&lt;='DB2'!$U$24,'TS2'!$D$8/'DB2'!$U$24,(1-$D$8)/SUM($F$11:$BM$11)*BI11)</f>
        <v>0</v>
      </c>
      <c r="BJ8" s="57">
        <f>IF('TS2'!BJ5&lt;='DB2'!$U$24,'TS2'!$D$8/'DB2'!$U$24,(1-$D$8)/SUM($F$11:$BM$11)*BJ11)</f>
        <v>0</v>
      </c>
      <c r="BK8" s="57">
        <f>IF('TS2'!BK5&lt;='DB2'!$U$24,'TS2'!$D$8/'DB2'!$U$24,(1-$D$8)/SUM($F$11:$BM$11)*BK11)</f>
        <v>0</v>
      </c>
      <c r="BL8" s="57">
        <f>IF('TS2'!BL5&lt;='DB2'!$U$24,'TS2'!$D$8/'DB2'!$U$24,(1-$D$8)/SUM($F$11:$BM$11)*BL11)</f>
        <v>0</v>
      </c>
      <c r="BM8" s="57">
        <f>IF('TS2'!BM5&lt;='DB2'!$U$24,'TS2'!$D$8/'DB2'!$U$24,(1-$D$8)/SUM($F$11:$BM$11)*BM11)</f>
        <v>0</v>
      </c>
    </row>
    <row r="9" spans="2:65">
      <c r="B9" s="55" t="s">
        <v>246</v>
      </c>
      <c r="C9" s="55"/>
      <c r="D9" s="55"/>
      <c r="E9" s="55"/>
      <c r="F9" s="57">
        <f>IF(G4="РнС",1,0)</f>
        <v>0</v>
      </c>
      <c r="G9" s="57">
        <f t="shared" ref="G9:BM9" si="0">IF(H4="РнС",1,0)</f>
        <v>0</v>
      </c>
      <c r="H9" s="57">
        <f t="shared" si="0"/>
        <v>0</v>
      </c>
      <c r="I9" s="57">
        <f t="shared" si="0"/>
        <v>0</v>
      </c>
      <c r="J9" s="57">
        <f t="shared" si="0"/>
        <v>0</v>
      </c>
      <c r="K9" s="57">
        <f t="shared" si="0"/>
        <v>0</v>
      </c>
      <c r="L9" s="57">
        <f t="shared" si="0"/>
        <v>0</v>
      </c>
      <c r="M9" s="57">
        <f t="shared" si="0"/>
        <v>0</v>
      </c>
      <c r="N9" s="57">
        <f t="shared" si="0"/>
        <v>0</v>
      </c>
      <c r="O9" s="57">
        <f t="shared" si="0"/>
        <v>1</v>
      </c>
      <c r="P9" s="57">
        <f t="shared" si="0"/>
        <v>0</v>
      </c>
      <c r="Q9" s="57">
        <f t="shared" si="0"/>
        <v>0</v>
      </c>
      <c r="R9" s="57">
        <f t="shared" si="0"/>
        <v>0</v>
      </c>
      <c r="S9" s="57">
        <f t="shared" si="0"/>
        <v>0</v>
      </c>
      <c r="T9" s="57">
        <f t="shared" si="0"/>
        <v>0</v>
      </c>
      <c r="U9" s="57">
        <f t="shared" si="0"/>
        <v>0</v>
      </c>
      <c r="V9" s="57">
        <f t="shared" si="0"/>
        <v>0</v>
      </c>
      <c r="W9" s="57">
        <f t="shared" si="0"/>
        <v>0</v>
      </c>
      <c r="X9" s="57">
        <f t="shared" si="0"/>
        <v>0</v>
      </c>
      <c r="Y9" s="57">
        <f t="shared" si="0"/>
        <v>0</v>
      </c>
      <c r="Z9" s="57">
        <f t="shared" si="0"/>
        <v>0</v>
      </c>
      <c r="AA9" s="57">
        <f t="shared" si="0"/>
        <v>0</v>
      </c>
      <c r="AB9" s="57">
        <f t="shared" si="0"/>
        <v>0</v>
      </c>
      <c r="AC9" s="57">
        <f t="shared" si="0"/>
        <v>0</v>
      </c>
      <c r="AD9" s="57">
        <f t="shared" si="0"/>
        <v>0</v>
      </c>
      <c r="AE9" s="57">
        <f t="shared" si="0"/>
        <v>0</v>
      </c>
      <c r="AF9" s="57">
        <f t="shared" si="0"/>
        <v>0</v>
      </c>
      <c r="AG9" s="57">
        <f t="shared" si="0"/>
        <v>0</v>
      </c>
      <c r="AH9" s="57">
        <f t="shared" si="0"/>
        <v>0</v>
      </c>
      <c r="AI9" s="57">
        <f t="shared" si="0"/>
        <v>0</v>
      </c>
      <c r="AJ9" s="57">
        <f t="shared" si="0"/>
        <v>0</v>
      </c>
      <c r="AK9" s="57">
        <f t="shared" si="0"/>
        <v>0</v>
      </c>
      <c r="AL9" s="57">
        <f t="shared" si="0"/>
        <v>0</v>
      </c>
      <c r="AM9" s="57">
        <f t="shared" si="0"/>
        <v>0</v>
      </c>
      <c r="AN9" s="57">
        <f t="shared" si="0"/>
        <v>0</v>
      </c>
      <c r="AO9" s="57">
        <f t="shared" si="0"/>
        <v>0</v>
      </c>
      <c r="AP9" s="57">
        <f t="shared" si="0"/>
        <v>0</v>
      </c>
      <c r="AQ9" s="57">
        <f t="shared" si="0"/>
        <v>0</v>
      </c>
      <c r="AR9" s="57">
        <f t="shared" si="0"/>
        <v>0</v>
      </c>
      <c r="AS9" s="57">
        <f t="shared" si="0"/>
        <v>0</v>
      </c>
      <c r="AT9" s="57">
        <f t="shared" si="0"/>
        <v>0</v>
      </c>
      <c r="AU9" s="57">
        <f t="shared" si="0"/>
        <v>0</v>
      </c>
      <c r="AV9" s="57">
        <f t="shared" si="0"/>
        <v>0</v>
      </c>
      <c r="AW9" s="57">
        <f t="shared" si="0"/>
        <v>0</v>
      </c>
      <c r="AX9" s="57">
        <f t="shared" si="0"/>
        <v>0</v>
      </c>
      <c r="AY9" s="57">
        <f t="shared" si="0"/>
        <v>0</v>
      </c>
      <c r="AZ9" s="57">
        <f t="shared" si="0"/>
        <v>0</v>
      </c>
      <c r="BA9" s="57">
        <f t="shared" si="0"/>
        <v>0</v>
      </c>
      <c r="BB9" s="57">
        <f t="shared" si="0"/>
        <v>0</v>
      </c>
      <c r="BC9" s="57">
        <f t="shared" si="0"/>
        <v>0</v>
      </c>
      <c r="BD9" s="57">
        <f t="shared" si="0"/>
        <v>0</v>
      </c>
      <c r="BE9" s="57">
        <f t="shared" si="0"/>
        <v>0</v>
      </c>
      <c r="BF9" s="57">
        <f t="shared" si="0"/>
        <v>0</v>
      </c>
      <c r="BG9" s="57">
        <f t="shared" si="0"/>
        <v>0</v>
      </c>
      <c r="BH9" s="57">
        <f t="shared" si="0"/>
        <v>0</v>
      </c>
      <c r="BI9" s="57">
        <f t="shared" si="0"/>
        <v>0</v>
      </c>
      <c r="BJ9" s="57">
        <f t="shared" si="0"/>
        <v>0</v>
      </c>
      <c r="BK9" s="57">
        <f t="shared" si="0"/>
        <v>0</v>
      </c>
      <c r="BL9" s="57">
        <f t="shared" si="0"/>
        <v>0</v>
      </c>
      <c r="BM9" s="57">
        <f t="shared" si="0"/>
        <v>0</v>
      </c>
    </row>
    <row r="10" spans="2:65">
      <c r="B10" s="55" t="str">
        <f>'DB2'!B39</f>
        <v>СОДЕРЖАНИЕ ПЛОЩАДКИ</v>
      </c>
      <c r="C10" s="55"/>
      <c r="D10" s="55"/>
      <c r="E10" s="55"/>
      <c r="F10" s="57">
        <f>IF('TS2'!F5='DB2'!$U$24,50%,IF(E10&gt;0,(1-SUM($E$10:E10)),0))</f>
        <v>0</v>
      </c>
      <c r="G10" s="57">
        <f>IF('TS2'!G5='DB2'!$U$24,50%,IF(F10&gt;0,(1-SUM($E$10:F10)),0))</f>
        <v>0</v>
      </c>
      <c r="H10" s="57">
        <f>IF('TS2'!H5='DB2'!$U$24,50%,IF(G10&gt;0,(1-SUM($E$10:G10)),0))</f>
        <v>0</v>
      </c>
      <c r="I10" s="57">
        <f>IF('TS2'!I5='DB2'!$U$24,50%,IF(H10&gt;0,(1-SUM($E$10:H10)),0))</f>
        <v>0</v>
      </c>
      <c r="J10" s="57">
        <f>IF('TS2'!J5='DB2'!$U$24,50%,IF(I10&gt;0,(1-SUM($E$10:I10)),0))</f>
        <v>0</v>
      </c>
      <c r="K10" s="57">
        <f>IF('TS2'!K5='DB2'!$U$24,50%,IF(J10&gt;0,(1-SUM($E$10:J10)),0))</f>
        <v>0</v>
      </c>
      <c r="L10" s="57">
        <f>IF('TS2'!L5='DB2'!$U$24,50%,IF(K10&gt;0,(1-SUM($E$10:K10)),0))</f>
        <v>0</v>
      </c>
      <c r="M10" s="57">
        <f>IF('TS2'!M5='DB2'!$U$24,50%,IF(L10&gt;0,(1-SUM($E$10:L10)),0))</f>
        <v>0</v>
      </c>
      <c r="N10" s="57">
        <f>IF('TS2'!N5='DB2'!$U$24,50%,IF(M10&gt;0,(1-SUM($E$10:M10)),0))</f>
        <v>0</v>
      </c>
      <c r="O10" s="57">
        <f>IF('TS2'!O5='DB2'!$U$24,50%,IF(N10&gt;0,(1-SUM($E$10:N10)),0))</f>
        <v>0.5</v>
      </c>
      <c r="P10" s="57">
        <f>IF('TS2'!P5='DB2'!$U$24,50%,IF(O10&gt;0,(1-SUM($E$10:O10)),0))</f>
        <v>0.5</v>
      </c>
      <c r="Q10" s="57">
        <f>IF('TS2'!Q5='DB2'!$U$24,50%,IF(P10&gt;0,(1-SUM($E$10:P10)),0))</f>
        <v>0</v>
      </c>
      <c r="R10" s="57">
        <f>IF('TS2'!R5='DB2'!$U$24,50%,IF(Q10&gt;0,(1-SUM($E$10:Q10)),0))</f>
        <v>0</v>
      </c>
      <c r="S10" s="57">
        <f>IF('TS2'!S5='DB2'!$U$24,50%,IF(R10&gt;0,(1-SUM($E$10:R10)),0))</f>
        <v>0</v>
      </c>
      <c r="T10" s="57">
        <f>IF('TS2'!T5='DB2'!$U$24,50%,IF(S10&gt;0,(1-SUM($E$10:S10)),0))</f>
        <v>0</v>
      </c>
      <c r="U10" s="57">
        <f>IF('TS2'!U5='DB2'!$U$24,50%,IF(T10&gt;0,(1-SUM($E$10:T10)),0))</f>
        <v>0</v>
      </c>
      <c r="V10" s="57">
        <f>IF('TS2'!V5='DB2'!$U$24,50%,IF(U10&gt;0,(1-SUM($E$10:U10)),0))</f>
        <v>0</v>
      </c>
      <c r="W10" s="57">
        <f>IF('TS2'!W5='DB2'!$U$24,50%,IF(V10&gt;0,(1-SUM($E$10:V10)),0))</f>
        <v>0</v>
      </c>
      <c r="X10" s="57">
        <f>IF('TS2'!X5='DB2'!$U$24,50%,IF(W10&gt;0,(1-SUM($E$10:W10)),0))</f>
        <v>0</v>
      </c>
      <c r="Y10" s="57">
        <f>IF('TS2'!Y5='DB2'!$U$24,50%,IF(X10&gt;0,(1-SUM($E$10:X10)),0))</f>
        <v>0</v>
      </c>
      <c r="Z10" s="57">
        <f>IF('TS2'!Z5='DB2'!$U$24,50%,IF(Y10&gt;0,(1-SUM($E$10:Y10)),0))</f>
        <v>0</v>
      </c>
      <c r="AA10" s="57">
        <f>IF('TS2'!AA5='DB2'!$U$24,50%,IF(Z10&gt;0,(1-SUM($E$10:Z10)),0))</f>
        <v>0</v>
      </c>
      <c r="AB10" s="57">
        <f>IF('TS2'!AB5='DB2'!$U$24,50%,IF(AA10&gt;0,(1-SUM($E$10:AA10)),0))</f>
        <v>0</v>
      </c>
      <c r="AC10" s="57">
        <f>IF('TS2'!AC5='DB2'!$U$24,50%,IF(AB10&gt;0,(1-SUM($E$10:AB10)),0))</f>
        <v>0</v>
      </c>
      <c r="AD10" s="57">
        <f>IF('TS2'!AD5='DB2'!$U$24,50%,IF(AC10&gt;0,(1-SUM($E$10:AC10)),0))</f>
        <v>0</v>
      </c>
      <c r="AE10" s="57">
        <f>IF('TS2'!AE5='DB2'!$U$24,50%,IF(AD10&gt;0,(1-SUM($E$10:AD10)),0))</f>
        <v>0</v>
      </c>
      <c r="AF10" s="57">
        <f>IF('TS2'!AF5='DB2'!$U$24,50%,IF(AE10&gt;0,(1-SUM($E$10:AE10)),0))</f>
        <v>0</v>
      </c>
      <c r="AG10" s="57">
        <f>IF('TS2'!AG5='DB2'!$U$24,50%,IF(AF10&gt;0,(1-SUM($E$10:AF10)),0))</f>
        <v>0</v>
      </c>
      <c r="AH10" s="57">
        <f>IF('TS2'!AH5='DB2'!$U$24,50%,IF(AG10&gt;0,(1-SUM($E$10:AG10)),0))</f>
        <v>0</v>
      </c>
      <c r="AI10" s="57">
        <f>IF('TS2'!AI5='DB2'!$U$24,50%,IF(AH10&gt;0,(1-SUM($E$10:AH10)),0))</f>
        <v>0</v>
      </c>
      <c r="AJ10" s="57">
        <f>IF('TS2'!AJ5='DB2'!$U$24,50%,IF(AI10&gt;0,(1-SUM($E$10:AI10)),0))</f>
        <v>0</v>
      </c>
      <c r="AK10" s="57">
        <f>IF('TS2'!AK5='DB2'!$U$24,50%,IF(AJ10&gt;0,(1-SUM($E$10:AJ10)),0))</f>
        <v>0</v>
      </c>
      <c r="AL10" s="57">
        <f>IF('TS2'!AL5='DB2'!$U$24,50%,IF(AK10&gt;0,(1-SUM($E$10:AK10)),0))</f>
        <v>0</v>
      </c>
      <c r="AM10" s="57">
        <f>IF('TS2'!AM5='DB2'!$U$24,50%,IF(AL10&gt;0,(1-SUM($E$10:AL10)),0))</f>
        <v>0</v>
      </c>
      <c r="AN10" s="57">
        <f>IF('TS2'!AN5='DB2'!$U$24,50%,IF(AM10&gt;0,(1-SUM($E$10:AM10)),0))</f>
        <v>0</v>
      </c>
      <c r="AO10" s="57">
        <f>IF('TS2'!AO5='DB2'!$U$24,50%,IF(AN10&gt;0,(1-SUM($E$10:AN10)),0))</f>
        <v>0</v>
      </c>
      <c r="AP10" s="57">
        <f>IF('TS2'!AP5='DB2'!$U$24,50%,IF(AO10&gt;0,(1-SUM($E$10:AO10)),0))</f>
        <v>0</v>
      </c>
      <c r="AQ10" s="57">
        <f>IF('TS2'!AQ5='DB2'!$U$24,50%,IF(AP10&gt;0,(1-SUM($E$10:AP10)),0))</f>
        <v>0</v>
      </c>
      <c r="AR10" s="57">
        <f>IF('TS2'!AR5='DB2'!$U$24,50%,IF(AQ10&gt;0,(1-SUM($E$10:AQ10)),0))</f>
        <v>0</v>
      </c>
      <c r="AS10" s="57">
        <f>IF('TS2'!AS5='DB2'!$U$24,50%,IF(AR10&gt;0,(1-SUM($E$10:AR10)),0))</f>
        <v>0</v>
      </c>
      <c r="AT10" s="57">
        <f>IF('TS2'!AT5='DB2'!$U$24,50%,IF(AS10&gt;0,(1-SUM($E$10:AS10)),0))</f>
        <v>0</v>
      </c>
      <c r="AU10" s="57">
        <f>IF('TS2'!AU5='DB2'!$U$24,50%,IF(AT10&gt;0,(1-SUM($E$10:AT10)),0))</f>
        <v>0</v>
      </c>
      <c r="AV10" s="57">
        <f>IF('TS2'!AV5='DB2'!$U$24,50%,IF(AU10&gt;0,(1-SUM($E$10:AU10)),0))</f>
        <v>0</v>
      </c>
      <c r="AW10" s="57">
        <f>IF('TS2'!AW5='DB2'!$U$24,50%,IF(AV10&gt;0,(1-SUM($E$10:AV10)),0))</f>
        <v>0</v>
      </c>
      <c r="AX10" s="57">
        <f>IF('TS2'!AX5='DB2'!$U$24,50%,IF(AW10&gt;0,(1-SUM($E$10:AW10)),0))</f>
        <v>0</v>
      </c>
      <c r="AY10" s="57">
        <f>IF('TS2'!AY5='DB2'!$U$24,50%,IF(AX10&gt;0,(1-SUM($E$10:AX10)),0))</f>
        <v>0</v>
      </c>
      <c r="AZ10" s="57">
        <f>IF('TS2'!AZ5='DB2'!$U$24,50%,IF(AY10&gt;0,(1-SUM($E$10:AY10)),0))</f>
        <v>0</v>
      </c>
      <c r="BA10" s="57">
        <f>IF('TS2'!BA5='DB2'!$U$24,50%,IF(AZ10&gt;0,(1-SUM($E$10:AZ10)),0))</f>
        <v>0</v>
      </c>
      <c r="BB10" s="57">
        <f>IF('TS2'!BB5='DB2'!$U$24,50%,IF(BA10&gt;0,(1-SUM($E$10:BA10)),0))</f>
        <v>0</v>
      </c>
      <c r="BC10" s="57">
        <f>IF('TS2'!BC5='DB2'!$U$24,50%,IF(BB10&gt;0,(1-SUM($E$10:BB10)),0))</f>
        <v>0</v>
      </c>
      <c r="BD10" s="57">
        <f>IF('TS2'!BD5='DB2'!$U$24,50%,IF(BC10&gt;0,(1-SUM($E$10:BC10)),0))</f>
        <v>0</v>
      </c>
      <c r="BE10" s="57">
        <f>IF('TS2'!BE5='DB2'!$U$24,50%,IF(BD10&gt;0,(1-SUM($E$10:BD10)),0))</f>
        <v>0</v>
      </c>
      <c r="BF10" s="57">
        <f>IF('TS2'!BF5='DB2'!$U$24,50%,IF(BE10&gt;0,(1-SUM($E$10:BE10)),0))</f>
        <v>0</v>
      </c>
      <c r="BG10" s="57">
        <f>IF('TS2'!BG5='DB2'!$U$24,50%,IF(BF10&gt;0,(1-SUM($E$10:BF10)),0))</f>
        <v>0</v>
      </c>
      <c r="BH10" s="57">
        <f>IF('TS2'!BH5='DB2'!$U$24,50%,IF(BG10&gt;0,(1-SUM($E$10:BG10)),0))</f>
        <v>0</v>
      </c>
      <c r="BI10" s="57">
        <f>IF('TS2'!BI5='DB2'!$U$24,50%,IF(BH10&gt;0,(1-SUM($E$10:BH10)),0))</f>
        <v>0</v>
      </c>
      <c r="BJ10" s="57">
        <f>IF('TS2'!BJ5='DB2'!$U$24,50%,IF(BI10&gt;0,(1-SUM($E$10:BI10)),0))</f>
        <v>0</v>
      </c>
      <c r="BK10" s="57">
        <f>IF('TS2'!BK5='DB2'!$U$24,50%,IF(BJ10&gt;0,(1-SUM($E$10:BJ10)),0))</f>
        <v>0</v>
      </c>
      <c r="BL10" s="57">
        <f>IF('TS2'!BL5='DB2'!$U$24,50%,IF(BK10&gt;0,(1-SUM($E$10:BK10)),0))</f>
        <v>0</v>
      </c>
      <c r="BM10" s="57">
        <f>IF('TS2'!BM5='DB2'!$U$24,50%,IF(BL10&gt;0,(1-SUM($E$10:BL10)),0))</f>
        <v>0</v>
      </c>
    </row>
    <row r="11" spans="2:65">
      <c r="B11" s="55" t="str">
        <f>'DB2'!B33</f>
        <v>СМР жилье</v>
      </c>
      <c r="C11" s="55"/>
      <c r="D11" s="55"/>
      <c r="E11" s="55"/>
      <c r="F11" s="57">
        <f>IF(AND(F5&gt;'DB2'!$U$24,F5&lt;=('DB2'!$U$24+'DB2'!$U$26)),1/'DB2'!$U$26,0)</f>
        <v>0</v>
      </c>
      <c r="G11" s="57">
        <f>IF(AND(G5&gt;'DB2'!$U$24,G5&lt;=('DB2'!$U$24+'DB2'!$U$26)),1/'DB2'!$U$26,0)</f>
        <v>0</v>
      </c>
      <c r="H11" s="57">
        <f>IF(AND(H5&gt;'DB2'!$U$24,H5&lt;=('DB2'!$U$24+'DB2'!$U$26)),1/'DB2'!$U$26,0)</f>
        <v>0</v>
      </c>
      <c r="I11" s="57">
        <f>IF(AND(I5&gt;'DB2'!$U$24,I5&lt;=('DB2'!$U$24+'DB2'!$U$26)),1/'DB2'!$U$26,0)</f>
        <v>0</v>
      </c>
      <c r="J11" s="57">
        <f>IF(AND(J5&gt;'DB2'!$U$24,J5&lt;=('DB2'!$U$24+'DB2'!$U$26)),1/'DB2'!$U$26,0)</f>
        <v>0</v>
      </c>
      <c r="K11" s="57">
        <f>IF(AND(K5&gt;'DB2'!$U$24,K5&lt;=('DB2'!$U$24+'DB2'!$U$26)),1/'DB2'!$U$26,0)</f>
        <v>0</v>
      </c>
      <c r="L11" s="57">
        <f>IF(AND(L5&gt;'DB2'!$U$24,L5&lt;=('DB2'!$U$24+'DB2'!$U$26)),1/'DB2'!$U$26,0)</f>
        <v>0</v>
      </c>
      <c r="M11" s="57">
        <f>IF(AND(M5&gt;'DB2'!$U$24,M5&lt;=('DB2'!$U$24+'DB2'!$U$26)),1/'DB2'!$U$26,0)</f>
        <v>0</v>
      </c>
      <c r="N11" s="57">
        <f>IF(AND(N5&gt;'DB2'!$U$24,N5&lt;=('DB2'!$U$24+'DB2'!$U$26)),1/'DB2'!$U$26,0)</f>
        <v>0</v>
      </c>
      <c r="O11" s="57">
        <f>IF(AND(O5&gt;'DB2'!$U$24,O5&lt;=('DB2'!$U$24+'DB2'!$U$26)),1/'DB2'!$U$26,0)</f>
        <v>0</v>
      </c>
      <c r="P11" s="57">
        <f>IF(AND(P5&gt;'DB2'!$U$24,P5&lt;=('DB2'!$U$24+'DB2'!$U$26)),1/'DB2'!$U$26,0)</f>
        <v>8.3333333333333329E-2</v>
      </c>
      <c r="Q11" s="57">
        <f>IF(AND(Q5&gt;'DB2'!$U$24,Q5&lt;=('DB2'!$U$24+'DB2'!$U$26)),1/'DB2'!$U$26,0)</f>
        <v>8.3333333333333329E-2</v>
      </c>
      <c r="R11" s="57">
        <f>IF(AND(R5&gt;'DB2'!$U$24,R5&lt;=('DB2'!$U$24+'DB2'!$U$26)),1/'DB2'!$U$26,0)</f>
        <v>8.3333333333333329E-2</v>
      </c>
      <c r="S11" s="57">
        <f>IF(AND(S5&gt;'DB2'!$U$24,S5&lt;=('DB2'!$U$24+'DB2'!$U$26)),1/'DB2'!$U$26,0)</f>
        <v>8.3333333333333329E-2</v>
      </c>
      <c r="T11" s="57">
        <f>IF(AND(T5&gt;'DB2'!$U$24,T5&lt;=('DB2'!$U$24+'DB2'!$U$26)),1/'DB2'!$U$26,0)</f>
        <v>8.3333333333333329E-2</v>
      </c>
      <c r="U11" s="57">
        <f>IF(AND(U5&gt;'DB2'!$U$24,U5&lt;=('DB2'!$U$24+'DB2'!$U$26)),1/'DB2'!$U$26,0)</f>
        <v>8.3333333333333329E-2</v>
      </c>
      <c r="V11" s="57">
        <f>IF(AND(V5&gt;'DB2'!$U$24,V5&lt;=('DB2'!$U$24+'DB2'!$U$26)),1/'DB2'!$U$26,0)</f>
        <v>8.3333333333333329E-2</v>
      </c>
      <c r="W11" s="57">
        <f>IF(AND(W5&gt;'DB2'!$U$24,W5&lt;=('DB2'!$U$24+'DB2'!$U$26)),1/'DB2'!$U$26,0)</f>
        <v>8.3333333333333329E-2</v>
      </c>
      <c r="X11" s="57">
        <f>IF(AND(X5&gt;'DB2'!$U$24,X5&lt;=('DB2'!$U$24+'DB2'!$U$26)),1/'DB2'!$U$26,0)</f>
        <v>8.3333333333333329E-2</v>
      </c>
      <c r="Y11" s="57">
        <f>IF(AND(Y5&gt;'DB2'!$U$24,Y5&lt;=('DB2'!$U$24+'DB2'!$U$26)),1/'DB2'!$U$26,0)</f>
        <v>8.3333333333333329E-2</v>
      </c>
      <c r="Z11" s="57">
        <f>IF(AND(Z5&gt;'DB2'!$U$24,Z5&lt;=('DB2'!$U$24+'DB2'!$U$26)),1/'DB2'!$U$26,0)</f>
        <v>8.3333333333333329E-2</v>
      </c>
      <c r="AA11" s="57">
        <f>IF(AND(AA5&gt;'DB2'!$U$24,AA5&lt;=('DB2'!$U$24+'DB2'!$U$26)),1/'DB2'!$U$26,0)</f>
        <v>8.3333333333333329E-2</v>
      </c>
      <c r="AB11" s="57">
        <f>IF(AND(AB5&gt;'DB2'!$U$24,AB5&lt;=('DB2'!$U$24+'DB2'!$U$26)),1/'DB2'!$U$26,0)</f>
        <v>0</v>
      </c>
      <c r="AC11" s="57">
        <f>IF(AND(AC5&gt;'DB2'!$U$24,AC5&lt;=('DB2'!$U$24+'DB2'!$U$26)),1/'DB2'!$U$26,0)</f>
        <v>0</v>
      </c>
      <c r="AD11" s="57">
        <f>IF(AND(AD5&gt;'DB2'!$U$24,AD5&lt;=('DB2'!$U$24+'DB2'!$U$26)),1/'DB2'!$U$26,0)</f>
        <v>0</v>
      </c>
      <c r="AE11" s="57">
        <f>IF(AND(AE5&gt;'DB2'!$U$24,AE5&lt;=('DB2'!$U$24+'DB2'!$U$26)),1/'DB2'!$U$26,0)</f>
        <v>0</v>
      </c>
      <c r="AF11" s="57">
        <f>IF(AND(AF5&gt;'DB2'!$U$24,AF5&lt;=('DB2'!$U$24+'DB2'!$U$26)),1/'DB2'!$U$26,0)</f>
        <v>0</v>
      </c>
      <c r="AG11" s="57">
        <f>IF(AND(AG5&gt;'DB2'!$U$24,AG5&lt;=('DB2'!$U$24+'DB2'!$U$26)),1/'DB2'!$U$26,0)</f>
        <v>0</v>
      </c>
      <c r="AH11" s="57">
        <f>IF(AND(AH5&gt;'DB2'!$U$24,AH5&lt;=('DB2'!$U$24+'DB2'!$U$26)),1/'DB2'!$U$26,0)</f>
        <v>0</v>
      </c>
      <c r="AI11" s="57">
        <f>IF(AND(AI5&gt;'DB2'!$U$24,AI5&lt;=('DB2'!$U$24+'DB2'!$U$26)),1/'DB2'!$U$26,0)</f>
        <v>0</v>
      </c>
      <c r="AJ11" s="57">
        <f>IF(AND(AJ5&gt;'DB2'!$U$24,AJ5&lt;=('DB2'!$U$24+'DB2'!$U$26)),1/'DB2'!$U$26,0)</f>
        <v>0</v>
      </c>
      <c r="AK11" s="57">
        <f>IF(AND(AK5&gt;'DB2'!$U$24,AK5&lt;=('DB2'!$U$24+'DB2'!$U$26)),1/'DB2'!$U$26,0)</f>
        <v>0</v>
      </c>
      <c r="AL11" s="57">
        <f>IF(AND(AL5&gt;'DB2'!$U$24,AL5&lt;=('DB2'!$U$24+'DB2'!$U$26)),1/'DB2'!$U$26,0)</f>
        <v>0</v>
      </c>
      <c r="AM11" s="57">
        <f>IF(AND(AM5&gt;'DB2'!$U$24,AM5&lt;=('DB2'!$U$24+'DB2'!$U$26)),1/'DB2'!$U$26,0)</f>
        <v>0</v>
      </c>
      <c r="AN11" s="57">
        <f>IF(AND(AN5&gt;'DB2'!$U$24,AN5&lt;=('DB2'!$U$24+'DB2'!$U$26)),1/'DB2'!$U$26,0)</f>
        <v>0</v>
      </c>
      <c r="AO11" s="57">
        <f>IF(AND(AO5&gt;'DB2'!$U$24,AO5&lt;=('DB2'!$U$24+'DB2'!$U$26)),1/'DB2'!$U$26,0)</f>
        <v>0</v>
      </c>
      <c r="AP11" s="57">
        <f>IF(AND(AP5&gt;'DB2'!$U$24,AP5&lt;=('DB2'!$U$24+'DB2'!$U$26)),1/'DB2'!$U$26,0)</f>
        <v>0</v>
      </c>
      <c r="AQ11" s="57">
        <f>IF(AND(AQ5&gt;'DB2'!$U$24,AQ5&lt;=('DB2'!$U$24+'DB2'!$U$26)),1/'DB2'!$U$26,0)</f>
        <v>0</v>
      </c>
      <c r="AR11" s="57">
        <f>IF(AND(AR5&gt;'DB2'!$U$24,AR5&lt;=('DB2'!$U$24+'DB2'!$U$26)),1/'DB2'!$U$26,0)</f>
        <v>0</v>
      </c>
      <c r="AS11" s="57">
        <f>IF(AND(AS5&gt;'DB2'!$U$24,AS5&lt;=('DB2'!$U$24+'DB2'!$U$26)),1/'DB2'!$U$26,0)</f>
        <v>0</v>
      </c>
      <c r="AT11" s="57">
        <f>IF(AND(AT5&gt;'DB2'!$U$24,AT5&lt;=('DB2'!$U$24+'DB2'!$U$26)),1/'DB2'!$U$26,0)</f>
        <v>0</v>
      </c>
      <c r="AU11" s="57">
        <f>IF(AND(AU5&gt;'DB2'!$U$24,AU5&lt;=('DB2'!$U$24+'DB2'!$U$26)),1/'DB2'!$U$26,0)</f>
        <v>0</v>
      </c>
      <c r="AV11" s="57">
        <f>IF(AND(AV5&gt;'DB2'!$U$24,AV5&lt;=('DB2'!$U$24+'DB2'!$U$26)),1/'DB2'!$U$26,0)</f>
        <v>0</v>
      </c>
      <c r="AW11" s="57">
        <f>IF(AND(AW5&gt;'DB2'!$U$24,AW5&lt;=('DB2'!$U$24+'DB2'!$U$26)),1/'DB2'!$U$26,0)</f>
        <v>0</v>
      </c>
      <c r="AX11" s="57">
        <f>IF(AND(AX5&gt;'DB2'!$U$24,AX5&lt;=('DB2'!$U$24+'DB2'!$U$26)),1/'DB2'!$U$26,0)</f>
        <v>0</v>
      </c>
      <c r="AY11" s="57">
        <f>IF(AND(AY5&gt;'DB2'!$U$24,AY5&lt;=('DB2'!$U$24+'DB2'!$U$26)),1/'DB2'!$U$26,0)</f>
        <v>0</v>
      </c>
      <c r="AZ11" s="57">
        <f>IF(AND(AZ5&gt;'DB2'!$U$24,AZ5&lt;=('DB2'!$U$24+'DB2'!$U$26)),1/'DB2'!$U$26,0)</f>
        <v>0</v>
      </c>
      <c r="BA11" s="57">
        <f>IF(AND(BA5&gt;'DB2'!$U$24,BA5&lt;=('DB2'!$U$24+'DB2'!$U$26)),1/'DB2'!$U$26,0)</f>
        <v>0</v>
      </c>
      <c r="BB11" s="57">
        <f>IF(AND(BB5&gt;'DB2'!$U$24,BB5&lt;=('DB2'!$U$24+'DB2'!$U$26)),1/'DB2'!$U$26,0)</f>
        <v>0</v>
      </c>
      <c r="BC11" s="57">
        <f>IF(AND(BC5&gt;'DB2'!$U$24,BC5&lt;=('DB2'!$U$24+'DB2'!$U$26)),1/'DB2'!$U$26,0)</f>
        <v>0</v>
      </c>
      <c r="BD11" s="57">
        <f>IF(AND(BD5&gt;'DB2'!$U$24,BD5&lt;=('DB2'!$U$24+'DB2'!$U$26)),1/'DB2'!$U$26,0)</f>
        <v>0</v>
      </c>
      <c r="BE11" s="57">
        <f>IF(AND(BE5&gt;'DB2'!$U$24,BE5&lt;=('DB2'!$U$24+'DB2'!$U$26)),1/'DB2'!$U$26,0)</f>
        <v>0</v>
      </c>
      <c r="BF11" s="57">
        <f>IF(AND(BF5&gt;'DB2'!$U$24,BF5&lt;=('DB2'!$U$24+'DB2'!$U$26)),1/'DB2'!$U$26,0)</f>
        <v>0</v>
      </c>
      <c r="BG11" s="57">
        <f>IF(AND(BG5&gt;'DB2'!$U$24,BG5&lt;=('DB2'!$U$24+'DB2'!$U$26)),1/'DB2'!$U$26,0)</f>
        <v>0</v>
      </c>
      <c r="BH11" s="57">
        <f>IF(AND(BH5&gt;'DB2'!$U$24,BH5&lt;=('DB2'!$U$24+'DB2'!$U$26)),1/'DB2'!$U$26,0)</f>
        <v>0</v>
      </c>
      <c r="BI11" s="57">
        <f>IF(AND(BI5&gt;'DB2'!$U$24,BI5&lt;=('DB2'!$U$24+'DB2'!$U$26)),1/'DB2'!$U$26,0)</f>
        <v>0</v>
      </c>
      <c r="BJ11" s="57">
        <f>IF(AND(BJ5&gt;'DB2'!$U$24,BJ5&lt;=('DB2'!$U$24+'DB2'!$U$26)),1/'DB2'!$U$26,0)</f>
        <v>0</v>
      </c>
      <c r="BK11" s="57">
        <f>IF(AND(BK5&gt;'DB2'!$U$24,BK5&lt;=('DB2'!$U$24+'DB2'!$U$26)),1/'DB2'!$U$26,0)</f>
        <v>0</v>
      </c>
      <c r="BL11" s="57">
        <f>IF(AND(BL5&gt;'DB2'!$U$24,BL5&lt;=('DB2'!$U$24+'DB2'!$U$26)),1/'DB2'!$U$26,0)</f>
        <v>0</v>
      </c>
      <c r="BM11" s="57">
        <f>IF(AND(BM5&gt;'DB2'!$U$24,BM5&lt;=('DB2'!$U$24+'DB2'!$U$26)),1/'DB2'!$U$26,0)</f>
        <v>0</v>
      </c>
    </row>
    <row r="12" spans="2:65">
      <c r="B12" s="55" t="s">
        <v>36</v>
      </c>
      <c r="C12" s="55"/>
      <c r="D12" s="55"/>
      <c r="E12" s="55"/>
      <c r="F12" s="57">
        <f>IF(I4="РнВ",IF(SUM(E11:$G11)&gt;=1,0,1/4),0)</f>
        <v>0</v>
      </c>
      <c r="G12" s="57">
        <f>IF(J4="РнВ",IF(SUM(F11:$G11)&gt;=1,0,1/4),0)</f>
        <v>0</v>
      </c>
      <c r="H12" s="57">
        <f>IF(K4="РнВ",IF(SUM(G11:$G11)&gt;=1,0,1/4),0)</f>
        <v>0</v>
      </c>
      <c r="I12" s="57">
        <f>IF(L4="РнВ",IF(SUM($G11:H11)&gt;=1,0,1/4),0)</f>
        <v>0</v>
      </c>
      <c r="J12" s="57">
        <f>IF(M4="РнВ",IF(SUM($G11:I11)&gt;=1,0,1/4),0)</f>
        <v>0</v>
      </c>
      <c r="K12" s="57">
        <f>IF(N4="РнВ",IF(SUM($G11:J11)&gt;=1,0,1/4),0)</f>
        <v>0</v>
      </c>
      <c r="L12" s="57">
        <f>IF(O4="РнВ",IF(SUM($G11:K11)&gt;=1,0,1/4),0)</f>
        <v>0</v>
      </c>
      <c r="M12" s="57">
        <f>IF(P4="РнВ",IF(SUM($G11:L11)&gt;=1,0,1/4),0)</f>
        <v>0</v>
      </c>
      <c r="N12" s="57">
        <f>IF(Q4="РнВ",IF(SUM($G11:M11)&gt;=1,0,1/4),0)</f>
        <v>0</v>
      </c>
      <c r="O12" s="57">
        <f>IF(R4="РнВ",IF(SUM($G11:N11)&gt;=1,0,1/4),0)</f>
        <v>0</v>
      </c>
      <c r="P12" s="57">
        <f>IF(S4="РнВ",IF(SUM($G11:O11)&gt;=1,0,1/4),0)</f>
        <v>0</v>
      </c>
      <c r="Q12" s="57">
        <f>IF(T4="РнВ",IF(SUM($G11:P11)&gt;=1,0,1/4),0)</f>
        <v>0</v>
      </c>
      <c r="R12" s="57">
        <f>IF(U4="РнВ",IF(SUM($G11:Q11)&gt;=1,0,1/4),0)</f>
        <v>0</v>
      </c>
      <c r="S12" s="57">
        <f>IF(V4="РнВ",IF(SUM($G11:R11)&gt;=1,0,1/4),0)</f>
        <v>0</v>
      </c>
      <c r="T12" s="57">
        <f>IF(W4="РнВ",IF(SUM($G11:S11)&gt;=1,0,1/4),0)</f>
        <v>0</v>
      </c>
      <c r="U12" s="57">
        <f>IF(X4="РнВ",IF(SUM($G11:T11)&gt;=1,0,1/4),0)</f>
        <v>0</v>
      </c>
      <c r="V12" s="57">
        <f>IF(Y4="РнВ",IF(SUM($G11:U11)&gt;=1,0,1/4),0)</f>
        <v>0</v>
      </c>
      <c r="W12" s="57">
        <f>IF(Z4="РнВ",IF(SUM($G11:V11)&gt;=1,0,1/4),0)</f>
        <v>0</v>
      </c>
      <c r="X12" s="57">
        <f>IF(AA4="РнВ",IF(SUM($G11:W11)&gt;=1,0,1/4),0)</f>
        <v>0.25</v>
      </c>
      <c r="Y12" s="57">
        <f>IF(AB4="РнВ",IF(SUM($G11:X11)&gt;=1,0,1/4),0)</f>
        <v>0.25</v>
      </c>
      <c r="Z12" s="57">
        <f>IF(AC4="РнВ",IF(SUM($G11:Y11)&gt;=1,0,1/4),0)</f>
        <v>0.25</v>
      </c>
      <c r="AA12" s="57">
        <f>IF(AD4="РнВ",IF(SUM($G11:Z11)&gt;=1,0,1/4),0)</f>
        <v>0.25</v>
      </c>
      <c r="AB12" s="57">
        <f>IF(AE4="РнВ",IF(SUM($G11:AA11)&gt;=1,0,1/4),0)</f>
        <v>0</v>
      </c>
      <c r="AC12" s="57">
        <f>IF(AF4="РнВ",IF(SUM($G11:AB11)&gt;=1,0,1/4),0)</f>
        <v>0</v>
      </c>
      <c r="AD12" s="57">
        <f>IF(AG4="РнВ",IF(SUM($G11:AC11)&gt;=1,0,1/4),0)</f>
        <v>0</v>
      </c>
      <c r="AE12" s="57">
        <f>IF(AH4="РнВ",IF(SUM($G11:AD11)&gt;=1,0,1/4),0)</f>
        <v>0</v>
      </c>
      <c r="AF12" s="57">
        <f>IF(AI4="РнВ",IF(SUM($G11:AE11)&gt;=1,0,1/4),0)</f>
        <v>0</v>
      </c>
      <c r="AG12" s="57">
        <f>IF(AJ4="РнВ",IF(SUM($G11:AF11)&gt;=1,0,1/4),0)</f>
        <v>0</v>
      </c>
      <c r="AH12" s="57">
        <f>IF(AK4="РнВ",IF(SUM($G11:AG11)&gt;=1,0,1/4),0)</f>
        <v>0</v>
      </c>
      <c r="AI12" s="57">
        <f>IF(AL4="РнВ",IF(SUM($G11:AH11)&gt;=1,0,1/4),0)</f>
        <v>0</v>
      </c>
      <c r="AJ12" s="57">
        <f>IF(AM4="РнВ",IF(SUM($G11:AI11)&gt;=1,0,1/4),0)</f>
        <v>0</v>
      </c>
      <c r="AK12" s="57">
        <f>IF(AN4="РнВ",IF(SUM($G11:AJ11)&gt;=1,0,1/4),0)</f>
        <v>0</v>
      </c>
      <c r="AL12" s="57">
        <f>IF(AO4="РнВ",IF(SUM($G11:AK11)&gt;=1,0,1/4),0)</f>
        <v>0</v>
      </c>
      <c r="AM12" s="57">
        <f>IF(AP4="РнВ",IF(SUM($G11:AL11)&gt;=1,0,1/4),0)</f>
        <v>0</v>
      </c>
      <c r="AN12" s="57">
        <f>IF(AQ4="РнВ",IF(SUM($G11:AM11)&gt;=1,0,1/4),0)</f>
        <v>0</v>
      </c>
      <c r="AO12" s="57">
        <f>IF(AR4="РнВ",IF(SUM($G11:AN11)&gt;=1,0,1/4),0)</f>
        <v>0</v>
      </c>
      <c r="AP12" s="57">
        <f>IF(AS4="РнВ",IF(SUM($G11:AO11)&gt;=1,0,1/4),0)</f>
        <v>0</v>
      </c>
      <c r="AQ12" s="57">
        <f>IF(AT4="РнВ",IF(SUM($G11:AP11)&gt;=1,0,1/4),0)</f>
        <v>0</v>
      </c>
      <c r="AR12" s="57">
        <f>IF(AU4="РнВ",IF(SUM($G11:AQ11)&gt;=1,0,1/4),0)</f>
        <v>0</v>
      </c>
      <c r="AS12" s="57">
        <f>IF(AV4="РнВ",IF(SUM($G11:AR11)&gt;=1,0,1/4),0)</f>
        <v>0</v>
      </c>
      <c r="AT12" s="57">
        <f>IF(AW4="РнВ",IF(SUM($G11:AS11)&gt;=1,0,1/4),0)</f>
        <v>0</v>
      </c>
      <c r="AU12" s="57">
        <f>IF(AX4="РнВ",IF(SUM($G11:AT11)&gt;=1,0,1/4),0)</f>
        <v>0</v>
      </c>
      <c r="AV12" s="57">
        <f>IF(AY4="РнВ",IF(SUM($G11:AU11)&gt;=1,0,1/4),0)</f>
        <v>0</v>
      </c>
      <c r="AW12" s="57">
        <f>IF(AZ4="РнВ",IF(SUM($G11:AV11)&gt;=1,0,1/4),0)</f>
        <v>0</v>
      </c>
      <c r="AX12" s="57">
        <f>IF(BA4="РнВ",IF(SUM($G11:AW11)&gt;=1,0,1/4),0)</f>
        <v>0</v>
      </c>
      <c r="AY12" s="57">
        <f>IF(BB4="РнВ",IF(SUM($G11:AX11)&gt;=1,0,1/4),0)</f>
        <v>0</v>
      </c>
      <c r="AZ12" s="57">
        <f>IF(BC4="РнВ",IF(SUM($G11:AY11)&gt;=1,0,1/4),0)</f>
        <v>0</v>
      </c>
      <c r="BA12" s="57">
        <f>IF(BD4="РнВ",IF(SUM($G11:AZ11)&gt;=1,0,1/4),0)</f>
        <v>0</v>
      </c>
      <c r="BB12" s="57">
        <f>IF(BE4="РнВ",IF(SUM($G11:BA11)&gt;=1,0,1/4),0)</f>
        <v>0</v>
      </c>
      <c r="BC12" s="57">
        <f>IF(BF4="РнВ",IF(SUM($G11:BB11)&gt;=1,0,1/4),0)</f>
        <v>0</v>
      </c>
      <c r="BD12" s="57">
        <f>IF(BG4="РнВ",IF(SUM($G11:BC11)&gt;=1,0,1/4),0)</f>
        <v>0</v>
      </c>
      <c r="BE12" s="57">
        <f>IF(BH4="РнВ",IF(SUM($G11:BD11)&gt;=1,0,1/4),0)</f>
        <v>0</v>
      </c>
      <c r="BF12" s="57">
        <f>IF(BI4="РнВ",IF(SUM($G11:BE11)&gt;=1,0,1/4),0)</f>
        <v>0</v>
      </c>
      <c r="BG12" s="57">
        <f>IF(BJ4="РнВ",IF(SUM($G11:BF11)&gt;=1,0,1/4),0)</f>
        <v>0</v>
      </c>
      <c r="BH12" s="57">
        <f>IF(BK4="РнВ",IF(SUM($G11:BG11)&gt;=1,0,1/4),0)</f>
        <v>0</v>
      </c>
      <c r="BI12" s="57">
        <f>IF(BL4="РнВ",IF(SUM($G11:BH11)&gt;=1,0,1/4),0)</f>
        <v>0</v>
      </c>
      <c r="BJ12" s="57">
        <f>IF(BM4="РнВ",IF(SUM($G11:BI11)&gt;=1,0,1/4),0)</f>
        <v>0</v>
      </c>
      <c r="BK12" s="57">
        <f>IF(BN4="РнВ",IF(SUM($G11:BJ11)&gt;=1,0,1/4),0)</f>
        <v>0</v>
      </c>
      <c r="BL12" s="57">
        <f>IF(BO4="РнВ",IF(SUM($G11:BK11)&gt;=1,0,1/4),0)</f>
        <v>0</v>
      </c>
      <c r="BM12" s="57">
        <f>IF(BP4="РнВ",IF(SUM($G11:BL11)&gt;=1,0,1/4),0)</f>
        <v>0</v>
      </c>
    </row>
    <row r="13" spans="2:65">
      <c r="B13" s="55" t="s">
        <v>33</v>
      </c>
      <c r="C13" s="55"/>
      <c r="D13" s="55"/>
      <c r="E13" s="55"/>
      <c r="F13" s="57">
        <v>0</v>
      </c>
      <c r="G13" s="57">
        <v>0</v>
      </c>
      <c r="H13" s="57">
        <v>0</v>
      </c>
      <c r="I13" s="57">
        <v>0</v>
      </c>
      <c r="J13" s="57"/>
      <c r="K13" s="57"/>
      <c r="L13" s="57">
        <v>0</v>
      </c>
      <c r="M13" s="57"/>
      <c r="N13" s="57">
        <v>0.3</v>
      </c>
      <c r="O13" s="57">
        <v>0.5</v>
      </c>
      <c r="P13" s="57">
        <v>0</v>
      </c>
      <c r="Q13" s="57">
        <v>0</v>
      </c>
      <c r="R13" s="57">
        <v>0</v>
      </c>
      <c r="S13" s="57">
        <v>0</v>
      </c>
      <c r="T13" s="57">
        <v>0</v>
      </c>
      <c r="U13" s="57">
        <v>0</v>
      </c>
      <c r="V13" s="57">
        <v>0</v>
      </c>
      <c r="W13" s="57"/>
      <c r="X13" s="57"/>
      <c r="Y13" s="57">
        <v>0.1</v>
      </c>
      <c r="Z13" s="57">
        <v>0.1</v>
      </c>
      <c r="AA13" s="57">
        <v>0</v>
      </c>
      <c r="AB13" s="57">
        <v>0</v>
      </c>
      <c r="AC13" s="57">
        <v>0</v>
      </c>
      <c r="AD13" s="57">
        <v>0</v>
      </c>
      <c r="AE13" s="57">
        <v>0</v>
      </c>
      <c r="AF13" s="57">
        <v>0</v>
      </c>
      <c r="AG13" s="57">
        <v>0</v>
      </c>
      <c r="AH13" s="57">
        <v>0</v>
      </c>
      <c r="AI13" s="57">
        <v>0</v>
      </c>
      <c r="AJ13" s="57">
        <v>0</v>
      </c>
      <c r="AK13" s="57">
        <v>0</v>
      </c>
      <c r="AL13" s="57">
        <v>0</v>
      </c>
      <c r="AM13" s="57">
        <v>0</v>
      </c>
      <c r="AN13" s="57">
        <v>0</v>
      </c>
      <c r="AO13" s="57">
        <v>0</v>
      </c>
      <c r="AP13" s="57">
        <v>0</v>
      </c>
      <c r="AQ13" s="57">
        <v>0</v>
      </c>
      <c r="AR13" s="57">
        <v>0</v>
      </c>
      <c r="AS13" s="57">
        <v>0</v>
      </c>
      <c r="AT13" s="57">
        <v>0</v>
      </c>
      <c r="AU13" s="57">
        <v>0</v>
      </c>
      <c r="AV13" s="57">
        <v>0</v>
      </c>
      <c r="AW13" s="57">
        <v>0</v>
      </c>
      <c r="AX13" s="57">
        <v>0</v>
      </c>
      <c r="AY13" s="57">
        <v>0</v>
      </c>
      <c r="AZ13" s="57">
        <v>0</v>
      </c>
      <c r="BA13" s="57">
        <v>0</v>
      </c>
      <c r="BB13" s="57">
        <v>0</v>
      </c>
      <c r="BC13" s="57">
        <v>0</v>
      </c>
      <c r="BD13" s="57">
        <v>0</v>
      </c>
      <c r="BE13" s="57">
        <v>0</v>
      </c>
      <c r="BF13" s="57">
        <v>0</v>
      </c>
      <c r="BG13" s="57">
        <v>0</v>
      </c>
      <c r="BH13" s="57">
        <v>0</v>
      </c>
      <c r="BI13" s="57">
        <v>0</v>
      </c>
      <c r="BJ13" s="57">
        <v>0</v>
      </c>
      <c r="BK13" s="57">
        <v>0</v>
      </c>
      <c r="BL13" s="57">
        <v>0</v>
      </c>
      <c r="BM13" s="57">
        <v>0</v>
      </c>
    </row>
    <row r="14" spans="2:65"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</row>
    <row r="16" spans="2:65" s="198" customFormat="1">
      <c r="F16" s="199">
        <f>IF(SUM($F25:F25)&gt;=100%,"РнВ",IF(AND(F25&gt;0,E25=0),"РнС",0))</f>
        <v>0</v>
      </c>
      <c r="G16" s="199">
        <f>IF(SUM($F25:G25)&gt;=100%,"РнВ",IF(AND(G25&gt;0,F25=0),"РнС",0))</f>
        <v>0</v>
      </c>
      <c r="H16" s="199">
        <f>IF(SUM($F25:H25)&gt;=100%,"РнВ",IF(AND(H25&gt;0,G25=0),"РнС",0))</f>
        <v>0</v>
      </c>
      <c r="I16" s="199">
        <f>IF(SUM($F25:I25)&gt;=100%,"РнВ",IF(AND(I25&gt;0,H25=0),"РнС",0))</f>
        <v>0</v>
      </c>
      <c r="J16" s="199">
        <f>IF(SUM($F25:J25)&gt;=100%,"РнВ",IF(AND(J25&gt;0,I25=0),"РнС",0))</f>
        <v>0</v>
      </c>
      <c r="K16" s="199">
        <f>IF(SUM($F25:K25)&gt;=100%,"РнВ",IF(AND(K25&gt;0,J25=0),"РнС",0))</f>
        <v>0</v>
      </c>
      <c r="L16" s="199">
        <f>IF(SUM($F25:L25)&gt;=100%,"РнВ",IF(AND(L25&gt;0,K25=0),"РнС",0))</f>
        <v>0</v>
      </c>
      <c r="M16" s="199">
        <f>IF(SUM($F25:M25)&gt;=100%,"РнВ",IF(AND(M25&gt;0,L25=0),"РнС",0))</f>
        <v>0</v>
      </c>
      <c r="N16" s="199">
        <f>IF(SUM($F25:N25)&gt;=100%,"РнВ",IF(AND(N25&gt;0,M25=0),"РнС",0))</f>
        <v>0</v>
      </c>
      <c r="O16" s="199">
        <f>IF(SUM($F25:O25)&gt;=100%,"РнВ",IF(AND(O25&gt;0,N25=0),"РнС",0))</f>
        <v>0</v>
      </c>
      <c r="P16" s="199">
        <f>IF(SUM($F25:P25)&gt;=100%,"РнВ",IF(AND(P25&gt;0,O25=0),"РнС",0))</f>
        <v>0</v>
      </c>
      <c r="Q16" s="199">
        <f>IF(SUM($F25:Q25)&gt;=100%,"РнВ",IF(AND(Q25&gt;0,P25=0),"РнС",0))</f>
        <v>0</v>
      </c>
      <c r="R16" s="199">
        <f>IF(SUM($F25:R25)&gt;=100%,"РнВ",IF(AND(R25&gt;0,Q25=0),"РнС",0))</f>
        <v>0</v>
      </c>
      <c r="S16" s="199">
        <f>IF(SUM($F25:S25)&gt;=100%,"РнВ",IF(AND(S25&gt;0,R25=0),"РнС",0))</f>
        <v>0</v>
      </c>
      <c r="T16" s="199">
        <f>IF(SUM($F25:T25)&gt;=100%,"РнВ",IF(AND(T25&gt;0,S25=0),"РнС",0))</f>
        <v>0</v>
      </c>
      <c r="U16" s="199">
        <f>IF(SUM($F25:U25)&gt;=100%,"РнВ",IF(AND(U25&gt;0,T25=0),"РнС",0))</f>
        <v>0</v>
      </c>
      <c r="V16" s="199">
        <f>IF(SUM($F25:V25)&gt;=100%,"РнВ",IF(AND(V25&gt;0,U25=0),"РнС",0))</f>
        <v>0</v>
      </c>
      <c r="W16" s="199">
        <f>IF(SUM($F25:W25)&gt;=100%,"РнВ",IF(AND(W25&gt;0,V25=0),"РнС",0))</f>
        <v>0</v>
      </c>
      <c r="X16" s="199" t="str">
        <f>IF(SUM($F25:X25)&gt;=100%,"РнВ",IF(AND(X25&gt;0,W25=0),"РнС",0))</f>
        <v>РнС</v>
      </c>
      <c r="Y16" s="199">
        <f>IF(SUM($F25:Y25)&gt;=100%,"РнВ",IF(AND(Y25&gt;0,X25=0),"РнС",0))</f>
        <v>0</v>
      </c>
      <c r="Z16" s="199">
        <f>IF(SUM($F25:Z25)&gt;=100%,"РнВ",IF(AND(Z25&gt;0,Y25=0),"РнС",0))</f>
        <v>0</v>
      </c>
      <c r="AA16" s="199">
        <f>IF(SUM($F25:AA25)&gt;=100%,"РнВ",IF(AND(AA25&gt;0,Z25=0),"РнС",0))</f>
        <v>0</v>
      </c>
      <c r="AB16" s="199">
        <f>IF(SUM($F25:AB25)&gt;=100%,"РнВ",IF(AND(AB25&gt;0,AA25=0),"РнС",0))</f>
        <v>0</v>
      </c>
      <c r="AC16" s="199">
        <f>IF(SUM($F25:AC25)&gt;=100%,"РнВ",IF(AND(AC25&gt;0,AB25=0),"РнС",0))</f>
        <v>0</v>
      </c>
      <c r="AD16" s="199">
        <f>IF(SUM($F25:AD25)&gt;=100%,"РнВ",IF(AND(AD25&gt;0,AC25=0),"РнС",0))</f>
        <v>0</v>
      </c>
      <c r="AE16" s="199">
        <f>IF(SUM($F25:AE25)&gt;=100%,"РнВ",IF(AND(AE25&gt;0,AD25=0),"РнС",0))</f>
        <v>0</v>
      </c>
      <c r="AF16" s="199">
        <f>IF(SUM($F25:AF25)&gt;=100%,"РнВ",IF(AND(AF25&gt;0,AE25=0),"РнС",0))</f>
        <v>0</v>
      </c>
      <c r="AG16" s="199">
        <f>IF(SUM($F25:AG25)&gt;=100%,"РнВ",IF(AND(AG25&gt;0,AF25=0),"РнС",0))</f>
        <v>0</v>
      </c>
      <c r="AH16" s="199">
        <f>IF(SUM($F25:AH25)&gt;=100%,"РнВ",IF(AND(AH25&gt;0,AG25=0),"РнС",0))</f>
        <v>0</v>
      </c>
      <c r="AI16" s="199" t="str">
        <f>IF(SUM($F25:AI25)&gt;=100%,"РнВ",IF(AND(AI25&gt;0,AH25=0),"РнС",0))</f>
        <v>РнВ</v>
      </c>
      <c r="AJ16" s="199" t="str">
        <f>IF(SUM($F25:AJ25)&gt;=100%,"РнВ",IF(AND(AJ25&gt;0,AI25=0),"РнС",0))</f>
        <v>РнВ</v>
      </c>
      <c r="AK16" s="199" t="str">
        <f>IF(SUM($F25:AK25)&gt;=100%,"РнВ",IF(AND(AK25&gt;0,AJ25=0),"РнС",0))</f>
        <v>РнВ</v>
      </c>
      <c r="AL16" s="199" t="str">
        <f>IF(SUM($F25:AL25)&gt;=100%,"РнВ",IF(AND(AL25&gt;0,AK25=0),"РнС",0))</f>
        <v>РнВ</v>
      </c>
      <c r="AM16" s="199" t="str">
        <f>IF(SUM($F25:AM25)&gt;=100%,"РнВ",IF(AND(AM25&gt;0,AL25=0),"РнС",0))</f>
        <v>РнВ</v>
      </c>
      <c r="AN16" s="199" t="str">
        <f>IF(SUM($F25:AN25)&gt;=100%,"РнВ",IF(AND(AN25&gt;0,AM25=0),"РнС",0))</f>
        <v>РнВ</v>
      </c>
      <c r="AO16" s="199" t="str">
        <f>IF(SUM($F25:AO25)&gt;=100%,"РнВ",IF(AND(AO25&gt;0,AN25=0),"РнС",0))</f>
        <v>РнВ</v>
      </c>
      <c r="AP16" s="199" t="str">
        <f>IF(SUM($F25:AP25)&gt;=100%,"РнВ",IF(AND(AP25&gt;0,AO25=0),"РнС",0))</f>
        <v>РнВ</v>
      </c>
      <c r="AQ16" s="199" t="str">
        <f>IF(SUM($F25:AQ25)&gt;=100%,"РнВ",IF(AND(AQ25&gt;0,AP25=0),"РнС",0))</f>
        <v>РнВ</v>
      </c>
      <c r="AR16" s="199" t="str">
        <f>IF(SUM($F25:AR25)&gt;=100%,"РнВ",IF(AND(AR25&gt;0,AQ25=0),"РнС",0))</f>
        <v>РнВ</v>
      </c>
      <c r="AS16" s="199" t="str">
        <f>IF(SUM($F25:AS25)&gt;=100%,"РнВ",IF(AND(AS25&gt;0,AR25=0),"РнС",0))</f>
        <v>РнВ</v>
      </c>
      <c r="AT16" s="199" t="str">
        <f>IF(SUM($F25:AT25)&gt;=100%,"РнВ",IF(AND(AT25&gt;0,AS25=0),"РнС",0))</f>
        <v>РнВ</v>
      </c>
      <c r="AU16" s="199" t="str">
        <f>IF(SUM($F25:AU25)&gt;=100%,"РнВ",IF(AND(AU25&gt;0,AT25=0),"РнС",0))</f>
        <v>РнВ</v>
      </c>
      <c r="AV16" s="199" t="str">
        <f>IF(SUM($F25:AV25)&gt;=100%,"РнВ",IF(AND(AV25&gt;0,AU25=0),"РнС",0))</f>
        <v>РнВ</v>
      </c>
      <c r="AW16" s="199" t="str">
        <f>IF(SUM($F25:AW25)&gt;=100%,"РнВ",IF(AND(AW25&gt;0,AV25=0),"РнС",0))</f>
        <v>РнВ</v>
      </c>
      <c r="AX16" s="199" t="str">
        <f>IF(SUM($F25:AX25)&gt;=100%,"РнВ",IF(AND(AX25&gt;0,AW25=0),"РнС",0))</f>
        <v>РнВ</v>
      </c>
      <c r="AY16" s="199" t="str">
        <f>IF(SUM($F25:AY25)&gt;=100%,"РнВ",IF(AND(AY25&gt;0,AX25=0),"РнС",0))</f>
        <v>РнВ</v>
      </c>
      <c r="AZ16" s="199" t="str">
        <f>IF(SUM($F25:AZ25)&gt;=100%,"РнВ",IF(AND(AZ25&gt;0,AY25=0),"РнС",0))</f>
        <v>РнВ</v>
      </c>
      <c r="BA16" s="199" t="str">
        <f>IF(SUM($F25:BA25)&gt;=100%,"РнВ",IF(AND(BA25&gt;0,AZ25=0),"РнС",0))</f>
        <v>РнВ</v>
      </c>
      <c r="BB16" s="199" t="str">
        <f>IF(SUM($F25:BB25)&gt;=100%,"РнВ",IF(AND(BB25&gt;0,BA25=0),"РнС",0))</f>
        <v>РнВ</v>
      </c>
      <c r="BC16" s="199" t="str">
        <f>IF(SUM($F25:BC25)&gt;=100%,"РнВ",IF(AND(BC25&gt;0,BB25=0),"РнС",0))</f>
        <v>РнВ</v>
      </c>
      <c r="BD16" s="199" t="str">
        <f>IF(SUM($F25:BD25)&gt;=100%,"РнВ",IF(AND(BD25&gt;0,BC25=0),"РнС",0))</f>
        <v>РнВ</v>
      </c>
      <c r="BE16" s="199" t="str">
        <f>IF(SUM($F25:BE25)&gt;=100%,"РнВ",IF(AND(BE25&gt;0,BD25=0),"РнС",0))</f>
        <v>РнВ</v>
      </c>
      <c r="BF16" s="199" t="str">
        <f>IF(SUM($F25:BF25)&gt;=100%,"РнВ",IF(AND(BF25&gt;0,BE25=0),"РнС",0))</f>
        <v>РнВ</v>
      </c>
      <c r="BG16" s="199" t="str">
        <f>IF(SUM($F25:BG25)&gt;=100%,"РнВ",IF(AND(BG25&gt;0,BF25=0),"РнС",0))</f>
        <v>РнВ</v>
      </c>
      <c r="BH16" s="199" t="str">
        <f>IF(SUM($F25:BH25)&gt;=100%,"РнВ",IF(AND(BH25&gt;0,BG25=0),"РнС",0))</f>
        <v>РнВ</v>
      </c>
      <c r="BI16" s="199" t="str">
        <f>IF(SUM($F25:BI25)&gt;=100%,"РнВ",IF(AND(BI25&gt;0,BH25=0),"РнС",0))</f>
        <v>РнВ</v>
      </c>
      <c r="BJ16" s="199" t="str">
        <f>IF(SUM($F25:BJ25)&gt;=100%,"РнВ",IF(AND(BJ25&gt;0,BI25=0),"РнС",0))</f>
        <v>РнВ</v>
      </c>
      <c r="BK16" s="199" t="str">
        <f>IF(SUM($F25:BK25)&gt;=100%,"РнВ",IF(AND(BK25&gt;0,BJ25=0),"РнС",0))</f>
        <v>РнВ</v>
      </c>
      <c r="BL16" s="199" t="str">
        <f>IF(SUM($F25:BL25)&gt;=100%,"РнВ",IF(AND(BL25&gt;0,BK25=0),"РнС",0))</f>
        <v>РнВ</v>
      </c>
      <c r="BM16" s="199" t="str">
        <f>IF(SUM($F25:BM25)&gt;=100%,"РнВ",IF(AND(BM25&gt;0,BL25=0),"РнС",0))</f>
        <v>РнВ</v>
      </c>
    </row>
    <row r="17" spans="2:65">
      <c r="F17" s="114">
        <f>'CF2'!F5</f>
        <v>45107</v>
      </c>
      <c r="G17" s="114">
        <f>'CF2'!G5</f>
        <v>45199</v>
      </c>
      <c r="H17" s="114">
        <f>'CF2'!H5</f>
        <v>45291</v>
      </c>
      <c r="I17" s="114">
        <f>'CF2'!I5</f>
        <v>45382</v>
      </c>
      <c r="J17" s="114">
        <f>'CF2'!J5</f>
        <v>45473</v>
      </c>
      <c r="K17" s="114">
        <f>'CF2'!K5</f>
        <v>45565</v>
      </c>
      <c r="L17" s="114">
        <f>'CF2'!L5</f>
        <v>45657</v>
      </c>
      <c r="M17" s="114">
        <f>'CF2'!M5</f>
        <v>45747</v>
      </c>
      <c r="N17" s="114">
        <f>'CF2'!N5</f>
        <v>45838</v>
      </c>
      <c r="O17" s="114">
        <f>'CF2'!O5</f>
        <v>45930</v>
      </c>
      <c r="P17" s="114">
        <f>'CF2'!P5</f>
        <v>46022</v>
      </c>
      <c r="Q17" s="114">
        <f>'CF2'!Q5</f>
        <v>46112</v>
      </c>
      <c r="R17" s="114">
        <f>'CF2'!R5</f>
        <v>46203</v>
      </c>
      <c r="S17" s="114">
        <f>'CF2'!S5</f>
        <v>46295</v>
      </c>
      <c r="T17" s="114">
        <f>'CF2'!T5</f>
        <v>46387</v>
      </c>
      <c r="U17" s="114">
        <f>'CF2'!U5</f>
        <v>46477</v>
      </c>
      <c r="V17" s="114">
        <f>'CF2'!V5</f>
        <v>46568</v>
      </c>
      <c r="W17" s="114">
        <f>'CF2'!W5</f>
        <v>46660</v>
      </c>
      <c r="X17" s="114">
        <f>'CF2'!X5</f>
        <v>46752</v>
      </c>
      <c r="Y17" s="114">
        <f>'CF2'!Y5</f>
        <v>46843</v>
      </c>
      <c r="Z17" s="114">
        <f>'CF2'!Z5</f>
        <v>46934</v>
      </c>
      <c r="AA17" s="114">
        <f>'CF2'!AA5</f>
        <v>47026</v>
      </c>
      <c r="AB17" s="114">
        <f>'CF2'!AB5</f>
        <v>47118</v>
      </c>
      <c r="AC17" s="114">
        <f>'CF2'!AC5</f>
        <v>47208</v>
      </c>
      <c r="AD17" s="114">
        <f>'CF2'!AD5</f>
        <v>47299</v>
      </c>
      <c r="AE17" s="114">
        <f>'CF2'!AE5</f>
        <v>47391</v>
      </c>
      <c r="AF17" s="114">
        <f>'CF2'!AF5</f>
        <v>47483</v>
      </c>
      <c r="AG17" s="114">
        <f>'CF2'!AG5</f>
        <v>47573</v>
      </c>
      <c r="AH17" s="114">
        <f>'CF2'!AH5</f>
        <v>47664</v>
      </c>
      <c r="AI17" s="114">
        <f>'CF2'!AI5</f>
        <v>47756</v>
      </c>
      <c r="AJ17" s="114">
        <f>'CF2'!AJ5</f>
        <v>47848</v>
      </c>
      <c r="AK17" s="114">
        <f>'CF2'!AK5</f>
        <v>47938</v>
      </c>
      <c r="AL17" s="114">
        <f>'CF2'!AL5</f>
        <v>48029</v>
      </c>
      <c r="AM17" s="114">
        <f>'CF2'!AM5</f>
        <v>48121</v>
      </c>
      <c r="AN17" s="114">
        <f>'CF2'!AN5</f>
        <v>48213</v>
      </c>
      <c r="AO17" s="114">
        <f>'CF2'!AO5</f>
        <v>48304</v>
      </c>
      <c r="AP17" s="114">
        <f>'CF2'!AP5</f>
        <v>48395</v>
      </c>
      <c r="AQ17" s="114">
        <f>'CF2'!AQ5</f>
        <v>48487</v>
      </c>
      <c r="AR17" s="114">
        <f>'CF2'!AR5</f>
        <v>48579</v>
      </c>
      <c r="AS17" s="114">
        <f>'CF2'!AS5</f>
        <v>48669</v>
      </c>
      <c r="AT17" s="114">
        <f>'CF2'!AT5</f>
        <v>48760</v>
      </c>
      <c r="AU17" s="114">
        <f>'CF2'!AU5</f>
        <v>48852</v>
      </c>
      <c r="AV17" s="114">
        <f>'CF2'!AV5</f>
        <v>48944</v>
      </c>
      <c r="AW17" s="114">
        <f>'CF2'!AW5</f>
        <v>49034</v>
      </c>
      <c r="AX17" s="114">
        <f>'CF2'!AX5</f>
        <v>49125</v>
      </c>
      <c r="AY17" s="114">
        <f>'CF2'!AY5</f>
        <v>49217</v>
      </c>
      <c r="AZ17" s="114">
        <f>'CF2'!AZ5</f>
        <v>49309</v>
      </c>
      <c r="BA17" s="114">
        <f>'CF2'!BA5</f>
        <v>49399</v>
      </c>
      <c r="BB17" s="114">
        <f>'CF2'!BB5</f>
        <v>49490</v>
      </c>
      <c r="BC17" s="114">
        <f>'CF2'!BC5</f>
        <v>49582</v>
      </c>
      <c r="BD17" s="114">
        <f>'CF2'!BD5</f>
        <v>49674</v>
      </c>
      <c r="BE17" s="114">
        <f>'CF2'!BE5</f>
        <v>49765</v>
      </c>
      <c r="BF17" s="114">
        <f>'CF2'!BF5</f>
        <v>49856</v>
      </c>
      <c r="BG17" s="114">
        <f>'CF2'!BG5</f>
        <v>49948</v>
      </c>
      <c r="BH17" s="114">
        <f>'CF2'!BH5</f>
        <v>50040</v>
      </c>
      <c r="BI17" s="114">
        <f>'CF2'!BI5</f>
        <v>50130</v>
      </c>
      <c r="BJ17" s="114">
        <f>'CF2'!BJ5</f>
        <v>50221</v>
      </c>
      <c r="BK17" s="114">
        <f>'CF2'!BK5</f>
        <v>50313</v>
      </c>
      <c r="BL17" s="114">
        <f>'CF2'!BL5</f>
        <v>50405</v>
      </c>
      <c r="BM17" s="114">
        <f>'CF2'!BM5</f>
        <v>50495</v>
      </c>
    </row>
    <row r="18" spans="2:65">
      <c r="B18" s="19" t="s">
        <v>41</v>
      </c>
      <c r="C18" s="113"/>
      <c r="D18" s="113"/>
      <c r="E18" s="113"/>
      <c r="F18" s="114" t="str">
        <f>'CF2'!F6</f>
        <v>2Q2023</v>
      </c>
      <c r="G18" s="114" t="str">
        <f>'CF2'!G6</f>
        <v>3Q2023</v>
      </c>
      <c r="H18" s="114" t="str">
        <f>'CF2'!H6</f>
        <v>4Q2023</v>
      </c>
      <c r="I18" s="114" t="str">
        <f>'CF2'!I6</f>
        <v>1Q2024</v>
      </c>
      <c r="J18" s="114" t="str">
        <f>'CF2'!J6</f>
        <v>2Q2024</v>
      </c>
      <c r="K18" s="114" t="str">
        <f>'CF2'!K6</f>
        <v>3Q2024</v>
      </c>
      <c r="L18" s="114" t="str">
        <f>'CF2'!L6</f>
        <v>4Q2024</v>
      </c>
      <c r="M18" s="114" t="str">
        <f>'CF2'!M6</f>
        <v>1Q2025</v>
      </c>
      <c r="N18" s="114" t="str">
        <f>'CF2'!N6</f>
        <v>2Q2025</v>
      </c>
      <c r="O18" s="114" t="str">
        <f>'CF2'!O6</f>
        <v>3Q2025</v>
      </c>
      <c r="P18" s="114" t="str">
        <f>'CF2'!P6</f>
        <v>4Q2025</v>
      </c>
      <c r="Q18" s="114" t="str">
        <f>'CF2'!Q6</f>
        <v>1Q2026</v>
      </c>
      <c r="R18" s="114" t="str">
        <f>'CF2'!R6</f>
        <v>2Q2026</v>
      </c>
      <c r="S18" s="114" t="str">
        <f>'CF2'!S6</f>
        <v>3Q2026</v>
      </c>
      <c r="T18" s="114" t="str">
        <f>'CF2'!T6</f>
        <v>4Q2026</v>
      </c>
      <c r="U18" s="114" t="str">
        <f>'CF2'!U6</f>
        <v>1Q2027</v>
      </c>
      <c r="V18" s="114" t="str">
        <f>'CF2'!V6</f>
        <v>2Q2027</v>
      </c>
      <c r="W18" s="114" t="str">
        <f>'CF2'!W6</f>
        <v>3Q2027</v>
      </c>
      <c r="X18" s="114" t="str">
        <f>'CF2'!X6</f>
        <v>4Q2027</v>
      </c>
      <c r="Y18" s="114" t="str">
        <f>'CF2'!Y6</f>
        <v>1Q2028</v>
      </c>
      <c r="Z18" s="114" t="str">
        <f>'CF2'!Z6</f>
        <v>2Q2028</v>
      </c>
      <c r="AA18" s="114" t="str">
        <f>'CF2'!AA6</f>
        <v>3Q2028</v>
      </c>
      <c r="AB18" s="114" t="str">
        <f>'CF2'!AB6</f>
        <v>4Q2028</v>
      </c>
      <c r="AC18" s="114" t="str">
        <f>'CF2'!AC6</f>
        <v>1Q2029</v>
      </c>
      <c r="AD18" s="114" t="str">
        <f>'CF2'!AD6</f>
        <v>2Q2029</v>
      </c>
      <c r="AE18" s="114" t="str">
        <f>'CF2'!AE6</f>
        <v>3Q2029</v>
      </c>
      <c r="AF18" s="114" t="str">
        <f>'CF2'!AF6</f>
        <v>4Q2029</v>
      </c>
      <c r="AG18" s="114" t="str">
        <f>'CF2'!AG6</f>
        <v>1Q2030</v>
      </c>
      <c r="AH18" s="114" t="str">
        <f>'CF2'!AH6</f>
        <v>2Q2030</v>
      </c>
      <c r="AI18" s="114" t="str">
        <f>'CF2'!AI6</f>
        <v>3Q2030</v>
      </c>
      <c r="AJ18" s="114" t="str">
        <f>'CF2'!AJ6</f>
        <v>4Q2030</v>
      </c>
      <c r="AK18" s="114" t="str">
        <f>'CF2'!AK6</f>
        <v>1Q2031</v>
      </c>
      <c r="AL18" s="114" t="str">
        <f>'CF2'!AL6</f>
        <v>2Q2031</v>
      </c>
      <c r="AM18" s="114" t="str">
        <f>'CF2'!AM6</f>
        <v>3Q2031</v>
      </c>
      <c r="AN18" s="114" t="str">
        <f>'CF2'!AN6</f>
        <v>4Q2031</v>
      </c>
      <c r="AO18" s="114" t="str">
        <f>'CF2'!AO6</f>
        <v>1Q2032</v>
      </c>
      <c r="AP18" s="114" t="str">
        <f>'CF2'!AP6</f>
        <v>2Q2032</v>
      </c>
      <c r="AQ18" s="114" t="str">
        <f>'CF2'!AQ6</f>
        <v>3Q2032</v>
      </c>
      <c r="AR18" s="114" t="str">
        <f>'CF2'!AR6</f>
        <v>4Q2032</v>
      </c>
      <c r="AS18" s="114" t="str">
        <f>'CF2'!AS6</f>
        <v>1Q2033</v>
      </c>
      <c r="AT18" s="114" t="str">
        <f>'CF2'!AT6</f>
        <v>2Q2033</v>
      </c>
      <c r="AU18" s="114" t="str">
        <f>'CF2'!AU6</f>
        <v>3Q2033</v>
      </c>
      <c r="AV18" s="114" t="str">
        <f>'CF2'!AV6</f>
        <v>4Q2033</v>
      </c>
      <c r="AW18" s="114" t="str">
        <f>'CF2'!AW6</f>
        <v>1Q2034</v>
      </c>
      <c r="AX18" s="114" t="str">
        <f>'CF2'!AX6</f>
        <v>2Q2034</v>
      </c>
      <c r="AY18" s="114" t="str">
        <f>'CF2'!AY6</f>
        <v>3Q2034</v>
      </c>
      <c r="AZ18" s="114" t="str">
        <f>'CF2'!AZ6</f>
        <v>4Q2034</v>
      </c>
      <c r="BA18" s="114" t="str">
        <f>'CF2'!BA6</f>
        <v>1Q2035</v>
      </c>
      <c r="BB18" s="114" t="str">
        <f>'CF2'!BB6</f>
        <v>2Q2035</v>
      </c>
      <c r="BC18" s="114" t="str">
        <f>'CF2'!BC6</f>
        <v>3Q2035</v>
      </c>
      <c r="BD18" s="114" t="str">
        <f>'CF2'!BD6</f>
        <v>4Q2035</v>
      </c>
      <c r="BE18" s="114" t="str">
        <f>'CF2'!BE6</f>
        <v>1Q2036</v>
      </c>
      <c r="BF18" s="114" t="str">
        <f>'CF2'!BF6</f>
        <v>2Q2036</v>
      </c>
      <c r="BG18" s="114" t="str">
        <f>'CF2'!BG6</f>
        <v>3Q2036</v>
      </c>
      <c r="BH18" s="114" t="str">
        <f>'CF2'!BH6</f>
        <v>4Q2036</v>
      </c>
      <c r="BI18" s="114" t="str">
        <f>'CF2'!BI6</f>
        <v>1Q2037</v>
      </c>
      <c r="BJ18" s="114" t="str">
        <f>'CF2'!BJ6</f>
        <v>2Q2037</v>
      </c>
      <c r="BK18" s="114" t="str">
        <f>'CF2'!BK6</f>
        <v>3Q2037</v>
      </c>
      <c r="BL18" s="114" t="str">
        <f>'CF2'!BL6</f>
        <v>4Q2037</v>
      </c>
      <c r="BM18" s="114" t="str">
        <f>'CF2'!BM6</f>
        <v>1Q2038</v>
      </c>
    </row>
    <row r="19" spans="2:65">
      <c r="B19" s="19" t="s">
        <v>43</v>
      </c>
      <c r="C19" s="113"/>
      <c r="D19" s="113"/>
      <c r="E19" s="113"/>
      <c r="F19" s="115">
        <f>IF(F17=$C$4,1,IF(E19&gt;0,E19+1,0))</f>
        <v>0</v>
      </c>
      <c r="G19" s="115">
        <f t="shared" ref="G19:BM19" si="1">IF(G17=$C$4,1,IF(F19&gt;0,F19+1,0))</f>
        <v>0</v>
      </c>
      <c r="H19" s="115">
        <f t="shared" si="1"/>
        <v>0</v>
      </c>
      <c r="I19" s="115">
        <f t="shared" si="1"/>
        <v>0</v>
      </c>
      <c r="J19" s="115">
        <f t="shared" si="1"/>
        <v>0</v>
      </c>
      <c r="K19" s="115">
        <f t="shared" si="1"/>
        <v>0</v>
      </c>
      <c r="L19" s="115">
        <f t="shared" si="1"/>
        <v>0</v>
      </c>
      <c r="M19" s="115">
        <f t="shared" si="1"/>
        <v>0</v>
      </c>
      <c r="N19" s="115">
        <f t="shared" si="1"/>
        <v>1</v>
      </c>
      <c r="O19" s="115">
        <f t="shared" si="1"/>
        <v>2</v>
      </c>
      <c r="P19" s="115">
        <f t="shared" si="1"/>
        <v>3</v>
      </c>
      <c r="Q19" s="115">
        <f t="shared" si="1"/>
        <v>4</v>
      </c>
      <c r="R19" s="115">
        <f t="shared" si="1"/>
        <v>5</v>
      </c>
      <c r="S19" s="115">
        <f t="shared" si="1"/>
        <v>6</v>
      </c>
      <c r="T19" s="115">
        <f t="shared" si="1"/>
        <v>7</v>
      </c>
      <c r="U19" s="115">
        <f t="shared" si="1"/>
        <v>8</v>
      </c>
      <c r="V19" s="115">
        <f t="shared" si="1"/>
        <v>9</v>
      </c>
      <c r="W19" s="115">
        <f t="shared" si="1"/>
        <v>10</v>
      </c>
      <c r="X19" s="115">
        <f t="shared" si="1"/>
        <v>11</v>
      </c>
      <c r="Y19" s="115">
        <f t="shared" si="1"/>
        <v>12</v>
      </c>
      <c r="Z19" s="115">
        <f t="shared" si="1"/>
        <v>13</v>
      </c>
      <c r="AA19" s="115">
        <f t="shared" si="1"/>
        <v>14</v>
      </c>
      <c r="AB19" s="115">
        <f t="shared" si="1"/>
        <v>15</v>
      </c>
      <c r="AC19" s="115">
        <f t="shared" si="1"/>
        <v>16</v>
      </c>
      <c r="AD19" s="115">
        <f t="shared" si="1"/>
        <v>17</v>
      </c>
      <c r="AE19" s="115">
        <f t="shared" si="1"/>
        <v>18</v>
      </c>
      <c r="AF19" s="115">
        <f t="shared" si="1"/>
        <v>19</v>
      </c>
      <c r="AG19" s="115">
        <f t="shared" si="1"/>
        <v>20</v>
      </c>
      <c r="AH19" s="115">
        <f t="shared" si="1"/>
        <v>21</v>
      </c>
      <c r="AI19" s="115">
        <f t="shared" si="1"/>
        <v>22</v>
      </c>
      <c r="AJ19" s="115">
        <f t="shared" si="1"/>
        <v>23</v>
      </c>
      <c r="AK19" s="115">
        <f t="shared" si="1"/>
        <v>24</v>
      </c>
      <c r="AL19" s="115">
        <f t="shared" si="1"/>
        <v>25</v>
      </c>
      <c r="AM19" s="115">
        <f t="shared" si="1"/>
        <v>26</v>
      </c>
      <c r="AN19" s="115">
        <f t="shared" si="1"/>
        <v>27</v>
      </c>
      <c r="AO19" s="115">
        <f t="shared" si="1"/>
        <v>28</v>
      </c>
      <c r="AP19" s="115">
        <f t="shared" si="1"/>
        <v>29</v>
      </c>
      <c r="AQ19" s="115">
        <f t="shared" si="1"/>
        <v>30</v>
      </c>
      <c r="AR19" s="115">
        <f t="shared" si="1"/>
        <v>31</v>
      </c>
      <c r="AS19" s="115">
        <f t="shared" si="1"/>
        <v>32</v>
      </c>
      <c r="AT19" s="115">
        <f t="shared" si="1"/>
        <v>33</v>
      </c>
      <c r="AU19" s="115">
        <f t="shared" si="1"/>
        <v>34</v>
      </c>
      <c r="AV19" s="115">
        <f t="shared" si="1"/>
        <v>35</v>
      </c>
      <c r="AW19" s="115">
        <f t="shared" si="1"/>
        <v>36</v>
      </c>
      <c r="AX19" s="115">
        <f t="shared" si="1"/>
        <v>37</v>
      </c>
      <c r="AY19" s="115">
        <f t="shared" si="1"/>
        <v>38</v>
      </c>
      <c r="AZ19" s="115">
        <f t="shared" si="1"/>
        <v>39</v>
      </c>
      <c r="BA19" s="115">
        <f t="shared" si="1"/>
        <v>40</v>
      </c>
      <c r="BB19" s="115">
        <f t="shared" si="1"/>
        <v>41</v>
      </c>
      <c r="BC19" s="115">
        <f t="shared" si="1"/>
        <v>42</v>
      </c>
      <c r="BD19" s="115">
        <f t="shared" si="1"/>
        <v>43</v>
      </c>
      <c r="BE19" s="115">
        <f t="shared" si="1"/>
        <v>44</v>
      </c>
      <c r="BF19" s="115">
        <f t="shared" si="1"/>
        <v>45</v>
      </c>
      <c r="BG19" s="115">
        <f t="shared" si="1"/>
        <v>46</v>
      </c>
      <c r="BH19" s="115">
        <f t="shared" si="1"/>
        <v>47</v>
      </c>
      <c r="BI19" s="115">
        <f t="shared" si="1"/>
        <v>48</v>
      </c>
      <c r="BJ19" s="115">
        <f t="shared" si="1"/>
        <v>49</v>
      </c>
      <c r="BK19" s="115">
        <f t="shared" si="1"/>
        <v>50</v>
      </c>
      <c r="BL19" s="115">
        <f t="shared" si="1"/>
        <v>51</v>
      </c>
      <c r="BM19" s="115">
        <f t="shared" si="1"/>
        <v>52</v>
      </c>
    </row>
    <row r="20" spans="2:65">
      <c r="B20" s="55" t="str">
        <f>B6</f>
        <v>ВХОД</v>
      </c>
      <c r="C20" s="55"/>
      <c r="D20" s="55"/>
      <c r="E20" s="55"/>
      <c r="F20" s="57">
        <f>'TS1'!F20</f>
        <v>0</v>
      </c>
      <c r="G20" s="57">
        <f>'TS1'!G20</f>
        <v>0</v>
      </c>
      <c r="H20" s="57">
        <f>'TS1'!H20</f>
        <v>0</v>
      </c>
      <c r="I20" s="57">
        <f>'TS1'!I20</f>
        <v>0</v>
      </c>
      <c r="J20" s="57">
        <f>'TS1'!J20</f>
        <v>0</v>
      </c>
      <c r="K20" s="57">
        <f>'TS1'!K20</f>
        <v>0</v>
      </c>
      <c r="L20" s="57">
        <f>'TS1'!L20</f>
        <v>0</v>
      </c>
      <c r="M20" s="57">
        <f>'TS1'!M20</f>
        <v>0</v>
      </c>
      <c r="N20" s="57">
        <f>'TS1'!N20</f>
        <v>0</v>
      </c>
      <c r="O20" s="57">
        <f>'TS1'!O20</f>
        <v>0</v>
      </c>
      <c r="P20" s="57">
        <f>'TS1'!P20</f>
        <v>1</v>
      </c>
      <c r="Q20" s="57">
        <f>'TS1'!Q20</f>
        <v>0</v>
      </c>
      <c r="R20" s="57">
        <f>'TS1'!R20</f>
        <v>0</v>
      </c>
      <c r="S20" s="57">
        <f>'TS1'!S20</f>
        <v>0</v>
      </c>
      <c r="T20" s="57">
        <f>'TS1'!T20</f>
        <v>0</v>
      </c>
      <c r="U20" s="57">
        <f>'TS1'!U20</f>
        <v>0</v>
      </c>
      <c r="V20" s="57">
        <f>'TS1'!V20</f>
        <v>0</v>
      </c>
      <c r="W20" s="57">
        <f>'TS1'!W20</f>
        <v>0</v>
      </c>
      <c r="X20" s="57">
        <f>'TS1'!X20</f>
        <v>0</v>
      </c>
      <c r="Y20" s="57">
        <f>'TS1'!Y20</f>
        <v>0</v>
      </c>
      <c r="Z20" s="57">
        <f>'TS1'!Z20</f>
        <v>0</v>
      </c>
      <c r="AA20" s="57">
        <f>'TS1'!AA20</f>
        <v>0</v>
      </c>
      <c r="AB20" s="57">
        <f>'TS1'!AB20</f>
        <v>0</v>
      </c>
      <c r="AC20" s="57">
        <f>'TS1'!AC20</f>
        <v>0</v>
      </c>
      <c r="AD20" s="57">
        <f>'TS1'!AD20</f>
        <v>0</v>
      </c>
      <c r="AE20" s="57">
        <f>'TS1'!AE20</f>
        <v>0</v>
      </c>
      <c r="AF20" s="57">
        <f>'TS1'!AF20</f>
        <v>0</v>
      </c>
      <c r="AG20" s="57">
        <f>'TS1'!AG20</f>
        <v>0</v>
      </c>
      <c r="AH20" s="57">
        <f>'TS1'!AH20</f>
        <v>0</v>
      </c>
      <c r="AI20" s="57">
        <f>'TS1'!AI20</f>
        <v>0</v>
      </c>
      <c r="AJ20" s="57">
        <f>'TS1'!AJ20</f>
        <v>0</v>
      </c>
      <c r="AK20" s="57">
        <f>'TS1'!AK20</f>
        <v>0</v>
      </c>
      <c r="AL20" s="57">
        <f>'TS1'!AL20</f>
        <v>0</v>
      </c>
      <c r="AM20" s="57">
        <f>'TS1'!AM20</f>
        <v>0</v>
      </c>
      <c r="AN20" s="57">
        <f>'TS1'!AN20</f>
        <v>0</v>
      </c>
      <c r="AO20" s="57">
        <f>'TS1'!AO20</f>
        <v>0</v>
      </c>
      <c r="AP20" s="57">
        <f>'TS1'!AP20</f>
        <v>0</v>
      </c>
      <c r="AQ20" s="57">
        <f>'TS1'!AQ20</f>
        <v>0</v>
      </c>
      <c r="AR20" s="57">
        <f>'TS1'!AR20</f>
        <v>0</v>
      </c>
      <c r="AS20" s="57">
        <f>'TS1'!AS20</f>
        <v>0</v>
      </c>
      <c r="AT20" s="57">
        <f>'TS1'!AT20</f>
        <v>0</v>
      </c>
      <c r="AU20" s="57">
        <f>'TS1'!AU20</f>
        <v>0</v>
      </c>
      <c r="AV20" s="57">
        <f>'TS1'!AV20</f>
        <v>0</v>
      </c>
      <c r="AW20" s="57">
        <f>'TS1'!AW20</f>
        <v>0</v>
      </c>
      <c r="AX20" s="57">
        <f>'TS1'!AX20</f>
        <v>0</v>
      </c>
      <c r="AY20" s="57">
        <f>'TS1'!AY20</f>
        <v>0</v>
      </c>
      <c r="AZ20" s="57">
        <f>'TS1'!AZ20</f>
        <v>0</v>
      </c>
      <c r="BA20" s="57">
        <f>'TS1'!BA20</f>
        <v>0</v>
      </c>
      <c r="BB20" s="57">
        <f>'TS1'!BB20</f>
        <v>0</v>
      </c>
      <c r="BC20" s="57">
        <f>'TS1'!BC20</f>
        <v>0</v>
      </c>
      <c r="BD20" s="57">
        <f>'TS1'!BD20</f>
        <v>0</v>
      </c>
      <c r="BE20" s="57">
        <f>'TS1'!BE20</f>
        <v>0</v>
      </c>
      <c r="BF20" s="57">
        <f>'TS1'!BF20</f>
        <v>0</v>
      </c>
      <c r="BG20" s="57">
        <f>'TS1'!BG20</f>
        <v>0</v>
      </c>
      <c r="BH20" s="57">
        <f>'TS1'!BH20</f>
        <v>0</v>
      </c>
      <c r="BI20" s="57">
        <f>'TS1'!BI20</f>
        <v>0</v>
      </c>
      <c r="BJ20" s="57">
        <f>'TS1'!BJ20</f>
        <v>0</v>
      </c>
      <c r="BK20" s="57">
        <f>'TS1'!BK20</f>
        <v>0</v>
      </c>
      <c r="BL20" s="57">
        <f>'TS1'!BL20</f>
        <v>0</v>
      </c>
      <c r="BM20" s="57">
        <f>'TS1'!BM20</f>
        <v>0</v>
      </c>
    </row>
    <row r="21" spans="2:65">
      <c r="B21" s="55" t="str">
        <f>B7</f>
        <v>ПРОЕКТИРОВАНИЕ (П+РД)</v>
      </c>
      <c r="C21" s="55"/>
      <c r="D21" s="55"/>
      <c r="E21" s="55"/>
      <c r="F21" s="57">
        <f t="shared" ref="F21:BM24" si="2">SUMIFS($F7:$BM7,$F$5:$BM$5,F$19)</f>
        <v>0</v>
      </c>
      <c r="G21" s="57">
        <f t="shared" si="2"/>
        <v>0</v>
      </c>
      <c r="H21" s="57">
        <f t="shared" si="2"/>
        <v>0</v>
      </c>
      <c r="I21" s="57">
        <f t="shared" si="2"/>
        <v>0</v>
      </c>
      <c r="J21" s="57">
        <f t="shared" si="2"/>
        <v>0</v>
      </c>
      <c r="K21" s="57">
        <f t="shared" si="2"/>
        <v>0</v>
      </c>
      <c r="L21" s="57">
        <f t="shared" si="2"/>
        <v>0</v>
      </c>
      <c r="M21" s="57">
        <f t="shared" si="2"/>
        <v>0</v>
      </c>
      <c r="N21" s="57">
        <f t="shared" si="2"/>
        <v>0.05</v>
      </c>
      <c r="O21" s="57">
        <f t="shared" si="2"/>
        <v>0.05</v>
      </c>
      <c r="P21" s="57">
        <f t="shared" si="2"/>
        <v>0.05</v>
      </c>
      <c r="Q21" s="57">
        <f t="shared" si="2"/>
        <v>0.05</v>
      </c>
      <c r="R21" s="57">
        <f t="shared" si="2"/>
        <v>0.05</v>
      </c>
      <c r="S21" s="57">
        <f t="shared" si="2"/>
        <v>0</v>
      </c>
      <c r="T21" s="57">
        <f t="shared" si="2"/>
        <v>0</v>
      </c>
      <c r="U21" s="57">
        <f t="shared" si="2"/>
        <v>0</v>
      </c>
      <c r="V21" s="57">
        <f t="shared" si="2"/>
        <v>0</v>
      </c>
      <c r="W21" s="57">
        <f t="shared" si="2"/>
        <v>0</v>
      </c>
      <c r="X21" s="57">
        <f t="shared" si="2"/>
        <v>0</v>
      </c>
      <c r="Y21" s="57">
        <f t="shared" si="2"/>
        <v>0</v>
      </c>
      <c r="Z21" s="57">
        <f t="shared" si="2"/>
        <v>0</v>
      </c>
      <c r="AA21" s="57">
        <f t="shared" si="2"/>
        <v>0</v>
      </c>
      <c r="AB21" s="57">
        <f t="shared" si="2"/>
        <v>0</v>
      </c>
      <c r="AC21" s="57">
        <f t="shared" si="2"/>
        <v>0.75</v>
      </c>
      <c r="AD21" s="57">
        <f t="shared" si="2"/>
        <v>0</v>
      </c>
      <c r="AE21" s="57">
        <f t="shared" si="2"/>
        <v>0</v>
      </c>
      <c r="AF21" s="57">
        <f t="shared" si="2"/>
        <v>0</v>
      </c>
      <c r="AG21" s="57">
        <f t="shared" si="2"/>
        <v>0</v>
      </c>
      <c r="AH21" s="57">
        <f t="shared" si="2"/>
        <v>0</v>
      </c>
      <c r="AI21" s="57">
        <f t="shared" si="2"/>
        <v>0</v>
      </c>
      <c r="AJ21" s="57">
        <f t="shared" si="2"/>
        <v>0</v>
      </c>
      <c r="AK21" s="57">
        <f t="shared" si="2"/>
        <v>0</v>
      </c>
      <c r="AL21" s="57">
        <f t="shared" si="2"/>
        <v>0</v>
      </c>
      <c r="AM21" s="57">
        <f t="shared" si="2"/>
        <v>0</v>
      </c>
      <c r="AN21" s="57">
        <f t="shared" si="2"/>
        <v>0</v>
      </c>
      <c r="AO21" s="57">
        <f t="shared" si="2"/>
        <v>0</v>
      </c>
      <c r="AP21" s="57">
        <f t="shared" si="2"/>
        <v>0</v>
      </c>
      <c r="AQ21" s="57">
        <f t="shared" si="2"/>
        <v>0</v>
      </c>
      <c r="AR21" s="57">
        <f t="shared" si="2"/>
        <v>0</v>
      </c>
      <c r="AS21" s="57">
        <f t="shared" si="2"/>
        <v>0</v>
      </c>
      <c r="AT21" s="57">
        <f t="shared" si="2"/>
        <v>0</v>
      </c>
      <c r="AU21" s="57">
        <f t="shared" si="2"/>
        <v>0</v>
      </c>
      <c r="AV21" s="57">
        <f t="shared" si="2"/>
        <v>0</v>
      </c>
      <c r="AW21" s="57">
        <f t="shared" si="2"/>
        <v>0</v>
      </c>
      <c r="AX21" s="57">
        <f t="shared" si="2"/>
        <v>0</v>
      </c>
      <c r="AY21" s="57">
        <f t="shared" si="2"/>
        <v>0</v>
      </c>
      <c r="AZ21" s="57">
        <f t="shared" si="2"/>
        <v>0</v>
      </c>
      <c r="BA21" s="57">
        <f t="shared" si="2"/>
        <v>0</v>
      </c>
      <c r="BB21" s="57">
        <f t="shared" si="2"/>
        <v>0</v>
      </c>
      <c r="BC21" s="57">
        <f t="shared" si="2"/>
        <v>0</v>
      </c>
      <c r="BD21" s="57">
        <f t="shared" si="2"/>
        <v>0</v>
      </c>
      <c r="BE21" s="57">
        <f t="shared" si="2"/>
        <v>0</v>
      </c>
      <c r="BF21" s="57">
        <f t="shared" si="2"/>
        <v>0</v>
      </c>
      <c r="BG21" s="57">
        <f t="shared" si="2"/>
        <v>0</v>
      </c>
      <c r="BH21" s="57">
        <f t="shared" si="2"/>
        <v>0</v>
      </c>
      <c r="BI21" s="57">
        <f t="shared" si="2"/>
        <v>0</v>
      </c>
      <c r="BJ21" s="57">
        <f t="shared" si="2"/>
        <v>0</v>
      </c>
      <c r="BK21" s="57">
        <f t="shared" si="2"/>
        <v>0</v>
      </c>
      <c r="BL21" s="57">
        <f t="shared" si="2"/>
        <v>0</v>
      </c>
      <c r="BM21" s="57">
        <f t="shared" si="2"/>
        <v>0</v>
      </c>
    </row>
    <row r="22" spans="2:65">
      <c r="B22" s="55" t="s">
        <v>32</v>
      </c>
      <c r="C22" s="55"/>
      <c r="D22" s="55"/>
      <c r="E22" s="55"/>
      <c r="F22" s="57">
        <f t="shared" si="2"/>
        <v>0</v>
      </c>
      <c r="G22" s="57">
        <f t="shared" si="2"/>
        <v>0</v>
      </c>
      <c r="H22" s="57">
        <f t="shared" si="2"/>
        <v>0</v>
      </c>
      <c r="I22" s="57">
        <f t="shared" si="2"/>
        <v>0</v>
      </c>
      <c r="J22" s="57">
        <f t="shared" si="2"/>
        <v>0</v>
      </c>
      <c r="K22" s="57">
        <f t="shared" si="2"/>
        <v>0</v>
      </c>
      <c r="L22" s="57">
        <f t="shared" si="2"/>
        <v>0</v>
      </c>
      <c r="M22" s="57">
        <f t="shared" si="2"/>
        <v>0</v>
      </c>
      <c r="N22" s="57">
        <f t="shared" si="2"/>
        <v>0.05</v>
      </c>
      <c r="O22" s="57">
        <f t="shared" si="2"/>
        <v>0.05</v>
      </c>
      <c r="P22" s="57">
        <f t="shared" si="2"/>
        <v>0.05</v>
      </c>
      <c r="Q22" s="57">
        <f t="shared" si="2"/>
        <v>0.05</v>
      </c>
      <c r="R22" s="57">
        <f t="shared" si="2"/>
        <v>0.05</v>
      </c>
      <c r="S22" s="57">
        <f t="shared" si="2"/>
        <v>0.05</v>
      </c>
      <c r="T22" s="57">
        <f t="shared" si="2"/>
        <v>0.05</v>
      </c>
      <c r="U22" s="57">
        <f t="shared" si="2"/>
        <v>0.05</v>
      </c>
      <c r="V22" s="57">
        <f t="shared" si="2"/>
        <v>0.05</v>
      </c>
      <c r="W22" s="57">
        <f t="shared" si="2"/>
        <v>0.05</v>
      </c>
      <c r="X22" s="57">
        <f t="shared" si="2"/>
        <v>4.1666666666666664E-2</v>
      </c>
      <c r="Y22" s="57">
        <f t="shared" si="2"/>
        <v>4.1666666666666664E-2</v>
      </c>
      <c r="Z22" s="57">
        <f t="shared" si="2"/>
        <v>4.1666666666666664E-2</v>
      </c>
      <c r="AA22" s="57">
        <f t="shared" si="2"/>
        <v>4.1666666666666664E-2</v>
      </c>
      <c r="AB22" s="57">
        <f t="shared" si="2"/>
        <v>4.1666666666666664E-2</v>
      </c>
      <c r="AC22" s="57">
        <f t="shared" si="2"/>
        <v>4.1666666666666664E-2</v>
      </c>
      <c r="AD22" s="57">
        <f t="shared" si="2"/>
        <v>4.1666666666666664E-2</v>
      </c>
      <c r="AE22" s="57">
        <f t="shared" si="2"/>
        <v>4.1666666666666664E-2</v>
      </c>
      <c r="AF22" s="57">
        <f t="shared" si="2"/>
        <v>4.1666666666666664E-2</v>
      </c>
      <c r="AG22" s="57">
        <f t="shared" si="2"/>
        <v>4.1666666666666664E-2</v>
      </c>
      <c r="AH22" s="57">
        <f t="shared" si="2"/>
        <v>4.1666666666666664E-2</v>
      </c>
      <c r="AI22" s="57">
        <f t="shared" si="2"/>
        <v>4.1666666666666664E-2</v>
      </c>
      <c r="AJ22" s="57">
        <f t="shared" si="2"/>
        <v>0</v>
      </c>
      <c r="AK22" s="57">
        <f t="shared" si="2"/>
        <v>0</v>
      </c>
      <c r="AL22" s="57">
        <f t="shared" si="2"/>
        <v>0</v>
      </c>
      <c r="AM22" s="57">
        <f t="shared" si="2"/>
        <v>0</v>
      </c>
      <c r="AN22" s="57">
        <f t="shared" si="2"/>
        <v>0</v>
      </c>
      <c r="AO22" s="57">
        <f t="shared" si="2"/>
        <v>0</v>
      </c>
      <c r="AP22" s="57">
        <f t="shared" si="2"/>
        <v>0</v>
      </c>
      <c r="AQ22" s="57">
        <f t="shared" si="2"/>
        <v>0</v>
      </c>
      <c r="AR22" s="57">
        <f t="shared" si="2"/>
        <v>0</v>
      </c>
      <c r="AS22" s="57">
        <f t="shared" si="2"/>
        <v>0</v>
      </c>
      <c r="AT22" s="57">
        <f t="shared" si="2"/>
        <v>0</v>
      </c>
      <c r="AU22" s="57">
        <f t="shared" si="2"/>
        <v>0</v>
      </c>
      <c r="AV22" s="57">
        <f t="shared" si="2"/>
        <v>0</v>
      </c>
      <c r="AW22" s="57">
        <f t="shared" si="2"/>
        <v>0</v>
      </c>
      <c r="AX22" s="57">
        <f t="shared" si="2"/>
        <v>0</v>
      </c>
      <c r="AY22" s="57">
        <f t="shared" si="2"/>
        <v>0</v>
      </c>
      <c r="AZ22" s="57">
        <f t="shared" si="2"/>
        <v>0</v>
      </c>
      <c r="BA22" s="57">
        <f t="shared" si="2"/>
        <v>0</v>
      </c>
      <c r="BB22" s="57">
        <f t="shared" si="2"/>
        <v>0</v>
      </c>
      <c r="BC22" s="57">
        <f t="shared" si="2"/>
        <v>0</v>
      </c>
      <c r="BD22" s="57">
        <f t="shared" si="2"/>
        <v>0</v>
      </c>
      <c r="BE22" s="57">
        <f t="shared" si="2"/>
        <v>0</v>
      </c>
      <c r="BF22" s="57">
        <f t="shared" si="2"/>
        <v>0</v>
      </c>
      <c r="BG22" s="57">
        <f t="shared" si="2"/>
        <v>0</v>
      </c>
      <c r="BH22" s="57">
        <f t="shared" si="2"/>
        <v>0</v>
      </c>
      <c r="BI22" s="57">
        <f t="shared" si="2"/>
        <v>0</v>
      </c>
      <c r="BJ22" s="57">
        <f t="shared" si="2"/>
        <v>0</v>
      </c>
      <c r="BK22" s="57">
        <f t="shared" si="2"/>
        <v>0</v>
      </c>
      <c r="BL22" s="57">
        <f t="shared" si="2"/>
        <v>0</v>
      </c>
      <c r="BM22" s="57">
        <f t="shared" si="2"/>
        <v>0</v>
      </c>
    </row>
    <row r="23" spans="2:65">
      <c r="B23" s="55" t="s">
        <v>247</v>
      </c>
      <c r="C23" s="55"/>
      <c r="D23" s="55"/>
      <c r="E23" s="55"/>
      <c r="F23" s="57">
        <f t="shared" si="2"/>
        <v>0</v>
      </c>
      <c r="G23" s="57">
        <f t="shared" si="2"/>
        <v>0</v>
      </c>
      <c r="H23" s="57">
        <f t="shared" si="2"/>
        <v>0</v>
      </c>
      <c r="I23" s="57">
        <f t="shared" si="2"/>
        <v>0</v>
      </c>
      <c r="J23" s="57">
        <f t="shared" si="2"/>
        <v>0</v>
      </c>
      <c r="K23" s="57">
        <f t="shared" si="2"/>
        <v>0</v>
      </c>
      <c r="L23" s="57">
        <f t="shared" si="2"/>
        <v>0</v>
      </c>
      <c r="M23" s="57">
        <f t="shared" si="2"/>
        <v>0</v>
      </c>
      <c r="N23" s="57">
        <f t="shared" si="2"/>
        <v>0</v>
      </c>
      <c r="O23" s="57">
        <f t="shared" si="2"/>
        <v>0</v>
      </c>
      <c r="P23" s="57">
        <f t="shared" si="2"/>
        <v>0</v>
      </c>
      <c r="Q23" s="57">
        <f t="shared" si="2"/>
        <v>0</v>
      </c>
      <c r="R23" s="57">
        <f t="shared" si="2"/>
        <v>0</v>
      </c>
      <c r="S23" s="57">
        <f t="shared" si="2"/>
        <v>0</v>
      </c>
      <c r="T23" s="57">
        <f t="shared" si="2"/>
        <v>0</v>
      </c>
      <c r="U23" s="57">
        <f t="shared" si="2"/>
        <v>0</v>
      </c>
      <c r="V23" s="57">
        <f t="shared" si="2"/>
        <v>0</v>
      </c>
      <c r="W23" s="57">
        <f t="shared" si="2"/>
        <v>1</v>
      </c>
      <c r="X23" s="57">
        <f t="shared" si="2"/>
        <v>0</v>
      </c>
      <c r="Y23" s="57">
        <f t="shared" si="2"/>
        <v>0</v>
      </c>
      <c r="Z23" s="57">
        <f t="shared" si="2"/>
        <v>0</v>
      </c>
      <c r="AA23" s="57">
        <f t="shared" si="2"/>
        <v>0</v>
      </c>
      <c r="AB23" s="57">
        <f t="shared" si="2"/>
        <v>0</v>
      </c>
      <c r="AC23" s="57">
        <f t="shared" si="2"/>
        <v>0</v>
      </c>
      <c r="AD23" s="57">
        <f t="shared" si="2"/>
        <v>0</v>
      </c>
      <c r="AE23" s="57">
        <f t="shared" si="2"/>
        <v>0</v>
      </c>
      <c r="AF23" s="57">
        <f t="shared" si="2"/>
        <v>0</v>
      </c>
      <c r="AG23" s="57">
        <f t="shared" si="2"/>
        <v>0</v>
      </c>
      <c r="AH23" s="57">
        <f t="shared" si="2"/>
        <v>0</v>
      </c>
      <c r="AI23" s="57">
        <f t="shared" si="2"/>
        <v>0</v>
      </c>
      <c r="AJ23" s="57">
        <f t="shared" si="2"/>
        <v>0</v>
      </c>
      <c r="AK23" s="57">
        <f t="shared" si="2"/>
        <v>0</v>
      </c>
      <c r="AL23" s="57">
        <f t="shared" si="2"/>
        <v>0</v>
      </c>
      <c r="AM23" s="57">
        <f t="shared" si="2"/>
        <v>0</v>
      </c>
      <c r="AN23" s="57">
        <f t="shared" si="2"/>
        <v>0</v>
      </c>
      <c r="AO23" s="57">
        <f t="shared" si="2"/>
        <v>0</v>
      </c>
      <c r="AP23" s="57">
        <f t="shared" si="2"/>
        <v>0</v>
      </c>
      <c r="AQ23" s="57">
        <f t="shared" si="2"/>
        <v>0</v>
      </c>
      <c r="AR23" s="57">
        <f t="shared" si="2"/>
        <v>0</v>
      </c>
      <c r="AS23" s="57">
        <f t="shared" si="2"/>
        <v>0</v>
      </c>
      <c r="AT23" s="57">
        <f t="shared" si="2"/>
        <v>0</v>
      </c>
      <c r="AU23" s="57">
        <f t="shared" si="2"/>
        <v>0</v>
      </c>
      <c r="AV23" s="57">
        <f t="shared" si="2"/>
        <v>0</v>
      </c>
      <c r="AW23" s="57">
        <f t="shared" si="2"/>
        <v>0</v>
      </c>
      <c r="AX23" s="57">
        <f t="shared" si="2"/>
        <v>0</v>
      </c>
      <c r="AY23" s="57">
        <f t="shared" si="2"/>
        <v>0</v>
      </c>
      <c r="AZ23" s="57">
        <f t="shared" si="2"/>
        <v>0</v>
      </c>
      <c r="BA23" s="57">
        <f t="shared" si="2"/>
        <v>0</v>
      </c>
      <c r="BB23" s="57">
        <f t="shared" si="2"/>
        <v>0</v>
      </c>
      <c r="BC23" s="57">
        <f t="shared" si="2"/>
        <v>0</v>
      </c>
      <c r="BD23" s="57">
        <f t="shared" si="2"/>
        <v>0</v>
      </c>
      <c r="BE23" s="57">
        <f t="shared" si="2"/>
        <v>0</v>
      </c>
      <c r="BF23" s="57">
        <f t="shared" si="2"/>
        <v>0</v>
      </c>
      <c r="BG23" s="57">
        <f t="shared" si="2"/>
        <v>0</v>
      </c>
      <c r="BH23" s="57">
        <f t="shared" si="2"/>
        <v>0</v>
      </c>
      <c r="BI23" s="57">
        <f t="shared" si="2"/>
        <v>0</v>
      </c>
      <c r="BJ23" s="57">
        <f t="shared" si="2"/>
        <v>0</v>
      </c>
      <c r="BK23" s="57">
        <f t="shared" si="2"/>
        <v>0</v>
      </c>
      <c r="BL23" s="57">
        <f t="shared" si="2"/>
        <v>0</v>
      </c>
      <c r="BM23" s="57">
        <f t="shared" si="2"/>
        <v>0</v>
      </c>
    </row>
    <row r="24" spans="2:65">
      <c r="B24" s="55" t="str">
        <f>B10</f>
        <v>СОДЕРЖАНИЕ ПЛОЩАДКИ</v>
      </c>
      <c r="C24" s="55"/>
      <c r="D24" s="55"/>
      <c r="E24" s="55"/>
      <c r="F24" s="57">
        <f t="shared" si="2"/>
        <v>0</v>
      </c>
      <c r="G24" s="57">
        <f t="shared" si="2"/>
        <v>0</v>
      </c>
      <c r="H24" s="57">
        <f t="shared" si="2"/>
        <v>0</v>
      </c>
      <c r="I24" s="57">
        <f t="shared" si="2"/>
        <v>0</v>
      </c>
      <c r="J24" s="57">
        <f t="shared" si="2"/>
        <v>0</v>
      </c>
      <c r="K24" s="57">
        <f t="shared" si="2"/>
        <v>0</v>
      </c>
      <c r="L24" s="57">
        <f t="shared" si="2"/>
        <v>0</v>
      </c>
      <c r="M24" s="57">
        <f t="shared" si="2"/>
        <v>0</v>
      </c>
      <c r="N24" s="57">
        <f t="shared" si="2"/>
        <v>0</v>
      </c>
      <c r="O24" s="57">
        <f t="shared" si="2"/>
        <v>0</v>
      </c>
      <c r="P24" s="57">
        <f t="shared" si="2"/>
        <v>0</v>
      </c>
      <c r="Q24" s="57">
        <f t="shared" si="2"/>
        <v>0</v>
      </c>
      <c r="R24" s="57">
        <f t="shared" si="2"/>
        <v>0</v>
      </c>
      <c r="S24" s="57">
        <f t="shared" si="2"/>
        <v>0</v>
      </c>
      <c r="T24" s="57">
        <f t="shared" si="2"/>
        <v>0</v>
      </c>
      <c r="U24" s="57">
        <f t="shared" si="2"/>
        <v>0</v>
      </c>
      <c r="V24" s="57">
        <f t="shared" si="2"/>
        <v>0</v>
      </c>
      <c r="W24" s="57">
        <f t="shared" ref="W24:BM24" si="3">SUMIFS($F10:$BM10,$F$5:$BM$5,W$19)</f>
        <v>0.5</v>
      </c>
      <c r="X24" s="57">
        <f t="shared" si="3"/>
        <v>0.5</v>
      </c>
      <c r="Y24" s="57">
        <f t="shared" si="3"/>
        <v>0</v>
      </c>
      <c r="Z24" s="57">
        <f t="shared" si="3"/>
        <v>0</v>
      </c>
      <c r="AA24" s="57">
        <f t="shared" si="3"/>
        <v>0</v>
      </c>
      <c r="AB24" s="57">
        <f t="shared" si="3"/>
        <v>0</v>
      </c>
      <c r="AC24" s="57">
        <f t="shared" si="3"/>
        <v>0</v>
      </c>
      <c r="AD24" s="57">
        <f t="shared" si="3"/>
        <v>0</v>
      </c>
      <c r="AE24" s="57">
        <f t="shared" si="3"/>
        <v>0</v>
      </c>
      <c r="AF24" s="57">
        <f t="shared" si="3"/>
        <v>0</v>
      </c>
      <c r="AG24" s="57">
        <f t="shared" si="3"/>
        <v>0</v>
      </c>
      <c r="AH24" s="57">
        <f t="shared" si="3"/>
        <v>0</v>
      </c>
      <c r="AI24" s="57">
        <f t="shared" si="3"/>
        <v>0</v>
      </c>
      <c r="AJ24" s="57">
        <f t="shared" si="3"/>
        <v>0</v>
      </c>
      <c r="AK24" s="57">
        <f t="shared" si="3"/>
        <v>0</v>
      </c>
      <c r="AL24" s="57">
        <f t="shared" si="3"/>
        <v>0</v>
      </c>
      <c r="AM24" s="57">
        <f t="shared" si="3"/>
        <v>0</v>
      </c>
      <c r="AN24" s="57">
        <f t="shared" si="3"/>
        <v>0</v>
      </c>
      <c r="AO24" s="57">
        <f t="shared" si="3"/>
        <v>0</v>
      </c>
      <c r="AP24" s="57">
        <f t="shared" si="3"/>
        <v>0</v>
      </c>
      <c r="AQ24" s="57">
        <f t="shared" si="3"/>
        <v>0</v>
      </c>
      <c r="AR24" s="57">
        <f t="shared" si="3"/>
        <v>0</v>
      </c>
      <c r="AS24" s="57">
        <f t="shared" si="3"/>
        <v>0</v>
      </c>
      <c r="AT24" s="57">
        <f t="shared" si="3"/>
        <v>0</v>
      </c>
      <c r="AU24" s="57">
        <f t="shared" si="3"/>
        <v>0</v>
      </c>
      <c r="AV24" s="57">
        <f t="shared" si="3"/>
        <v>0</v>
      </c>
      <c r="AW24" s="57">
        <f t="shared" si="3"/>
        <v>0</v>
      </c>
      <c r="AX24" s="57">
        <f t="shared" si="3"/>
        <v>0</v>
      </c>
      <c r="AY24" s="57">
        <f t="shared" si="3"/>
        <v>0</v>
      </c>
      <c r="AZ24" s="57">
        <f t="shared" si="3"/>
        <v>0</v>
      </c>
      <c r="BA24" s="57">
        <f t="shared" si="3"/>
        <v>0</v>
      </c>
      <c r="BB24" s="57">
        <f t="shared" si="3"/>
        <v>0</v>
      </c>
      <c r="BC24" s="57">
        <f t="shared" si="3"/>
        <v>0</v>
      </c>
      <c r="BD24" s="57">
        <f t="shared" si="3"/>
        <v>0</v>
      </c>
      <c r="BE24" s="57">
        <f t="shared" si="3"/>
        <v>0</v>
      </c>
      <c r="BF24" s="57">
        <f t="shared" si="3"/>
        <v>0</v>
      </c>
      <c r="BG24" s="57">
        <f t="shared" si="3"/>
        <v>0</v>
      </c>
      <c r="BH24" s="57">
        <f t="shared" si="3"/>
        <v>0</v>
      </c>
      <c r="BI24" s="57">
        <f t="shared" si="3"/>
        <v>0</v>
      </c>
      <c r="BJ24" s="57">
        <f t="shared" si="3"/>
        <v>0</v>
      </c>
      <c r="BK24" s="57">
        <f t="shared" si="3"/>
        <v>0</v>
      </c>
      <c r="BL24" s="57">
        <f t="shared" si="3"/>
        <v>0</v>
      </c>
      <c r="BM24" s="57">
        <f t="shared" si="3"/>
        <v>0</v>
      </c>
    </row>
    <row r="25" spans="2:65">
      <c r="B25" s="55" t="str">
        <f>B11</f>
        <v>СМР жилье</v>
      </c>
      <c r="C25" s="55"/>
      <c r="D25" s="55"/>
      <c r="E25" s="55"/>
      <c r="F25" s="57">
        <f t="shared" ref="F25:BM27" si="4">SUMIFS($F11:$BM11,$F$5:$BM$5,F$19)</f>
        <v>0</v>
      </c>
      <c r="G25" s="57">
        <f t="shared" si="4"/>
        <v>0</v>
      </c>
      <c r="H25" s="57">
        <f t="shared" si="4"/>
        <v>0</v>
      </c>
      <c r="I25" s="57">
        <f t="shared" si="4"/>
        <v>0</v>
      </c>
      <c r="J25" s="57">
        <f t="shared" si="4"/>
        <v>0</v>
      </c>
      <c r="K25" s="57">
        <f t="shared" si="4"/>
        <v>0</v>
      </c>
      <c r="L25" s="57">
        <f t="shared" si="4"/>
        <v>0</v>
      </c>
      <c r="M25" s="57">
        <f t="shared" si="4"/>
        <v>0</v>
      </c>
      <c r="N25" s="57">
        <f t="shared" si="4"/>
        <v>0</v>
      </c>
      <c r="O25" s="57">
        <f t="shared" si="4"/>
        <v>0</v>
      </c>
      <c r="P25" s="57">
        <f t="shared" si="4"/>
        <v>0</v>
      </c>
      <c r="Q25" s="57">
        <f t="shared" si="4"/>
        <v>0</v>
      </c>
      <c r="R25" s="57">
        <f t="shared" si="4"/>
        <v>0</v>
      </c>
      <c r="S25" s="57">
        <f t="shared" si="4"/>
        <v>0</v>
      </c>
      <c r="T25" s="57">
        <f t="shared" si="4"/>
        <v>0</v>
      </c>
      <c r="U25" s="57">
        <f t="shared" si="4"/>
        <v>0</v>
      </c>
      <c r="V25" s="57">
        <f t="shared" si="4"/>
        <v>0</v>
      </c>
      <c r="W25" s="57">
        <f t="shared" si="4"/>
        <v>0</v>
      </c>
      <c r="X25" s="57">
        <f t="shared" si="4"/>
        <v>8.3333333333333329E-2</v>
      </c>
      <c r="Y25" s="57">
        <f t="shared" si="4"/>
        <v>8.3333333333333329E-2</v>
      </c>
      <c r="Z25" s="57">
        <f t="shared" si="4"/>
        <v>8.3333333333333329E-2</v>
      </c>
      <c r="AA25" s="57">
        <f t="shared" si="4"/>
        <v>8.3333333333333329E-2</v>
      </c>
      <c r="AB25" s="57">
        <f t="shared" si="4"/>
        <v>8.3333333333333329E-2</v>
      </c>
      <c r="AC25" s="57">
        <f t="shared" si="4"/>
        <v>8.3333333333333329E-2</v>
      </c>
      <c r="AD25" s="57">
        <f t="shared" si="4"/>
        <v>8.3333333333333329E-2</v>
      </c>
      <c r="AE25" s="57">
        <f t="shared" si="4"/>
        <v>8.3333333333333329E-2</v>
      </c>
      <c r="AF25" s="57">
        <f t="shared" si="4"/>
        <v>8.3333333333333329E-2</v>
      </c>
      <c r="AG25" s="57">
        <f t="shared" si="4"/>
        <v>8.3333333333333329E-2</v>
      </c>
      <c r="AH25" s="57">
        <f t="shared" si="4"/>
        <v>8.3333333333333329E-2</v>
      </c>
      <c r="AI25" s="57">
        <f t="shared" si="4"/>
        <v>8.3333333333333329E-2</v>
      </c>
      <c r="AJ25" s="57">
        <f t="shared" si="4"/>
        <v>0</v>
      </c>
      <c r="AK25" s="57">
        <f t="shared" si="4"/>
        <v>0</v>
      </c>
      <c r="AL25" s="57">
        <f t="shared" si="4"/>
        <v>0</v>
      </c>
      <c r="AM25" s="57">
        <f t="shared" si="4"/>
        <v>0</v>
      </c>
      <c r="AN25" s="57">
        <f t="shared" si="4"/>
        <v>0</v>
      </c>
      <c r="AO25" s="57">
        <f t="shared" si="4"/>
        <v>0</v>
      </c>
      <c r="AP25" s="57">
        <f t="shared" si="4"/>
        <v>0</v>
      </c>
      <c r="AQ25" s="57">
        <f t="shared" si="4"/>
        <v>0</v>
      </c>
      <c r="AR25" s="57">
        <f t="shared" si="4"/>
        <v>0</v>
      </c>
      <c r="AS25" s="57">
        <f t="shared" si="4"/>
        <v>0</v>
      </c>
      <c r="AT25" s="57">
        <f t="shared" si="4"/>
        <v>0</v>
      </c>
      <c r="AU25" s="57">
        <f t="shared" si="4"/>
        <v>0</v>
      </c>
      <c r="AV25" s="57">
        <f t="shared" si="4"/>
        <v>0</v>
      </c>
      <c r="AW25" s="57">
        <f t="shared" si="4"/>
        <v>0</v>
      </c>
      <c r="AX25" s="57">
        <f t="shared" si="4"/>
        <v>0</v>
      </c>
      <c r="AY25" s="57">
        <f t="shared" si="4"/>
        <v>0</v>
      </c>
      <c r="AZ25" s="57">
        <f t="shared" si="4"/>
        <v>0</v>
      </c>
      <c r="BA25" s="57">
        <f t="shared" si="4"/>
        <v>0</v>
      </c>
      <c r="BB25" s="57">
        <f t="shared" si="4"/>
        <v>0</v>
      </c>
      <c r="BC25" s="57">
        <f t="shared" si="4"/>
        <v>0</v>
      </c>
      <c r="BD25" s="57">
        <f t="shared" si="4"/>
        <v>0</v>
      </c>
      <c r="BE25" s="57">
        <f t="shared" si="4"/>
        <v>0</v>
      </c>
      <c r="BF25" s="57">
        <f t="shared" si="4"/>
        <v>0</v>
      </c>
      <c r="BG25" s="57">
        <f t="shared" si="4"/>
        <v>0</v>
      </c>
      <c r="BH25" s="57">
        <f t="shared" si="4"/>
        <v>0</v>
      </c>
      <c r="BI25" s="57">
        <f t="shared" si="4"/>
        <v>0</v>
      </c>
      <c r="BJ25" s="57">
        <f t="shared" si="4"/>
        <v>0</v>
      </c>
      <c r="BK25" s="57">
        <f t="shared" si="4"/>
        <v>0</v>
      </c>
      <c r="BL25" s="57">
        <f t="shared" si="4"/>
        <v>0</v>
      </c>
      <c r="BM25" s="57">
        <f t="shared" si="4"/>
        <v>0</v>
      </c>
    </row>
    <row r="26" spans="2:65">
      <c r="B26" s="55" t="s">
        <v>36</v>
      </c>
      <c r="C26" s="55"/>
      <c r="D26" s="55"/>
      <c r="E26" s="55"/>
      <c r="F26" s="57">
        <f t="shared" si="4"/>
        <v>0</v>
      </c>
      <c r="G26" s="57">
        <f t="shared" si="4"/>
        <v>0</v>
      </c>
      <c r="H26" s="57">
        <f t="shared" si="4"/>
        <v>0</v>
      </c>
      <c r="I26" s="57">
        <f t="shared" si="4"/>
        <v>0</v>
      </c>
      <c r="J26" s="57">
        <f t="shared" si="4"/>
        <v>0</v>
      </c>
      <c r="K26" s="57">
        <f t="shared" si="4"/>
        <v>0</v>
      </c>
      <c r="L26" s="57">
        <f t="shared" si="4"/>
        <v>0</v>
      </c>
      <c r="M26" s="57">
        <f t="shared" si="4"/>
        <v>0</v>
      </c>
      <c r="N26" s="57">
        <f t="shared" si="4"/>
        <v>0</v>
      </c>
      <c r="O26" s="57">
        <f t="shared" si="4"/>
        <v>0</v>
      </c>
      <c r="P26" s="57">
        <f t="shared" si="4"/>
        <v>0</v>
      </c>
      <c r="Q26" s="57">
        <f t="shared" si="4"/>
        <v>0</v>
      </c>
      <c r="R26" s="57">
        <f t="shared" si="4"/>
        <v>0</v>
      </c>
      <c r="S26" s="57">
        <f t="shared" si="4"/>
        <v>0</v>
      </c>
      <c r="T26" s="57">
        <f t="shared" si="4"/>
        <v>0</v>
      </c>
      <c r="U26" s="57">
        <f t="shared" si="4"/>
        <v>0</v>
      </c>
      <c r="V26" s="57">
        <f t="shared" si="4"/>
        <v>0</v>
      </c>
      <c r="W26" s="57">
        <f t="shared" si="4"/>
        <v>0</v>
      </c>
      <c r="X26" s="57">
        <f t="shared" si="4"/>
        <v>0</v>
      </c>
      <c r="Y26" s="57">
        <f t="shared" si="4"/>
        <v>0</v>
      </c>
      <c r="Z26" s="57">
        <f t="shared" si="4"/>
        <v>0</v>
      </c>
      <c r="AA26" s="57">
        <f t="shared" si="4"/>
        <v>0</v>
      </c>
      <c r="AB26" s="57">
        <f t="shared" si="4"/>
        <v>0</v>
      </c>
      <c r="AC26" s="57">
        <f t="shared" si="4"/>
        <v>0</v>
      </c>
      <c r="AD26" s="57">
        <f t="shared" si="4"/>
        <v>0</v>
      </c>
      <c r="AE26" s="57">
        <f t="shared" si="4"/>
        <v>0</v>
      </c>
      <c r="AF26" s="57">
        <f t="shared" si="4"/>
        <v>0.25</v>
      </c>
      <c r="AG26" s="57">
        <f t="shared" si="4"/>
        <v>0.25</v>
      </c>
      <c r="AH26" s="57">
        <f t="shared" si="4"/>
        <v>0.25</v>
      </c>
      <c r="AI26" s="57">
        <f t="shared" si="4"/>
        <v>0.25</v>
      </c>
      <c r="AJ26" s="57">
        <f t="shared" si="4"/>
        <v>0</v>
      </c>
      <c r="AK26" s="57">
        <f t="shared" si="4"/>
        <v>0</v>
      </c>
      <c r="AL26" s="57">
        <f t="shared" si="4"/>
        <v>0</v>
      </c>
      <c r="AM26" s="57">
        <f t="shared" si="4"/>
        <v>0</v>
      </c>
      <c r="AN26" s="57">
        <f t="shared" si="4"/>
        <v>0</v>
      </c>
      <c r="AO26" s="57">
        <f t="shared" si="4"/>
        <v>0</v>
      </c>
      <c r="AP26" s="57">
        <f t="shared" si="4"/>
        <v>0</v>
      </c>
      <c r="AQ26" s="57">
        <f t="shared" si="4"/>
        <v>0</v>
      </c>
      <c r="AR26" s="57">
        <f t="shared" si="4"/>
        <v>0</v>
      </c>
      <c r="AS26" s="57">
        <f t="shared" si="4"/>
        <v>0</v>
      </c>
      <c r="AT26" s="57">
        <f t="shared" si="4"/>
        <v>0</v>
      </c>
      <c r="AU26" s="57">
        <f t="shared" si="4"/>
        <v>0</v>
      </c>
      <c r="AV26" s="57">
        <f t="shared" si="4"/>
        <v>0</v>
      </c>
      <c r="AW26" s="57">
        <f t="shared" si="4"/>
        <v>0</v>
      </c>
      <c r="AX26" s="57">
        <f t="shared" si="4"/>
        <v>0</v>
      </c>
      <c r="AY26" s="57">
        <f t="shared" si="4"/>
        <v>0</v>
      </c>
      <c r="AZ26" s="57">
        <f t="shared" si="4"/>
        <v>0</v>
      </c>
      <c r="BA26" s="57">
        <f t="shared" si="4"/>
        <v>0</v>
      </c>
      <c r="BB26" s="57">
        <f t="shared" si="4"/>
        <v>0</v>
      </c>
      <c r="BC26" s="57">
        <f t="shared" si="4"/>
        <v>0</v>
      </c>
      <c r="BD26" s="57">
        <f t="shared" si="4"/>
        <v>0</v>
      </c>
      <c r="BE26" s="57">
        <f t="shared" si="4"/>
        <v>0</v>
      </c>
      <c r="BF26" s="57">
        <f t="shared" si="4"/>
        <v>0</v>
      </c>
      <c r="BG26" s="57">
        <f t="shared" si="4"/>
        <v>0</v>
      </c>
      <c r="BH26" s="57">
        <f t="shared" si="4"/>
        <v>0</v>
      </c>
      <c r="BI26" s="57">
        <f t="shared" si="4"/>
        <v>0</v>
      </c>
      <c r="BJ26" s="57">
        <f t="shared" si="4"/>
        <v>0</v>
      </c>
      <c r="BK26" s="57">
        <f t="shared" si="4"/>
        <v>0</v>
      </c>
      <c r="BL26" s="57">
        <f t="shared" si="4"/>
        <v>0</v>
      </c>
      <c r="BM26" s="57">
        <f t="shared" si="4"/>
        <v>0</v>
      </c>
    </row>
    <row r="27" spans="2:65">
      <c r="B27" s="55" t="s">
        <v>33</v>
      </c>
      <c r="C27" s="55"/>
      <c r="D27" s="55"/>
      <c r="E27" s="55"/>
      <c r="F27" s="57">
        <f t="shared" si="4"/>
        <v>0</v>
      </c>
      <c r="G27" s="57">
        <f t="shared" si="4"/>
        <v>0</v>
      </c>
      <c r="H27" s="57">
        <f t="shared" si="4"/>
        <v>0</v>
      </c>
      <c r="I27" s="57">
        <f t="shared" si="4"/>
        <v>0</v>
      </c>
      <c r="J27" s="57">
        <f t="shared" si="4"/>
        <v>0</v>
      </c>
      <c r="K27" s="57">
        <f t="shared" si="4"/>
        <v>0</v>
      </c>
      <c r="L27" s="57">
        <f t="shared" si="4"/>
        <v>0</v>
      </c>
      <c r="M27" s="57">
        <f t="shared" si="4"/>
        <v>0</v>
      </c>
      <c r="N27" s="57">
        <f t="shared" si="4"/>
        <v>0</v>
      </c>
      <c r="O27" s="57">
        <f t="shared" si="4"/>
        <v>0</v>
      </c>
      <c r="P27" s="57">
        <f t="shared" si="4"/>
        <v>0</v>
      </c>
      <c r="Q27" s="57">
        <f t="shared" si="4"/>
        <v>0</v>
      </c>
      <c r="R27" s="57">
        <f t="shared" si="4"/>
        <v>0</v>
      </c>
      <c r="S27" s="57">
        <f t="shared" si="4"/>
        <v>0</v>
      </c>
      <c r="T27" s="57">
        <f t="shared" si="4"/>
        <v>0</v>
      </c>
      <c r="U27" s="57">
        <f t="shared" si="4"/>
        <v>0</v>
      </c>
      <c r="V27" s="57">
        <f t="shared" si="4"/>
        <v>0.3</v>
      </c>
      <c r="W27" s="57">
        <f t="shared" si="4"/>
        <v>0.5</v>
      </c>
      <c r="X27" s="57">
        <f t="shared" si="4"/>
        <v>0</v>
      </c>
      <c r="Y27" s="57">
        <f t="shared" si="4"/>
        <v>0</v>
      </c>
      <c r="Z27" s="57">
        <f t="shared" si="4"/>
        <v>0</v>
      </c>
      <c r="AA27" s="57">
        <f t="shared" si="4"/>
        <v>0</v>
      </c>
      <c r="AB27" s="57">
        <f t="shared" si="4"/>
        <v>0</v>
      </c>
      <c r="AC27" s="57">
        <f t="shared" si="4"/>
        <v>0</v>
      </c>
      <c r="AD27" s="57">
        <f t="shared" si="4"/>
        <v>0</v>
      </c>
      <c r="AE27" s="57">
        <f t="shared" si="4"/>
        <v>0</v>
      </c>
      <c r="AF27" s="57">
        <f t="shared" si="4"/>
        <v>0</v>
      </c>
      <c r="AG27" s="57">
        <f t="shared" si="4"/>
        <v>0.1</v>
      </c>
      <c r="AH27" s="57">
        <f t="shared" si="4"/>
        <v>0.1</v>
      </c>
      <c r="AI27" s="57">
        <f t="shared" si="4"/>
        <v>0</v>
      </c>
      <c r="AJ27" s="57">
        <f t="shared" si="4"/>
        <v>0</v>
      </c>
      <c r="AK27" s="57">
        <f t="shared" si="4"/>
        <v>0</v>
      </c>
      <c r="AL27" s="57">
        <f t="shared" si="4"/>
        <v>0</v>
      </c>
      <c r="AM27" s="57">
        <f t="shared" si="4"/>
        <v>0</v>
      </c>
      <c r="AN27" s="57">
        <f t="shared" si="4"/>
        <v>0</v>
      </c>
      <c r="AO27" s="57">
        <f t="shared" si="4"/>
        <v>0</v>
      </c>
      <c r="AP27" s="57">
        <f t="shared" si="4"/>
        <v>0</v>
      </c>
      <c r="AQ27" s="57">
        <f t="shared" si="4"/>
        <v>0</v>
      </c>
      <c r="AR27" s="57">
        <f t="shared" si="4"/>
        <v>0</v>
      </c>
      <c r="AS27" s="57">
        <f t="shared" si="4"/>
        <v>0</v>
      </c>
      <c r="AT27" s="57">
        <f t="shared" si="4"/>
        <v>0</v>
      </c>
      <c r="AU27" s="57">
        <f t="shared" si="4"/>
        <v>0</v>
      </c>
      <c r="AV27" s="57">
        <f t="shared" si="4"/>
        <v>0</v>
      </c>
      <c r="AW27" s="57">
        <f t="shared" si="4"/>
        <v>0</v>
      </c>
      <c r="AX27" s="57">
        <f t="shared" si="4"/>
        <v>0</v>
      </c>
      <c r="AY27" s="57">
        <f t="shared" si="4"/>
        <v>0</v>
      </c>
      <c r="AZ27" s="57">
        <f t="shared" si="4"/>
        <v>0</v>
      </c>
      <c r="BA27" s="57">
        <f t="shared" si="4"/>
        <v>0</v>
      </c>
      <c r="BB27" s="57">
        <f t="shared" si="4"/>
        <v>0</v>
      </c>
      <c r="BC27" s="57">
        <f t="shared" si="4"/>
        <v>0</v>
      </c>
      <c r="BD27" s="57">
        <f t="shared" si="4"/>
        <v>0</v>
      </c>
      <c r="BE27" s="57">
        <f t="shared" si="4"/>
        <v>0</v>
      </c>
      <c r="BF27" s="57">
        <f t="shared" si="4"/>
        <v>0</v>
      </c>
      <c r="BG27" s="57">
        <f t="shared" si="4"/>
        <v>0</v>
      </c>
      <c r="BH27" s="57">
        <f t="shared" si="4"/>
        <v>0</v>
      </c>
      <c r="BI27" s="57">
        <f t="shared" si="4"/>
        <v>0</v>
      </c>
      <c r="BJ27" s="57">
        <f t="shared" si="4"/>
        <v>0</v>
      </c>
      <c r="BK27" s="57">
        <f t="shared" si="4"/>
        <v>0</v>
      </c>
      <c r="BL27" s="57">
        <f t="shared" si="4"/>
        <v>0</v>
      </c>
      <c r="BM27" s="57">
        <f t="shared" si="4"/>
        <v>0</v>
      </c>
    </row>
    <row r="28" spans="2:65" ht="15">
      <c r="B28" s="55" t="s">
        <v>45</v>
      </c>
      <c r="C28" s="55"/>
      <c r="D28" s="55"/>
      <c r="E28" s="55"/>
      <c r="F28" s="57">
        <f t="shared" ref="F28:AK28" si="5">IF(SUM(F24:F25)&gt;0,1,0)</f>
        <v>0</v>
      </c>
      <c r="G28" s="57">
        <f t="shared" si="5"/>
        <v>0</v>
      </c>
      <c r="H28" s="57">
        <f t="shared" si="5"/>
        <v>0</v>
      </c>
      <c r="I28" s="57">
        <f t="shared" si="5"/>
        <v>0</v>
      </c>
      <c r="J28" s="57">
        <f t="shared" si="5"/>
        <v>0</v>
      </c>
      <c r="K28" s="57">
        <f t="shared" si="5"/>
        <v>0</v>
      </c>
      <c r="L28" s="57">
        <f t="shared" si="5"/>
        <v>0</v>
      </c>
      <c r="M28" s="57">
        <f>IF(SUM(M24:M25)&gt;0,1,0)</f>
        <v>0</v>
      </c>
      <c r="N28" s="57">
        <f t="shared" si="5"/>
        <v>0</v>
      </c>
      <c r="O28" s="57">
        <f t="shared" si="5"/>
        <v>0</v>
      </c>
      <c r="P28" s="57">
        <f t="shared" si="5"/>
        <v>0</v>
      </c>
      <c r="Q28" s="57">
        <f t="shared" si="5"/>
        <v>0</v>
      </c>
      <c r="R28" s="57">
        <f t="shared" si="5"/>
        <v>0</v>
      </c>
      <c r="S28" s="57">
        <f t="shared" si="5"/>
        <v>0</v>
      </c>
      <c r="T28" s="57">
        <f t="shared" si="5"/>
        <v>0</v>
      </c>
      <c r="U28" s="57">
        <f t="shared" si="5"/>
        <v>0</v>
      </c>
      <c r="V28" s="57">
        <f t="shared" si="5"/>
        <v>0</v>
      </c>
      <c r="W28" s="57">
        <f t="shared" si="5"/>
        <v>1</v>
      </c>
      <c r="X28" s="57">
        <f t="shared" si="5"/>
        <v>1</v>
      </c>
      <c r="Y28" s="57">
        <f t="shared" si="5"/>
        <v>1</v>
      </c>
      <c r="Z28" s="57">
        <f t="shared" si="5"/>
        <v>1</v>
      </c>
      <c r="AA28" s="57">
        <f t="shared" si="5"/>
        <v>1</v>
      </c>
      <c r="AB28" s="57">
        <f t="shared" si="5"/>
        <v>1</v>
      </c>
      <c r="AC28" s="57">
        <f t="shared" si="5"/>
        <v>1</v>
      </c>
      <c r="AD28" s="57">
        <f t="shared" si="5"/>
        <v>1</v>
      </c>
      <c r="AE28" s="57">
        <f t="shared" si="5"/>
        <v>1</v>
      </c>
      <c r="AF28" s="1401">
        <f t="shared" si="5"/>
        <v>1</v>
      </c>
      <c r="AG28" s="57">
        <f t="shared" si="5"/>
        <v>1</v>
      </c>
      <c r="AH28" s="57">
        <f t="shared" si="5"/>
        <v>1</v>
      </c>
      <c r="AI28" s="57">
        <f t="shared" si="5"/>
        <v>1</v>
      </c>
      <c r="AJ28" s="57">
        <f t="shared" si="5"/>
        <v>0</v>
      </c>
      <c r="AK28" s="57">
        <f t="shared" si="5"/>
        <v>0</v>
      </c>
      <c r="AL28" s="57">
        <f t="shared" ref="AL28:BM28" si="6">IF(SUM(AL24:AL25)&gt;0,1,0)</f>
        <v>0</v>
      </c>
      <c r="AM28" s="57">
        <f t="shared" si="6"/>
        <v>0</v>
      </c>
      <c r="AN28" s="57">
        <f t="shared" si="6"/>
        <v>0</v>
      </c>
      <c r="AO28" s="57">
        <f t="shared" si="6"/>
        <v>0</v>
      </c>
      <c r="AP28" s="57">
        <f t="shared" si="6"/>
        <v>0</v>
      </c>
      <c r="AQ28" s="57">
        <f t="shared" si="6"/>
        <v>0</v>
      </c>
      <c r="AR28" s="57">
        <f t="shared" si="6"/>
        <v>0</v>
      </c>
      <c r="AS28" s="57">
        <f t="shared" si="6"/>
        <v>0</v>
      </c>
      <c r="AT28" s="57">
        <f t="shared" si="6"/>
        <v>0</v>
      </c>
      <c r="AU28" s="57">
        <f t="shared" si="6"/>
        <v>0</v>
      </c>
      <c r="AV28" s="57">
        <f t="shared" si="6"/>
        <v>0</v>
      </c>
      <c r="AW28" s="57">
        <f t="shared" si="6"/>
        <v>0</v>
      </c>
      <c r="AX28" s="57">
        <f t="shared" si="6"/>
        <v>0</v>
      </c>
      <c r="AY28" s="57">
        <f t="shared" si="6"/>
        <v>0</v>
      </c>
      <c r="AZ28" s="57">
        <f t="shared" si="6"/>
        <v>0</v>
      </c>
      <c r="BA28" s="57">
        <f t="shared" si="6"/>
        <v>0</v>
      </c>
      <c r="BB28" s="57">
        <f t="shared" si="6"/>
        <v>0</v>
      </c>
      <c r="BC28" s="57">
        <f t="shared" si="6"/>
        <v>0</v>
      </c>
      <c r="BD28" s="57">
        <f t="shared" si="6"/>
        <v>0</v>
      </c>
      <c r="BE28" s="57">
        <f t="shared" si="6"/>
        <v>0</v>
      </c>
      <c r="BF28" s="57">
        <f t="shared" si="6"/>
        <v>0</v>
      </c>
      <c r="BG28" s="57">
        <f t="shared" si="6"/>
        <v>0</v>
      </c>
      <c r="BH28" s="57">
        <f t="shared" si="6"/>
        <v>0</v>
      </c>
      <c r="BI28" s="57">
        <f t="shared" si="6"/>
        <v>0</v>
      </c>
      <c r="BJ28" s="57">
        <f t="shared" si="6"/>
        <v>0</v>
      </c>
      <c r="BK28" s="57">
        <f t="shared" si="6"/>
        <v>0</v>
      </c>
      <c r="BL28" s="57">
        <f t="shared" si="6"/>
        <v>0</v>
      </c>
      <c r="BM28" s="57">
        <f t="shared" si="6"/>
        <v>0</v>
      </c>
    </row>
    <row r="29" spans="2:65">
      <c r="B29" s="55" t="s">
        <v>34</v>
      </c>
      <c r="C29" s="55"/>
      <c r="D29" s="55"/>
      <c r="E29" s="55"/>
      <c r="F29" s="57">
        <f>IF(SUM(F21,F24,F25,F26,F27,F28)&gt;0,1,0)</f>
        <v>0</v>
      </c>
      <c r="G29" s="57">
        <f t="shared" ref="G29:BM29" si="7">IF(SUM(G21,G24,G25,G26,G27,G28)&gt;0,1,0)</f>
        <v>0</v>
      </c>
      <c r="H29" s="57">
        <f t="shared" si="7"/>
        <v>0</v>
      </c>
      <c r="I29" s="57">
        <f t="shared" si="7"/>
        <v>0</v>
      </c>
      <c r="J29" s="57">
        <f t="shared" si="7"/>
        <v>0</v>
      </c>
      <c r="K29" s="57">
        <f t="shared" si="7"/>
        <v>0</v>
      </c>
      <c r="L29" s="57">
        <f t="shared" si="7"/>
        <v>0</v>
      </c>
      <c r="M29" s="57">
        <f t="shared" si="7"/>
        <v>0</v>
      </c>
      <c r="N29" s="57">
        <f t="shared" si="7"/>
        <v>1</v>
      </c>
      <c r="O29" s="57">
        <f t="shared" si="7"/>
        <v>1</v>
      </c>
      <c r="P29" s="57">
        <f t="shared" si="7"/>
        <v>1</v>
      </c>
      <c r="Q29" s="57">
        <f t="shared" si="7"/>
        <v>1</v>
      </c>
      <c r="R29" s="57">
        <f t="shared" si="7"/>
        <v>1</v>
      </c>
      <c r="S29" s="57">
        <f t="shared" si="7"/>
        <v>0</v>
      </c>
      <c r="T29" s="57">
        <f t="shared" si="7"/>
        <v>0</v>
      </c>
      <c r="U29" s="57">
        <f t="shared" si="7"/>
        <v>0</v>
      </c>
      <c r="V29" s="57">
        <f t="shared" si="7"/>
        <v>1</v>
      </c>
      <c r="W29" s="57">
        <f t="shared" si="7"/>
        <v>1</v>
      </c>
      <c r="X29" s="57">
        <f t="shared" si="7"/>
        <v>1</v>
      </c>
      <c r="Y29" s="57">
        <f t="shared" si="7"/>
        <v>1</v>
      </c>
      <c r="Z29" s="57">
        <f t="shared" si="7"/>
        <v>1</v>
      </c>
      <c r="AA29" s="57">
        <f t="shared" si="7"/>
        <v>1</v>
      </c>
      <c r="AB29" s="57">
        <f t="shared" si="7"/>
        <v>1</v>
      </c>
      <c r="AC29" s="57">
        <f t="shared" si="7"/>
        <v>1</v>
      </c>
      <c r="AD29" s="57">
        <f t="shared" si="7"/>
        <v>1</v>
      </c>
      <c r="AE29" s="57">
        <f t="shared" si="7"/>
        <v>1</v>
      </c>
      <c r="AF29" s="57">
        <f t="shared" si="7"/>
        <v>1</v>
      </c>
      <c r="AG29" s="57">
        <f t="shared" si="7"/>
        <v>1</v>
      </c>
      <c r="AH29" s="57">
        <f t="shared" si="7"/>
        <v>1</v>
      </c>
      <c r="AI29" s="57">
        <f t="shared" si="7"/>
        <v>1</v>
      </c>
      <c r="AJ29" s="57">
        <f t="shared" si="7"/>
        <v>0</v>
      </c>
      <c r="AK29" s="57">
        <f t="shared" si="7"/>
        <v>0</v>
      </c>
      <c r="AL29" s="57">
        <f t="shared" si="7"/>
        <v>0</v>
      </c>
      <c r="AM29" s="57">
        <f t="shared" si="7"/>
        <v>0</v>
      </c>
      <c r="AN29" s="57">
        <f t="shared" si="7"/>
        <v>0</v>
      </c>
      <c r="AO29" s="57">
        <f t="shared" si="7"/>
        <v>0</v>
      </c>
      <c r="AP29" s="57">
        <f t="shared" si="7"/>
        <v>0</v>
      </c>
      <c r="AQ29" s="57">
        <f t="shared" si="7"/>
        <v>0</v>
      </c>
      <c r="AR29" s="57">
        <f t="shared" si="7"/>
        <v>0</v>
      </c>
      <c r="AS29" s="57">
        <f t="shared" si="7"/>
        <v>0</v>
      </c>
      <c r="AT29" s="57">
        <f t="shared" si="7"/>
        <v>0</v>
      </c>
      <c r="AU29" s="57">
        <f t="shared" si="7"/>
        <v>0</v>
      </c>
      <c r="AV29" s="57">
        <f t="shared" si="7"/>
        <v>0</v>
      </c>
      <c r="AW29" s="57">
        <f t="shared" si="7"/>
        <v>0</v>
      </c>
      <c r="AX29" s="57">
        <f t="shared" si="7"/>
        <v>0</v>
      </c>
      <c r="AY29" s="57">
        <f t="shared" si="7"/>
        <v>0</v>
      </c>
      <c r="AZ29" s="57">
        <f t="shared" si="7"/>
        <v>0</v>
      </c>
      <c r="BA29" s="57">
        <f t="shared" si="7"/>
        <v>0</v>
      </c>
      <c r="BB29" s="57">
        <f t="shared" si="7"/>
        <v>0</v>
      </c>
      <c r="BC29" s="57">
        <f t="shared" si="7"/>
        <v>0</v>
      </c>
      <c r="BD29" s="57">
        <f t="shared" si="7"/>
        <v>0</v>
      </c>
      <c r="BE29" s="57">
        <f t="shared" si="7"/>
        <v>0</v>
      </c>
      <c r="BF29" s="57">
        <f t="shared" si="7"/>
        <v>0</v>
      </c>
      <c r="BG29" s="57">
        <f t="shared" si="7"/>
        <v>0</v>
      </c>
      <c r="BH29" s="57">
        <f t="shared" si="7"/>
        <v>0</v>
      </c>
      <c r="BI29" s="57">
        <f t="shared" si="7"/>
        <v>0</v>
      </c>
      <c r="BJ29" s="57">
        <f t="shared" si="7"/>
        <v>0</v>
      </c>
      <c r="BK29" s="57">
        <f t="shared" si="7"/>
        <v>0</v>
      </c>
      <c r="BL29" s="57">
        <f t="shared" si="7"/>
        <v>0</v>
      </c>
      <c r="BM29" s="57">
        <f t="shared" si="7"/>
        <v>0</v>
      </c>
    </row>
    <row r="30" spans="2:65">
      <c r="B30" s="55" t="s">
        <v>35</v>
      </c>
      <c r="C30" s="55"/>
      <c r="D30" s="55"/>
      <c r="E30" s="55"/>
      <c r="F30" s="57">
        <f>IF(SUM(F21,F24,F25,F26,F27,F28)&gt;0,1,0)</f>
        <v>0</v>
      </c>
      <c r="G30" s="57">
        <f t="shared" ref="G30:BM30" si="8">IF(SUM(G21,G24,G25,G26,G27,G28)&gt;0,1,0)</f>
        <v>0</v>
      </c>
      <c r="H30" s="57">
        <f t="shared" si="8"/>
        <v>0</v>
      </c>
      <c r="I30" s="57">
        <f t="shared" si="8"/>
        <v>0</v>
      </c>
      <c r="J30" s="57">
        <f t="shared" si="8"/>
        <v>0</v>
      </c>
      <c r="K30" s="57">
        <f t="shared" si="8"/>
        <v>0</v>
      </c>
      <c r="L30" s="57">
        <f t="shared" si="8"/>
        <v>0</v>
      </c>
      <c r="M30" s="57">
        <f t="shared" si="8"/>
        <v>0</v>
      </c>
      <c r="N30" s="57">
        <f t="shared" si="8"/>
        <v>1</v>
      </c>
      <c r="O30" s="57">
        <f t="shared" si="8"/>
        <v>1</v>
      </c>
      <c r="P30" s="57">
        <f t="shared" si="8"/>
        <v>1</v>
      </c>
      <c r="Q30" s="57">
        <f t="shared" si="8"/>
        <v>1</v>
      </c>
      <c r="R30" s="57">
        <f t="shared" si="8"/>
        <v>1</v>
      </c>
      <c r="S30" s="57">
        <f t="shared" si="8"/>
        <v>0</v>
      </c>
      <c r="T30" s="57">
        <f t="shared" si="8"/>
        <v>0</v>
      </c>
      <c r="U30" s="57">
        <f t="shared" si="8"/>
        <v>0</v>
      </c>
      <c r="V30" s="57">
        <f t="shared" si="8"/>
        <v>1</v>
      </c>
      <c r="W30" s="57">
        <f t="shared" si="8"/>
        <v>1</v>
      </c>
      <c r="X30" s="57">
        <f t="shared" si="8"/>
        <v>1</v>
      </c>
      <c r="Y30" s="57">
        <f t="shared" si="8"/>
        <v>1</v>
      </c>
      <c r="Z30" s="57">
        <f t="shared" si="8"/>
        <v>1</v>
      </c>
      <c r="AA30" s="57">
        <f t="shared" si="8"/>
        <v>1</v>
      </c>
      <c r="AB30" s="57">
        <f t="shared" si="8"/>
        <v>1</v>
      </c>
      <c r="AC30" s="57">
        <f t="shared" si="8"/>
        <v>1</v>
      </c>
      <c r="AD30" s="57">
        <f t="shared" si="8"/>
        <v>1</v>
      </c>
      <c r="AE30" s="57">
        <f t="shared" si="8"/>
        <v>1</v>
      </c>
      <c r="AF30" s="57">
        <f t="shared" si="8"/>
        <v>1</v>
      </c>
      <c r="AG30" s="57">
        <f t="shared" si="8"/>
        <v>1</v>
      </c>
      <c r="AH30" s="57">
        <f t="shared" si="8"/>
        <v>1</v>
      </c>
      <c r="AI30" s="57">
        <f t="shared" si="8"/>
        <v>1</v>
      </c>
      <c r="AJ30" s="57">
        <f t="shared" si="8"/>
        <v>0</v>
      </c>
      <c r="AK30" s="57">
        <f t="shared" si="8"/>
        <v>0</v>
      </c>
      <c r="AL30" s="57">
        <f t="shared" si="8"/>
        <v>0</v>
      </c>
      <c r="AM30" s="57">
        <f t="shared" si="8"/>
        <v>0</v>
      </c>
      <c r="AN30" s="57">
        <f t="shared" si="8"/>
        <v>0</v>
      </c>
      <c r="AO30" s="57">
        <f t="shared" si="8"/>
        <v>0</v>
      </c>
      <c r="AP30" s="57">
        <f t="shared" si="8"/>
        <v>0</v>
      </c>
      <c r="AQ30" s="57">
        <f t="shared" si="8"/>
        <v>0</v>
      </c>
      <c r="AR30" s="57">
        <f t="shared" si="8"/>
        <v>0</v>
      </c>
      <c r="AS30" s="57">
        <f t="shared" si="8"/>
        <v>0</v>
      </c>
      <c r="AT30" s="57">
        <f t="shared" si="8"/>
        <v>0</v>
      </c>
      <c r="AU30" s="57">
        <f t="shared" si="8"/>
        <v>0</v>
      </c>
      <c r="AV30" s="57">
        <f t="shared" si="8"/>
        <v>0</v>
      </c>
      <c r="AW30" s="57">
        <f t="shared" si="8"/>
        <v>0</v>
      </c>
      <c r="AX30" s="57">
        <f t="shared" si="8"/>
        <v>0</v>
      </c>
      <c r="AY30" s="57">
        <f t="shared" si="8"/>
        <v>0</v>
      </c>
      <c r="AZ30" s="57">
        <f t="shared" si="8"/>
        <v>0</v>
      </c>
      <c r="BA30" s="57">
        <f t="shared" si="8"/>
        <v>0</v>
      </c>
      <c r="BB30" s="57">
        <f t="shared" si="8"/>
        <v>0</v>
      </c>
      <c r="BC30" s="57">
        <f t="shared" si="8"/>
        <v>0</v>
      </c>
      <c r="BD30" s="57">
        <f t="shared" si="8"/>
        <v>0</v>
      </c>
      <c r="BE30" s="57">
        <f t="shared" si="8"/>
        <v>0</v>
      </c>
      <c r="BF30" s="57">
        <f t="shared" si="8"/>
        <v>0</v>
      </c>
      <c r="BG30" s="57">
        <f t="shared" si="8"/>
        <v>0</v>
      </c>
      <c r="BH30" s="57">
        <f t="shared" si="8"/>
        <v>0</v>
      </c>
      <c r="BI30" s="57">
        <f t="shared" si="8"/>
        <v>0</v>
      </c>
      <c r="BJ30" s="57">
        <f t="shared" si="8"/>
        <v>0</v>
      </c>
      <c r="BK30" s="57">
        <f t="shared" si="8"/>
        <v>0</v>
      </c>
      <c r="BL30" s="57">
        <f t="shared" si="8"/>
        <v>0</v>
      </c>
      <c r="BM30" s="57">
        <f t="shared" si="8"/>
        <v>0</v>
      </c>
    </row>
    <row r="32" spans="2:65">
      <c r="B32" s="55" t="s">
        <v>6</v>
      </c>
      <c r="C32" s="55"/>
      <c r="D32" s="55">
        <f>COUNTIF(F32:BM32,"&gt;0")</f>
        <v>27</v>
      </c>
      <c r="E32" s="55"/>
      <c r="F32" s="57">
        <f t="shared" ref="F32:BM32" si="9">IF(SUM(F21:F30,F38)&gt;0,1,0)</f>
        <v>0</v>
      </c>
      <c r="G32" s="57">
        <f t="shared" si="9"/>
        <v>0</v>
      </c>
      <c r="H32" s="57">
        <f t="shared" si="9"/>
        <v>0</v>
      </c>
      <c r="I32" s="57">
        <f t="shared" si="9"/>
        <v>0</v>
      </c>
      <c r="J32" s="57">
        <f t="shared" si="9"/>
        <v>0</v>
      </c>
      <c r="K32" s="57">
        <f t="shared" si="9"/>
        <v>0</v>
      </c>
      <c r="L32" s="57">
        <f t="shared" si="9"/>
        <v>0</v>
      </c>
      <c r="M32" s="57">
        <f t="shared" si="9"/>
        <v>0</v>
      </c>
      <c r="N32" s="57">
        <f t="shared" si="9"/>
        <v>1</v>
      </c>
      <c r="O32" s="57">
        <f t="shared" si="9"/>
        <v>1</v>
      </c>
      <c r="P32" s="57">
        <f t="shared" si="9"/>
        <v>1</v>
      </c>
      <c r="Q32" s="57">
        <f t="shared" si="9"/>
        <v>1</v>
      </c>
      <c r="R32" s="57">
        <f t="shared" si="9"/>
        <v>1</v>
      </c>
      <c r="S32" s="57">
        <f t="shared" si="9"/>
        <v>1</v>
      </c>
      <c r="T32" s="57">
        <f t="shared" si="9"/>
        <v>1</v>
      </c>
      <c r="U32" s="57">
        <f t="shared" si="9"/>
        <v>1</v>
      </c>
      <c r="V32" s="57">
        <f t="shared" si="9"/>
        <v>1</v>
      </c>
      <c r="W32" s="57">
        <f t="shared" si="9"/>
        <v>1</v>
      </c>
      <c r="X32" s="57">
        <f t="shared" si="9"/>
        <v>1</v>
      </c>
      <c r="Y32" s="57">
        <f t="shared" si="9"/>
        <v>1</v>
      </c>
      <c r="Z32" s="57">
        <f t="shared" si="9"/>
        <v>1</v>
      </c>
      <c r="AA32" s="57">
        <f t="shared" si="9"/>
        <v>1</v>
      </c>
      <c r="AB32" s="57">
        <f t="shared" si="9"/>
        <v>1</v>
      </c>
      <c r="AC32" s="57">
        <f t="shared" si="9"/>
        <v>1</v>
      </c>
      <c r="AD32" s="57">
        <f t="shared" si="9"/>
        <v>1</v>
      </c>
      <c r="AE32" s="57">
        <f t="shared" si="9"/>
        <v>1</v>
      </c>
      <c r="AF32" s="57">
        <f t="shared" si="9"/>
        <v>1</v>
      </c>
      <c r="AG32" s="57">
        <f t="shared" si="9"/>
        <v>1</v>
      </c>
      <c r="AH32" s="57">
        <f t="shared" si="9"/>
        <v>1</v>
      </c>
      <c r="AI32" s="57">
        <f t="shared" si="9"/>
        <v>1</v>
      </c>
      <c r="AJ32" s="57">
        <f t="shared" si="9"/>
        <v>1</v>
      </c>
      <c r="AK32" s="57">
        <f t="shared" si="9"/>
        <v>1</v>
      </c>
      <c r="AL32" s="57">
        <f t="shared" si="9"/>
        <v>1</v>
      </c>
      <c r="AM32" s="57">
        <f t="shared" si="9"/>
        <v>1</v>
      </c>
      <c r="AN32" s="57">
        <f t="shared" si="9"/>
        <v>1</v>
      </c>
      <c r="AO32" s="57">
        <f t="shared" si="9"/>
        <v>0</v>
      </c>
      <c r="AP32" s="57">
        <f t="shared" si="9"/>
        <v>0</v>
      </c>
      <c r="AQ32" s="57">
        <f t="shared" si="9"/>
        <v>0</v>
      </c>
      <c r="AR32" s="57">
        <f t="shared" si="9"/>
        <v>0</v>
      </c>
      <c r="AS32" s="57">
        <f t="shared" si="9"/>
        <v>0</v>
      </c>
      <c r="AT32" s="57">
        <f t="shared" si="9"/>
        <v>0</v>
      </c>
      <c r="AU32" s="57">
        <f t="shared" si="9"/>
        <v>0</v>
      </c>
      <c r="AV32" s="57">
        <f t="shared" si="9"/>
        <v>0</v>
      </c>
      <c r="AW32" s="57">
        <f t="shared" si="9"/>
        <v>0</v>
      </c>
      <c r="AX32" s="57">
        <f t="shared" si="9"/>
        <v>0</v>
      </c>
      <c r="AY32" s="57">
        <f t="shared" si="9"/>
        <v>0</v>
      </c>
      <c r="AZ32" s="57">
        <f t="shared" si="9"/>
        <v>0</v>
      </c>
      <c r="BA32" s="57">
        <f t="shared" si="9"/>
        <v>0</v>
      </c>
      <c r="BB32" s="57">
        <f t="shared" si="9"/>
        <v>0</v>
      </c>
      <c r="BC32" s="57">
        <f t="shared" si="9"/>
        <v>0</v>
      </c>
      <c r="BD32" s="57">
        <f t="shared" si="9"/>
        <v>0</v>
      </c>
      <c r="BE32" s="57">
        <f t="shared" si="9"/>
        <v>0</v>
      </c>
      <c r="BF32" s="57">
        <f t="shared" si="9"/>
        <v>0</v>
      </c>
      <c r="BG32" s="57">
        <f t="shared" si="9"/>
        <v>0</v>
      </c>
      <c r="BH32" s="57">
        <f t="shared" si="9"/>
        <v>0</v>
      </c>
      <c r="BI32" s="57">
        <f t="shared" si="9"/>
        <v>0</v>
      </c>
      <c r="BJ32" s="57">
        <f t="shared" si="9"/>
        <v>0</v>
      </c>
      <c r="BK32" s="57">
        <f t="shared" si="9"/>
        <v>0</v>
      </c>
      <c r="BL32" s="57">
        <f t="shared" si="9"/>
        <v>0</v>
      </c>
      <c r="BM32" s="57">
        <f t="shared" si="9"/>
        <v>0</v>
      </c>
    </row>
    <row r="33" spans="2:65">
      <c r="B33" s="55" t="s">
        <v>366</v>
      </c>
      <c r="C33" s="55"/>
      <c r="D33" s="55">
        <f>COUNTIF(F33:BM33,"&gt;0")</f>
        <v>24</v>
      </c>
      <c r="E33" s="55"/>
      <c r="F33" s="57">
        <f>IF(AND(F17&gt;=EOMONTH('DB2'!$U$23,2),'TS2'!F17&lt;=EOMONTH('DB2'!$U$27,6)),100%,0)</f>
        <v>0</v>
      </c>
      <c r="G33" s="57">
        <f>IF(AND(G17&gt;=EOMONTH('DB2'!$U$23,2),'TS2'!G17&lt;=EOMONTH('DB2'!$U$27,6)),100%,0)</f>
        <v>0</v>
      </c>
      <c r="H33" s="57">
        <f>IF(AND(H17&gt;=EOMONTH('DB2'!$U$23,2),'TS2'!H17&lt;=EOMONTH('DB2'!$U$27,6)),100%,0)</f>
        <v>0</v>
      </c>
      <c r="I33" s="57">
        <f>IF(AND(I17&gt;=EOMONTH('DB2'!$U$23,2),'TS2'!I17&lt;=EOMONTH('DB2'!$U$27,6)),100%,0)</f>
        <v>0</v>
      </c>
      <c r="J33" s="57">
        <f>IF(AND(J17&gt;=EOMONTH('DB2'!$U$23,2),'TS2'!J17&lt;=EOMONTH('DB2'!$U$27,6)),100%,0)</f>
        <v>0</v>
      </c>
      <c r="K33" s="57">
        <f>IF(AND(K17&gt;=EOMONTH('DB2'!$U$23,2),'TS2'!K17&lt;=EOMONTH('DB2'!$U$27,6)),100%,0)</f>
        <v>0</v>
      </c>
      <c r="L33" s="57">
        <f>IF(AND(L17&gt;=EOMONTH('DB2'!$U$23,2),'TS2'!L17&lt;=EOMONTH('DB2'!$U$27,6)),100%,0)</f>
        <v>0</v>
      </c>
      <c r="M33" s="57">
        <f>IF(AND(M17&gt;=EOMONTH('DB2'!$U$23,2),'TS2'!M17&lt;=EOMONTH('DB2'!$U$27,6)),100%,0)</f>
        <v>0</v>
      </c>
      <c r="N33" s="57">
        <f>IF(AND(N17&gt;=EOMONTH('DB2'!$U$23,2),'TS2'!N17&lt;=EOMONTH('DB2'!$U$27,6)),100%,0)</f>
        <v>1</v>
      </c>
      <c r="O33" s="57">
        <f>IF(AND(O17&gt;=EOMONTH('DB2'!$U$23,2),'TS2'!O17&lt;=EOMONTH('DB2'!$U$27,6)),100%,0)</f>
        <v>1</v>
      </c>
      <c r="P33" s="57">
        <f>IF(AND(P17&gt;=EOMONTH('DB2'!$U$23,2),'TS2'!P17&lt;=EOMONTH('DB2'!$U$27,6)),100%,0)</f>
        <v>1</v>
      </c>
      <c r="Q33" s="57">
        <f>IF(AND(Q17&gt;=EOMONTH('DB2'!$U$23,2),'TS2'!Q17&lt;=EOMONTH('DB2'!$U$27,6)),100%,0)</f>
        <v>1</v>
      </c>
      <c r="R33" s="57">
        <f>IF(AND(R17&gt;=EOMONTH('DB2'!$U$23,2),'TS2'!R17&lt;=EOMONTH('DB2'!$U$27,6)),100%,0)</f>
        <v>1</v>
      </c>
      <c r="S33" s="57">
        <f>IF(AND(S17&gt;=EOMONTH('DB2'!$U$23,2),'TS2'!S17&lt;=EOMONTH('DB2'!$U$27,6)),100%,0)</f>
        <v>1</v>
      </c>
      <c r="T33" s="57">
        <f>IF(AND(T17&gt;=EOMONTH('DB2'!$U$23,2),'TS2'!T17&lt;=EOMONTH('DB2'!$U$27,6)),100%,0)</f>
        <v>1</v>
      </c>
      <c r="U33" s="57">
        <f>IF(AND(U17&gt;=EOMONTH('DB2'!$U$23,2),'TS2'!U17&lt;=EOMONTH('DB2'!$U$27,6)),100%,0)</f>
        <v>1</v>
      </c>
      <c r="V33" s="57">
        <f>IF(AND(V17&gt;=EOMONTH('DB2'!$U$23,2),'TS2'!V17&lt;=EOMONTH('DB2'!$U$27,6)),100%,0)</f>
        <v>1</v>
      </c>
      <c r="W33" s="57">
        <f>IF(AND(W17&gt;=EOMONTH('DB2'!$U$23,2),'TS2'!W17&lt;=EOMONTH('DB2'!$U$27,6)),100%,0)</f>
        <v>1</v>
      </c>
      <c r="X33" s="57">
        <f>IF(AND(X17&gt;=EOMONTH('DB2'!$U$23,2),'TS2'!X17&lt;=EOMONTH('DB2'!$U$27,6)),100%,0)</f>
        <v>1</v>
      </c>
      <c r="Y33" s="57">
        <f>IF(AND(Y17&gt;=EOMONTH('DB2'!$U$23,2),'TS2'!Y17&lt;=EOMONTH('DB2'!$U$27,6)),100%,0)</f>
        <v>1</v>
      </c>
      <c r="Z33" s="57">
        <f>IF(AND(Z17&gt;=EOMONTH('DB2'!$U$23,2),'TS2'!Z17&lt;=EOMONTH('DB2'!$U$27,6)),100%,0)</f>
        <v>1</v>
      </c>
      <c r="AA33" s="57">
        <f>IF(AND(AA17&gt;=EOMONTH('DB2'!$U$23,2),'TS2'!AA17&lt;=EOMONTH('DB2'!$U$27,6)),100%,0)</f>
        <v>1</v>
      </c>
      <c r="AB33" s="57">
        <f>IF(AND(AB17&gt;=EOMONTH('DB2'!$U$23,2),'TS2'!AB17&lt;=EOMONTH('DB2'!$U$27,6)),100%,0)</f>
        <v>1</v>
      </c>
      <c r="AC33" s="57">
        <f>IF(AND(AC17&gt;=EOMONTH('DB2'!$U$23,2),'TS2'!AC17&lt;=EOMONTH('DB2'!$U$27,6)),100%,0)</f>
        <v>1</v>
      </c>
      <c r="AD33" s="57">
        <f>IF(AND(AD17&gt;=EOMONTH('DB2'!$U$23,2),'TS2'!AD17&lt;=EOMONTH('DB2'!$U$27,6)),100%,0)</f>
        <v>1</v>
      </c>
      <c r="AE33" s="57">
        <f>IF(AND(AE17&gt;=EOMONTH('DB2'!$U$23,2),'TS2'!AE17&lt;=EOMONTH('DB2'!$U$27,6)),100%,0)</f>
        <v>1</v>
      </c>
      <c r="AF33" s="57">
        <f>IF(AND(AF17&gt;=EOMONTH('DB2'!$U$23,2),'TS2'!AF17&lt;=EOMONTH('DB2'!$U$27,6)),100%,0)</f>
        <v>1</v>
      </c>
      <c r="AG33" s="57">
        <f>IF(AND(AG17&gt;=EOMONTH('DB2'!$U$23,2),'TS2'!AG17&lt;=EOMONTH('DB2'!$U$27,6)),100%,0)</f>
        <v>1</v>
      </c>
      <c r="AH33" s="57">
        <f>IF(AND(AH17&gt;=EOMONTH('DB2'!$U$23,2),'TS2'!AH17&lt;=EOMONTH('DB2'!$U$27,6)),100%,0)</f>
        <v>1</v>
      </c>
      <c r="AI33" s="57">
        <f>IF(AND(AI17&gt;=EOMONTH('DB2'!$U$23,2),'TS2'!AI17&lt;=EOMONTH('DB2'!$U$27,6)),100%,0)</f>
        <v>1</v>
      </c>
      <c r="AJ33" s="57">
        <f>IF(AND(AJ17&gt;=EOMONTH('DB2'!$U$23,2),'TS2'!AJ17&lt;=EOMONTH('DB2'!$U$27,6)),100%,0)</f>
        <v>1</v>
      </c>
      <c r="AK33" s="57">
        <f>IF(AND(AK17&gt;=EOMONTH('DB2'!$U$23,2),'TS2'!AK17&lt;=EOMONTH('DB2'!$U$27,6)),100%,0)</f>
        <v>1</v>
      </c>
      <c r="AL33" s="57">
        <f>IF(AND(AL17&gt;=EOMONTH('DB2'!$U$23,2),'TS2'!AL17&lt;=EOMONTH('DB2'!$U$27,6)),100%,0)</f>
        <v>0</v>
      </c>
      <c r="AM33" s="57">
        <f>IF(AND(AM17&gt;=EOMONTH('DB2'!$U$23,2),'TS2'!AM17&lt;=EOMONTH('DB2'!$U$27,6)),100%,0)</f>
        <v>0</v>
      </c>
      <c r="AN33" s="57">
        <f>IF(AND(AN17&gt;=EOMONTH('DB2'!$U$23,2),'TS2'!AN17&lt;=EOMONTH('DB2'!$U$27,6)),100%,0)</f>
        <v>0</v>
      </c>
      <c r="AO33" s="57">
        <f>IF(AND(AO17&gt;=EOMONTH('DB2'!$U$23,2),'TS2'!AO17&lt;=EOMONTH('DB2'!$U$27,6)),100%,0)</f>
        <v>0</v>
      </c>
      <c r="AP33" s="57">
        <f>IF(AND(AP17&gt;=EOMONTH('DB2'!$U$23,2),'TS2'!AP17&lt;=EOMONTH('DB2'!$U$27,6)),100%,0)</f>
        <v>0</v>
      </c>
      <c r="AQ33" s="57">
        <f>IF(AND(AQ17&gt;=EOMONTH('DB2'!$U$23,2),'TS2'!AQ17&lt;=EOMONTH('DB2'!$U$27,6)),100%,0)</f>
        <v>0</v>
      </c>
      <c r="AR33" s="57">
        <f>IF(AND(AR17&gt;=EOMONTH('DB2'!$U$23,2),'TS2'!AR17&lt;=EOMONTH('DB2'!$U$27,6)),100%,0)</f>
        <v>0</v>
      </c>
      <c r="AS33" s="57">
        <f>IF(AND(AS17&gt;=EOMONTH('DB2'!$U$23,2),'TS2'!AS17&lt;=EOMONTH('DB2'!$U$27,6)),100%,0)</f>
        <v>0</v>
      </c>
      <c r="AT33" s="57">
        <f>IF(AND(AT17&gt;=EOMONTH('DB2'!$U$23,2),'TS2'!AT17&lt;=EOMONTH('DB2'!$U$27,6)),100%,0)</f>
        <v>0</v>
      </c>
      <c r="AU33" s="57">
        <f>IF(AND(AU17&gt;=EOMONTH('DB2'!$U$23,2),'TS2'!AU17&lt;=EOMONTH('DB2'!$U$27,6)),100%,0)</f>
        <v>0</v>
      </c>
      <c r="AV33" s="57">
        <f>IF(AND(AV17&gt;=EOMONTH('DB2'!$U$23,2),'TS2'!AV17&lt;=EOMONTH('DB2'!$U$27,6)),100%,0)</f>
        <v>0</v>
      </c>
      <c r="AW33" s="57">
        <f>IF(AND(AW17&gt;=EOMONTH('DB2'!$U$23,2),'TS2'!AW17&lt;=EOMONTH('DB2'!$U$27,6)),100%,0)</f>
        <v>0</v>
      </c>
      <c r="AX33" s="57">
        <f>IF(AND(AX17&gt;=EOMONTH('DB2'!$U$23,2),'TS2'!AX17&lt;=EOMONTH('DB2'!$U$27,6)),100%,0)</f>
        <v>0</v>
      </c>
      <c r="AY33" s="57">
        <f>IF(AND(AY17&gt;=EOMONTH('DB2'!$U$23,2),'TS2'!AY17&lt;=EOMONTH('DB2'!$U$27,6)),100%,0)</f>
        <v>0</v>
      </c>
      <c r="AZ33" s="57">
        <f>IF(AND(AZ17&gt;=EOMONTH('DB2'!$U$23,2),'TS2'!AZ17&lt;=EOMONTH('DB2'!$U$27,6)),100%,0)</f>
        <v>0</v>
      </c>
      <c r="BA33" s="57">
        <f>IF(AND(BA17&gt;=EOMONTH('DB2'!$U$23,2),'TS2'!BA17&lt;=EOMONTH('DB2'!$U$27,6)),100%,0)</f>
        <v>0</v>
      </c>
      <c r="BB33" s="57">
        <f>IF(AND(BB17&gt;=EOMONTH('DB2'!$U$23,2),'TS2'!BB17&lt;=EOMONTH('DB2'!$U$27,6)),100%,0)</f>
        <v>0</v>
      </c>
      <c r="BC33" s="57">
        <f>IF(AND(BC17&gt;=EOMONTH('DB2'!$U$23,2),'TS2'!BC17&lt;=EOMONTH('DB2'!$U$27,6)),100%,0)</f>
        <v>0</v>
      </c>
      <c r="BD33" s="57">
        <f>IF(AND(BD17&gt;=EOMONTH('DB2'!$U$23,2),'TS2'!BD17&lt;=EOMONTH('DB2'!$U$27,6)),100%,0)</f>
        <v>0</v>
      </c>
      <c r="BE33" s="57">
        <f>IF(AND(BE17&gt;=EOMONTH('DB2'!$U$23,2),'TS2'!BE17&lt;=EOMONTH('DB2'!$U$27,6)),100%,0)</f>
        <v>0</v>
      </c>
      <c r="BF33" s="57">
        <f>IF(AND(BF17&gt;=EOMONTH('DB2'!$U$23,2),'TS2'!BF17&lt;=EOMONTH('DB2'!$U$27,6)),100%,0)</f>
        <v>0</v>
      </c>
      <c r="BG33" s="57">
        <f>IF(AND(BG17&gt;=EOMONTH('DB2'!$U$23,2),'TS2'!BG17&lt;=EOMONTH('DB2'!$U$27,6)),100%,0)</f>
        <v>0</v>
      </c>
      <c r="BH33" s="57">
        <f>IF(AND(BH17&gt;=EOMONTH('DB2'!$U$23,2),'TS2'!BH17&lt;=EOMONTH('DB2'!$U$27,6)),100%,0)</f>
        <v>0</v>
      </c>
      <c r="BI33" s="57">
        <f>IF(AND(BI17&gt;=EOMONTH('DB2'!$U$23,2),'TS2'!BI17&lt;=EOMONTH('DB2'!$U$27,6)),100%,0)</f>
        <v>0</v>
      </c>
      <c r="BJ33" s="57">
        <f>IF(AND(BJ17&gt;=EOMONTH('DB2'!$U$23,2),'TS2'!BJ17&lt;=EOMONTH('DB2'!$U$27,6)),100%,0)</f>
        <v>0</v>
      </c>
      <c r="BK33" s="57">
        <f>IF(AND(BK17&gt;=EOMONTH('DB2'!$U$23,2),'TS2'!BK17&lt;=EOMONTH('DB2'!$U$27,6)),100%,0)</f>
        <v>0</v>
      </c>
      <c r="BL33" s="57">
        <f>IF(AND(BL17&gt;=EOMONTH('DB2'!$U$23,2),'TS2'!BL17&lt;=EOMONTH('DB2'!$U$27,6)),100%,0)</f>
        <v>0</v>
      </c>
      <c r="BM33" s="57">
        <f>IF(AND(BM17&gt;=EOMONTH('DB2'!$U$23,2),'TS2'!BM17&lt;=EOMONTH('DB2'!$U$27,6)),100%,0)</f>
        <v>0</v>
      </c>
    </row>
    <row r="35" spans="2:65">
      <c r="F35" s="350">
        <f>F16</f>
        <v>0</v>
      </c>
      <c r="G35" s="350">
        <f t="shared" ref="G35:BM37" si="10">G16</f>
        <v>0</v>
      </c>
      <c r="H35" s="350">
        <f t="shared" si="10"/>
        <v>0</v>
      </c>
      <c r="I35" s="350">
        <f t="shared" si="10"/>
        <v>0</v>
      </c>
      <c r="J35" s="350">
        <f t="shared" si="10"/>
        <v>0</v>
      </c>
      <c r="K35" s="350">
        <f t="shared" si="10"/>
        <v>0</v>
      </c>
      <c r="L35" s="350">
        <f t="shared" si="10"/>
        <v>0</v>
      </c>
      <c r="M35" s="350">
        <f t="shared" si="10"/>
        <v>0</v>
      </c>
      <c r="N35" s="350">
        <f t="shared" si="10"/>
        <v>0</v>
      </c>
      <c r="O35" s="350">
        <f t="shared" si="10"/>
        <v>0</v>
      </c>
      <c r="P35" s="350">
        <f t="shared" si="10"/>
        <v>0</v>
      </c>
      <c r="Q35" s="350">
        <f t="shared" si="10"/>
        <v>0</v>
      </c>
      <c r="R35" s="350">
        <f t="shared" si="10"/>
        <v>0</v>
      </c>
      <c r="S35" s="350">
        <f t="shared" si="10"/>
        <v>0</v>
      </c>
      <c r="T35" s="350">
        <f t="shared" si="10"/>
        <v>0</v>
      </c>
      <c r="U35" s="350">
        <f t="shared" si="10"/>
        <v>0</v>
      </c>
      <c r="V35" s="350">
        <f t="shared" si="10"/>
        <v>0</v>
      </c>
      <c r="W35" s="350">
        <f t="shared" si="10"/>
        <v>0</v>
      </c>
      <c r="X35" s="350" t="str">
        <f t="shared" si="10"/>
        <v>РнС</v>
      </c>
      <c r="Y35" s="350">
        <f t="shared" si="10"/>
        <v>0</v>
      </c>
      <c r="Z35" s="350">
        <f t="shared" si="10"/>
        <v>0</v>
      </c>
      <c r="AA35" s="350">
        <f t="shared" si="10"/>
        <v>0</v>
      </c>
      <c r="AB35" s="350">
        <f t="shared" si="10"/>
        <v>0</v>
      </c>
      <c r="AC35" s="350">
        <f t="shared" si="10"/>
        <v>0</v>
      </c>
      <c r="AD35" s="350">
        <f t="shared" si="10"/>
        <v>0</v>
      </c>
      <c r="AE35" s="350">
        <f t="shared" si="10"/>
        <v>0</v>
      </c>
      <c r="AF35" s="350">
        <f t="shared" si="10"/>
        <v>0</v>
      </c>
      <c r="AG35" s="350">
        <f t="shared" si="10"/>
        <v>0</v>
      </c>
      <c r="AH35" s="350">
        <f t="shared" si="10"/>
        <v>0</v>
      </c>
      <c r="AI35" s="350" t="str">
        <f t="shared" si="10"/>
        <v>РнВ</v>
      </c>
      <c r="AJ35" s="350" t="str">
        <f t="shared" si="10"/>
        <v>РнВ</v>
      </c>
      <c r="AK35" s="350" t="str">
        <f t="shared" si="10"/>
        <v>РнВ</v>
      </c>
      <c r="AL35" s="350" t="str">
        <f t="shared" si="10"/>
        <v>РнВ</v>
      </c>
      <c r="AM35" s="350" t="str">
        <f t="shared" si="10"/>
        <v>РнВ</v>
      </c>
      <c r="AN35" s="350" t="str">
        <f t="shared" si="10"/>
        <v>РнВ</v>
      </c>
      <c r="AO35" s="350" t="str">
        <f t="shared" si="10"/>
        <v>РнВ</v>
      </c>
      <c r="AP35" s="350" t="str">
        <f t="shared" si="10"/>
        <v>РнВ</v>
      </c>
      <c r="AQ35" s="350" t="str">
        <f t="shared" si="10"/>
        <v>РнВ</v>
      </c>
      <c r="AR35" s="350" t="str">
        <f t="shared" si="10"/>
        <v>РнВ</v>
      </c>
      <c r="AS35" s="350" t="str">
        <f t="shared" si="10"/>
        <v>РнВ</v>
      </c>
      <c r="AT35" s="350" t="str">
        <f t="shared" si="10"/>
        <v>РнВ</v>
      </c>
      <c r="AU35" s="350" t="str">
        <f t="shared" si="10"/>
        <v>РнВ</v>
      </c>
      <c r="AV35" s="350" t="str">
        <f t="shared" si="10"/>
        <v>РнВ</v>
      </c>
      <c r="AW35" s="350" t="str">
        <f t="shared" si="10"/>
        <v>РнВ</v>
      </c>
      <c r="AX35" s="350" t="str">
        <f t="shared" si="10"/>
        <v>РнВ</v>
      </c>
      <c r="AY35" s="350" t="str">
        <f t="shared" si="10"/>
        <v>РнВ</v>
      </c>
      <c r="AZ35" s="350" t="str">
        <f t="shared" si="10"/>
        <v>РнВ</v>
      </c>
      <c r="BA35" s="350" t="str">
        <f t="shared" si="10"/>
        <v>РнВ</v>
      </c>
      <c r="BB35" s="350" t="str">
        <f t="shared" si="10"/>
        <v>РнВ</v>
      </c>
      <c r="BC35" s="350" t="str">
        <f t="shared" si="10"/>
        <v>РнВ</v>
      </c>
      <c r="BD35" s="350" t="str">
        <f t="shared" si="10"/>
        <v>РнВ</v>
      </c>
      <c r="BE35" s="350" t="str">
        <f t="shared" si="10"/>
        <v>РнВ</v>
      </c>
      <c r="BF35" s="350" t="str">
        <f t="shared" si="10"/>
        <v>РнВ</v>
      </c>
      <c r="BG35" s="350" t="str">
        <f t="shared" si="10"/>
        <v>РнВ</v>
      </c>
      <c r="BH35" s="350" t="str">
        <f t="shared" si="10"/>
        <v>РнВ</v>
      </c>
      <c r="BI35" s="350" t="str">
        <f t="shared" si="10"/>
        <v>РнВ</v>
      </c>
      <c r="BJ35" s="350" t="str">
        <f t="shared" si="10"/>
        <v>РнВ</v>
      </c>
      <c r="BK35" s="350" t="str">
        <f t="shared" si="10"/>
        <v>РнВ</v>
      </c>
      <c r="BL35" s="350" t="str">
        <f t="shared" si="10"/>
        <v>РнВ</v>
      </c>
      <c r="BM35" s="350" t="str">
        <f t="shared" si="10"/>
        <v>РнВ</v>
      </c>
    </row>
    <row r="36" spans="2:65">
      <c r="F36" s="114">
        <f t="shared" ref="F36:AK37" si="11">F17</f>
        <v>45107</v>
      </c>
      <c r="G36" s="114">
        <f t="shared" si="11"/>
        <v>45199</v>
      </c>
      <c r="H36" s="114">
        <f t="shared" si="11"/>
        <v>45291</v>
      </c>
      <c r="I36" s="114">
        <f t="shared" si="11"/>
        <v>45382</v>
      </c>
      <c r="J36" s="114">
        <f t="shared" si="11"/>
        <v>45473</v>
      </c>
      <c r="K36" s="114">
        <f t="shared" si="11"/>
        <v>45565</v>
      </c>
      <c r="L36" s="114">
        <f t="shared" si="11"/>
        <v>45657</v>
      </c>
      <c r="M36" s="114">
        <f t="shared" si="11"/>
        <v>45747</v>
      </c>
      <c r="N36" s="114">
        <f t="shared" si="11"/>
        <v>45838</v>
      </c>
      <c r="O36" s="114">
        <f t="shared" si="11"/>
        <v>45930</v>
      </c>
      <c r="P36" s="114">
        <f t="shared" si="11"/>
        <v>46022</v>
      </c>
      <c r="Q36" s="114">
        <f t="shared" si="11"/>
        <v>46112</v>
      </c>
      <c r="R36" s="114">
        <f t="shared" si="11"/>
        <v>46203</v>
      </c>
      <c r="S36" s="114">
        <f t="shared" si="11"/>
        <v>46295</v>
      </c>
      <c r="T36" s="114">
        <f t="shared" si="11"/>
        <v>46387</v>
      </c>
      <c r="U36" s="114">
        <f t="shared" si="11"/>
        <v>46477</v>
      </c>
      <c r="V36" s="114">
        <f t="shared" si="11"/>
        <v>46568</v>
      </c>
      <c r="W36" s="114">
        <f t="shared" si="11"/>
        <v>46660</v>
      </c>
      <c r="X36" s="114">
        <f t="shared" si="11"/>
        <v>46752</v>
      </c>
      <c r="Y36" s="114">
        <f t="shared" si="11"/>
        <v>46843</v>
      </c>
      <c r="Z36" s="114">
        <f t="shared" si="11"/>
        <v>46934</v>
      </c>
      <c r="AA36" s="114">
        <f t="shared" si="11"/>
        <v>47026</v>
      </c>
      <c r="AB36" s="114">
        <f t="shared" si="11"/>
        <v>47118</v>
      </c>
      <c r="AC36" s="114">
        <f t="shared" si="11"/>
        <v>47208</v>
      </c>
      <c r="AD36" s="114">
        <f t="shared" si="11"/>
        <v>47299</v>
      </c>
      <c r="AE36" s="114">
        <f t="shared" si="11"/>
        <v>47391</v>
      </c>
      <c r="AF36" s="114">
        <f t="shared" si="11"/>
        <v>47483</v>
      </c>
      <c r="AG36" s="114">
        <f t="shared" si="11"/>
        <v>47573</v>
      </c>
      <c r="AH36" s="114">
        <f t="shared" si="11"/>
        <v>47664</v>
      </c>
      <c r="AI36" s="114">
        <f t="shared" si="11"/>
        <v>47756</v>
      </c>
      <c r="AJ36" s="114">
        <f t="shared" si="11"/>
        <v>47848</v>
      </c>
      <c r="AK36" s="114">
        <f t="shared" si="11"/>
        <v>47938</v>
      </c>
      <c r="AL36" s="114">
        <f t="shared" si="10"/>
        <v>48029</v>
      </c>
      <c r="AM36" s="114">
        <f t="shared" si="10"/>
        <v>48121</v>
      </c>
      <c r="AN36" s="114">
        <f t="shared" si="10"/>
        <v>48213</v>
      </c>
      <c r="AO36" s="114">
        <f t="shared" si="10"/>
        <v>48304</v>
      </c>
      <c r="AP36" s="114">
        <f t="shared" si="10"/>
        <v>48395</v>
      </c>
      <c r="AQ36" s="114">
        <f t="shared" si="10"/>
        <v>48487</v>
      </c>
      <c r="AR36" s="114">
        <f t="shared" si="10"/>
        <v>48579</v>
      </c>
      <c r="AS36" s="114">
        <f t="shared" si="10"/>
        <v>48669</v>
      </c>
      <c r="AT36" s="114">
        <f t="shared" si="10"/>
        <v>48760</v>
      </c>
      <c r="AU36" s="114">
        <f t="shared" si="10"/>
        <v>48852</v>
      </c>
      <c r="AV36" s="114">
        <f t="shared" si="10"/>
        <v>48944</v>
      </c>
      <c r="AW36" s="114">
        <f t="shared" si="10"/>
        <v>49034</v>
      </c>
      <c r="AX36" s="114">
        <f t="shared" si="10"/>
        <v>49125</v>
      </c>
      <c r="AY36" s="114">
        <f t="shared" si="10"/>
        <v>49217</v>
      </c>
      <c r="AZ36" s="114">
        <f t="shared" si="10"/>
        <v>49309</v>
      </c>
      <c r="BA36" s="114">
        <f t="shared" si="10"/>
        <v>49399</v>
      </c>
      <c r="BB36" s="114">
        <f t="shared" si="10"/>
        <v>49490</v>
      </c>
      <c r="BC36" s="114">
        <f t="shared" si="10"/>
        <v>49582</v>
      </c>
      <c r="BD36" s="114">
        <f t="shared" si="10"/>
        <v>49674</v>
      </c>
      <c r="BE36" s="114">
        <f t="shared" si="10"/>
        <v>49765</v>
      </c>
      <c r="BF36" s="114">
        <f t="shared" si="10"/>
        <v>49856</v>
      </c>
      <c r="BG36" s="114">
        <f t="shared" si="10"/>
        <v>49948</v>
      </c>
      <c r="BH36" s="114">
        <f t="shared" si="10"/>
        <v>50040</v>
      </c>
      <c r="BI36" s="114">
        <f t="shared" si="10"/>
        <v>50130</v>
      </c>
      <c r="BJ36" s="114">
        <f t="shared" si="10"/>
        <v>50221</v>
      </c>
      <c r="BK36" s="114">
        <f t="shared" si="10"/>
        <v>50313</v>
      </c>
      <c r="BL36" s="114">
        <f t="shared" si="10"/>
        <v>50405</v>
      </c>
      <c r="BM36" s="114">
        <f t="shared" si="10"/>
        <v>50495</v>
      </c>
    </row>
    <row r="37" spans="2:65">
      <c r="B37" s="19" t="s">
        <v>44</v>
      </c>
      <c r="C37" s="113"/>
      <c r="D37" s="113"/>
      <c r="E37" s="113"/>
      <c r="F37" s="114" t="str">
        <f t="shared" si="11"/>
        <v>2Q2023</v>
      </c>
      <c r="G37" s="114" t="str">
        <f t="shared" si="11"/>
        <v>3Q2023</v>
      </c>
      <c r="H37" s="114" t="str">
        <f t="shared" si="11"/>
        <v>4Q2023</v>
      </c>
      <c r="I37" s="114" t="str">
        <f t="shared" si="11"/>
        <v>1Q2024</v>
      </c>
      <c r="J37" s="114" t="str">
        <f t="shared" si="11"/>
        <v>2Q2024</v>
      </c>
      <c r="K37" s="114" t="str">
        <f t="shared" si="11"/>
        <v>3Q2024</v>
      </c>
      <c r="L37" s="114" t="str">
        <f t="shared" si="11"/>
        <v>4Q2024</v>
      </c>
      <c r="M37" s="114" t="str">
        <f t="shared" si="11"/>
        <v>1Q2025</v>
      </c>
      <c r="N37" s="114" t="str">
        <f t="shared" si="11"/>
        <v>2Q2025</v>
      </c>
      <c r="O37" s="114" t="str">
        <f t="shared" si="11"/>
        <v>3Q2025</v>
      </c>
      <c r="P37" s="114" t="str">
        <f t="shared" si="11"/>
        <v>4Q2025</v>
      </c>
      <c r="Q37" s="114" t="str">
        <f t="shared" si="11"/>
        <v>1Q2026</v>
      </c>
      <c r="R37" s="114" t="str">
        <f t="shared" si="11"/>
        <v>2Q2026</v>
      </c>
      <c r="S37" s="114" t="str">
        <f t="shared" si="11"/>
        <v>3Q2026</v>
      </c>
      <c r="T37" s="114" t="str">
        <f t="shared" si="11"/>
        <v>4Q2026</v>
      </c>
      <c r="U37" s="114" t="str">
        <f t="shared" si="11"/>
        <v>1Q2027</v>
      </c>
      <c r="V37" s="114" t="str">
        <f t="shared" si="11"/>
        <v>2Q2027</v>
      </c>
      <c r="W37" s="114" t="str">
        <f t="shared" si="11"/>
        <v>3Q2027</v>
      </c>
      <c r="X37" s="114" t="str">
        <f t="shared" si="11"/>
        <v>4Q2027</v>
      </c>
      <c r="Y37" s="114" t="str">
        <f t="shared" si="11"/>
        <v>1Q2028</v>
      </c>
      <c r="Z37" s="114" t="str">
        <f t="shared" si="11"/>
        <v>2Q2028</v>
      </c>
      <c r="AA37" s="114" t="str">
        <f t="shared" si="11"/>
        <v>3Q2028</v>
      </c>
      <c r="AB37" s="114" t="str">
        <f t="shared" si="11"/>
        <v>4Q2028</v>
      </c>
      <c r="AC37" s="114" t="str">
        <f t="shared" si="11"/>
        <v>1Q2029</v>
      </c>
      <c r="AD37" s="114" t="str">
        <f t="shared" si="11"/>
        <v>2Q2029</v>
      </c>
      <c r="AE37" s="114" t="str">
        <f t="shared" si="11"/>
        <v>3Q2029</v>
      </c>
      <c r="AF37" s="114" t="str">
        <f t="shared" si="11"/>
        <v>4Q2029</v>
      </c>
      <c r="AG37" s="114" t="str">
        <f t="shared" si="11"/>
        <v>1Q2030</v>
      </c>
      <c r="AH37" s="114" t="str">
        <f t="shared" si="11"/>
        <v>2Q2030</v>
      </c>
      <c r="AI37" s="114" t="str">
        <f t="shared" si="11"/>
        <v>3Q2030</v>
      </c>
      <c r="AJ37" s="114" t="str">
        <f t="shared" si="11"/>
        <v>4Q2030</v>
      </c>
      <c r="AK37" s="114" t="str">
        <f t="shared" si="11"/>
        <v>1Q2031</v>
      </c>
      <c r="AL37" s="114" t="str">
        <f t="shared" si="10"/>
        <v>2Q2031</v>
      </c>
      <c r="AM37" s="114" t="str">
        <f t="shared" si="10"/>
        <v>3Q2031</v>
      </c>
      <c r="AN37" s="114" t="str">
        <f t="shared" si="10"/>
        <v>4Q2031</v>
      </c>
      <c r="AO37" s="114" t="str">
        <f t="shared" si="10"/>
        <v>1Q2032</v>
      </c>
      <c r="AP37" s="114" t="str">
        <f t="shared" si="10"/>
        <v>2Q2032</v>
      </c>
      <c r="AQ37" s="114" t="str">
        <f t="shared" si="10"/>
        <v>3Q2032</v>
      </c>
      <c r="AR37" s="114" t="str">
        <f t="shared" si="10"/>
        <v>4Q2032</v>
      </c>
      <c r="AS37" s="114" t="str">
        <f t="shared" si="10"/>
        <v>1Q2033</v>
      </c>
      <c r="AT37" s="114" t="str">
        <f t="shared" si="10"/>
        <v>2Q2033</v>
      </c>
      <c r="AU37" s="114" t="str">
        <f t="shared" si="10"/>
        <v>3Q2033</v>
      </c>
      <c r="AV37" s="114" t="str">
        <f t="shared" si="10"/>
        <v>4Q2033</v>
      </c>
      <c r="AW37" s="114" t="str">
        <f t="shared" si="10"/>
        <v>1Q2034</v>
      </c>
      <c r="AX37" s="114" t="str">
        <f t="shared" si="10"/>
        <v>2Q2034</v>
      </c>
      <c r="AY37" s="114" t="str">
        <f t="shared" si="10"/>
        <v>3Q2034</v>
      </c>
      <c r="AZ37" s="114" t="str">
        <f t="shared" si="10"/>
        <v>4Q2034</v>
      </c>
      <c r="BA37" s="114" t="str">
        <f t="shared" si="10"/>
        <v>1Q2035</v>
      </c>
      <c r="BB37" s="114" t="str">
        <f t="shared" si="10"/>
        <v>2Q2035</v>
      </c>
      <c r="BC37" s="114" t="str">
        <f t="shared" si="10"/>
        <v>3Q2035</v>
      </c>
      <c r="BD37" s="114" t="str">
        <f t="shared" si="10"/>
        <v>4Q2035</v>
      </c>
      <c r="BE37" s="114" t="str">
        <f t="shared" si="10"/>
        <v>1Q2036</v>
      </c>
      <c r="BF37" s="114" t="str">
        <f t="shared" si="10"/>
        <v>2Q2036</v>
      </c>
      <c r="BG37" s="114" t="str">
        <f t="shared" si="10"/>
        <v>3Q2036</v>
      </c>
      <c r="BH37" s="114" t="str">
        <f t="shared" si="10"/>
        <v>4Q2036</v>
      </c>
      <c r="BI37" s="114" t="str">
        <f t="shared" si="10"/>
        <v>1Q2037</v>
      </c>
      <c r="BJ37" s="114" t="str">
        <f t="shared" si="10"/>
        <v>2Q2037</v>
      </c>
      <c r="BK37" s="114" t="str">
        <f t="shared" si="10"/>
        <v>3Q2037</v>
      </c>
      <c r="BL37" s="114" t="str">
        <f t="shared" si="10"/>
        <v>4Q2037</v>
      </c>
      <c r="BM37" s="114" t="str">
        <f t="shared" si="10"/>
        <v>1Q2038</v>
      </c>
    </row>
    <row r="38" spans="2:65">
      <c r="B38" s="19" t="s">
        <v>7</v>
      </c>
      <c r="C38" s="113"/>
      <c r="D38" s="113"/>
      <c r="E38" s="113"/>
      <c r="F38" s="115">
        <f t="shared" ref="F38:BM38" si="12">IF(SUM(F40,F44,F46,F48,F50,F52,F54)&gt;0,1,0)</f>
        <v>0</v>
      </c>
      <c r="G38" s="115">
        <f t="shared" si="12"/>
        <v>0</v>
      </c>
      <c r="H38" s="115">
        <f t="shared" si="12"/>
        <v>0</v>
      </c>
      <c r="I38" s="115">
        <f t="shared" si="12"/>
        <v>0</v>
      </c>
      <c r="J38" s="115">
        <f t="shared" si="12"/>
        <v>0</v>
      </c>
      <c r="K38" s="115">
        <f t="shared" si="12"/>
        <v>0</v>
      </c>
      <c r="L38" s="115">
        <f t="shared" si="12"/>
        <v>0</v>
      </c>
      <c r="M38" s="115">
        <f t="shared" si="12"/>
        <v>0</v>
      </c>
      <c r="N38" s="115">
        <f t="shared" si="12"/>
        <v>0</v>
      </c>
      <c r="O38" s="115">
        <f t="shared" si="12"/>
        <v>0</v>
      </c>
      <c r="P38" s="115">
        <f t="shared" si="12"/>
        <v>0</v>
      </c>
      <c r="Q38" s="115">
        <f t="shared" si="12"/>
        <v>0</v>
      </c>
      <c r="R38" s="115">
        <f t="shared" si="12"/>
        <v>0</v>
      </c>
      <c r="S38" s="115">
        <f t="shared" si="12"/>
        <v>0</v>
      </c>
      <c r="T38" s="115">
        <f t="shared" si="12"/>
        <v>0</v>
      </c>
      <c r="U38" s="115">
        <f t="shared" si="12"/>
        <v>0</v>
      </c>
      <c r="V38" s="115">
        <f t="shared" si="12"/>
        <v>0</v>
      </c>
      <c r="W38" s="115">
        <f t="shared" si="12"/>
        <v>0</v>
      </c>
      <c r="X38" s="115">
        <f t="shared" si="12"/>
        <v>1</v>
      </c>
      <c r="Y38" s="115">
        <f t="shared" si="12"/>
        <v>1</v>
      </c>
      <c r="Z38" s="115">
        <f t="shared" si="12"/>
        <v>1</v>
      </c>
      <c r="AA38" s="115">
        <f t="shared" si="12"/>
        <v>1</v>
      </c>
      <c r="AB38" s="115">
        <f t="shared" si="12"/>
        <v>1</v>
      </c>
      <c r="AC38" s="115">
        <f t="shared" si="12"/>
        <v>1</v>
      </c>
      <c r="AD38" s="115">
        <f t="shared" si="12"/>
        <v>1</v>
      </c>
      <c r="AE38" s="115">
        <f t="shared" si="12"/>
        <v>1</v>
      </c>
      <c r="AF38" s="115">
        <f t="shared" si="12"/>
        <v>1</v>
      </c>
      <c r="AG38" s="115">
        <f t="shared" si="12"/>
        <v>1</v>
      </c>
      <c r="AH38" s="115">
        <f t="shared" si="12"/>
        <v>1</v>
      </c>
      <c r="AI38" s="115">
        <f t="shared" si="12"/>
        <v>1</v>
      </c>
      <c r="AJ38" s="115">
        <f t="shared" si="12"/>
        <v>1</v>
      </c>
      <c r="AK38" s="115">
        <f t="shared" si="12"/>
        <v>1</v>
      </c>
      <c r="AL38" s="115">
        <f t="shared" si="12"/>
        <v>1</v>
      </c>
      <c r="AM38" s="115">
        <f t="shared" si="12"/>
        <v>1</v>
      </c>
      <c r="AN38" s="115">
        <f t="shared" si="12"/>
        <v>1</v>
      </c>
      <c r="AO38" s="115">
        <f t="shared" si="12"/>
        <v>0</v>
      </c>
      <c r="AP38" s="115">
        <f t="shared" si="12"/>
        <v>0</v>
      </c>
      <c r="AQ38" s="115">
        <f t="shared" si="12"/>
        <v>0</v>
      </c>
      <c r="AR38" s="115">
        <f t="shared" si="12"/>
        <v>0</v>
      </c>
      <c r="AS38" s="115">
        <f t="shared" si="12"/>
        <v>0</v>
      </c>
      <c r="AT38" s="115">
        <f t="shared" si="12"/>
        <v>0</v>
      </c>
      <c r="AU38" s="115">
        <f t="shared" si="12"/>
        <v>0</v>
      </c>
      <c r="AV38" s="115">
        <f t="shared" si="12"/>
        <v>0</v>
      </c>
      <c r="AW38" s="115">
        <f t="shared" si="12"/>
        <v>0</v>
      </c>
      <c r="AX38" s="115">
        <f t="shared" si="12"/>
        <v>0</v>
      </c>
      <c r="AY38" s="115">
        <f t="shared" si="12"/>
        <v>0</v>
      </c>
      <c r="AZ38" s="115">
        <f t="shared" si="12"/>
        <v>0</v>
      </c>
      <c r="BA38" s="115">
        <f t="shared" si="12"/>
        <v>0</v>
      </c>
      <c r="BB38" s="115">
        <f t="shared" si="12"/>
        <v>0</v>
      </c>
      <c r="BC38" s="115">
        <f t="shared" si="12"/>
        <v>0</v>
      </c>
      <c r="BD38" s="115">
        <f t="shared" si="12"/>
        <v>0</v>
      </c>
      <c r="BE38" s="115">
        <f t="shared" si="12"/>
        <v>0</v>
      </c>
      <c r="BF38" s="115">
        <f t="shared" si="12"/>
        <v>0</v>
      </c>
      <c r="BG38" s="115">
        <f t="shared" si="12"/>
        <v>0</v>
      </c>
      <c r="BH38" s="115">
        <f t="shared" si="12"/>
        <v>0</v>
      </c>
      <c r="BI38" s="115">
        <f t="shared" si="12"/>
        <v>0</v>
      </c>
      <c r="BJ38" s="115">
        <f t="shared" si="12"/>
        <v>0</v>
      </c>
      <c r="BK38" s="115">
        <f t="shared" si="12"/>
        <v>0</v>
      </c>
      <c r="BL38" s="115">
        <f t="shared" si="12"/>
        <v>0</v>
      </c>
      <c r="BM38" s="115">
        <f t="shared" si="12"/>
        <v>0</v>
      </c>
    </row>
    <row r="39" spans="2:65" ht="15">
      <c r="B39" s="15"/>
      <c r="C39" s="16" t="s">
        <v>4</v>
      </c>
      <c r="D39" s="16" t="s">
        <v>51</v>
      </c>
      <c r="E39" s="16" t="s">
        <v>52</v>
      </c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</row>
    <row r="40" spans="2:65">
      <c r="B40" s="55" t="str">
        <f>'DB2'!L8</f>
        <v>КВАРТИРЫ</v>
      </c>
      <c r="C40" s="59">
        <f>'DB2'!M8</f>
        <v>46661</v>
      </c>
      <c r="D40" s="59">
        <f>_xlfn.MAXIFS($F$36:$AS$36,$F40:$AS40,"&gt;0")</f>
        <v>48213</v>
      </c>
      <c r="E40" s="60">
        <f>'DB2'!H8</f>
        <v>50877.342600000004</v>
      </c>
      <c r="F40" s="61"/>
      <c r="G40" s="61">
        <f>(IF(G$17&gt;$C40,IF((SUM($F40:F40)+'DB2'!$U$8)&gt;$E40,($E40-SUM($F40:F40)),'DB2'!$U$8),0))</f>
        <v>0</v>
      </c>
      <c r="H40" s="61">
        <f>(IF(H$17&gt;$C40,IF((SUM($F40:G40)+'DB2'!$U$8)&gt;$E40,($E40-SUM($F40:G40)),'DB2'!$U$8),0))</f>
        <v>0</v>
      </c>
      <c r="I40" s="61">
        <f>(IF(I$17&gt;$C40,IF((SUM($F40:H40)+'DB2'!$U$8)&gt;$E40,($E40-SUM($F40:H40)),'DB2'!$U$8),0))</f>
        <v>0</v>
      </c>
      <c r="J40" s="61">
        <f>(IF(J$17&gt;$C40,IF((SUM($F40:I40)+'DB2'!$U$8)&gt;$E40,($E40-SUM($F40:I40)),'DB2'!$U$8),0))</f>
        <v>0</v>
      </c>
      <c r="K40" s="61">
        <f>(IF(K$17&gt;$C40,IF((SUM($F40:J40)+'DB2'!$U$8)&gt;$E40,($E40-SUM($F40:J40)),'DB2'!$U$8),0))</f>
        <v>0</v>
      </c>
      <c r="L40" s="61">
        <f>(IF(L$17&gt;$C40,IF((SUM($F40:K40)+'DB2'!$U$8)&gt;$E40,($E40-SUM($F40:K40)),'DB2'!$U$8),0))</f>
        <v>0</v>
      </c>
      <c r="M40" s="61">
        <f>(IF(M$17&gt;$C40,IF((SUM($F40:L40)+'DB2'!$U$8)&gt;$E40,($E40-SUM($F40:L40)),'DB2'!$U$8),0))</f>
        <v>0</v>
      </c>
      <c r="N40" s="61">
        <f>(IF(N$17&gt;$C40,IF((SUM($F40:M40)+'DB2'!$U$8)&gt;$E40,($E40-SUM($F40:M40)),'DB2'!$U$8),0))</f>
        <v>0</v>
      </c>
      <c r="O40" s="61">
        <f>(IF(O$17&gt;$C40,IF((SUM($F40:N40)+'DB2'!$U$8)&gt;$E40,($E40-SUM($F40:N40)),'DB2'!$U$8),0))</f>
        <v>0</v>
      </c>
      <c r="P40" s="61">
        <f>(IF(P$17&gt;$C40,IF((SUM($F40:O40)+'DB2'!$U$8)&gt;$E40,($E40-SUM($F40:O40)),'DB2'!$U$8),0))</f>
        <v>0</v>
      </c>
      <c r="Q40" s="61">
        <f>(IF(Q$17&gt;$C40,IF((SUM($F40:P40)+'DB2'!$U$8)&gt;$E40,($E40-SUM($F40:P40)),'DB2'!$U$8),0))</f>
        <v>0</v>
      </c>
      <c r="R40" s="61">
        <f>(IF(R$17&gt;$C40,IF((SUM($F40:Q40)+'DB2'!$U$8)&gt;$E40,($E40-SUM($F40:Q40)),'DB2'!$U$8),0))</f>
        <v>0</v>
      </c>
      <c r="S40" s="61">
        <f>(IF(S$17&gt;$C40,IF((SUM($F40:R40)+'DB2'!$U$8)&gt;$E40,($E40-SUM($F40:R40)),'DB2'!$U$8),0))</f>
        <v>0</v>
      </c>
      <c r="T40" s="61">
        <f>(IF(T$17&gt;$C40,IF((SUM($F40:S40)+'DB2'!$U$8)&gt;$E40,($E40-SUM($F40:S40)),'DB2'!$U$8),0))</f>
        <v>0</v>
      </c>
      <c r="U40" s="61">
        <f>(IF(U$17&gt;$C40,IF((SUM($F40:T40)+'DB2'!$U$8)&gt;$E40,($E40-SUM($F40:T40)),'DB2'!$U$8),0))</f>
        <v>0</v>
      </c>
      <c r="V40" s="61">
        <f>(IF(V$17&gt;$C40,IF((SUM($F40:U40)+'DB2'!$U$8)&gt;$E40,($E40-SUM($F40:U40)),'DB2'!$U$8),0))</f>
        <v>0</v>
      </c>
      <c r="W40" s="61">
        <f>(IF(W$17&gt;$C40,IF((SUM($F40:V40)+'DB2'!$U$8)&gt;$E40,($E40-SUM($F40:V40)),'DB2'!$U$8),0))</f>
        <v>0</v>
      </c>
      <c r="X40" s="61">
        <f>(IF(X$17&gt;$C40,IF((SUM($F40:W40)+'DB2'!$U$8)&gt;$E40,($E40-SUM($F40:W40)),'DB2'!$U$8),0))</f>
        <v>3000</v>
      </c>
      <c r="Y40" s="61">
        <f>(IF(Y$17&gt;$C40,IF((SUM($F40:X40)+'DB2'!$U$8)&gt;$E40,($E40-SUM($F40:X40)),'DB2'!$U$8),0))</f>
        <v>3000</v>
      </c>
      <c r="Z40" s="61">
        <f>(IF(Z$17&gt;$C40,IF((SUM($F40:Y40)+'DB2'!$U$8)&gt;$E40,($E40-SUM($F40:Y40)),'DB2'!$U$8),0))</f>
        <v>3000</v>
      </c>
      <c r="AA40" s="61">
        <f>(IF(AA$17&gt;$C40,IF((SUM($F40:Z40)+'DB2'!$U$8)&gt;$E40,($E40-SUM($F40:Z40)),'DB2'!$U$8),0))</f>
        <v>3000</v>
      </c>
      <c r="AB40" s="61">
        <f>(IF(AB$17&gt;$C40,IF((SUM($F40:AA40)+'DB2'!$U$8)&gt;$E40,($E40-SUM($F40:AA40)),'DB2'!$U$8),0))</f>
        <v>3000</v>
      </c>
      <c r="AC40" s="61">
        <f>(IF(AC$17&gt;$C40,IF((SUM($F40:AB40)+'DB2'!$U$8)&gt;$E40,($E40-SUM($F40:AB40)),'DB2'!$U$8),0))</f>
        <v>3000</v>
      </c>
      <c r="AD40" s="61">
        <f>(IF(AD$17&gt;$C40,IF((SUM($F40:AC40)+'DB2'!$U$8)&gt;$E40,($E40-SUM($F40:AC40)),'DB2'!$U$8),0))</f>
        <v>3000</v>
      </c>
      <c r="AE40" s="61">
        <f>(IF(AE$17&gt;$C40,IF((SUM($F40:AD40)+'DB2'!$U$8)&gt;$E40,($E40-SUM($F40:AD40)),'DB2'!$U$8),0))</f>
        <v>3000</v>
      </c>
      <c r="AF40" s="61">
        <f>(IF(AF$17&gt;$C40,IF((SUM($F40:AE40)+'DB2'!$U$8)&gt;$E40,($E40-SUM($F40:AE40)),'DB2'!$U$8),0))</f>
        <v>3000</v>
      </c>
      <c r="AG40" s="61">
        <f>(IF(AG$17&gt;$C40,IF((SUM($F40:AF40)+'DB2'!$U$8)&gt;$E40,($E40-SUM($F40:AF40)),'DB2'!$U$8),0))</f>
        <v>3000</v>
      </c>
      <c r="AH40" s="61">
        <f>(IF(AH$17&gt;$C40,IF((SUM($F40:AG40)+'DB2'!$U$8)&gt;$E40,($E40-SUM($F40:AG40)),'DB2'!$U$8),0))</f>
        <v>3000</v>
      </c>
      <c r="AI40" s="61">
        <f>(IF(AI$17&gt;$C40,IF((SUM($F40:AH40)+'DB2'!$U$8)&gt;$E40,($E40-SUM($F40:AH40)),'DB2'!$U$8),0))</f>
        <v>3000</v>
      </c>
      <c r="AJ40" s="61">
        <f>(IF(AJ$17&gt;$C40,IF((SUM($F40:AI40)+'DB2'!$U$8)&gt;$E40,($E40-SUM($F40:AI40)),'DB2'!$U$8),0))</f>
        <v>3000</v>
      </c>
      <c r="AK40" s="61">
        <f>(IF(AK$17&gt;$C40,IF((SUM($F40:AJ40)+'DB2'!$U$8)&gt;$E40,($E40-SUM($F40:AJ40)),'DB2'!$U$8),0))</f>
        <v>3000</v>
      </c>
      <c r="AL40" s="61">
        <f>(IF(AL$17&gt;$C40,IF((SUM($F40:AK40)+'DB2'!$U$8)&gt;$E40,($E40-SUM($F40:AK40)),'DB2'!$U$8),0))</f>
        <v>3000</v>
      </c>
      <c r="AM40" s="61">
        <f>(IF(AM$17&gt;$C40,IF((SUM($F40:AL40)+'DB2'!$U$8)&gt;$E40,($E40-SUM($F40:AL40)),'DB2'!$U$8),0))</f>
        <v>3000</v>
      </c>
      <c r="AN40" s="61">
        <f>(IF(AN$17&gt;$C40,IF((SUM($F40:AM40)+'DB2'!$U$8)&gt;$E40,($E40-SUM($F40:AM40)),'DB2'!$U$8),0))</f>
        <v>2877.3426000000036</v>
      </c>
      <c r="AO40" s="61">
        <f>(IF(AO$17&gt;$C40,IF((SUM($F40:AN40)+'DB2'!$U$8)&gt;$E40,($E40-SUM($F40:AN40)),'DB2'!$U$8),0))</f>
        <v>0</v>
      </c>
      <c r="AP40" s="61">
        <f>(IF(AP$17&gt;$C40,IF((SUM($F40:AO40)+'DB2'!$U$8)&gt;$E40,($E40-SUM($F40:AO40)),'DB2'!$U$8),0))</f>
        <v>0</v>
      </c>
      <c r="AQ40" s="61">
        <f>(IF(AQ$17&gt;$C40,IF((SUM($F40:AP40)+'DB2'!$U$8)&gt;$E40,($E40-SUM($F40:AP40)),'DB2'!$U$8),0))</f>
        <v>0</v>
      </c>
      <c r="AR40" s="61">
        <f>(IF(AR$17&gt;$C40,IF((SUM($F40:AQ40)+'DB2'!$U$8)&gt;$E40,($E40-SUM($F40:AQ40)),'DB2'!$U$8),0))</f>
        <v>0</v>
      </c>
      <c r="AS40" s="61">
        <f>(IF(AS$17&gt;$C40,IF((SUM($F40:AR40)+'DB2'!$U$8)&gt;$E40,($E40-SUM($F40:AR40)),'DB2'!$U$8),0))</f>
        <v>0</v>
      </c>
      <c r="AT40" s="61">
        <f>(IF(AT$17&gt;$C40,IF((SUM($F40:AS40)+'DB2'!$U$8)&gt;$E40,($E40-SUM($F40:AS40)),'DB2'!$U$8),0))</f>
        <v>0</v>
      </c>
      <c r="AU40" s="61">
        <f>(IF(AU$17&gt;$C40,IF((SUM($F40:AT40)+'DB2'!$U$8)&gt;$E40,($E40-SUM($F40:AT40)),'DB2'!$U$8),0))</f>
        <v>0</v>
      </c>
      <c r="AV40" s="61">
        <f>(IF(AV$17&gt;$C40,IF((SUM($F40:AU40)+'DB2'!$U$8)&gt;$E40,($E40-SUM($F40:AU40)),'DB2'!$U$8),0))</f>
        <v>0</v>
      </c>
      <c r="AW40" s="61">
        <f>(IF(AW$17&gt;$C40,IF((SUM($F40:AV40)+'DB2'!$U$8)&gt;$E40,($E40-SUM($F40:AV40)),'DB2'!$U$8),0))</f>
        <v>0</v>
      </c>
      <c r="AX40" s="61">
        <f>(IF(AX$17&gt;$C40,IF((SUM($F40:AW40)+'DB2'!$U$8)&gt;$E40,($E40-SUM($F40:AW40)),'DB2'!$U$8),0))</f>
        <v>0</v>
      </c>
      <c r="AY40" s="61">
        <f>(IF(AY$17&gt;$C40,IF((SUM($F40:AX40)+'DB2'!$U$8)&gt;$E40,($E40-SUM($F40:AX40)),'DB2'!$U$8),0))</f>
        <v>0</v>
      </c>
      <c r="AZ40" s="61">
        <f>(IF(AZ$17&gt;$C40,IF((SUM($F40:AY40)+'DB2'!$U$8)&gt;$E40,($E40-SUM($F40:AY40)),'DB2'!$U$8),0))</f>
        <v>0</v>
      </c>
      <c r="BA40" s="61">
        <f>(IF(BA$17&gt;$C40,IF((SUM($F40:AZ40)+'DB2'!$U$8)&gt;$E40,($E40-SUM($F40:AZ40)),'DB2'!$U$8),0))</f>
        <v>0</v>
      </c>
      <c r="BB40" s="61">
        <f>(IF(BB$17&gt;$C40,IF((SUM($F40:BA40)+'DB2'!$U$8)&gt;$E40,($E40-SUM($F40:BA40)),'DB2'!$U$8),0))</f>
        <v>0</v>
      </c>
      <c r="BC40" s="61">
        <f>(IF(BC$17&gt;$C40,IF((SUM($F40:BB40)+'DB2'!$U$8)&gt;$E40,($E40-SUM($F40:BB40)),'DB2'!$U$8),0))</f>
        <v>0</v>
      </c>
      <c r="BD40" s="61">
        <f>(IF(BD$17&gt;$C40,IF((SUM($F40:BC40)+'DB2'!$U$8)&gt;$E40,($E40-SUM($F40:BC40)),'DB2'!$U$8),0))</f>
        <v>0</v>
      </c>
      <c r="BE40" s="61">
        <f>(IF(BE$17&gt;$C40,IF((SUM($F40:BD40)+'DB2'!$U$8)&gt;$E40,($E40-SUM($F40:BD40)),'DB2'!$U$8),0))</f>
        <v>0</v>
      </c>
      <c r="BF40" s="61">
        <f>(IF(BF$17&gt;$C40,IF((SUM($F40:BE40)+'DB2'!$U$8)&gt;$E40,($E40-SUM($F40:BE40)),'DB2'!$U$8),0))</f>
        <v>0</v>
      </c>
      <c r="BG40" s="61">
        <f>(IF(BG$17&gt;$C40,IF((SUM($F40:BF40)+'DB2'!$U$8)&gt;$E40,($E40-SUM($F40:BF40)),'DB2'!$U$8),0))</f>
        <v>0</v>
      </c>
      <c r="BH40" s="61">
        <f>(IF(BH$17&gt;$C40,IF((SUM($F40:BG40)+'DB2'!$U$8)&gt;$E40,($E40-SUM($F40:BG40)),'DB2'!$U$8),0))</f>
        <v>0</v>
      </c>
      <c r="BI40" s="61">
        <f>(IF(BI$17&gt;$C40,IF((SUM($F40:BH40)+'DB2'!$U$8)&gt;$E40,($E40-SUM($F40:BH40)),'DB2'!$U$8),0))</f>
        <v>0</v>
      </c>
      <c r="BJ40" s="61">
        <f>(IF(BJ$17&gt;$C40,IF((SUM($F40:BI40)+'DB2'!$U$8)&gt;$E40,($E40-SUM($F40:BI40)),'DB2'!$U$8),0))</f>
        <v>0</v>
      </c>
      <c r="BK40" s="61">
        <f>(IF(BK$17&gt;$C40,IF((SUM($F40:BJ40)+'DB2'!$U$8)&gt;$E40,($E40-SUM($F40:BJ40)),'DB2'!$U$8),0))</f>
        <v>0</v>
      </c>
      <c r="BL40" s="61">
        <f>(IF(BL$17&gt;$C40,IF((SUM($F40:BK40)+'DB2'!$U$8)&gt;$E40,($E40-SUM($F40:BK40)),'DB2'!$U$8),0))</f>
        <v>0</v>
      </c>
      <c r="BM40" s="61">
        <f>(IF(BM$17&gt;$C40,IF((SUM($F40:BL40)+'DB2'!$U$8)&gt;$E40,($E40-SUM($F40:BL40)),'DB2'!$U$8),0))</f>
        <v>0</v>
      </c>
    </row>
    <row r="41" spans="2:65">
      <c r="B41" s="55"/>
      <c r="C41" s="59"/>
      <c r="D41" s="59"/>
      <c r="E41" s="60"/>
      <c r="F41" s="61"/>
      <c r="G41" s="133">
        <f>IF(G40=0,,IF(G40&gt;0,IF(F41=0,'DB2'!$R$8*(1+'DB2'!$O$8),F41+'DB2'!$R$8*(100%-(1+'DB2'!$O$8))/SUMPRODUCT('TS2'!$F$43:$BM$43,'TS2'!$F$56:$BM$56)),))</f>
        <v>0</v>
      </c>
      <c r="H41" s="133">
        <f>IF(H40=0,,IF(H40&gt;0,IF(G41=0,'DB2'!$R$8*(1+'DB2'!$O$8),G41+'DB2'!$R$8*(100%-(1+'DB2'!$O$8))/SUMPRODUCT('TS2'!$F$43:$BM$43,'TS2'!$F$56:$BM$56)),))</f>
        <v>0</v>
      </c>
      <c r="I41" s="133">
        <f>IF(I40=0,,IF(I40&gt;0,IF(H41=0,'DB2'!$R$8*(1+'DB2'!$O$8),H41+'DB2'!$R$8*(100%-(1+'DB2'!$O$8))/SUMPRODUCT('TS2'!$F$43:$BM$43,'TS2'!$F$56:$BM$56)),))</f>
        <v>0</v>
      </c>
      <c r="J41" s="133">
        <f>IF(J40=0,,IF(J40&gt;0,IF(I41=0,'DB2'!$R$8*(1+'DB2'!$O$8),I41+'DB2'!$R$8*(100%-(1+'DB2'!$O$8))/SUMPRODUCT('TS2'!$F$43:$BM$43,'TS2'!$F$56:$BM$56)),))</f>
        <v>0</v>
      </c>
      <c r="K41" s="133">
        <f>IF(K40=0,,IF(K40&gt;0,IF(J41=0,'DB2'!$R$8*(1+'DB2'!$O$8),J41+'DB2'!$R$8*(100%-(1+'DB2'!$O$8))/SUMPRODUCT('TS2'!$F$43:$BM$43,'TS2'!$F$56:$BM$56)),))</f>
        <v>0</v>
      </c>
      <c r="L41" s="133">
        <f>IF(L40=0,,IF(L40&gt;0,IF(K41=0,'DB2'!$R$8*(1+'DB2'!$O$8),K41+'DB2'!$R$8*(100%-(1+'DB2'!$O$8))/SUMPRODUCT('TS2'!$F$43:$BM$43,'TS2'!$F$56:$BM$56)),))</f>
        <v>0</v>
      </c>
      <c r="M41" s="133">
        <f>IF(M40=0,,IF(M40&gt;0,IF(L41=0,'DB2'!$R$8*(1+'DB2'!$O$8),L41+'DB2'!$R$8*(100%-(1+'DB2'!$O$8))/SUMPRODUCT('TS2'!$F$43:$BM$43,'TS2'!$F$56:$BM$56)),))</f>
        <v>0</v>
      </c>
      <c r="N41" s="133">
        <f>IF(N40=0,,IF(N40&gt;0,IF(M41=0,'DB2'!$R$8*(1+'DB2'!$O$8),M41+'DB2'!$R$8*(100%-(1+'DB2'!$O$8))/SUMPRODUCT('TS2'!$F$43:$BM$43,'TS2'!$F$56:$BM$56)),))</f>
        <v>0</v>
      </c>
      <c r="O41" s="133">
        <f>IF(O40=0,,IF(O40&gt;0,IF(N41=0,'DB2'!$R$8*(1+'DB2'!$O$8),N41+'DB2'!$R$8*(100%-(1+'DB2'!$O$8))/SUMPRODUCT('TS2'!$F$43:$BM$43,'TS2'!$F$56:$BM$56)),))</f>
        <v>0</v>
      </c>
      <c r="P41" s="133">
        <f>IF(P40=0,,IF(P40&gt;0,IF(O41=0,'DB2'!$R$8*(1+'DB2'!$O$8),O41+'DB2'!$R$8*(100%-(1+'DB2'!$O$8))/SUMPRODUCT('TS2'!$F$43:$BM$43,'TS2'!$F$56:$BM$56)),))</f>
        <v>0</v>
      </c>
      <c r="Q41" s="133">
        <f>IF(Q40=0,,IF(Q40&gt;0,IF(P41=0,'DB2'!$R$8*(1+'DB2'!$O$8),P41+'DB2'!$R$8*(100%-(1+'DB2'!$O$8))/SUMPRODUCT('TS2'!$F$43:$BM$43,'TS2'!$F$56:$BM$56)),))</f>
        <v>0</v>
      </c>
      <c r="R41" s="133">
        <f>IF(R40=0,,IF(R40&gt;0,IF(Q41=0,'DB2'!$R$8*(1+'DB2'!$O$8),Q41+'DB2'!$R$8*(100%-(1+'DB2'!$O$8))/SUMPRODUCT('TS2'!$F$43:$BM$43,'TS2'!$F$56:$BM$56)),))</f>
        <v>0</v>
      </c>
      <c r="S41" s="133">
        <f>IF(S40=0,,IF(S40&gt;0,IF(R41=0,'DB2'!$R$8*(1+'DB2'!$O$8),R41+'DB2'!$R$8*(100%-(1+'DB2'!$O$8))/SUMPRODUCT('TS2'!$F$43:$BM$43,'TS2'!$F$56:$BM$56)),))</f>
        <v>0</v>
      </c>
      <c r="T41" s="133">
        <f>IF(T40=0,,IF(T40&gt;0,IF(S41=0,'DB2'!$R$8*(1+'DB2'!$O$8),S41+'DB2'!$R$8*(100%-(1+'DB2'!$O$8))/SUMPRODUCT('TS2'!$F$43:$BM$43,'TS2'!$F$56:$BM$56)),))</f>
        <v>0</v>
      </c>
      <c r="U41" s="133">
        <f>IF(U40=0,,IF(U40&gt;0,IF(T41=0,'DB2'!$R$8*(1+'DB2'!$O$8),T41+'DB2'!$R$8*(100%-(1+'DB2'!$O$8))/SUMPRODUCT('TS2'!$F$43:$BM$43,'TS2'!$F$56:$BM$56)),))</f>
        <v>0</v>
      </c>
      <c r="V41" s="133">
        <f>IF(V40=0,,IF(V40&gt;0,IF(U41=0,'DB2'!$R$8*(1+'DB2'!$O$8),U41+'DB2'!$R$8*(100%-(1+'DB2'!$O$8))/SUMPRODUCT('TS2'!$F$43:$BM$43,'TS2'!$F$56:$BM$56)),))</f>
        <v>0</v>
      </c>
      <c r="W41" s="133">
        <f>IF(W40=0,,IF(W40&gt;0,IF(V41=0,'DB2'!$R$8*(1+'DB2'!$O$8),V41+'DB2'!$R$8*(100%-(1+'DB2'!$O$8))/SUMPRODUCT('TS2'!$F$43:$BM$43,'TS2'!$F$56:$BM$56)),))</f>
        <v>0</v>
      </c>
      <c r="X41" s="133">
        <f>IF(X40=0,,IF(X40&gt;0,IF(W41=0,'DB2'!$R$8*(1+'DB2'!$O$8),W41+'DB2'!$R$8*(100%-(1+'DB2'!$O$8))/SUMPRODUCT('TS2'!$F$43:$BM$43,'TS2'!$F$56:$BM$56)),))</f>
        <v>522.9</v>
      </c>
      <c r="Y41" s="133">
        <f>IF(Y40=0,,IF(Y40&gt;0,IF(X41=0,'DB2'!$R$8*(1+'DB2'!$O$8),X41+'DB2'!$R$8*(100%-(1+'DB2'!$O$8))/SUMPRODUCT('TS2'!$F$43:$BM$43,'TS2'!$F$56:$BM$56)),))</f>
        <v>536.31985318938598</v>
      </c>
      <c r="Z41" s="133">
        <f>IF(Z40=0,,IF(Z40&gt;0,IF(Y41=0,'DB2'!$R$8*(1+'DB2'!$O$8),Y41+'DB2'!$R$8*(100%-(1+'DB2'!$O$8))/SUMPRODUCT('TS2'!$F$43:$BM$43,'TS2'!$F$56:$BM$56)),))</f>
        <v>549.73970637877198</v>
      </c>
      <c r="AA41" s="133">
        <f>IF(AA40=0,,IF(AA40&gt;0,IF(Z41=0,'DB2'!$R$8*(1+'DB2'!$O$8),Z41+'DB2'!$R$8*(100%-(1+'DB2'!$O$8))/SUMPRODUCT('TS2'!$F$43:$BM$43,'TS2'!$F$56:$BM$56)),))</f>
        <v>563.15955956815799</v>
      </c>
      <c r="AB41" s="133">
        <f>IF(AB40=0,,IF(AB40&gt;0,IF(AA41=0,'DB2'!$R$8*(1+'DB2'!$O$8),AA41+'DB2'!$R$8*(100%-(1+'DB2'!$O$8))/SUMPRODUCT('TS2'!$F$43:$BM$43,'TS2'!$F$56:$BM$56)),))</f>
        <v>576.57941275754399</v>
      </c>
      <c r="AC41" s="133">
        <f>IF(AC40=0,,IF(AC40&gt;0,IF(AB41=0,'DB2'!$R$8*(1+'DB2'!$O$8),AB41+'DB2'!$R$8*(100%-(1+'DB2'!$O$8))/SUMPRODUCT('TS2'!$F$43:$BM$43,'TS2'!$F$56:$BM$56)),))</f>
        <v>589.99926594693</v>
      </c>
      <c r="AD41" s="133">
        <f>IF(AD40=0,,IF(AD40&gt;0,IF(AC41=0,'DB2'!$R$8*(1+'DB2'!$O$8),AC41+'DB2'!$R$8*(100%-(1+'DB2'!$O$8))/SUMPRODUCT('TS2'!$F$43:$BM$43,'TS2'!$F$56:$BM$56)),))</f>
        <v>603.419119136316</v>
      </c>
      <c r="AE41" s="133">
        <f>IF(AE40=0,,IF(AE40&gt;0,IF(AD41=0,'DB2'!$R$8*(1+'DB2'!$O$8),AD41+'DB2'!$R$8*(100%-(1+'DB2'!$O$8))/SUMPRODUCT('TS2'!$F$43:$BM$43,'TS2'!$F$56:$BM$56)),))</f>
        <v>616.838972325702</v>
      </c>
      <c r="AF41" s="133">
        <f>IF(AF40=0,,IF(AF40&gt;0,IF(AE41=0,'DB2'!$R$8*(1+'DB2'!$O$8),AE41+'DB2'!$R$8*(100%-(1+'DB2'!$O$8))/SUMPRODUCT('TS2'!$F$43:$BM$43,'TS2'!$F$56:$BM$56)),))</f>
        <v>630.25882551508801</v>
      </c>
      <c r="AG41" s="133">
        <f>IF(AG40=0,,IF(AG40&gt;0,IF(AF41=0,'DB2'!$R$8*(1+'DB2'!$O$8),AF41+'DB2'!$R$8*(100%-(1+'DB2'!$O$8))/SUMPRODUCT('TS2'!$F$43:$BM$43,'TS2'!$F$56:$BM$56)),))</f>
        <v>643.67867870447401</v>
      </c>
      <c r="AH41" s="133">
        <f>IF(AH40=0,,IF(AH40&gt;0,IF(AG41=0,'DB2'!$R$8*(1+'DB2'!$O$8),AG41+'DB2'!$R$8*(100%-(1+'DB2'!$O$8))/SUMPRODUCT('TS2'!$F$43:$BM$43,'TS2'!$F$56:$BM$56)),))</f>
        <v>657.09853189386001</v>
      </c>
      <c r="AI41" s="133">
        <f>IF(AI40=0,,IF(AI40&gt;0,IF(AH41=0,'DB2'!$R$8*(1+'DB2'!$O$8),AH41+'DB2'!$R$8*(100%-(1+'DB2'!$O$8))/SUMPRODUCT('TS2'!$F$43:$BM$43,'TS2'!$F$56:$BM$56)),))</f>
        <v>670.51838508324602</v>
      </c>
      <c r="AJ41" s="133">
        <f>IF(AJ40=0,,IF(AJ40&gt;0,IF(AI41=0,'DB2'!$R$8*(1+'DB2'!$O$8),AI41+'DB2'!$R$8*(100%-(1+'DB2'!$O$8))/SUMPRODUCT('TS2'!$F$43:$BM$43,'TS2'!$F$56:$BM$56)),))</f>
        <v>683.93823827263202</v>
      </c>
      <c r="AK41" s="133">
        <f>IF(AK40=0,,IF(AK40&gt;0,IF(AJ41=0,'DB2'!$R$8*(1+'DB2'!$O$8),AJ41+'DB2'!$R$8*(100%-(1+'DB2'!$O$8))/SUMPRODUCT('TS2'!$F$43:$BM$43,'TS2'!$F$56:$BM$56)),))</f>
        <v>697.35809146201802</v>
      </c>
      <c r="AL41" s="133">
        <f>IF(AL40=0,,IF(AL40&gt;0,IF(AK41=0,'DB2'!$R$8*(1+'DB2'!$O$8),AK41+'DB2'!$R$8*(100%-(1+'DB2'!$O$8))/SUMPRODUCT('TS2'!$F$43:$BM$43,'TS2'!$F$56:$BM$56)),))</f>
        <v>710.77794465140403</v>
      </c>
      <c r="AM41" s="133">
        <f>IF(AM40=0,,IF(AM40&gt;0,IF(AL41=0,'DB2'!$R$8*(1+'DB2'!$O$8),AL41+'DB2'!$R$8*(100%-(1+'DB2'!$O$8))/SUMPRODUCT('TS2'!$F$43:$BM$43,'TS2'!$F$56:$BM$56)),))</f>
        <v>724.19779784079003</v>
      </c>
      <c r="AN41" s="133">
        <f>IF(AN40=0,,IF(AN40&gt;0,IF(AM41=0,'DB2'!$R$8*(1+'DB2'!$O$8),AM41+'DB2'!$R$8*(100%-(1+'DB2'!$O$8))/SUMPRODUCT('TS2'!$F$43:$BM$43,'TS2'!$F$56:$BM$56)),))</f>
        <v>737.61765103017603</v>
      </c>
      <c r="AO41" s="133">
        <f>IF(AO40=0,,IF(AO40&gt;0,IF(AN41=0,'DB2'!$R$8*(1+'DB2'!$O$8),AN41+'DB2'!$R$8*(100%-(1+'DB2'!$O$8))/SUMPRODUCT('TS2'!$F$43:$BM$43,'TS2'!$F$56:$BM$56)),))</f>
        <v>0</v>
      </c>
      <c r="AP41" s="133">
        <f>IF(AP40=0,,IF(AP40&gt;0,IF(AO41=0,'DB2'!$R$8*(1+'DB2'!$O$8),AO41+'DB2'!$R$8*(100%-(1+'DB2'!$O$8))/SUMPRODUCT('TS2'!$F$43:$BM$43,'TS2'!$F$56:$BM$56)),))</f>
        <v>0</v>
      </c>
      <c r="AQ41" s="133">
        <f>IF(AQ40=0,,IF(AQ40&gt;0,IF(AP41=0,'DB2'!$R$8*(1+'DB2'!$O$8),AP41+'DB2'!$R$8*(100%-(1+'DB2'!$O$8))/SUMPRODUCT('TS2'!$F$43:$BM$43,'TS2'!$F$56:$BM$56)),))</f>
        <v>0</v>
      </c>
      <c r="AR41" s="133">
        <f>IF(AR40=0,,IF(AR40&gt;0,IF(AQ41=0,'DB2'!$R$8*(1+'DB2'!$O$8),AQ41+'DB2'!$R$8*(100%-(1+'DB2'!$O$8))/SUMPRODUCT('TS2'!$F$43:$BM$43,'TS2'!$F$56:$BM$56)),))</f>
        <v>0</v>
      </c>
      <c r="AS41" s="133">
        <f>IF(AS40=0,,IF(AS40&gt;0,IF(AR41=0,'DB2'!$R$8*(1+'DB2'!$O$8),AR41+'DB2'!$R$8*(100%-(1+'DB2'!$O$8))/SUMPRODUCT('TS2'!$F$43:$BM$43,'TS2'!$F$56:$BM$56)),))</f>
        <v>0</v>
      </c>
      <c r="AT41" s="133">
        <f>IF(AT40=0,,IF(AT40&gt;0,IF(AS41=0,'DB2'!$R$8*(1+'DB2'!$O$8),AS41+'DB2'!$R$8*(100%-(1+'DB2'!$O$8))/SUMPRODUCT('TS2'!$F$43:$BM$43,'TS2'!$F$56:$BM$56)),))</f>
        <v>0</v>
      </c>
      <c r="AU41" s="133">
        <f>IF(AU40=0,,IF(AU40&gt;0,IF(AT41=0,'DB2'!$R$8*(1+'DB2'!$O$8),AT41+'DB2'!$R$8*(100%-(1+'DB2'!$O$8))/SUMPRODUCT('TS2'!$F$43:$BM$43,'TS2'!$F$56:$BM$56)),))</f>
        <v>0</v>
      </c>
      <c r="AV41" s="133">
        <f>IF(AV40=0,,IF(AV40&gt;0,IF(AU41=0,'DB2'!$R$8*(1+'DB2'!$O$8),AU41+'DB2'!$R$8*(100%-(1+'DB2'!$O$8))/SUMPRODUCT('TS2'!$F$43:$BM$43,'TS2'!$F$56:$BM$56)),))</f>
        <v>0</v>
      </c>
      <c r="AW41" s="133">
        <f>IF(AW40=0,,IF(AW40&gt;0,IF(AV41=0,'DB2'!$R$8*(1+'DB2'!$O$8),AV41+'DB2'!$R$8*(100%-(1+'DB2'!$O$8))/SUMPRODUCT('TS2'!$F$43:$BM$43,'TS2'!$F$56:$BM$56)),))</f>
        <v>0</v>
      </c>
      <c r="AX41" s="133">
        <f>IF(AX40=0,,IF(AX40&gt;0,IF(AW41=0,'DB2'!$R$8*(1+'DB2'!$O$8),AW41+'DB2'!$R$8*(100%-(1+'DB2'!$O$8))/SUMPRODUCT('TS2'!$F$43:$BM$43,'TS2'!$F$56:$BM$56)),))</f>
        <v>0</v>
      </c>
      <c r="AY41" s="133">
        <f>IF(AY40=0,,IF(AY40&gt;0,IF(AX41=0,'DB2'!$R$8*(1+'DB2'!$O$8),AX41+'DB2'!$R$8*(100%-(1+'DB2'!$O$8))/SUMPRODUCT('TS2'!$F$43:$BM$43,'TS2'!$F$56:$BM$56)),))</f>
        <v>0</v>
      </c>
      <c r="AZ41" s="133">
        <f>IF(AZ40=0,,IF(AZ40&gt;0,IF(AY41=0,'DB2'!$R$8*(1+'DB2'!$O$8),AY41+'DB2'!$R$8*(100%-(1+'DB2'!$O$8))/SUMPRODUCT('TS2'!$F$43:$BM$43,'TS2'!$F$56:$BM$56)),))</f>
        <v>0</v>
      </c>
      <c r="BA41" s="133">
        <f>IF(BA40=0,,IF(BA40&gt;0,IF(AZ41=0,'DB2'!$R$8*(1+'DB2'!$O$8),AZ41+'DB2'!$R$8*(100%-(1+'DB2'!$O$8))/SUMPRODUCT('TS2'!$F$43:$BM$43,'TS2'!$F$56:$BM$56)),))</f>
        <v>0</v>
      </c>
      <c r="BB41" s="133">
        <f>IF(BB40=0,,IF(BB40&gt;0,IF(BA41=0,'DB2'!$R$8*(1+'DB2'!$O$8),BA41+'DB2'!$R$8*(100%-(1+'DB2'!$O$8))/SUMPRODUCT('TS2'!$F$43:$BM$43,'TS2'!$F$56:$BM$56)),))</f>
        <v>0</v>
      </c>
      <c r="BC41" s="133">
        <f>IF(BC40=0,,IF(BC40&gt;0,IF(BB41=0,'DB2'!$R$8*(1+'DB2'!$O$8),BB41+'DB2'!$R$8*(100%-(1+'DB2'!$O$8))/SUMPRODUCT('TS2'!$F$43:$BM$43,'TS2'!$F$56:$BM$56)),))</f>
        <v>0</v>
      </c>
      <c r="BD41" s="133">
        <f>IF(BD40=0,,IF(BD40&gt;0,IF(BC41=0,'DB2'!$R$8*(1+'DB2'!$O$8),BC41+'DB2'!$R$8*(100%-(1+'DB2'!$O$8))/SUMPRODUCT('TS2'!$F$43:$BM$43,'TS2'!$F$56:$BM$56)),))</f>
        <v>0</v>
      </c>
      <c r="BE41" s="133">
        <f>IF(BE40=0,,IF(BE40&gt;0,IF(BD41=0,'DB2'!$R$8*(1+'DB2'!$O$8),BD41+'DB2'!$R$8*(100%-(1+'DB2'!$O$8))/SUMPRODUCT('TS2'!$F$43:$BM$43,'TS2'!$F$56:$BM$56)),))</f>
        <v>0</v>
      </c>
      <c r="BF41" s="133">
        <f>IF(BF40=0,,IF(BF40&gt;0,IF(BE41=0,'DB2'!$R$8*(1+'DB2'!$O$8),BE41+'DB2'!$R$8*(100%-(1+'DB2'!$O$8))/SUMPRODUCT('TS2'!$F$43:$BM$43,'TS2'!$F$56:$BM$56)),))</f>
        <v>0</v>
      </c>
      <c r="BG41" s="133">
        <f>IF(BG40=0,,IF(BG40&gt;0,IF(BF41=0,'DB2'!$R$8*(1+'DB2'!$O$8),BF41+'DB2'!$R$8*(100%-(1+'DB2'!$O$8))/SUMPRODUCT('TS2'!$F$43:$BM$43,'TS2'!$F$56:$BM$56)),))</f>
        <v>0</v>
      </c>
      <c r="BH41" s="133">
        <f>IF(BH40=0,,IF(BH40&gt;0,IF(BG41=0,'DB2'!$R$8*(1+'DB2'!$O$8),BG41+'DB2'!$R$8*(100%-(1+'DB2'!$O$8))/SUMPRODUCT('TS2'!$F$43:$BM$43,'TS2'!$F$56:$BM$56)),))</f>
        <v>0</v>
      </c>
      <c r="BI41" s="133">
        <f>IF(BI40=0,,IF(BI40&gt;0,IF(BH41=0,'DB2'!$R$8*(1+'DB2'!$O$8),BH41+'DB2'!$R$8*(100%-(1+'DB2'!$O$8))/SUMPRODUCT('TS2'!$F$43:$BM$43,'TS2'!$F$56:$BM$56)),))</f>
        <v>0</v>
      </c>
      <c r="BJ41" s="133">
        <f>IF(BJ40=0,,IF(BJ40&gt;0,IF(BI41=0,'DB2'!$R$8*(1+'DB2'!$O$8),BI41+'DB2'!$R$8*(100%-(1+'DB2'!$O$8))/SUMPRODUCT('TS2'!$F$43:$BM$43,'TS2'!$F$56:$BM$56)),))</f>
        <v>0</v>
      </c>
      <c r="BK41" s="133">
        <f>IF(BK40=0,,IF(BK40&gt;0,IF(BJ41=0,'DB2'!$R$8*(1+'DB2'!$O$8),BJ41+'DB2'!$R$8*(100%-(1+'DB2'!$O$8))/SUMPRODUCT('TS2'!$F$43:$BM$43,'TS2'!$F$56:$BM$56)),))</f>
        <v>0</v>
      </c>
      <c r="BL41" s="133">
        <f>IF(BL40=0,,IF(BL40&gt;0,IF(BK41=0,'DB2'!$R$8*(1+'DB2'!$O$8),BK41+'DB2'!$R$8*(100%-(1+'DB2'!$O$8))/SUMPRODUCT('TS2'!$F$43:$BM$43,'TS2'!$F$56:$BM$56)),))</f>
        <v>0</v>
      </c>
      <c r="BM41" s="133">
        <f>IF(BM40=0,,IF(BM40&gt;0,IF(BL41=0,'DB2'!$R$8*(1+'DB2'!$O$8),BL41+'DB2'!$R$8*(100%-(1+'DB2'!$O$8))/SUMPRODUCT('TS2'!$F$43:$BM$43,'TS2'!$F$56:$BM$56)),))</f>
        <v>0</v>
      </c>
    </row>
    <row r="42" spans="2:65">
      <c r="B42" s="55"/>
      <c r="C42" s="59"/>
      <c r="D42" s="59"/>
      <c r="E42" s="60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>
        <f>W41</f>
        <v>0</v>
      </c>
      <c r="X42" s="61">
        <f t="shared" ref="X42:AI42" si="13">X41</f>
        <v>522.9</v>
      </c>
      <c r="Y42" s="61">
        <f t="shared" si="13"/>
        <v>536.31985318938598</v>
      </c>
      <c r="Z42" s="61">
        <f t="shared" si="13"/>
        <v>549.73970637877198</v>
      </c>
      <c r="AA42" s="61">
        <f t="shared" si="13"/>
        <v>563.15955956815799</v>
      </c>
      <c r="AB42" s="61">
        <f t="shared" si="13"/>
        <v>576.57941275754399</v>
      </c>
      <c r="AC42" s="61">
        <f t="shared" si="13"/>
        <v>589.99926594693</v>
      </c>
      <c r="AD42" s="61">
        <f t="shared" si="13"/>
        <v>603.419119136316</v>
      </c>
      <c r="AE42" s="61">
        <f t="shared" si="13"/>
        <v>616.838972325702</v>
      </c>
      <c r="AF42" s="61">
        <f t="shared" si="13"/>
        <v>630.25882551508801</v>
      </c>
      <c r="AG42" s="61">
        <f t="shared" si="13"/>
        <v>643.67867870447401</v>
      </c>
      <c r="AH42" s="61">
        <f t="shared" si="13"/>
        <v>657.09853189386001</v>
      </c>
      <c r="AI42" s="61">
        <f t="shared" si="13"/>
        <v>670.51838508324602</v>
      </c>
      <c r="AJ42" s="61">
        <f>SUMPRODUCT($AJ$40:$BM$40,$AJ$41:$BM$41)/SUM($AJ$40:$BM$40)</f>
        <v>710.5566626194111</v>
      </c>
      <c r="AK42" s="61">
        <f t="shared" ref="AK42:BM42" si="14">SUMPRODUCT($AJ$40:$BM$40,$AJ$41:$BM$41)/SUM($AJ$40:$BM$40)</f>
        <v>710.5566626194111</v>
      </c>
      <c r="AL42" s="61">
        <f t="shared" si="14"/>
        <v>710.5566626194111</v>
      </c>
      <c r="AM42" s="61">
        <f t="shared" si="14"/>
        <v>710.5566626194111</v>
      </c>
      <c r="AN42" s="61">
        <f t="shared" si="14"/>
        <v>710.5566626194111</v>
      </c>
      <c r="AO42" s="61">
        <f t="shared" si="14"/>
        <v>710.5566626194111</v>
      </c>
      <c r="AP42" s="61">
        <f t="shared" si="14"/>
        <v>710.5566626194111</v>
      </c>
      <c r="AQ42" s="61">
        <f t="shared" si="14"/>
        <v>710.5566626194111</v>
      </c>
      <c r="AR42" s="61">
        <f t="shared" si="14"/>
        <v>710.5566626194111</v>
      </c>
      <c r="AS42" s="61">
        <f t="shared" si="14"/>
        <v>710.5566626194111</v>
      </c>
      <c r="AT42" s="61">
        <f t="shared" si="14"/>
        <v>710.5566626194111</v>
      </c>
      <c r="AU42" s="61">
        <f t="shared" si="14"/>
        <v>710.5566626194111</v>
      </c>
      <c r="AV42" s="61">
        <f t="shared" si="14"/>
        <v>710.5566626194111</v>
      </c>
      <c r="AW42" s="61">
        <f t="shared" si="14"/>
        <v>710.5566626194111</v>
      </c>
      <c r="AX42" s="61">
        <f t="shared" si="14"/>
        <v>710.5566626194111</v>
      </c>
      <c r="AY42" s="61">
        <f t="shared" si="14"/>
        <v>710.5566626194111</v>
      </c>
      <c r="AZ42" s="61">
        <f t="shared" si="14"/>
        <v>710.5566626194111</v>
      </c>
      <c r="BA42" s="61">
        <f t="shared" si="14"/>
        <v>710.5566626194111</v>
      </c>
      <c r="BB42" s="61">
        <f t="shared" si="14"/>
        <v>710.5566626194111</v>
      </c>
      <c r="BC42" s="61">
        <f t="shared" si="14"/>
        <v>710.5566626194111</v>
      </c>
      <c r="BD42" s="61">
        <f t="shared" si="14"/>
        <v>710.5566626194111</v>
      </c>
      <c r="BE42" s="61">
        <f t="shared" si="14"/>
        <v>710.5566626194111</v>
      </c>
      <c r="BF42" s="61">
        <f t="shared" si="14"/>
        <v>710.5566626194111</v>
      </c>
      <c r="BG42" s="61">
        <f t="shared" si="14"/>
        <v>710.5566626194111</v>
      </c>
      <c r="BH42" s="61">
        <f t="shared" si="14"/>
        <v>710.5566626194111</v>
      </c>
      <c r="BI42" s="61">
        <f t="shared" si="14"/>
        <v>710.5566626194111</v>
      </c>
      <c r="BJ42" s="61">
        <f t="shared" si="14"/>
        <v>710.5566626194111</v>
      </c>
      <c r="BK42" s="61">
        <f t="shared" si="14"/>
        <v>710.5566626194111</v>
      </c>
      <c r="BL42" s="61">
        <f t="shared" si="14"/>
        <v>710.5566626194111</v>
      </c>
      <c r="BM42" s="61">
        <f t="shared" si="14"/>
        <v>710.5566626194111</v>
      </c>
    </row>
    <row r="43" spans="2:65" s="188" customFormat="1">
      <c r="B43" s="185"/>
      <c r="C43" s="186"/>
      <c r="D43" s="186"/>
      <c r="E43" s="186"/>
      <c r="F43" s="187">
        <f t="shared" ref="F43:BM43" si="15">F40/$E$40</f>
        <v>0</v>
      </c>
      <c r="G43" s="187">
        <f t="shared" si="15"/>
        <v>0</v>
      </c>
      <c r="H43" s="187">
        <f t="shared" si="15"/>
        <v>0</v>
      </c>
      <c r="I43" s="187">
        <f t="shared" si="15"/>
        <v>0</v>
      </c>
      <c r="J43" s="187">
        <f t="shared" si="15"/>
        <v>0</v>
      </c>
      <c r="K43" s="187">
        <f t="shared" si="15"/>
        <v>0</v>
      </c>
      <c r="L43" s="187">
        <f t="shared" si="15"/>
        <v>0</v>
      </c>
      <c r="M43" s="187">
        <f t="shared" si="15"/>
        <v>0</v>
      </c>
      <c r="N43" s="187">
        <f t="shared" si="15"/>
        <v>0</v>
      </c>
      <c r="O43" s="187">
        <f t="shared" si="15"/>
        <v>0</v>
      </c>
      <c r="P43" s="187">
        <f t="shared" si="15"/>
        <v>0</v>
      </c>
      <c r="Q43" s="187">
        <f t="shared" si="15"/>
        <v>0</v>
      </c>
      <c r="R43" s="187">
        <f t="shared" si="15"/>
        <v>0</v>
      </c>
      <c r="S43" s="187">
        <f t="shared" si="15"/>
        <v>0</v>
      </c>
      <c r="T43" s="187">
        <f t="shared" si="15"/>
        <v>0</v>
      </c>
      <c r="U43" s="187">
        <f t="shared" si="15"/>
        <v>0</v>
      </c>
      <c r="V43" s="187">
        <f t="shared" si="15"/>
        <v>0</v>
      </c>
      <c r="W43" s="187">
        <f t="shared" si="15"/>
        <v>0</v>
      </c>
      <c r="X43" s="187">
        <f t="shared" si="15"/>
        <v>5.8965343838536091E-2</v>
      </c>
      <c r="Y43" s="187">
        <f t="shared" si="15"/>
        <v>5.8965343838536091E-2</v>
      </c>
      <c r="Z43" s="187">
        <f t="shared" si="15"/>
        <v>5.8965343838536091E-2</v>
      </c>
      <c r="AA43" s="187">
        <f t="shared" si="15"/>
        <v>5.8965343838536091E-2</v>
      </c>
      <c r="AB43" s="187">
        <f t="shared" si="15"/>
        <v>5.8965343838536091E-2</v>
      </c>
      <c r="AC43" s="187">
        <f t="shared" si="15"/>
        <v>5.8965343838536091E-2</v>
      </c>
      <c r="AD43" s="187">
        <f t="shared" si="15"/>
        <v>5.8965343838536091E-2</v>
      </c>
      <c r="AE43" s="187">
        <f t="shared" si="15"/>
        <v>5.8965343838536091E-2</v>
      </c>
      <c r="AF43" s="187">
        <f t="shared" si="15"/>
        <v>5.8965343838536091E-2</v>
      </c>
      <c r="AG43" s="187">
        <f t="shared" si="15"/>
        <v>5.8965343838536091E-2</v>
      </c>
      <c r="AH43" s="187">
        <f t="shared" si="15"/>
        <v>5.8965343838536091E-2</v>
      </c>
      <c r="AI43" s="187">
        <f t="shared" si="15"/>
        <v>5.8965343838536091E-2</v>
      </c>
      <c r="AJ43" s="187">
        <f t="shared" si="15"/>
        <v>5.8965343838536091E-2</v>
      </c>
      <c r="AK43" s="187">
        <f t="shared" si="15"/>
        <v>5.8965343838536091E-2</v>
      </c>
      <c r="AL43" s="187">
        <f t="shared" si="15"/>
        <v>5.8965343838536091E-2</v>
      </c>
      <c r="AM43" s="187">
        <f t="shared" si="15"/>
        <v>5.8965343838536091E-2</v>
      </c>
      <c r="AN43" s="187">
        <f t="shared" si="15"/>
        <v>5.6554498583422541E-2</v>
      </c>
      <c r="AO43" s="187">
        <f t="shared" si="15"/>
        <v>0</v>
      </c>
      <c r="AP43" s="187">
        <f t="shared" si="15"/>
        <v>0</v>
      </c>
      <c r="AQ43" s="187">
        <f t="shared" si="15"/>
        <v>0</v>
      </c>
      <c r="AR43" s="187">
        <f t="shared" si="15"/>
        <v>0</v>
      </c>
      <c r="AS43" s="187">
        <f t="shared" si="15"/>
        <v>0</v>
      </c>
      <c r="AT43" s="187">
        <f t="shared" si="15"/>
        <v>0</v>
      </c>
      <c r="AU43" s="187">
        <f t="shared" si="15"/>
        <v>0</v>
      </c>
      <c r="AV43" s="187">
        <f t="shared" si="15"/>
        <v>0</v>
      </c>
      <c r="AW43" s="187">
        <f t="shared" si="15"/>
        <v>0</v>
      </c>
      <c r="AX43" s="187">
        <f t="shared" si="15"/>
        <v>0</v>
      </c>
      <c r="AY43" s="187">
        <f t="shared" si="15"/>
        <v>0</v>
      </c>
      <c r="AZ43" s="187">
        <f t="shared" si="15"/>
        <v>0</v>
      </c>
      <c r="BA43" s="187">
        <f t="shared" si="15"/>
        <v>0</v>
      </c>
      <c r="BB43" s="187">
        <f t="shared" si="15"/>
        <v>0</v>
      </c>
      <c r="BC43" s="187">
        <f t="shared" si="15"/>
        <v>0</v>
      </c>
      <c r="BD43" s="187">
        <f t="shared" si="15"/>
        <v>0</v>
      </c>
      <c r="BE43" s="187">
        <f t="shared" si="15"/>
        <v>0</v>
      </c>
      <c r="BF43" s="187">
        <f t="shared" si="15"/>
        <v>0</v>
      </c>
      <c r="BG43" s="187">
        <f t="shared" si="15"/>
        <v>0</v>
      </c>
      <c r="BH43" s="187">
        <f t="shared" si="15"/>
        <v>0</v>
      </c>
      <c r="BI43" s="187">
        <f t="shared" si="15"/>
        <v>0</v>
      </c>
      <c r="BJ43" s="187">
        <f t="shared" si="15"/>
        <v>0</v>
      </c>
      <c r="BK43" s="187">
        <f t="shared" si="15"/>
        <v>0</v>
      </c>
      <c r="BL43" s="187">
        <f t="shared" si="15"/>
        <v>0</v>
      </c>
      <c r="BM43" s="187">
        <f t="shared" si="15"/>
        <v>0</v>
      </c>
    </row>
    <row r="44" spans="2:65">
      <c r="B44" s="55" t="str">
        <f>'DB2'!L9</f>
        <v>АПАРТАМЕНТЫ</v>
      </c>
      <c r="C44" s="59">
        <f>'DB2'!M9</f>
        <v>46661</v>
      </c>
      <c r="D44" s="59">
        <f>_xlfn.MAXIFS($F$36:$AS$36,$F44:$AS44,"&gt;0")</f>
        <v>0</v>
      </c>
      <c r="E44" s="60">
        <f>'DB2'!H9</f>
        <v>0</v>
      </c>
      <c r="F44" s="61"/>
      <c r="G44" s="61">
        <f>(IF(G$17&gt;$C44,IF((SUM($F44:F44)+'DB2'!$U$9)&gt;$E44,($E44-SUM($F44:F44)),'DB2'!$U$9),0))</f>
        <v>0</v>
      </c>
      <c r="H44" s="61">
        <f>(IF(H$17&gt;$C44,IF((SUM($F44:G44)+'DB2'!$U$9)&gt;$E44,($E44-SUM($F44:G44)),'DB2'!$U$9),0))</f>
        <v>0</v>
      </c>
      <c r="I44" s="61">
        <f>(IF(I$17&gt;$C44,IF((SUM($F44:H44)+'DB2'!$U$9)&gt;$E44,($E44-SUM($F44:H44)),'DB2'!$U$9),0))</f>
        <v>0</v>
      </c>
      <c r="J44" s="61">
        <f>(IF(J$17&gt;$C44,IF((SUM($F44:I44)+'DB2'!$U$9)&gt;$E44,($E44-SUM($F44:I44)),'DB2'!$U$9),0))</f>
        <v>0</v>
      </c>
      <c r="K44" s="61">
        <f>(IF(K$17&gt;$C44,IF((SUM($F44:J44)+'DB2'!$U$9)&gt;$E44,($E44-SUM($F44:J44)),'DB2'!$U$9),0))</f>
        <v>0</v>
      </c>
      <c r="L44" s="61">
        <f>(IF(L$17&gt;$C44,IF((SUM($F44:K44)+'DB2'!$U$9)&gt;$E44,($E44-SUM($F44:K44)),'DB2'!$U$9),0))</f>
        <v>0</v>
      </c>
      <c r="M44" s="61">
        <f>(IF(M$17&gt;$C44,IF((SUM($F44:L44)+'DB2'!$U$9)&gt;$E44,($E44-SUM($F44:L44)),'DB2'!$U$9),0))</f>
        <v>0</v>
      </c>
      <c r="N44" s="61">
        <f>(IF(N$17&gt;$C44,IF((SUM($F44:M44)+'DB2'!$U$9)&gt;$E44,($E44-SUM($F44:M44)),'DB2'!$U$9),0))</f>
        <v>0</v>
      </c>
      <c r="O44" s="61">
        <f>(IF(O$17&gt;$C44,IF((SUM($F44:N44)+'DB2'!$U$9)&gt;$E44,($E44-SUM($F44:N44)),'DB2'!$U$9),0))</f>
        <v>0</v>
      </c>
      <c r="P44" s="61">
        <f>(IF(P$17&gt;$C44,IF((SUM($F44:O44)+'DB2'!$U$9)&gt;$E44,($E44-SUM($F44:O44)),'DB2'!$U$9),0))</f>
        <v>0</v>
      </c>
      <c r="Q44" s="61">
        <f>(IF(Q$17&gt;$C44,IF((SUM($F44:P44)+'DB2'!$U$9)&gt;$E44,($E44-SUM($F44:P44)),'DB2'!$U$9),0))</f>
        <v>0</v>
      </c>
      <c r="R44" s="61">
        <f>(IF(R$17&gt;$C44,IF((SUM($F44:Q44)+'DB2'!$U$9)&gt;$E44,($E44-SUM($F44:Q44)),'DB2'!$U$9),0))</f>
        <v>0</v>
      </c>
      <c r="S44" s="61">
        <f>(IF(S$17&gt;$C44,IF((SUM($F44:R44)+'DB2'!$U$9)&gt;$E44,($E44-SUM($F44:R44)),'DB2'!$U$9),0))</f>
        <v>0</v>
      </c>
      <c r="T44" s="61">
        <f>(IF(T$17&gt;$C44,IF((SUM($F44:S44)+'DB2'!$U$9)&gt;$E44,($E44-SUM($F44:S44)),'DB2'!$U$9),0))</f>
        <v>0</v>
      </c>
      <c r="U44" s="61">
        <f>(IF(U$17&gt;$C44,IF((SUM($F44:T44)+'DB2'!$U$9)&gt;$E44,($E44-SUM($F44:T44)),'DB2'!$U$9),0))</f>
        <v>0</v>
      </c>
      <c r="V44" s="61">
        <f>(IF(V$17&gt;$C44,IF((SUM($F44:U44)+'DB2'!$U$9)&gt;$E44,($E44-SUM($F44:U44)),'DB2'!$U$9),0))</f>
        <v>0</v>
      </c>
      <c r="W44" s="61">
        <f>(IF(W$17&gt;$C44,IF((SUM($F44:V44)+'DB2'!$U$9)&gt;$E44,($E44-SUM($F44:V44)),'DB2'!$U$9),0))</f>
        <v>0</v>
      </c>
      <c r="X44" s="61">
        <f>(IF(X$17&gt;$C44,IF((SUM($F44:W44)+'DB2'!$U$9)&gt;$E44,($E44-SUM($F44:W44)),'DB2'!$U$9),0))</f>
        <v>0</v>
      </c>
      <c r="Y44" s="61">
        <f>(IF(Y$17&gt;$C44,IF((SUM($F44:X44)+'DB2'!$U$9)&gt;$E44,($E44-SUM($F44:X44)),'DB2'!$U$9),0))</f>
        <v>0</v>
      </c>
      <c r="Z44" s="61">
        <f>(IF(Z$17&gt;$C44,IF((SUM($F44:Y44)+'DB2'!$U$9)&gt;$E44,($E44-SUM($F44:Y44)),'DB2'!$U$9),0))</f>
        <v>0</v>
      </c>
      <c r="AA44" s="61">
        <f>(IF(AA$17&gt;$C44,IF((SUM($F44:Z44)+'DB2'!$U$9)&gt;$E44,($E44-SUM($F44:Z44)),'DB2'!$U$9),0))</f>
        <v>0</v>
      </c>
      <c r="AB44" s="61">
        <f>(IF(AB$17&gt;$C44,IF((SUM($F44:AA44)+'DB2'!$U$9)&gt;$E44,($E44-SUM($F44:AA44)),'DB2'!$U$9),0))</f>
        <v>0</v>
      </c>
      <c r="AC44" s="61">
        <f>(IF(AC$17&gt;$C44,IF((SUM($F44:AB44)+'DB2'!$U$9)&gt;$E44,($E44-SUM($F44:AB44)),'DB2'!$U$9),0))</f>
        <v>0</v>
      </c>
      <c r="AD44" s="61">
        <f>(IF(AD$17&gt;$C44,IF((SUM($F44:AC44)+'DB2'!$U$9)&gt;$E44,($E44-SUM($F44:AC44)),'DB2'!$U$9),0))</f>
        <v>0</v>
      </c>
      <c r="AE44" s="61">
        <f>(IF(AE$17&gt;$C44,IF((SUM($F44:AD44)+'DB2'!$U$9)&gt;$E44,($E44-SUM($F44:AD44)),'DB2'!$U$9),0))</f>
        <v>0</v>
      </c>
      <c r="AF44" s="61">
        <f>(IF(AF$17&gt;$C44,IF((SUM($F44:AE44)+'DB2'!$U$9)&gt;$E44,($E44-SUM($F44:AE44)),'DB2'!$U$9),0))</f>
        <v>0</v>
      </c>
      <c r="AG44" s="61">
        <f>(IF(AG$17&gt;$C44,IF((SUM($F44:AF44)+'DB2'!$U$9)&gt;$E44,($E44-SUM($F44:AF44)),'DB2'!$U$9),0))</f>
        <v>0</v>
      </c>
      <c r="AH44" s="61">
        <f>(IF(AH$17&gt;$C44,IF((SUM($F44:AG44)+'DB2'!$U$9)&gt;$E44,($E44-SUM($F44:AG44)),'DB2'!$U$9),0))</f>
        <v>0</v>
      </c>
      <c r="AI44" s="61">
        <f>(IF(AI$17&gt;$C44,IF((SUM($F44:AH44)+'DB2'!$U$9)&gt;$E44,($E44-SUM($F44:AH44)),'DB2'!$U$9),0))</f>
        <v>0</v>
      </c>
      <c r="AJ44" s="61">
        <f>(IF(AJ$17&gt;$C44,IF((SUM($F44:AI44)+'DB2'!$U$9)&gt;$E44,($E44-SUM($F44:AI44)),'DB2'!$U$9),0))</f>
        <v>0</v>
      </c>
      <c r="AK44" s="61">
        <f>(IF(AK$17&gt;$C44,IF((SUM($F44:AJ44)+'DB2'!$U$9)&gt;$E44,($E44-SUM($F44:AJ44)),'DB2'!$U$9),0))</f>
        <v>0</v>
      </c>
      <c r="AL44" s="61">
        <f>(IF(AL$17&gt;$C44,IF((SUM($F44:AK44)+'DB2'!$U$9)&gt;$E44,($E44-SUM($F44:AK44)),'DB2'!$U$9),0))</f>
        <v>0</v>
      </c>
      <c r="AM44" s="61">
        <f>(IF(AM$17&gt;$C44,IF((SUM($F44:AL44)+'DB2'!$U$9)&gt;$E44,($E44-SUM($F44:AL44)),'DB2'!$U$9),0))</f>
        <v>0</v>
      </c>
      <c r="AN44" s="61">
        <f>(IF(AN$17&gt;$C44,IF((SUM($F44:AM44)+'DB2'!$U$9)&gt;$E44,($E44-SUM($F44:AM44)),'DB2'!$U$9),0))</f>
        <v>0</v>
      </c>
      <c r="AO44" s="61">
        <f>(IF(AO$17&gt;$C44,IF((SUM($F44:AN44)+'DB2'!$U$9)&gt;$E44,($E44-SUM($F44:AN44)),'DB2'!$U$9),0))</f>
        <v>0</v>
      </c>
      <c r="AP44" s="61">
        <f>(IF(AP$17&gt;$C44,IF((SUM($F44:AO44)+'DB2'!$U$9)&gt;$E44,($E44-SUM($F44:AO44)),'DB2'!$U$9),0))</f>
        <v>0</v>
      </c>
      <c r="AQ44" s="61">
        <f>(IF(AQ$17&gt;$C44,IF((SUM($F44:AP44)+'DB2'!$U$9)&gt;$E44,($E44-SUM($F44:AP44)),'DB2'!$U$9),0))</f>
        <v>0</v>
      </c>
      <c r="AR44" s="61">
        <f>(IF(AR$17&gt;$C44,IF((SUM($F44:AQ44)+'DB2'!$U$9)&gt;$E44,($E44-SUM($F44:AQ44)),'DB2'!$U$9),0))</f>
        <v>0</v>
      </c>
      <c r="AS44" s="61">
        <f>(IF(AS$17&gt;$C44,IF((SUM($F44:AR44)+'DB2'!$U$9)&gt;$E44,($E44-SUM($F44:AR44)),'DB2'!$U$9),0))</f>
        <v>0</v>
      </c>
      <c r="AT44" s="61">
        <f>(IF(AT$17&gt;$C44,IF((SUM($F44:AS44)+'DB2'!$U$9)&gt;$E44,($E44-SUM($F44:AS44)),'DB2'!$U$9),0))</f>
        <v>0</v>
      </c>
      <c r="AU44" s="61">
        <f>(IF(AU$17&gt;$C44,IF((SUM($F44:AT44)+'DB2'!$U$9)&gt;$E44,($E44-SUM($F44:AT44)),'DB2'!$U$9),0))</f>
        <v>0</v>
      </c>
      <c r="AV44" s="61">
        <f>(IF(AV$17&gt;$C44,IF((SUM($F44:AU44)+'DB2'!$U$9)&gt;$E44,($E44-SUM($F44:AU44)),'DB2'!$U$9),0))</f>
        <v>0</v>
      </c>
      <c r="AW44" s="61">
        <f>(IF(AW$17&gt;$C44,IF((SUM($F44:AV44)+'DB2'!$U$9)&gt;$E44,($E44-SUM($F44:AV44)),'DB2'!$U$9),0))</f>
        <v>0</v>
      </c>
      <c r="AX44" s="61">
        <f>(IF(AX$17&gt;$C44,IF((SUM($F44:AW44)+'DB2'!$U$9)&gt;$E44,($E44-SUM($F44:AW44)),'DB2'!$U$9),0))</f>
        <v>0</v>
      </c>
      <c r="AY44" s="61">
        <f>(IF(AY$17&gt;$C44,IF((SUM($F44:AX44)+'DB2'!$U$9)&gt;$E44,($E44-SUM($F44:AX44)),'DB2'!$U$9),0))</f>
        <v>0</v>
      </c>
      <c r="AZ44" s="61">
        <f>(IF(AZ$17&gt;$C44,IF((SUM($F44:AY44)+'DB2'!$U$9)&gt;$E44,($E44-SUM($F44:AY44)),'DB2'!$U$9),0))</f>
        <v>0</v>
      </c>
      <c r="BA44" s="61">
        <f>(IF(BA$17&gt;$C44,IF((SUM($F44:AZ44)+'DB2'!$U$9)&gt;$E44,($E44-SUM($F44:AZ44)),'DB2'!$U$9),0))</f>
        <v>0</v>
      </c>
      <c r="BB44" s="61">
        <f>(IF(BB$17&gt;$C44,IF((SUM($F44:BA44)+'DB2'!$U$9)&gt;$E44,($E44-SUM($F44:BA44)),'DB2'!$U$9),0))</f>
        <v>0</v>
      </c>
      <c r="BC44" s="61">
        <f>(IF(BC$17&gt;$C44,IF((SUM($F44:BB44)+'DB2'!$U$9)&gt;$E44,($E44-SUM($F44:BB44)),'DB2'!$U$9),0))</f>
        <v>0</v>
      </c>
      <c r="BD44" s="61">
        <f>(IF(BD$17&gt;$C44,IF((SUM($F44:BC44)+'DB2'!$U$9)&gt;$E44,($E44-SUM($F44:BC44)),'DB2'!$U$9),0))</f>
        <v>0</v>
      </c>
      <c r="BE44" s="61">
        <f>(IF(BE$17&gt;$C44,IF((SUM($F44:BD44)+'DB2'!$U$9)&gt;$E44,($E44-SUM($F44:BD44)),'DB2'!$U$9),0))</f>
        <v>0</v>
      </c>
      <c r="BF44" s="61">
        <f>(IF(BF$17&gt;$C44,IF((SUM($F44:BE44)+'DB2'!$U$9)&gt;$E44,($E44-SUM($F44:BE44)),'DB2'!$U$9),0))</f>
        <v>0</v>
      </c>
      <c r="BG44" s="61">
        <f>(IF(BG$17&gt;$C44,IF((SUM($F44:BF44)+'DB2'!$U$9)&gt;$E44,($E44-SUM($F44:BF44)),'DB2'!$U$9),0))</f>
        <v>0</v>
      </c>
      <c r="BH44" s="61">
        <f>(IF(BH$17&gt;$C44,IF((SUM($F44:BG44)+'DB2'!$U$9)&gt;$E44,($E44-SUM($F44:BG44)),'DB2'!$U$9),0))</f>
        <v>0</v>
      </c>
      <c r="BI44" s="61">
        <f>(IF(BI$17&gt;$C44,IF((SUM($F44:BH44)+'DB2'!$U$9)&gt;$E44,($E44-SUM($F44:BH44)),'DB2'!$U$9),0))</f>
        <v>0</v>
      </c>
      <c r="BJ44" s="61">
        <f>(IF(BJ$17&gt;$C44,IF((SUM($F44:BI44)+'DB2'!$U$9)&gt;$E44,($E44-SUM($F44:BI44)),'DB2'!$U$9),0))</f>
        <v>0</v>
      </c>
      <c r="BK44" s="61">
        <f>(IF(BK$17&gt;$C44,IF((SUM($F44:BJ44)+'DB2'!$U$9)&gt;$E44,($E44-SUM($F44:BJ44)),'DB2'!$U$9),0))</f>
        <v>0</v>
      </c>
      <c r="BL44" s="61">
        <f>(IF(BL$17&gt;$C44,IF((SUM($F44:BK44)+'DB2'!$U$9)&gt;$E44,($E44-SUM($F44:BK44)),'DB2'!$U$9),0))</f>
        <v>0</v>
      </c>
      <c r="BM44" s="61">
        <f>(IF(BM$17&gt;$C44,IF((SUM($F44:BL44)+'DB2'!$U$9)&gt;$E44,($E44-SUM($F44:BL44)),'DB2'!$U$9),0))</f>
        <v>0</v>
      </c>
    </row>
    <row r="45" spans="2:65" s="23" customFormat="1">
      <c r="B45" s="27"/>
      <c r="C45" s="189"/>
      <c r="D45" s="189"/>
      <c r="E45" s="190"/>
      <c r="F45" s="187">
        <f>IFERROR(F44/$E$44,0)</f>
        <v>0</v>
      </c>
      <c r="G45" s="187">
        <f t="shared" ref="G45:BM45" si="16">IFERROR(G44/$E$44,0)</f>
        <v>0</v>
      </c>
      <c r="H45" s="187">
        <f t="shared" si="16"/>
        <v>0</v>
      </c>
      <c r="I45" s="187">
        <f t="shared" si="16"/>
        <v>0</v>
      </c>
      <c r="J45" s="187">
        <f t="shared" si="16"/>
        <v>0</v>
      </c>
      <c r="K45" s="187">
        <f t="shared" si="16"/>
        <v>0</v>
      </c>
      <c r="L45" s="187">
        <f t="shared" si="16"/>
        <v>0</v>
      </c>
      <c r="M45" s="187">
        <f t="shared" si="16"/>
        <v>0</v>
      </c>
      <c r="N45" s="187">
        <f t="shared" si="16"/>
        <v>0</v>
      </c>
      <c r="O45" s="187">
        <f t="shared" si="16"/>
        <v>0</v>
      </c>
      <c r="P45" s="187">
        <f t="shared" si="16"/>
        <v>0</v>
      </c>
      <c r="Q45" s="187">
        <f t="shared" si="16"/>
        <v>0</v>
      </c>
      <c r="R45" s="187">
        <f t="shared" si="16"/>
        <v>0</v>
      </c>
      <c r="S45" s="187">
        <f t="shared" si="16"/>
        <v>0</v>
      </c>
      <c r="T45" s="187">
        <f t="shared" si="16"/>
        <v>0</v>
      </c>
      <c r="U45" s="187">
        <f t="shared" si="16"/>
        <v>0</v>
      </c>
      <c r="V45" s="187">
        <f t="shared" si="16"/>
        <v>0</v>
      </c>
      <c r="W45" s="187">
        <f t="shared" si="16"/>
        <v>0</v>
      </c>
      <c r="X45" s="187">
        <f t="shared" si="16"/>
        <v>0</v>
      </c>
      <c r="Y45" s="187">
        <f t="shared" si="16"/>
        <v>0</v>
      </c>
      <c r="Z45" s="187">
        <f t="shared" si="16"/>
        <v>0</v>
      </c>
      <c r="AA45" s="187">
        <f t="shared" si="16"/>
        <v>0</v>
      </c>
      <c r="AB45" s="187">
        <f t="shared" si="16"/>
        <v>0</v>
      </c>
      <c r="AC45" s="187">
        <f t="shared" si="16"/>
        <v>0</v>
      </c>
      <c r="AD45" s="187">
        <f t="shared" si="16"/>
        <v>0</v>
      </c>
      <c r="AE45" s="187">
        <f t="shared" si="16"/>
        <v>0</v>
      </c>
      <c r="AF45" s="187">
        <f t="shared" si="16"/>
        <v>0</v>
      </c>
      <c r="AG45" s="187">
        <f t="shared" si="16"/>
        <v>0</v>
      </c>
      <c r="AH45" s="187">
        <f t="shared" si="16"/>
        <v>0</v>
      </c>
      <c r="AI45" s="187">
        <f t="shared" si="16"/>
        <v>0</v>
      </c>
      <c r="AJ45" s="187">
        <f t="shared" si="16"/>
        <v>0</v>
      </c>
      <c r="AK45" s="187">
        <f t="shared" si="16"/>
        <v>0</v>
      </c>
      <c r="AL45" s="187">
        <f t="shared" si="16"/>
        <v>0</v>
      </c>
      <c r="AM45" s="187">
        <f t="shared" si="16"/>
        <v>0</v>
      </c>
      <c r="AN45" s="187">
        <f t="shared" si="16"/>
        <v>0</v>
      </c>
      <c r="AO45" s="187">
        <f t="shared" si="16"/>
        <v>0</v>
      </c>
      <c r="AP45" s="187">
        <f t="shared" si="16"/>
        <v>0</v>
      </c>
      <c r="AQ45" s="187">
        <f t="shared" si="16"/>
        <v>0</v>
      </c>
      <c r="AR45" s="187">
        <f t="shared" si="16"/>
        <v>0</v>
      </c>
      <c r="AS45" s="187">
        <f t="shared" si="16"/>
        <v>0</v>
      </c>
      <c r="AT45" s="187">
        <f t="shared" si="16"/>
        <v>0</v>
      </c>
      <c r="AU45" s="187">
        <f t="shared" si="16"/>
        <v>0</v>
      </c>
      <c r="AV45" s="187">
        <f t="shared" si="16"/>
        <v>0</v>
      </c>
      <c r="AW45" s="187">
        <f t="shared" si="16"/>
        <v>0</v>
      </c>
      <c r="AX45" s="187">
        <f t="shared" si="16"/>
        <v>0</v>
      </c>
      <c r="AY45" s="187">
        <f t="shared" si="16"/>
        <v>0</v>
      </c>
      <c r="AZ45" s="187">
        <f t="shared" si="16"/>
        <v>0</v>
      </c>
      <c r="BA45" s="187">
        <f t="shared" si="16"/>
        <v>0</v>
      </c>
      <c r="BB45" s="187">
        <f t="shared" si="16"/>
        <v>0</v>
      </c>
      <c r="BC45" s="187">
        <f t="shared" si="16"/>
        <v>0</v>
      </c>
      <c r="BD45" s="187">
        <f t="shared" si="16"/>
        <v>0</v>
      </c>
      <c r="BE45" s="187">
        <f t="shared" si="16"/>
        <v>0</v>
      </c>
      <c r="BF45" s="187">
        <f t="shared" si="16"/>
        <v>0</v>
      </c>
      <c r="BG45" s="187">
        <f t="shared" si="16"/>
        <v>0</v>
      </c>
      <c r="BH45" s="187">
        <f t="shared" si="16"/>
        <v>0</v>
      </c>
      <c r="BI45" s="187">
        <f t="shared" si="16"/>
        <v>0</v>
      </c>
      <c r="BJ45" s="187">
        <f t="shared" si="16"/>
        <v>0</v>
      </c>
      <c r="BK45" s="187">
        <f t="shared" si="16"/>
        <v>0</v>
      </c>
      <c r="BL45" s="187">
        <f t="shared" si="16"/>
        <v>0</v>
      </c>
      <c r="BM45" s="187">
        <f t="shared" si="16"/>
        <v>0</v>
      </c>
    </row>
    <row r="46" spans="2:65">
      <c r="B46" s="55" t="str">
        <f>'DB2'!L10</f>
        <v>ОФИСЫ</v>
      </c>
      <c r="C46" s="59">
        <f>'DB2'!M10</f>
        <v>46661</v>
      </c>
      <c r="D46" s="59">
        <f>_xlfn.MAXIFS($F$36:$AS$36,$F46:$AS46,"&gt;0")</f>
        <v>0</v>
      </c>
      <c r="E46" s="60">
        <f>'DB2'!H10</f>
        <v>0</v>
      </c>
      <c r="F46" s="61"/>
      <c r="G46" s="61">
        <f>(IF(G$17&gt;$C46,IF((SUM($F46:F46)+'DB2'!$U$10)&gt;$E46,($E46-SUM($F46:F46)),'DB2'!$U$10),0))</f>
        <v>0</v>
      </c>
      <c r="H46" s="61">
        <f>(IF(H$17&gt;$C46,IF((SUM($F46:G46)+'DB2'!$U$10)&gt;$E46,($E46-SUM($F46:G46)),'DB2'!$U$10),0))</f>
        <v>0</v>
      </c>
      <c r="I46" s="61">
        <f>(IF(I$17&gt;$C46,IF((SUM($F46:H46)+'DB2'!$U$10)&gt;$E46,($E46-SUM($F46:H46)),'DB2'!$U$10),0))</f>
        <v>0</v>
      </c>
      <c r="J46" s="61">
        <f>(IF(J$17&gt;$C46,IF((SUM($F46:I46)+'DB2'!$U$10)&gt;$E46,($E46-SUM($F46:I46)),'DB2'!$U$10),0))</f>
        <v>0</v>
      </c>
      <c r="K46" s="61">
        <f>(IF(K$17&gt;$C46,IF((SUM($F46:J46)+'DB2'!$U$10)&gt;$E46,($E46-SUM($F46:J46)),'DB2'!$U$10),0))</f>
        <v>0</v>
      </c>
      <c r="L46" s="61">
        <f>(IF(L$17&gt;$C46,IF((SUM($F46:K46)+'DB2'!$U$10)&gt;$E46,($E46-SUM($F46:K46)),'DB2'!$U$10),0))</f>
        <v>0</v>
      </c>
      <c r="M46" s="61">
        <f>(IF(M$17&gt;$C46,IF((SUM($F46:L46)+'DB2'!$U$10)&gt;$E46,($E46-SUM($F46:L46)),'DB2'!$U$10),0))</f>
        <v>0</v>
      </c>
      <c r="N46" s="61">
        <f>(IF(N$17&gt;$C46,IF((SUM($F46:M46)+'DB2'!$U$10)&gt;$E46,($E46-SUM($F46:M46)),'DB2'!$U$10),0))</f>
        <v>0</v>
      </c>
      <c r="O46" s="61">
        <f>(IF(O$17&gt;$C46,IF((SUM($F46:N46)+'DB2'!$U$10)&gt;$E46,($E46-SUM($F46:N46)),'DB2'!$U$10),0))</f>
        <v>0</v>
      </c>
      <c r="P46" s="61">
        <f>(IF(P$17&gt;$C46,IF((SUM($F46:O46)+'DB2'!$U$10)&gt;$E46,($E46-SUM($F46:O46)),'DB2'!$U$10),0))</f>
        <v>0</v>
      </c>
      <c r="Q46" s="61">
        <f>(IF(Q$17&gt;$C46,IF((SUM($F46:P46)+'DB2'!$U$10)&gt;$E46,($E46-SUM($F46:P46)),'DB2'!$U$10),0))</f>
        <v>0</v>
      </c>
      <c r="R46" s="61">
        <f>(IF(R$17&gt;$C46,IF((SUM($F46:Q46)+'DB2'!$U$10)&gt;$E46,($E46-SUM($F46:Q46)),'DB2'!$U$10),0))</f>
        <v>0</v>
      </c>
      <c r="S46" s="61">
        <f>(IF(S$17&gt;$C46,IF((SUM($F46:R46)+'DB2'!$U$10)&gt;$E46,($E46-SUM($F46:R46)),'DB2'!$U$10),0))</f>
        <v>0</v>
      </c>
      <c r="T46" s="61">
        <f>(IF(T$17&gt;$C46,IF((SUM($F46:S46)+'DB2'!$U$10)&gt;$E46,($E46-SUM($F46:S46)),'DB2'!$U$10),0))</f>
        <v>0</v>
      </c>
      <c r="U46" s="61">
        <f>(IF(U$17&gt;$C46,IF((SUM($F46:T46)+'DB2'!$U$10)&gt;$E46,($E46-SUM($F46:T46)),'DB2'!$U$10),0))</f>
        <v>0</v>
      </c>
      <c r="V46" s="61">
        <f>(IF(V$17&gt;$C46,IF((SUM($F46:U46)+'DB2'!$U$10)&gt;$E46,($E46-SUM($F46:U46)),'DB2'!$U$10),0))</f>
        <v>0</v>
      </c>
      <c r="W46" s="61">
        <f>(IF(W$17&gt;$C46,IF((SUM($F46:V46)+'DB2'!$U$10)&gt;$E46,($E46-SUM($F46:V46)),'DB2'!$U$10),0))</f>
        <v>0</v>
      </c>
      <c r="X46" s="61">
        <f>(IF(X$17&gt;$C46,IF((SUM($F46:W46)+'DB2'!$U$10)&gt;$E46,($E46-SUM($F46:W46)),'DB2'!$U$10),0))</f>
        <v>0</v>
      </c>
      <c r="Y46" s="61">
        <f>(IF(Y$17&gt;$C46,IF((SUM($F46:X46)+'DB2'!$U$10)&gt;$E46,($E46-SUM($F46:X46)),'DB2'!$U$10),0))</f>
        <v>0</v>
      </c>
      <c r="Z46" s="61">
        <f>(IF(Z$17&gt;$C46,IF((SUM($F46:Y46)+'DB2'!$U$10)&gt;$E46,($E46-SUM($F46:Y46)),'DB2'!$U$10),0))</f>
        <v>0</v>
      </c>
      <c r="AA46" s="61">
        <f>(IF(AA$17&gt;$C46,IF((SUM($F46:Z46)+'DB2'!$U$10)&gt;$E46,($E46-SUM($F46:Z46)),'DB2'!$U$10),0))</f>
        <v>0</v>
      </c>
      <c r="AB46" s="61">
        <f>(IF(AB$17&gt;$C46,IF((SUM($F46:AA46)+'DB2'!$U$10)&gt;$E46,($E46-SUM($F46:AA46)),'DB2'!$U$10),0))</f>
        <v>0</v>
      </c>
      <c r="AC46" s="61">
        <f>(IF(AC$17&gt;$C46,IF((SUM($F46:AB46)+'DB2'!$U$10)&gt;$E46,($E46-SUM($F46:AB46)),'DB2'!$U$10),0))</f>
        <v>0</v>
      </c>
      <c r="AD46" s="61">
        <f>(IF(AD$17&gt;$C46,IF((SUM($F46:AC46)+'DB2'!$U$10)&gt;$E46,($E46-SUM($F46:AC46)),'DB2'!$U$10),0))</f>
        <v>0</v>
      </c>
      <c r="AE46" s="61">
        <f>(IF(AE$17&gt;$C46,IF((SUM($F46:AD46)+'DB2'!$U$10)&gt;$E46,($E46-SUM($F46:AD46)),'DB2'!$U$10),0))</f>
        <v>0</v>
      </c>
      <c r="AF46" s="61">
        <f>(IF(AF$17&gt;$C46,IF((SUM($F46:AE46)+'DB2'!$U$10)&gt;$E46,($E46-SUM($F46:AE46)),'DB2'!$U$10),0))</f>
        <v>0</v>
      </c>
      <c r="AG46" s="61">
        <f>(IF(AG$17&gt;$C46,IF((SUM($F46:AF46)+'DB2'!$U$10)&gt;$E46,($E46-SUM($F46:AF46)),'DB2'!$U$10),0))</f>
        <v>0</v>
      </c>
      <c r="AH46" s="61">
        <f>(IF(AH$17&gt;$C46,IF((SUM($F46:AG46)+'DB2'!$U$10)&gt;$E46,($E46-SUM($F46:AG46)),'DB2'!$U$10),0))</f>
        <v>0</v>
      </c>
      <c r="AI46" s="61">
        <f>(IF(AI$17&gt;$C46,IF((SUM($F46:AH46)+'DB2'!$U$10)&gt;$E46,($E46-SUM($F46:AH46)),'DB2'!$U$10),0))</f>
        <v>0</v>
      </c>
      <c r="AJ46" s="61">
        <f>(IF(AJ$17&gt;$C46,IF((SUM($F46:AI46)+'DB2'!$U$10)&gt;$E46,($E46-SUM($F46:AI46)),'DB2'!$U$10),0))</f>
        <v>0</v>
      </c>
      <c r="AK46" s="61">
        <f>(IF(AK$17&gt;$C46,IF((SUM($F46:AJ46)+'DB2'!$U$10)&gt;$E46,($E46-SUM($F46:AJ46)),'DB2'!$U$10),0))</f>
        <v>0</v>
      </c>
      <c r="AL46" s="61">
        <f>(IF(AL$17&gt;$C46,IF((SUM($F46:AK46)+'DB2'!$U$10)&gt;$E46,($E46-SUM($F46:AK46)),'DB2'!$U$10),0))</f>
        <v>0</v>
      </c>
      <c r="AM46" s="61">
        <f>(IF(AM$17&gt;$C46,IF((SUM($F46:AL46)+'DB2'!$U$10)&gt;$E46,($E46-SUM($F46:AL46)),'DB2'!$U$10),0))</f>
        <v>0</v>
      </c>
      <c r="AN46" s="61">
        <f>(IF(AN$17&gt;$C46,IF((SUM($F46:AM46)+'DB2'!$U$10)&gt;$E46,($E46-SUM($F46:AM46)),'DB2'!$U$10),0))</f>
        <v>0</v>
      </c>
      <c r="AO46" s="61">
        <f>(IF(AO$17&gt;$C46,IF((SUM($F46:AN46)+'DB2'!$U$10)&gt;$E46,($E46-SUM($F46:AN46)),'DB2'!$U$10),0))</f>
        <v>0</v>
      </c>
      <c r="AP46" s="61">
        <f>(IF(AP$17&gt;$C46,IF((SUM($F46:AO46)+'DB2'!$U$10)&gt;$E46,($E46-SUM($F46:AO46)),'DB2'!$U$10),0))</f>
        <v>0</v>
      </c>
      <c r="AQ46" s="61">
        <f>(IF(AQ$17&gt;$C46,IF((SUM($F46:AP46)+'DB2'!$U$10)&gt;$E46,($E46-SUM($F46:AP46)),'DB2'!$U$10),0))</f>
        <v>0</v>
      </c>
      <c r="AR46" s="61">
        <f>(IF(AR$17&gt;$C46,IF((SUM($F46:AQ46)+'DB2'!$U$10)&gt;$E46,($E46-SUM($F46:AQ46)),'DB2'!$U$10),0))</f>
        <v>0</v>
      </c>
      <c r="AS46" s="61">
        <f>(IF(AS$17&gt;$C46,IF((SUM($F46:AR46)+'DB2'!$U$10)&gt;$E46,($E46-SUM($F46:AR46)),'DB2'!$U$10),0))</f>
        <v>0</v>
      </c>
      <c r="AT46" s="61">
        <f>(IF(AT$17&gt;$C46,IF((SUM($F46:AS46)+'DB2'!$U$10)&gt;$E46,($E46-SUM($F46:AS46)),'DB2'!$U$10),0))</f>
        <v>0</v>
      </c>
      <c r="AU46" s="61">
        <f>(IF(AU$17&gt;$C46,IF((SUM($F46:AT46)+'DB2'!$U$10)&gt;$E46,($E46-SUM($F46:AT46)),'DB2'!$U$10),0))</f>
        <v>0</v>
      </c>
      <c r="AV46" s="61">
        <f>(IF(AV$17&gt;$C46,IF((SUM($F46:AU46)+'DB2'!$U$10)&gt;$E46,($E46-SUM($F46:AU46)),'DB2'!$U$10),0))</f>
        <v>0</v>
      </c>
      <c r="AW46" s="61">
        <f>(IF(AW$17&gt;$C46,IF((SUM($F46:AV46)+'DB2'!$U$10)&gt;$E46,($E46-SUM($F46:AV46)),'DB2'!$U$10),0))</f>
        <v>0</v>
      </c>
      <c r="AX46" s="61">
        <f>(IF(AX$17&gt;$C46,IF((SUM($F46:AW46)+'DB2'!$U$10)&gt;$E46,($E46-SUM($F46:AW46)),'DB2'!$U$10),0))</f>
        <v>0</v>
      </c>
      <c r="AY46" s="61">
        <f>(IF(AY$17&gt;$C46,IF((SUM($F46:AX46)+'DB2'!$U$10)&gt;$E46,($E46-SUM($F46:AX46)),'DB2'!$U$10),0))</f>
        <v>0</v>
      </c>
      <c r="AZ46" s="61">
        <f>(IF(AZ$17&gt;$C46,IF((SUM($F46:AY46)+'DB2'!$U$10)&gt;$E46,($E46-SUM($F46:AY46)),'DB2'!$U$10),0))</f>
        <v>0</v>
      </c>
      <c r="BA46" s="61">
        <f>(IF(BA$17&gt;$C46,IF((SUM($F46:AZ46)+'DB2'!$U$10)&gt;$E46,($E46-SUM($F46:AZ46)),'DB2'!$U$10),0))</f>
        <v>0</v>
      </c>
      <c r="BB46" s="61">
        <f>(IF(BB$17&gt;$C46,IF((SUM($F46:BA46)+'DB2'!$U$10)&gt;$E46,($E46-SUM($F46:BA46)),'DB2'!$U$10),0))</f>
        <v>0</v>
      </c>
      <c r="BC46" s="61">
        <f>(IF(BC$17&gt;$C46,IF((SUM($F46:BB46)+'DB2'!$U$10)&gt;$E46,($E46-SUM($F46:BB46)),'DB2'!$U$10),0))</f>
        <v>0</v>
      </c>
      <c r="BD46" s="61">
        <f>(IF(BD$17&gt;$C46,IF((SUM($F46:BC46)+'DB2'!$U$10)&gt;$E46,($E46-SUM($F46:BC46)),'DB2'!$U$10),0))</f>
        <v>0</v>
      </c>
      <c r="BE46" s="61">
        <f>(IF(BE$17&gt;$C46,IF((SUM($F46:BD46)+'DB2'!$U$10)&gt;$E46,($E46-SUM($F46:BD46)),'DB2'!$U$10),0))</f>
        <v>0</v>
      </c>
      <c r="BF46" s="61">
        <f>(IF(BF$17&gt;$C46,IF((SUM($F46:BE46)+'DB2'!$U$10)&gt;$E46,($E46-SUM($F46:BE46)),'DB2'!$U$10),0))</f>
        <v>0</v>
      </c>
      <c r="BG46" s="61">
        <f>(IF(BG$17&gt;$C46,IF((SUM($F46:BF46)+'DB2'!$U$10)&gt;$E46,($E46-SUM($F46:BF46)),'DB2'!$U$10),0))</f>
        <v>0</v>
      </c>
      <c r="BH46" s="61">
        <f>(IF(BH$17&gt;$C46,IF((SUM($F46:BG46)+'DB2'!$U$10)&gt;$E46,($E46-SUM($F46:BG46)),'DB2'!$U$10),0))</f>
        <v>0</v>
      </c>
      <c r="BI46" s="61">
        <f>(IF(BI$17&gt;$C46,IF((SUM($F46:BH46)+'DB2'!$U$10)&gt;$E46,($E46-SUM($F46:BH46)),'DB2'!$U$10),0))</f>
        <v>0</v>
      </c>
      <c r="BJ46" s="61">
        <f>(IF(BJ$17&gt;$C46,IF((SUM($F46:BI46)+'DB2'!$U$10)&gt;$E46,($E46-SUM($F46:BI46)),'DB2'!$U$10),0))</f>
        <v>0</v>
      </c>
      <c r="BK46" s="61">
        <f>(IF(BK$17&gt;$C46,IF((SUM($F46:BJ46)+'DB2'!$U$10)&gt;$E46,($E46-SUM($F46:BJ46)),'DB2'!$U$10),0))</f>
        <v>0</v>
      </c>
      <c r="BL46" s="61">
        <f>(IF(BL$17&gt;$C46,IF((SUM($F46:BK46)+'DB2'!$U$10)&gt;$E46,($E46-SUM($F46:BK46)),'DB2'!$U$10),0))</f>
        <v>0</v>
      </c>
      <c r="BM46" s="61">
        <f>(IF(BM$17&gt;$C46,IF((SUM($F46:BL46)+'DB2'!$U$10)&gt;$E46,($E46-SUM($F46:BL46)),'DB2'!$U$10),0))</f>
        <v>0</v>
      </c>
    </row>
    <row r="47" spans="2:65" s="188" customFormat="1">
      <c r="B47" s="185"/>
      <c r="C47" s="186"/>
      <c r="D47" s="186"/>
      <c r="E47" s="186"/>
      <c r="F47" s="187">
        <f t="shared" ref="F47:BM47" si="17">IFERROR(F46/$E$46,0)</f>
        <v>0</v>
      </c>
      <c r="G47" s="187">
        <f t="shared" si="17"/>
        <v>0</v>
      </c>
      <c r="H47" s="187">
        <f t="shared" si="17"/>
        <v>0</v>
      </c>
      <c r="I47" s="187">
        <f t="shared" si="17"/>
        <v>0</v>
      </c>
      <c r="J47" s="187">
        <f t="shared" si="17"/>
        <v>0</v>
      </c>
      <c r="K47" s="187">
        <f t="shared" si="17"/>
        <v>0</v>
      </c>
      <c r="L47" s="187">
        <f t="shared" si="17"/>
        <v>0</v>
      </c>
      <c r="M47" s="187">
        <f t="shared" si="17"/>
        <v>0</v>
      </c>
      <c r="N47" s="187">
        <f t="shared" si="17"/>
        <v>0</v>
      </c>
      <c r="O47" s="187">
        <f t="shared" si="17"/>
        <v>0</v>
      </c>
      <c r="P47" s="187">
        <f t="shared" si="17"/>
        <v>0</v>
      </c>
      <c r="Q47" s="187">
        <f t="shared" si="17"/>
        <v>0</v>
      </c>
      <c r="R47" s="187">
        <f t="shared" si="17"/>
        <v>0</v>
      </c>
      <c r="S47" s="187">
        <f t="shared" si="17"/>
        <v>0</v>
      </c>
      <c r="T47" s="187">
        <f t="shared" si="17"/>
        <v>0</v>
      </c>
      <c r="U47" s="187">
        <f t="shared" si="17"/>
        <v>0</v>
      </c>
      <c r="V47" s="187">
        <f t="shared" si="17"/>
        <v>0</v>
      </c>
      <c r="W47" s="187">
        <f t="shared" si="17"/>
        <v>0</v>
      </c>
      <c r="X47" s="187">
        <f t="shared" si="17"/>
        <v>0</v>
      </c>
      <c r="Y47" s="187">
        <f t="shared" si="17"/>
        <v>0</v>
      </c>
      <c r="Z47" s="187">
        <f t="shared" si="17"/>
        <v>0</v>
      </c>
      <c r="AA47" s="187">
        <f t="shared" si="17"/>
        <v>0</v>
      </c>
      <c r="AB47" s="187">
        <f t="shared" si="17"/>
        <v>0</v>
      </c>
      <c r="AC47" s="187">
        <f t="shared" si="17"/>
        <v>0</v>
      </c>
      <c r="AD47" s="187">
        <f t="shared" si="17"/>
        <v>0</v>
      </c>
      <c r="AE47" s="187">
        <f t="shared" si="17"/>
        <v>0</v>
      </c>
      <c r="AF47" s="187">
        <f t="shared" si="17"/>
        <v>0</v>
      </c>
      <c r="AG47" s="187">
        <f t="shared" si="17"/>
        <v>0</v>
      </c>
      <c r="AH47" s="187">
        <f t="shared" si="17"/>
        <v>0</v>
      </c>
      <c r="AI47" s="187">
        <f t="shared" si="17"/>
        <v>0</v>
      </c>
      <c r="AJ47" s="187">
        <f t="shared" si="17"/>
        <v>0</v>
      </c>
      <c r="AK47" s="187">
        <f t="shared" si="17"/>
        <v>0</v>
      </c>
      <c r="AL47" s="187">
        <f t="shared" si="17"/>
        <v>0</v>
      </c>
      <c r="AM47" s="187">
        <f t="shared" si="17"/>
        <v>0</v>
      </c>
      <c r="AN47" s="187">
        <f t="shared" si="17"/>
        <v>0</v>
      </c>
      <c r="AO47" s="187">
        <f t="shared" si="17"/>
        <v>0</v>
      </c>
      <c r="AP47" s="187">
        <f t="shared" si="17"/>
        <v>0</v>
      </c>
      <c r="AQ47" s="187">
        <f t="shared" si="17"/>
        <v>0</v>
      </c>
      <c r="AR47" s="187">
        <f t="shared" si="17"/>
        <v>0</v>
      </c>
      <c r="AS47" s="187">
        <f t="shared" si="17"/>
        <v>0</v>
      </c>
      <c r="AT47" s="187">
        <f t="shared" si="17"/>
        <v>0</v>
      </c>
      <c r="AU47" s="187">
        <f t="shared" si="17"/>
        <v>0</v>
      </c>
      <c r="AV47" s="187">
        <f t="shared" si="17"/>
        <v>0</v>
      </c>
      <c r="AW47" s="187">
        <f t="shared" si="17"/>
        <v>0</v>
      </c>
      <c r="AX47" s="187">
        <f t="shared" si="17"/>
        <v>0</v>
      </c>
      <c r="AY47" s="187">
        <f t="shared" si="17"/>
        <v>0</v>
      </c>
      <c r="AZ47" s="187">
        <f t="shared" si="17"/>
        <v>0</v>
      </c>
      <c r="BA47" s="187">
        <f t="shared" si="17"/>
        <v>0</v>
      </c>
      <c r="BB47" s="187">
        <f t="shared" si="17"/>
        <v>0</v>
      </c>
      <c r="BC47" s="187">
        <f t="shared" si="17"/>
        <v>0</v>
      </c>
      <c r="BD47" s="187">
        <f t="shared" si="17"/>
        <v>0</v>
      </c>
      <c r="BE47" s="187">
        <f t="shared" si="17"/>
        <v>0</v>
      </c>
      <c r="BF47" s="187">
        <f t="shared" si="17"/>
        <v>0</v>
      </c>
      <c r="BG47" s="187">
        <f t="shared" si="17"/>
        <v>0</v>
      </c>
      <c r="BH47" s="187">
        <f t="shared" si="17"/>
        <v>0</v>
      </c>
      <c r="BI47" s="187">
        <f t="shared" si="17"/>
        <v>0</v>
      </c>
      <c r="BJ47" s="187">
        <f t="shared" si="17"/>
        <v>0</v>
      </c>
      <c r="BK47" s="187">
        <f t="shared" si="17"/>
        <v>0</v>
      </c>
      <c r="BL47" s="187">
        <f t="shared" si="17"/>
        <v>0</v>
      </c>
      <c r="BM47" s="187">
        <f t="shared" si="17"/>
        <v>0</v>
      </c>
    </row>
    <row r="48" spans="2:65">
      <c r="B48" s="55" t="str">
        <f>'DB2'!L11</f>
        <v>РИТЕЙЛ</v>
      </c>
      <c r="C48" s="59">
        <f>EOMONTH(_xlfn.MINIFS($F$36:$AS$36,$F48:$AS48,"&gt;0"),-3)+1</f>
        <v>47849</v>
      </c>
      <c r="D48" s="59">
        <f>_xlfn.MAXIFS($F$36:$AS$36,$F48:$AS48,"&gt;0")</f>
        <v>48029</v>
      </c>
      <c r="E48" s="60">
        <f>'DB2'!H11</f>
        <v>2556.0584999999996</v>
      </c>
      <c r="F48" s="61"/>
      <c r="G48" s="61">
        <f>IF(F36=EOMONTH('DB2'!$U$27,3*'DB2'!$M$11),$E48*0.5,IF(SUM($F48:F48)=0,0,$E48-SUM($F48:F48)))</f>
        <v>0</v>
      </c>
      <c r="H48" s="61">
        <f>IF(G36=EOMONTH('DB2'!$U$27,3*'DB2'!$M$11),$E48*0.5,IF(SUM($F48:G48)=0,0,$E48-SUM($F48:G48)))</f>
        <v>0</v>
      </c>
      <c r="I48" s="61">
        <f>IF(H36=EOMONTH('DB2'!$U$27,3*'DB2'!$M$11),$E48*0.5,IF(SUM($F48:H48)=0,0,$E48-SUM($F48:H48)))</f>
        <v>0</v>
      </c>
      <c r="J48" s="61">
        <f>IF(I36=EOMONTH('DB2'!$U$27,3*'DB2'!$M$11),$E48*0.5,IF(SUM($F48:I48)=0,0,$E48-SUM($F48:I48)))</f>
        <v>0</v>
      </c>
      <c r="K48" s="61">
        <f>IF(J36=EOMONTH('DB2'!$U$27,3*'DB2'!$M$11),$E48*0.5,IF(SUM($F48:J48)=0,0,$E48-SUM($F48:J48)))</f>
        <v>0</v>
      </c>
      <c r="L48" s="61">
        <f>IF(K36=EOMONTH('DB2'!$U$27,3*'DB2'!$M$11),$E48*0.5,IF(SUM($F48:K48)=0,0,$E48-SUM($F48:K48)))</f>
        <v>0</v>
      </c>
      <c r="M48" s="61">
        <f>IF(L36=EOMONTH('DB2'!$U$27,3*'DB2'!$M$11),$E48*0.5,IF(SUM($F48:L48)=0,0,$E48-SUM($F48:L48)))</f>
        <v>0</v>
      </c>
      <c r="N48" s="61">
        <f>IF(M36=EOMONTH('DB2'!$U$27,3*'DB2'!$M$11),$E48*0.5,IF(SUM($F48:M48)=0,0,$E48-SUM($F48:M48)))</f>
        <v>0</v>
      </c>
      <c r="O48" s="61">
        <f>IF(N36=EOMONTH('DB2'!$U$27,3*'DB2'!$M$11),$E48*0.5,IF(SUM($F48:N48)=0,0,$E48-SUM($F48:N48)))</f>
        <v>0</v>
      </c>
      <c r="P48" s="61">
        <f>IF(O36=EOMONTH('DB2'!$U$27,3*'DB2'!$M$11),$E48*0.5,IF(SUM($F48:O48)=0,0,$E48-SUM($F48:O48)))</f>
        <v>0</v>
      </c>
      <c r="Q48" s="61">
        <f>IF(P36=EOMONTH('DB2'!$U$27,3*'DB2'!$M$11),$E48*0.5,IF(SUM($F48:P48)=0,0,$E48-SUM($F48:P48)))</f>
        <v>0</v>
      </c>
      <c r="R48" s="61">
        <f>IF(Q36=EOMONTH('DB2'!$U$27,3*'DB2'!$M$11),$E48*0.5,IF(SUM($F48:Q48)=0,0,$E48-SUM($F48:Q48)))</f>
        <v>0</v>
      </c>
      <c r="S48" s="61">
        <f>IF(R36=EOMONTH('DB2'!$U$27,3*'DB2'!$M$11),$E48*0.5,IF(SUM($F48:R48)=0,0,$E48-SUM($F48:R48)))</f>
        <v>0</v>
      </c>
      <c r="T48" s="61">
        <f>IF(S36=EOMONTH('DB2'!$U$27,3*'DB2'!$M$11),$E48*0.5,IF(SUM($F48:S48)=0,0,$E48-SUM($F48:S48)))</f>
        <v>0</v>
      </c>
      <c r="U48" s="61">
        <f>IF(T36=EOMONTH('DB2'!$U$27,3*'DB2'!$M$11),$E48*0.5,IF(SUM($F48:T48)=0,0,$E48-SUM($F48:T48)))</f>
        <v>0</v>
      </c>
      <c r="V48" s="61">
        <f>IF(U36=EOMONTH('DB2'!$U$27,3*'DB2'!$M$11),$E48*0.5,IF(SUM($F48:U48)=0,0,$E48-SUM($F48:U48)))</f>
        <v>0</v>
      </c>
      <c r="W48" s="61">
        <f>IF(V36=EOMONTH('DB2'!$U$27,3*'DB2'!$M$11),$E48*0.5,IF(SUM($F48:V48)=0,0,$E48-SUM($F48:V48)))</f>
        <v>0</v>
      </c>
      <c r="X48" s="61">
        <f>IF(W36=EOMONTH('DB2'!$U$27,3*'DB2'!$M$11),$E48*0.5,IF(SUM($F48:W48)=0,0,$E48-SUM($F48:W48)))</f>
        <v>0</v>
      </c>
      <c r="Y48" s="61">
        <f>IF(X36=EOMONTH('DB2'!$U$27,3*'DB2'!$M$11),$E48*0.5,IF(SUM($F48:X48)=0,0,$E48-SUM($F48:X48)))</f>
        <v>0</v>
      </c>
      <c r="Z48" s="61">
        <f>IF(Y36=EOMONTH('DB2'!$U$27,3*'DB2'!$M$11),$E48*0.5,IF(SUM($F48:Y48)=0,0,$E48-SUM($F48:Y48)))</f>
        <v>0</v>
      </c>
      <c r="AA48" s="61">
        <f>IF(Z36=EOMONTH('DB2'!$U$27,3*'DB2'!$M$11),$E48*0.5,IF(SUM($F48:Z48)=0,0,$E48-SUM($F48:Z48)))</f>
        <v>0</v>
      </c>
      <c r="AB48" s="61">
        <f>IF(AA36=EOMONTH('DB2'!$U$27,3*'DB2'!$M$11),$E48*0.5,IF(SUM($F48:AA48)=0,0,$E48-SUM($F48:AA48)))</f>
        <v>0</v>
      </c>
      <c r="AC48" s="61">
        <f>IF(AB36=EOMONTH('DB2'!$U$27,3*'DB2'!$M$11),$E48*0.5,IF(SUM($F48:AB48)=0,0,$E48-SUM($F48:AB48)))</f>
        <v>0</v>
      </c>
      <c r="AD48" s="61">
        <f>IF(AC36=EOMONTH('DB2'!$U$27,3*'DB2'!$M$11),$E48*0.5,IF(SUM($F48:AC48)=0,0,$E48-SUM($F48:AC48)))</f>
        <v>0</v>
      </c>
      <c r="AE48" s="61">
        <f>IF(AD36=EOMONTH('DB2'!$U$27,3*'DB2'!$M$11),$E48*0.5,IF(SUM($F48:AD48)=0,0,$E48-SUM($F48:AD48)))</f>
        <v>0</v>
      </c>
      <c r="AF48" s="61">
        <f>IF(AE36=EOMONTH('DB2'!$U$27,3*'DB2'!$M$11),$E48*0.5,IF(SUM($F48:AE48)=0,0,$E48-SUM($F48:AE48)))</f>
        <v>0</v>
      </c>
      <c r="AG48" s="61">
        <f>IF(AF36=EOMONTH('DB2'!$U$27,3*'DB2'!$M$11),$E48*0.5,IF(SUM($F48:AF48)=0,0,$E48-SUM($F48:AF48)))</f>
        <v>0</v>
      </c>
      <c r="AH48" s="61">
        <f>IF(AG36=EOMONTH('DB2'!$U$27,3*'DB2'!$M$11),$E48*0.5,IF(SUM($F48:AG48)=0,0,$E48-SUM($F48:AG48)))</f>
        <v>0</v>
      </c>
      <c r="AI48" s="61">
        <f>IF(AH36=EOMONTH('DB2'!$U$27,3*'DB2'!$M$11),$E48*0.5,IF(SUM($F48:AH48)=0,0,$E48-SUM($F48:AH48)))</f>
        <v>0</v>
      </c>
      <c r="AJ48" s="61">
        <f>IF(AI36=EOMONTH('DB2'!$U$27,3*'DB2'!$M$11),$E48*0.5,IF(SUM($F48:AI48)=0,0,$E48-SUM($F48:AI48)))</f>
        <v>0</v>
      </c>
      <c r="AK48" s="61">
        <f>IF(AJ36=EOMONTH('DB2'!$U$27,3*'DB2'!$M$11),$E48*0.5,IF(SUM($F48:AJ48)=0,0,$E48-SUM($F48:AJ48)))</f>
        <v>1278.0292499999998</v>
      </c>
      <c r="AL48" s="61">
        <f>IF(AK36=EOMONTH('DB2'!$U$27,3*'DB2'!$M$11),$E48*0.5,IF(SUM($F48:AK48)=0,0,$E48-SUM($F48:AK48)))</f>
        <v>1278.0292499999998</v>
      </c>
      <c r="AM48" s="61">
        <f>IF(AL36=EOMONTH('DB2'!$U$27,3*'DB2'!$M$11),$E48*0.5,IF(SUM($F48:AL48)=0,0,$E48-SUM($F48:AL48)))</f>
        <v>0</v>
      </c>
      <c r="AN48" s="61">
        <f>IF(AM36=EOMONTH('DB2'!$U$27,3*'DB2'!$M$11),$E48*0.5,IF(SUM($F48:AM48)=0,0,$E48-SUM($F48:AM48)))</f>
        <v>0</v>
      </c>
      <c r="AO48" s="61">
        <f>IF(AN36=EOMONTH('DB2'!$U$27,3*'DB2'!$M$11),$E48*0.5,IF(SUM($F48:AN48)=0,0,$E48-SUM($F48:AN48)))</f>
        <v>0</v>
      </c>
      <c r="AP48" s="61">
        <f>IF(AO36=EOMONTH('DB2'!$U$27,3*'DB2'!$M$11),$E48*0.5,IF(SUM($F48:AO48)=0,0,$E48-SUM($F48:AO48)))</f>
        <v>0</v>
      </c>
      <c r="AQ48" s="61">
        <f>IF(AP36=EOMONTH('DB2'!$U$27,3*'DB2'!$M$11),$E48*0.5,IF(SUM($F48:AP48)=0,0,$E48-SUM($F48:AP48)))</f>
        <v>0</v>
      </c>
      <c r="AR48" s="61">
        <f>IF(AQ36=EOMONTH('DB2'!$U$27,3*'DB2'!$M$11),$E48*0.5,IF(SUM($F48:AQ48)=0,0,$E48-SUM($F48:AQ48)))</f>
        <v>0</v>
      </c>
      <c r="AS48" s="61">
        <f>IF(AR36=EOMONTH('DB2'!$U$27,3*'DB2'!$M$11),$E48*0.5,IF(SUM($F48:AR48)=0,0,$E48-SUM($F48:AR48)))</f>
        <v>0</v>
      </c>
      <c r="AT48" s="61">
        <f>IF(AS36=EOMONTH('DB2'!$U$27,3*'DB2'!$M$11),$E48*0.5,IF(SUM($F48:AS48)=0,0,$E48-SUM($F48:AS48)))</f>
        <v>0</v>
      </c>
      <c r="AU48" s="61">
        <f>IF(AT36=EOMONTH('DB2'!$U$27,3*'DB2'!$M$11),$E48*0.5,IF(SUM($F48:AT48)=0,0,$E48-SUM($F48:AT48)))</f>
        <v>0</v>
      </c>
      <c r="AV48" s="61">
        <f>IF(AU36=EOMONTH('DB2'!$U$27,3*'DB2'!$M$11),$E48*0.5,IF(SUM($F48:AU48)=0,0,$E48-SUM($F48:AU48)))</f>
        <v>0</v>
      </c>
      <c r="AW48" s="61">
        <f>IF(AV36=EOMONTH('DB2'!$U$27,3*'DB2'!$M$11),$E48*0.5,IF(SUM($F48:AV48)=0,0,$E48-SUM($F48:AV48)))</f>
        <v>0</v>
      </c>
      <c r="AX48" s="61">
        <f>IF(AW36=EOMONTH('DB2'!$U$27,3*'DB2'!$M$11),$E48*0.5,IF(SUM($F48:AW48)=0,0,$E48-SUM($F48:AW48)))</f>
        <v>0</v>
      </c>
      <c r="AY48" s="61">
        <f>IF(AX36=EOMONTH('DB2'!$U$27,3*'DB2'!$M$11),$E48*0.5,IF(SUM($F48:AX48)=0,0,$E48-SUM($F48:AX48)))</f>
        <v>0</v>
      </c>
      <c r="AZ48" s="61">
        <f>IF(AY36=EOMONTH('DB2'!$U$27,3*'DB2'!$M$11),$E48*0.5,IF(SUM($F48:AY48)=0,0,$E48-SUM($F48:AY48)))</f>
        <v>0</v>
      </c>
      <c r="BA48" s="61">
        <f>IF(AZ36=EOMONTH('DB2'!$U$27,3*'DB2'!$M$11),$E48*0.5,IF(SUM($F48:AZ48)=0,0,$E48-SUM($F48:AZ48)))</f>
        <v>0</v>
      </c>
      <c r="BB48" s="61">
        <f>IF(BA36=EOMONTH('DB2'!$U$27,3*'DB2'!$M$11),$E48*0.5,IF(SUM($F48:BA48)=0,0,$E48-SUM($F48:BA48)))</f>
        <v>0</v>
      </c>
      <c r="BC48" s="61">
        <f>IF(BB36=EOMONTH('DB2'!$U$27,3*'DB2'!$M$11),$E48*0.5,IF(SUM($F48:BB48)=0,0,$E48-SUM($F48:BB48)))</f>
        <v>0</v>
      </c>
      <c r="BD48" s="61">
        <f>IF(BC36=EOMONTH('DB2'!$U$27,3*'DB2'!$M$11),$E48*0.5,IF(SUM($F48:BC48)=0,0,$E48-SUM($F48:BC48)))</f>
        <v>0</v>
      </c>
      <c r="BE48" s="61">
        <f>IF(BD36=EOMONTH('DB2'!$U$27,3*'DB2'!$M$11),$E48*0.5,IF(SUM($F48:BD48)=0,0,$E48-SUM($F48:BD48)))</f>
        <v>0</v>
      </c>
      <c r="BF48" s="61">
        <f>IF(BE36=EOMONTH('DB2'!$U$27,3*'DB2'!$M$11),$E48*0.5,IF(SUM($F48:BE48)=0,0,$E48-SUM($F48:BE48)))</f>
        <v>0</v>
      </c>
      <c r="BG48" s="61">
        <f>IF(BF36=EOMONTH('DB2'!$U$27,3*'DB2'!$M$11),$E48*0.5,IF(SUM($F48:BF48)=0,0,$E48-SUM($F48:BF48)))</f>
        <v>0</v>
      </c>
      <c r="BH48" s="61">
        <f>IF(BG36=EOMONTH('DB2'!$U$27,3*'DB2'!$M$11),$E48*0.5,IF(SUM($F48:BG48)=0,0,$E48-SUM($F48:BG48)))</f>
        <v>0</v>
      </c>
      <c r="BI48" s="61">
        <f>IF(BH36=EOMONTH('DB2'!$U$27,3*'DB2'!$M$11),$E48*0.5,IF(SUM($F48:BH48)=0,0,$E48-SUM($F48:BH48)))</f>
        <v>0</v>
      </c>
      <c r="BJ48" s="61">
        <f>IF(BI36=EOMONTH('DB2'!$U$27,3*'DB2'!$M$11),$E48*0.5,IF(SUM($F48:BI48)=0,0,$E48-SUM($F48:BI48)))</f>
        <v>0</v>
      </c>
      <c r="BK48" s="61">
        <f>IF(BJ36=EOMONTH('DB2'!$U$27,3*'DB2'!$M$11),$E48*0.5,IF(SUM($F48:BJ48)=0,0,$E48-SUM($F48:BJ48)))</f>
        <v>0</v>
      </c>
      <c r="BL48" s="61">
        <f>IF(BK36=EOMONTH('DB2'!$U$27,3*'DB2'!$M$11),$E48*0.5,IF(SUM($F48:BK48)=0,0,$E48-SUM($F48:BK48)))</f>
        <v>0</v>
      </c>
      <c r="BM48" s="61">
        <f>IF(BL36=EOMONTH('DB2'!$U$27,3*'DB2'!$M$11),$E48*0.5,IF(SUM($F48:BL48)=0,0,$E48-SUM($F48:BL48)))</f>
        <v>0</v>
      </c>
    </row>
    <row r="49" spans="2:65" s="188" customFormat="1">
      <c r="B49" s="185"/>
      <c r="C49" s="186"/>
      <c r="D49" s="186"/>
      <c r="E49" s="186"/>
      <c r="F49" s="187">
        <f t="shared" ref="F49:BM49" si="18">IFERROR(F48/$E$48,0)</f>
        <v>0</v>
      </c>
      <c r="G49" s="187">
        <f t="shared" si="18"/>
        <v>0</v>
      </c>
      <c r="H49" s="187">
        <f t="shared" si="18"/>
        <v>0</v>
      </c>
      <c r="I49" s="187">
        <f t="shared" si="18"/>
        <v>0</v>
      </c>
      <c r="J49" s="187">
        <f t="shared" si="18"/>
        <v>0</v>
      </c>
      <c r="K49" s="187">
        <f t="shared" si="18"/>
        <v>0</v>
      </c>
      <c r="L49" s="187">
        <f t="shared" si="18"/>
        <v>0</v>
      </c>
      <c r="M49" s="187">
        <f t="shared" si="18"/>
        <v>0</v>
      </c>
      <c r="N49" s="187">
        <f t="shared" si="18"/>
        <v>0</v>
      </c>
      <c r="O49" s="187">
        <f t="shared" si="18"/>
        <v>0</v>
      </c>
      <c r="P49" s="187">
        <f t="shared" si="18"/>
        <v>0</v>
      </c>
      <c r="Q49" s="187">
        <f t="shared" si="18"/>
        <v>0</v>
      </c>
      <c r="R49" s="187">
        <f t="shared" si="18"/>
        <v>0</v>
      </c>
      <c r="S49" s="187">
        <f t="shared" si="18"/>
        <v>0</v>
      </c>
      <c r="T49" s="187">
        <f t="shared" si="18"/>
        <v>0</v>
      </c>
      <c r="U49" s="187">
        <f t="shared" si="18"/>
        <v>0</v>
      </c>
      <c r="V49" s="187">
        <f t="shared" si="18"/>
        <v>0</v>
      </c>
      <c r="W49" s="187">
        <f t="shared" si="18"/>
        <v>0</v>
      </c>
      <c r="X49" s="187">
        <f t="shared" si="18"/>
        <v>0</v>
      </c>
      <c r="Y49" s="187">
        <f t="shared" si="18"/>
        <v>0</v>
      </c>
      <c r="Z49" s="187">
        <f t="shared" si="18"/>
        <v>0</v>
      </c>
      <c r="AA49" s="187">
        <f t="shared" si="18"/>
        <v>0</v>
      </c>
      <c r="AB49" s="187">
        <f t="shared" si="18"/>
        <v>0</v>
      </c>
      <c r="AC49" s="187">
        <f t="shared" si="18"/>
        <v>0</v>
      </c>
      <c r="AD49" s="187">
        <f t="shared" si="18"/>
        <v>0</v>
      </c>
      <c r="AE49" s="187">
        <f t="shared" si="18"/>
        <v>0</v>
      </c>
      <c r="AF49" s="187">
        <f t="shared" si="18"/>
        <v>0</v>
      </c>
      <c r="AG49" s="187">
        <f t="shared" si="18"/>
        <v>0</v>
      </c>
      <c r="AH49" s="187">
        <f t="shared" si="18"/>
        <v>0</v>
      </c>
      <c r="AI49" s="187">
        <f t="shared" si="18"/>
        <v>0</v>
      </c>
      <c r="AJ49" s="187">
        <f t="shared" si="18"/>
        <v>0</v>
      </c>
      <c r="AK49" s="187">
        <f t="shared" si="18"/>
        <v>0.5</v>
      </c>
      <c r="AL49" s="187">
        <f t="shared" si="18"/>
        <v>0.5</v>
      </c>
      <c r="AM49" s="187">
        <f t="shared" si="18"/>
        <v>0</v>
      </c>
      <c r="AN49" s="187">
        <f t="shared" si="18"/>
        <v>0</v>
      </c>
      <c r="AO49" s="187">
        <f t="shared" si="18"/>
        <v>0</v>
      </c>
      <c r="AP49" s="187">
        <f t="shared" si="18"/>
        <v>0</v>
      </c>
      <c r="AQ49" s="187">
        <f t="shared" si="18"/>
        <v>0</v>
      </c>
      <c r="AR49" s="187">
        <f t="shared" si="18"/>
        <v>0</v>
      </c>
      <c r="AS49" s="187">
        <f t="shared" si="18"/>
        <v>0</v>
      </c>
      <c r="AT49" s="187">
        <f t="shared" si="18"/>
        <v>0</v>
      </c>
      <c r="AU49" s="187">
        <f t="shared" si="18"/>
        <v>0</v>
      </c>
      <c r="AV49" s="187">
        <f t="shared" si="18"/>
        <v>0</v>
      </c>
      <c r="AW49" s="187">
        <f t="shared" si="18"/>
        <v>0</v>
      </c>
      <c r="AX49" s="187">
        <f t="shared" si="18"/>
        <v>0</v>
      </c>
      <c r="AY49" s="187">
        <f t="shared" si="18"/>
        <v>0</v>
      </c>
      <c r="AZ49" s="187">
        <f t="shared" si="18"/>
        <v>0</v>
      </c>
      <c r="BA49" s="187">
        <f t="shared" si="18"/>
        <v>0</v>
      </c>
      <c r="BB49" s="187">
        <f t="shared" si="18"/>
        <v>0</v>
      </c>
      <c r="BC49" s="187">
        <f t="shared" si="18"/>
        <v>0</v>
      </c>
      <c r="BD49" s="187">
        <f t="shared" si="18"/>
        <v>0</v>
      </c>
      <c r="BE49" s="187">
        <f t="shared" si="18"/>
        <v>0</v>
      </c>
      <c r="BF49" s="187">
        <f t="shared" si="18"/>
        <v>0</v>
      </c>
      <c r="BG49" s="187">
        <f t="shared" si="18"/>
        <v>0</v>
      </c>
      <c r="BH49" s="187">
        <f t="shared" si="18"/>
        <v>0</v>
      </c>
      <c r="BI49" s="187">
        <f t="shared" si="18"/>
        <v>0</v>
      </c>
      <c r="BJ49" s="187">
        <f t="shared" si="18"/>
        <v>0</v>
      </c>
      <c r="BK49" s="187">
        <f t="shared" si="18"/>
        <v>0</v>
      </c>
      <c r="BL49" s="187">
        <f t="shared" si="18"/>
        <v>0</v>
      </c>
      <c r="BM49" s="187">
        <f t="shared" si="18"/>
        <v>0</v>
      </c>
    </row>
    <row r="50" spans="2:65">
      <c r="B50" s="55" t="str">
        <f>'DB2'!L12</f>
        <v>ТЦ</v>
      </c>
      <c r="C50" s="59">
        <f>IFERROR(EOMONTH(_xlfn.MINIFS($F$36:$AS$36,$F50:$AS50,"&gt;0"),-3)+1,0)</f>
        <v>0</v>
      </c>
      <c r="D50" s="59">
        <f>_xlfn.MAXIFS($F$36:$AS$36,$F50:$AS50,"&gt;0")</f>
        <v>0</v>
      </c>
      <c r="E50" s="60">
        <f>'DB2'!H12</f>
        <v>0</v>
      </c>
      <c r="F50" s="61"/>
      <c r="G50" s="61">
        <f>IF(F36=EOMONTH('DB2'!$U$27,3*'DB2'!$M$12),$E50,0)</f>
        <v>0</v>
      </c>
      <c r="H50" s="61">
        <f>IF(G36=EOMONTH('DB2'!$U$27,3*'DB2'!$M$12),$E50,0)</f>
        <v>0</v>
      </c>
      <c r="I50" s="61">
        <f>IF(H36=EOMONTH('DB2'!$U$27,3*'DB2'!$M$12),$E50,0)</f>
        <v>0</v>
      </c>
      <c r="J50" s="61">
        <f>IF(I36=EOMONTH('DB2'!$U$27,3*'DB2'!$M$12),$E50,0)</f>
        <v>0</v>
      </c>
      <c r="K50" s="61">
        <f>IF(J36=EOMONTH('DB2'!$U$27,3*'DB2'!$M$12),$E50,0)</f>
        <v>0</v>
      </c>
      <c r="L50" s="61">
        <f>IF(K36=EOMONTH('DB2'!$U$27,3*'DB2'!$M$12),$E50,0)</f>
        <v>0</v>
      </c>
      <c r="M50" s="61">
        <f>IF(L36=EOMONTH('DB2'!$U$27,3*'DB2'!$M$12),$E50,0)</f>
        <v>0</v>
      </c>
      <c r="N50" s="61">
        <f>IF(M36=EOMONTH('DB2'!$U$27,3*'DB2'!$M$12),$E50,0)</f>
        <v>0</v>
      </c>
      <c r="O50" s="61">
        <f>IF(N36=EOMONTH('DB2'!$U$27,3*'DB2'!$M$12),$E50,0)</f>
        <v>0</v>
      </c>
      <c r="P50" s="61">
        <f>IF(O36=EOMONTH('DB2'!$U$27,3*'DB2'!$M$12),$E50,0)</f>
        <v>0</v>
      </c>
      <c r="Q50" s="61">
        <f>IF(P36=EOMONTH('DB2'!$U$27,3*'DB2'!$M$12),$E50,0)</f>
        <v>0</v>
      </c>
      <c r="R50" s="61">
        <f>IF(Q36=EOMONTH('DB2'!$U$27,3*'DB2'!$M$12),$E50,0)</f>
        <v>0</v>
      </c>
      <c r="S50" s="61">
        <f>IF(R36=EOMONTH('DB2'!$U$27,3*'DB2'!$M$12),$E50,0)</f>
        <v>0</v>
      </c>
      <c r="T50" s="61">
        <f>IF(S36=EOMONTH('DB2'!$U$27,3*'DB2'!$M$12),$E50,0)</f>
        <v>0</v>
      </c>
      <c r="U50" s="61">
        <f>IF(T36=EOMONTH('DB2'!$U$27,3*'DB2'!$M$12),$E50,0)</f>
        <v>0</v>
      </c>
      <c r="V50" s="61">
        <f>IF(U36=EOMONTH('DB2'!$U$27,3*'DB2'!$M$12),$E50,0)</f>
        <v>0</v>
      </c>
      <c r="W50" s="61">
        <f>IF(V36=EOMONTH('DB2'!$U$27,3*'DB2'!$M$12),$E50,0)</f>
        <v>0</v>
      </c>
      <c r="X50" s="61">
        <f>IF(W36=EOMONTH('DB2'!$U$27,3*'DB2'!$M$12),$E50,0)</f>
        <v>0</v>
      </c>
      <c r="Y50" s="61">
        <f>IF(X36=EOMONTH('DB2'!$U$27,3*'DB2'!$M$12),$E50,0)</f>
        <v>0</v>
      </c>
      <c r="Z50" s="61">
        <f>IF(Y36=EOMONTH('DB2'!$U$27,3*'DB2'!$M$12),$E50,0)</f>
        <v>0</v>
      </c>
      <c r="AA50" s="61">
        <f>IF(Z36=EOMONTH('DB2'!$U$27,3*'DB2'!$M$12),$E50,0)</f>
        <v>0</v>
      </c>
      <c r="AB50" s="61">
        <f>IF(AA36=EOMONTH('DB2'!$U$27,3*'DB2'!$M$12),$E50,0)</f>
        <v>0</v>
      </c>
      <c r="AC50" s="61">
        <f>IF(AB36=EOMONTH('DB2'!$U$27,3*'DB2'!$M$12),$E50,0)</f>
        <v>0</v>
      </c>
      <c r="AD50" s="61">
        <f>IF(AC36=EOMONTH('DB2'!$U$27,3*'DB2'!$M$12),$E50,0)</f>
        <v>0</v>
      </c>
      <c r="AE50" s="61">
        <f>IF(AD36=EOMONTH('DB2'!$U$27,3*'DB2'!$M$12),$E50,0)</f>
        <v>0</v>
      </c>
      <c r="AF50" s="61">
        <f>IF(AE36=EOMONTH('DB2'!$U$27,3*'DB2'!$M$12),$E50,0)</f>
        <v>0</v>
      </c>
      <c r="AG50" s="61">
        <f>IF(AF36=EOMONTH('DB2'!$U$27,3*'DB2'!$M$12),$E50,0)</f>
        <v>0</v>
      </c>
      <c r="AH50" s="61">
        <f>IF(AG36=EOMONTH('DB2'!$U$27,3*'DB2'!$M$12),$E50,0)</f>
        <v>0</v>
      </c>
      <c r="AI50" s="61">
        <f>IF(AH36=EOMONTH('DB2'!$U$27,3*'DB2'!$M$12),$E50,0)</f>
        <v>0</v>
      </c>
      <c r="AJ50" s="61">
        <f>IF(AI36=EOMONTH('DB2'!$U$27,3*'DB2'!$M$12),$E50,0)</f>
        <v>0</v>
      </c>
      <c r="AK50" s="61">
        <f>IF(AJ36=EOMONTH('DB2'!$U$27,3*'DB2'!$M$12),$E50,0)</f>
        <v>0</v>
      </c>
      <c r="AL50" s="61">
        <f>IF(AK36=EOMONTH('DB2'!$U$27,3*'DB2'!$M$12),$E50,0)</f>
        <v>0</v>
      </c>
      <c r="AM50" s="61">
        <f>IF(AL36=EOMONTH('DB2'!$U$27,3*'DB2'!$M$12),$E50,0)</f>
        <v>0</v>
      </c>
      <c r="AN50" s="61">
        <f>IF(AM36=EOMONTH('DB2'!$U$27,3*'DB2'!$M$12),$E50,0)</f>
        <v>0</v>
      </c>
      <c r="AO50" s="61">
        <f>IF(AN36=EOMONTH('DB2'!$U$27,3*'DB2'!$M$12),$E50,0)</f>
        <v>0</v>
      </c>
      <c r="AP50" s="61">
        <f>IF(AO36=EOMONTH('DB2'!$U$27,3*'DB2'!$M$12),$E50,0)</f>
        <v>0</v>
      </c>
      <c r="AQ50" s="61">
        <f>IF(AP36=EOMONTH('DB2'!$U$27,3*'DB2'!$M$12),$E50,0)</f>
        <v>0</v>
      </c>
      <c r="AR50" s="61">
        <f>IF(AQ36=EOMONTH('DB2'!$U$27,3*'DB2'!$M$12),$E50,0)</f>
        <v>0</v>
      </c>
      <c r="AS50" s="61">
        <f>IF(AR36=EOMONTH('DB2'!$U$27,3*'DB2'!$M$12),$E50,0)</f>
        <v>0</v>
      </c>
      <c r="AT50" s="61">
        <f>IF(AS36=EOMONTH('DB2'!$U$27,3*'DB2'!$M$12),$E50,0)</f>
        <v>0</v>
      </c>
      <c r="AU50" s="61">
        <f>IF(AT36=EOMONTH('DB2'!$U$27,3*'DB2'!$M$12),$E50,0)</f>
        <v>0</v>
      </c>
      <c r="AV50" s="61">
        <f>IF(AU36=EOMONTH('DB2'!$U$27,3*'DB2'!$M$12),$E50,0)</f>
        <v>0</v>
      </c>
      <c r="AW50" s="61">
        <f>IF(AV36=EOMONTH('DB2'!$U$27,3*'DB2'!$M$12),$E50,0)</f>
        <v>0</v>
      </c>
      <c r="AX50" s="61">
        <f>IF(AW36=EOMONTH('DB2'!$U$27,3*'DB2'!$M$12),$E50,0)</f>
        <v>0</v>
      </c>
      <c r="AY50" s="61">
        <f>IF(AX36=EOMONTH('DB2'!$U$27,3*'DB2'!$M$12),$E50,0)</f>
        <v>0</v>
      </c>
      <c r="AZ50" s="61">
        <f>IF(AY36=EOMONTH('DB2'!$U$27,3*'DB2'!$M$12),$E50,0)</f>
        <v>0</v>
      </c>
      <c r="BA50" s="61">
        <f>IF(AZ36=EOMONTH('DB2'!$U$27,3*'DB2'!$M$12),$E50,0)</f>
        <v>0</v>
      </c>
      <c r="BB50" s="61">
        <f>IF(BA36=EOMONTH('DB2'!$U$27,3*'DB2'!$M$12),$E50,0)</f>
        <v>0</v>
      </c>
      <c r="BC50" s="61">
        <f>IF(BB36=EOMONTH('DB2'!$U$27,3*'DB2'!$M$12),$E50,0)</f>
        <v>0</v>
      </c>
      <c r="BD50" s="61">
        <f>IF(BC36=EOMONTH('DB2'!$U$27,3*'DB2'!$M$12),$E50,0)</f>
        <v>0</v>
      </c>
      <c r="BE50" s="61">
        <f>IF(BD36=EOMONTH('DB2'!$U$27,3*'DB2'!$M$12),$E50,0)</f>
        <v>0</v>
      </c>
      <c r="BF50" s="61">
        <f>IF(BE36=EOMONTH('DB2'!$U$27,3*'DB2'!$M$12),$E50,0)</f>
        <v>0</v>
      </c>
      <c r="BG50" s="61">
        <f>IF(BF36=EOMONTH('DB2'!$U$27,3*'DB2'!$M$12),$E50,0)</f>
        <v>0</v>
      </c>
      <c r="BH50" s="61">
        <f>IF(BG36=EOMONTH('DB2'!$U$27,3*'DB2'!$M$12),$E50,0)</f>
        <v>0</v>
      </c>
      <c r="BI50" s="61">
        <f>IF(BH36=EOMONTH('DB2'!$U$27,3*'DB2'!$M$12),$E50,0)</f>
        <v>0</v>
      </c>
      <c r="BJ50" s="61">
        <f>IF(BI36=EOMONTH('DB2'!$U$27,3*'DB2'!$M$12),$E50,0)</f>
        <v>0</v>
      </c>
      <c r="BK50" s="61">
        <f>IF(BJ36=EOMONTH('DB2'!$U$27,3*'DB2'!$M$12),$E50,0)</f>
        <v>0</v>
      </c>
      <c r="BL50" s="61">
        <f>IF(BK36=EOMONTH('DB2'!$U$27,3*'DB2'!$M$12),$E50,0)</f>
        <v>0</v>
      </c>
      <c r="BM50" s="61">
        <f>IF(BL36=EOMONTH('DB2'!$U$27,3*'DB2'!$M$12),$E50,0)</f>
        <v>0</v>
      </c>
    </row>
    <row r="51" spans="2:65" s="188" customFormat="1">
      <c r="B51" s="185"/>
      <c r="C51" s="186"/>
      <c r="D51" s="186"/>
      <c r="E51" s="186"/>
      <c r="F51" s="187">
        <f t="shared" ref="F51:BM51" si="19">IFERROR(F50/$E$50,0)</f>
        <v>0</v>
      </c>
      <c r="G51" s="187">
        <f t="shared" si="19"/>
        <v>0</v>
      </c>
      <c r="H51" s="187">
        <f t="shared" si="19"/>
        <v>0</v>
      </c>
      <c r="I51" s="187">
        <f t="shared" si="19"/>
        <v>0</v>
      </c>
      <c r="J51" s="187">
        <f t="shared" si="19"/>
        <v>0</v>
      </c>
      <c r="K51" s="187">
        <f t="shared" si="19"/>
        <v>0</v>
      </c>
      <c r="L51" s="187">
        <f t="shared" si="19"/>
        <v>0</v>
      </c>
      <c r="M51" s="187">
        <f t="shared" si="19"/>
        <v>0</v>
      </c>
      <c r="N51" s="187">
        <f t="shared" si="19"/>
        <v>0</v>
      </c>
      <c r="O51" s="187">
        <f t="shared" si="19"/>
        <v>0</v>
      </c>
      <c r="P51" s="187">
        <f t="shared" si="19"/>
        <v>0</v>
      </c>
      <c r="Q51" s="187">
        <f t="shared" si="19"/>
        <v>0</v>
      </c>
      <c r="R51" s="187">
        <f t="shared" si="19"/>
        <v>0</v>
      </c>
      <c r="S51" s="187">
        <f t="shared" si="19"/>
        <v>0</v>
      </c>
      <c r="T51" s="187">
        <f t="shared" si="19"/>
        <v>0</v>
      </c>
      <c r="U51" s="187">
        <f t="shared" si="19"/>
        <v>0</v>
      </c>
      <c r="V51" s="187">
        <f t="shared" si="19"/>
        <v>0</v>
      </c>
      <c r="W51" s="187">
        <f t="shared" si="19"/>
        <v>0</v>
      </c>
      <c r="X51" s="187">
        <f t="shared" si="19"/>
        <v>0</v>
      </c>
      <c r="Y51" s="187">
        <f t="shared" si="19"/>
        <v>0</v>
      </c>
      <c r="Z51" s="187">
        <f t="shared" si="19"/>
        <v>0</v>
      </c>
      <c r="AA51" s="187">
        <f t="shared" si="19"/>
        <v>0</v>
      </c>
      <c r="AB51" s="187">
        <f t="shared" si="19"/>
        <v>0</v>
      </c>
      <c r="AC51" s="187">
        <f t="shared" si="19"/>
        <v>0</v>
      </c>
      <c r="AD51" s="187">
        <f t="shared" si="19"/>
        <v>0</v>
      </c>
      <c r="AE51" s="187">
        <f t="shared" si="19"/>
        <v>0</v>
      </c>
      <c r="AF51" s="187">
        <f t="shared" si="19"/>
        <v>0</v>
      </c>
      <c r="AG51" s="187">
        <f t="shared" si="19"/>
        <v>0</v>
      </c>
      <c r="AH51" s="187">
        <f t="shared" si="19"/>
        <v>0</v>
      </c>
      <c r="AI51" s="187">
        <f t="shared" si="19"/>
        <v>0</v>
      </c>
      <c r="AJ51" s="187">
        <f t="shared" si="19"/>
        <v>0</v>
      </c>
      <c r="AK51" s="187">
        <f t="shared" si="19"/>
        <v>0</v>
      </c>
      <c r="AL51" s="187">
        <f t="shared" si="19"/>
        <v>0</v>
      </c>
      <c r="AM51" s="187">
        <f t="shared" si="19"/>
        <v>0</v>
      </c>
      <c r="AN51" s="187">
        <f t="shared" si="19"/>
        <v>0</v>
      </c>
      <c r="AO51" s="187">
        <f t="shared" si="19"/>
        <v>0</v>
      </c>
      <c r="AP51" s="187">
        <f t="shared" si="19"/>
        <v>0</v>
      </c>
      <c r="AQ51" s="187">
        <f t="shared" si="19"/>
        <v>0</v>
      </c>
      <c r="AR51" s="187">
        <f t="shared" si="19"/>
        <v>0</v>
      </c>
      <c r="AS51" s="187">
        <f t="shared" si="19"/>
        <v>0</v>
      </c>
      <c r="AT51" s="187">
        <f t="shared" si="19"/>
        <v>0</v>
      </c>
      <c r="AU51" s="187">
        <f t="shared" si="19"/>
        <v>0</v>
      </c>
      <c r="AV51" s="187">
        <f t="shared" si="19"/>
        <v>0</v>
      </c>
      <c r="AW51" s="187">
        <f t="shared" si="19"/>
        <v>0</v>
      </c>
      <c r="AX51" s="187">
        <f t="shared" si="19"/>
        <v>0</v>
      </c>
      <c r="AY51" s="187">
        <f t="shared" si="19"/>
        <v>0</v>
      </c>
      <c r="AZ51" s="187">
        <f t="shared" si="19"/>
        <v>0</v>
      </c>
      <c r="BA51" s="187">
        <f t="shared" si="19"/>
        <v>0</v>
      </c>
      <c r="BB51" s="187">
        <f t="shared" si="19"/>
        <v>0</v>
      </c>
      <c r="BC51" s="187">
        <f t="shared" si="19"/>
        <v>0</v>
      </c>
      <c r="BD51" s="187">
        <f t="shared" si="19"/>
        <v>0</v>
      </c>
      <c r="BE51" s="187">
        <f t="shared" si="19"/>
        <v>0</v>
      </c>
      <c r="BF51" s="187">
        <f t="shared" si="19"/>
        <v>0</v>
      </c>
      <c r="BG51" s="187">
        <f t="shared" si="19"/>
        <v>0</v>
      </c>
      <c r="BH51" s="187">
        <f t="shared" si="19"/>
        <v>0</v>
      </c>
      <c r="BI51" s="187">
        <f t="shared" si="19"/>
        <v>0</v>
      </c>
      <c r="BJ51" s="187">
        <f t="shared" si="19"/>
        <v>0</v>
      </c>
      <c r="BK51" s="187">
        <f t="shared" si="19"/>
        <v>0</v>
      </c>
      <c r="BL51" s="187">
        <f t="shared" si="19"/>
        <v>0</v>
      </c>
      <c r="BM51" s="187">
        <f t="shared" si="19"/>
        <v>0</v>
      </c>
    </row>
    <row r="52" spans="2:65">
      <c r="B52" s="55" t="str">
        <f>'DB2'!B16</f>
        <v>ПАРКИНГ ЖИЛЬЕ</v>
      </c>
      <c r="C52" s="59">
        <f>EOMONTH(_xlfn.MINIFS($F$36:$AS$36,$F52:$AS52,"&gt;0"),-3)+1</f>
        <v>46661</v>
      </c>
      <c r="D52" s="59">
        <f>_xlfn.MAXIFS($F$36:$AS$36,$F52:$AS52,"&gt;0")</f>
        <v>48213</v>
      </c>
      <c r="E52" s="60">
        <f>'DB2'!J16</f>
        <v>513</v>
      </c>
      <c r="F52" s="61"/>
      <c r="G52" s="61">
        <f>IF(SUM($F40:G40)=$E40,$E52-SUM($F52:F52),IF((SUM($F52:F52)+ROUND(G40/$E40*$E52,0))&gt;$E52,$E52-SUM($F52:F52),ROUND(G40/$E40*$E52,0)))</f>
        <v>0</v>
      </c>
      <c r="H52" s="61">
        <f>IF(SUM($F40:H40)=$E40,$E52-SUM($F52:G52),IF((SUM($F52:G52)+ROUND(H40/$E40*$E52,0))&gt;$E52,$E52-SUM($F52:G52),ROUND(H40/$E40*$E52,0)))</f>
        <v>0</v>
      </c>
      <c r="I52" s="61">
        <f>IF(SUM($F40:I40)=$E40,$E52-SUM($F52:H52),IF((SUM($F52:H52)+ROUND(I40/$E40*$E52,0))&gt;$E52,$E52-SUM($F52:H52),ROUND(I40/$E40*$E52,0)))</f>
        <v>0</v>
      </c>
      <c r="J52" s="61">
        <f>IF(SUM($F40:J40)=$E40,$E52-SUM($F52:I52),IF((SUM($F52:I52)+ROUND(J40/$E40*$E52,0))&gt;$E52,$E52-SUM($F52:I52),ROUND(J40/$E40*$E52,0)))</f>
        <v>0</v>
      </c>
      <c r="K52" s="61">
        <f>IF(SUM($F40:K40)=$E40,$E52-SUM($F52:J52),IF((SUM($F52:J52)+ROUND(K40/$E40*$E52,0))&gt;$E52,$E52-SUM($F52:J52),ROUND(K40/$E40*$E52,0)))</f>
        <v>0</v>
      </c>
      <c r="L52" s="61">
        <f>IF(SUM($F40:L40)=$E40,$E52-SUM($F52:K52),IF((SUM($F52:K52)+ROUND(L40/$E40*$E52,0))&gt;$E52,$E52-SUM($F52:K52),ROUND(L40/$E40*$E52,0)))</f>
        <v>0</v>
      </c>
      <c r="M52" s="61">
        <f>IF(SUM($F40:M40)=$E40,$E52-SUM($F52:L52),IF((SUM($F52:L52)+ROUND(M40/$E40*$E52,0))&gt;$E52,$E52-SUM($F52:L52),ROUND(M40/$E40*$E52,0)))</f>
        <v>0</v>
      </c>
      <c r="N52" s="61">
        <f>IF(SUM($F40:N40)=$E40,$E52-SUM($F52:M52),IF((SUM($F52:M52)+ROUND(N40/$E40*$E52,0))&gt;$E52,$E52-SUM($F52:M52),ROUND(N40/$E40*$E52,0)))</f>
        <v>0</v>
      </c>
      <c r="O52" s="61">
        <f>IF(SUM($F40:O40)=$E40,$E52-SUM($F52:N52),IF((SUM($F52:N52)+ROUND(O40/$E40*$E52,0))&gt;$E52,$E52-SUM($F52:N52),ROUND(O40/$E40*$E52,0)))</f>
        <v>0</v>
      </c>
      <c r="P52" s="61">
        <f>IF(SUM($F40:P40)=$E40,$E52-SUM($F52:O52),IF((SUM($F52:O52)+ROUND(P40/$E40*$E52,0))&gt;$E52,$E52-SUM($F52:O52),ROUND(P40/$E40*$E52,0)))</f>
        <v>0</v>
      </c>
      <c r="Q52" s="61">
        <f>IF(SUM($F40:Q40)=$E40,$E52-SUM($F52:P52),IF((SUM($F52:P52)+ROUND(Q40/$E40*$E52,0))&gt;$E52,$E52-SUM($F52:P52),ROUND(Q40/$E40*$E52,0)))</f>
        <v>0</v>
      </c>
      <c r="R52" s="61">
        <f>IF(SUM($F40:R40)=$E40,$E52-SUM($F52:Q52),IF((SUM($F52:Q52)+ROUND(R40/$E40*$E52,0))&gt;$E52,$E52-SUM($F52:Q52),ROUND(R40/$E40*$E52,0)))</f>
        <v>0</v>
      </c>
      <c r="S52" s="61">
        <f>IF(SUM($F40:S40)=$E40,$E52-SUM($F52:R52),IF((SUM($F52:R52)+ROUND(S40/$E40*$E52,0))&gt;$E52,$E52-SUM($F52:R52),ROUND(S40/$E40*$E52,0)))</f>
        <v>0</v>
      </c>
      <c r="T52" s="61">
        <f>IF(SUM($F40:T40)=$E40,$E52-SUM($F52:S52),IF((SUM($F52:S52)+ROUND(T40/$E40*$E52,0))&gt;$E52,$E52-SUM($F52:S52),ROUND(T40/$E40*$E52,0)))</f>
        <v>0</v>
      </c>
      <c r="U52" s="61">
        <f>IF(SUM($F40:U40)=$E40,$E52-SUM($F52:T52),IF((SUM($F52:T52)+ROUND(U40/$E40*$E52,0))&gt;$E52,$E52-SUM($F52:T52),ROUND(U40/$E40*$E52,0)))</f>
        <v>0</v>
      </c>
      <c r="V52" s="61">
        <f>IF(SUM($F40:V40)=$E40,$E52-SUM($F52:U52),IF((SUM($F52:U52)+ROUND(V40/$E40*$E52,0))&gt;$E52,$E52-SUM($F52:U52),ROUND(V40/$E40*$E52,0)))</f>
        <v>0</v>
      </c>
      <c r="W52" s="61">
        <f>IF(SUM($F40:W40)=$E40,$E52-SUM($F52:V52),IF((SUM($F52:V52)+ROUND(W40/$E40*$E52,0))&gt;$E52,$E52-SUM($F52:V52),ROUND(W40/$E40*$E52,0)))</f>
        <v>0</v>
      </c>
      <c r="X52" s="61">
        <f>IF(SUM($F40:X40)=$E40,$E52-SUM($F52:W52),IF((SUM($F52:W52)+ROUND(X40/$E40*$E52,0))&gt;$E52,$E52-SUM($F52:W52),ROUND(X40/$E40*$E52,0)))</f>
        <v>30</v>
      </c>
      <c r="Y52" s="61">
        <f>IF(SUM($F40:Y40)=$E40,$E52-SUM($F52:X52),IF((SUM($F52:X52)+ROUND(Y40/$E40*$E52,0))&gt;$E52,$E52-SUM($F52:X52),ROUND(Y40/$E40*$E52,0)))</f>
        <v>30</v>
      </c>
      <c r="Z52" s="61">
        <f>IF(SUM($F40:Z40)=$E40,$E52-SUM($F52:Y52),IF((SUM($F52:Y52)+ROUND(Z40/$E40*$E52,0))&gt;$E52,$E52-SUM($F52:Y52),ROUND(Z40/$E40*$E52,0)))</f>
        <v>30</v>
      </c>
      <c r="AA52" s="61">
        <f>IF(SUM($F40:AA40)=$E40,$E52-SUM($F52:Z52),IF((SUM($F52:Z52)+ROUND(AA40/$E40*$E52,0))&gt;$E52,$E52-SUM($F52:Z52),ROUND(AA40/$E40*$E52,0)))</f>
        <v>30</v>
      </c>
      <c r="AB52" s="61">
        <f>IF(SUM($F40:AB40)=$E40,$E52-SUM($F52:AA52),IF((SUM($F52:AA52)+ROUND(AB40/$E40*$E52,0))&gt;$E52,$E52-SUM($F52:AA52),ROUND(AB40/$E40*$E52,0)))</f>
        <v>30</v>
      </c>
      <c r="AC52" s="61">
        <f>IF(SUM($F40:AC40)=$E40,$E52-SUM($F52:AB52),IF((SUM($F52:AB52)+ROUND(AC40/$E40*$E52,0))&gt;$E52,$E52-SUM($F52:AB52),ROUND(AC40/$E40*$E52,0)))</f>
        <v>30</v>
      </c>
      <c r="AD52" s="61">
        <f>IF(SUM($F40:AD40)=$E40,$E52-SUM($F52:AC52),IF((SUM($F52:AC52)+ROUND(AD40/$E40*$E52,0))&gt;$E52,$E52-SUM($F52:AC52),ROUND(AD40/$E40*$E52,0)))</f>
        <v>30</v>
      </c>
      <c r="AE52" s="61">
        <f>IF(SUM($F40:AE40)=$E40,$E52-SUM($F52:AD52),IF((SUM($F52:AD52)+ROUND(AE40/$E40*$E52,0))&gt;$E52,$E52-SUM($F52:AD52),ROUND(AE40/$E40*$E52,0)))</f>
        <v>30</v>
      </c>
      <c r="AF52" s="61">
        <f>IF(SUM($F40:AF40)=$E40,$E52-SUM($F52:AE52),IF((SUM($F52:AE52)+ROUND(AF40/$E40*$E52,0))&gt;$E52,$E52-SUM($F52:AE52),ROUND(AF40/$E40*$E52,0)))</f>
        <v>30</v>
      </c>
      <c r="AG52" s="61">
        <f>IF(SUM($F40:AG40)=$E40,$E52-SUM($F52:AF52),IF((SUM($F52:AF52)+ROUND(AG40/$E40*$E52,0))&gt;$E52,$E52-SUM($F52:AF52),ROUND(AG40/$E40*$E52,0)))</f>
        <v>30</v>
      </c>
      <c r="AH52" s="61">
        <f>IF(SUM($F40:AH40)=$E40,$E52-SUM($F52:AG52),IF((SUM($F52:AG52)+ROUND(AH40/$E40*$E52,0))&gt;$E52,$E52-SUM($F52:AG52),ROUND(AH40/$E40*$E52,0)))</f>
        <v>30</v>
      </c>
      <c r="AI52" s="61">
        <f>IF(SUM($F40:AI40)=$E40,$E52-SUM($F52:AH52),IF((SUM($F52:AH52)+ROUND(AI40/$E40*$E52,0))&gt;$E52,$E52-SUM($F52:AH52),ROUND(AI40/$E40*$E52,0)))</f>
        <v>30</v>
      </c>
      <c r="AJ52" s="61">
        <f>IF(SUM($F40:AJ40)=$E40,$E52-SUM($F52:AI52),IF((SUM($F52:AI52)+ROUND(AJ40/$E40*$E52,0))&gt;$E52,$E52-SUM($F52:AI52),ROUND(AJ40/$E40*$E52,0)))</f>
        <v>30</v>
      </c>
      <c r="AK52" s="61">
        <f>IF(SUM($F40:AK40)=$E40,$E52-SUM($F52:AJ52),IF((SUM($F52:AJ52)+ROUND(AK40/$E40*$E52,0))&gt;$E52,$E52-SUM($F52:AJ52),ROUND(AK40/$E40*$E52,0)))</f>
        <v>30</v>
      </c>
      <c r="AL52" s="61">
        <f>IF(SUM($F40:AL40)=$E40,$E52-SUM($F52:AK52),IF((SUM($F52:AK52)+ROUND(AL40/$E40*$E52,0))&gt;$E52,$E52-SUM($F52:AK52),ROUND(AL40/$E40*$E52,0)))</f>
        <v>30</v>
      </c>
      <c r="AM52" s="61">
        <f>IF(SUM($F40:AM40)=$E40,$E52-SUM($F52:AL52),IF((SUM($F52:AL52)+ROUND(AM40/$E40*$E52,0))&gt;$E52,$E52-SUM($F52:AL52),ROUND(AM40/$E40*$E52,0)))</f>
        <v>30</v>
      </c>
      <c r="AN52" s="61">
        <f>IF(SUM($F40:AN40)=$E40,$E52-SUM($F52:AM52),IF((SUM($F52:AM52)+ROUND(AN40/$E40*$E52,0))&gt;$E52,$E52-SUM($F52:AM52),ROUND(AN40/$E40*$E52,0)))</f>
        <v>33</v>
      </c>
      <c r="AO52" s="61">
        <f>IF(SUM($F40:AO40)=$E40,$E52-SUM($F52:AN52),IF((SUM($F52:AN52)+ROUND(AO40/$E40*$E52,0))&gt;$E52,$E52-SUM($F52:AN52),ROUND(AO40/$E40*$E52,0)))</f>
        <v>0</v>
      </c>
      <c r="AP52" s="61">
        <f>IF(SUM($F40:AP40)=$E40,$E52-SUM($F52:AO52),IF((SUM($F52:AO52)+ROUND(AP40/$E40*$E52,0))&gt;$E52,$E52-SUM($F52:AO52),ROUND(AP40/$E40*$E52,0)))</f>
        <v>0</v>
      </c>
      <c r="AQ52" s="61">
        <f>IF(SUM($F40:AQ40)=$E40,$E52-SUM($F52:AP52),IF((SUM($F52:AP52)+ROUND(AQ40/$E40*$E52,0))&gt;$E52,$E52-SUM($F52:AP52),ROUND(AQ40/$E40*$E52,0)))</f>
        <v>0</v>
      </c>
      <c r="AR52" s="61">
        <f>IF(SUM($F40:AR40)=$E40,$E52-SUM($F52:AQ52),IF((SUM($F52:AQ52)+ROUND(AR40/$E40*$E52,0))&gt;$E52,$E52-SUM($F52:AQ52),ROUND(AR40/$E40*$E52,0)))</f>
        <v>0</v>
      </c>
      <c r="AS52" s="61">
        <f>IF(SUM($F40:AS40)=$E40,$E52-SUM($F52:AR52),IF((SUM($F52:AR52)+ROUND(AS40/$E40*$E52,0))&gt;$E52,$E52-SUM($F52:AR52),ROUND(AS40/$E40*$E52,0)))</f>
        <v>0</v>
      </c>
      <c r="AT52" s="61">
        <f>IF(SUM($F40:AT40)=$E40,$E52-SUM($F52:AS52),IF((SUM($F52:AS52)+ROUND(AT40/$E40*$E52,0))&gt;$E52,$E52-SUM($F52:AS52),ROUND(AT40/$E40*$E52,0)))</f>
        <v>0</v>
      </c>
      <c r="AU52" s="61">
        <f>IF(SUM($F40:AU40)=$E40,$E52-SUM($F52:AT52),IF((SUM($F52:AT52)+ROUND(AU40/$E40*$E52,0))&gt;$E52,$E52-SUM($F52:AT52),ROUND(AU40/$E40*$E52,0)))</f>
        <v>0</v>
      </c>
      <c r="AV52" s="61">
        <f>IF(SUM($F40:AV40)=$E40,$E52-SUM($F52:AU52),IF((SUM($F52:AU52)+ROUND(AV40/$E40*$E52,0))&gt;$E52,$E52-SUM($F52:AU52),ROUND(AV40/$E40*$E52,0)))</f>
        <v>0</v>
      </c>
      <c r="AW52" s="61">
        <f>IF(SUM($F40:AW40)=$E40,$E52-SUM($F52:AV52),IF((SUM($F52:AV52)+ROUND(AW40/$E40*$E52,0))&gt;$E52,$E52-SUM($F52:AV52),ROUND(AW40/$E40*$E52,0)))</f>
        <v>0</v>
      </c>
      <c r="AX52" s="61">
        <f>IF(SUM($F40:AX40)=$E40,$E52-SUM($F52:AW52),IF((SUM($F52:AW52)+ROUND(AX40/$E40*$E52,0))&gt;$E52,$E52-SUM($F52:AW52),ROUND(AX40/$E40*$E52,0)))</f>
        <v>0</v>
      </c>
      <c r="AY52" s="61">
        <f>IF(SUM($F40:AY40)=$E40,$E52-SUM($F52:AX52),IF((SUM($F52:AX52)+ROUND(AY40/$E40*$E52,0))&gt;$E52,$E52-SUM($F52:AX52),ROUND(AY40/$E40*$E52,0)))</f>
        <v>0</v>
      </c>
      <c r="AZ52" s="61">
        <f>IF(SUM($F40:AZ40)=$E40,$E52-SUM($F52:AY52),IF((SUM($F52:AY52)+ROUND(AZ40/$E40*$E52,0))&gt;$E52,$E52-SUM($F52:AY52),ROUND(AZ40/$E40*$E52,0)))</f>
        <v>0</v>
      </c>
      <c r="BA52" s="61">
        <f>IF(SUM($F40:BA40)=$E40,$E52-SUM($F52:AZ52),IF((SUM($F52:AZ52)+ROUND(BA40/$E40*$E52,0))&gt;$E52,$E52-SUM($F52:AZ52),ROUND(BA40/$E40*$E52,0)))</f>
        <v>0</v>
      </c>
      <c r="BB52" s="61">
        <f>IF(SUM($F40:BB40)=$E40,$E52-SUM($F52:BA52),IF((SUM($F52:BA52)+ROUND(BB40/$E40*$E52,0))&gt;$E52,$E52-SUM($F52:BA52),ROUND(BB40/$E40*$E52,0)))</f>
        <v>0</v>
      </c>
      <c r="BC52" s="61">
        <f>IF(SUM($F40:BC40)=$E40,$E52-SUM($F52:BB52),IF((SUM($F52:BB52)+ROUND(BC40/$E40*$E52,0))&gt;$E52,$E52-SUM($F52:BB52),ROUND(BC40/$E40*$E52,0)))</f>
        <v>0</v>
      </c>
      <c r="BD52" s="61">
        <f>IF(SUM($F40:BD40)=$E40,$E52-SUM($F52:BC52),IF((SUM($F52:BC52)+ROUND(BD40/$E40*$E52,0))&gt;$E52,$E52-SUM($F52:BC52),ROUND(BD40/$E40*$E52,0)))</f>
        <v>0</v>
      </c>
      <c r="BE52" s="61">
        <f>IF(SUM($F40:BE40)=$E40,$E52-SUM($F52:BD52),IF((SUM($F52:BD52)+ROUND(BE40/$E40*$E52,0))&gt;$E52,$E52-SUM($F52:BD52),ROUND(BE40/$E40*$E52,0)))</f>
        <v>0</v>
      </c>
      <c r="BF52" s="61">
        <f>IF(SUM($F40:BF40)=$E40,$E52-SUM($F52:BE52),IF((SUM($F52:BE52)+ROUND(BF40/$E40*$E52,0))&gt;$E52,$E52-SUM($F52:BE52),ROUND(BF40/$E40*$E52,0)))</f>
        <v>0</v>
      </c>
      <c r="BG52" s="61">
        <f>IF(SUM($F40:BG40)=$E40,$E52-SUM($F52:BF52),IF((SUM($F52:BF52)+ROUND(BG40/$E40*$E52,0))&gt;$E52,$E52-SUM($F52:BF52),ROUND(BG40/$E40*$E52,0)))</f>
        <v>0</v>
      </c>
      <c r="BH52" s="61">
        <f>IF(SUM($F40:BH40)=$E40,$E52-SUM($F52:BG52),IF((SUM($F52:BG52)+ROUND(BH40/$E40*$E52,0))&gt;$E52,$E52-SUM($F52:BG52),ROUND(BH40/$E40*$E52,0)))</f>
        <v>0</v>
      </c>
      <c r="BI52" s="61">
        <f>IF(SUM($F40:BI40)=$E40,$E52-SUM($F52:BH52),IF((SUM($F52:BH52)+ROUND(BI40/$E40*$E52,0))&gt;$E52,$E52-SUM($F52:BH52),ROUND(BI40/$E40*$E52,0)))</f>
        <v>0</v>
      </c>
      <c r="BJ52" s="61">
        <f>IF(SUM($F40:BJ40)=$E40,$E52-SUM($F52:BI52),IF((SUM($F52:BI52)+ROUND(BJ40/$E40*$E52,0))&gt;$E52,$E52-SUM($F52:BI52),ROUND(BJ40/$E40*$E52,0)))</f>
        <v>0</v>
      </c>
      <c r="BK52" s="61">
        <f>IF(SUM($F40:BK40)=$E40,$E52-SUM($F52:BJ52),IF((SUM($F52:BJ52)+ROUND(BK40/$E40*$E52,0))&gt;$E52,$E52-SUM($F52:BJ52),ROUND(BK40/$E40*$E52,0)))</f>
        <v>0</v>
      </c>
      <c r="BL52" s="61">
        <f>IF(SUM($F40:BL40)=$E40,$E52-SUM($F52:BK52),IF((SUM($F52:BK52)+ROUND(BL40/$E40*$E52,0))&gt;$E52,$E52-SUM($F52:BK52),ROUND(BL40/$E40*$E52,0)))</f>
        <v>0</v>
      </c>
      <c r="BM52" s="61">
        <f>IF(SUM($F40:BM40)=$E40,$E52-SUM($F52:BL52),IF((SUM($F52:BL52)+ROUND(BM40/$E40*$E52,0))&gt;$E52,$E52-SUM($F52:BL52),ROUND(BM40/$E40*$E52,0)))</f>
        <v>0</v>
      </c>
    </row>
    <row r="53" spans="2:65" s="188" customFormat="1">
      <c r="B53" s="185"/>
      <c r="C53" s="186"/>
      <c r="D53" s="186"/>
      <c r="E53" s="186"/>
      <c r="F53" s="187">
        <f t="shared" ref="F53:BM53" si="20">F52/$E$52</f>
        <v>0</v>
      </c>
      <c r="G53" s="187">
        <f t="shared" si="20"/>
        <v>0</v>
      </c>
      <c r="H53" s="187">
        <f t="shared" si="20"/>
        <v>0</v>
      </c>
      <c r="I53" s="187">
        <f t="shared" si="20"/>
        <v>0</v>
      </c>
      <c r="J53" s="187">
        <f t="shared" si="20"/>
        <v>0</v>
      </c>
      <c r="K53" s="187">
        <f t="shared" si="20"/>
        <v>0</v>
      </c>
      <c r="L53" s="187">
        <f t="shared" si="20"/>
        <v>0</v>
      </c>
      <c r="M53" s="187">
        <f t="shared" si="20"/>
        <v>0</v>
      </c>
      <c r="N53" s="187">
        <f t="shared" si="20"/>
        <v>0</v>
      </c>
      <c r="O53" s="187">
        <f t="shared" si="20"/>
        <v>0</v>
      </c>
      <c r="P53" s="187">
        <f t="shared" si="20"/>
        <v>0</v>
      </c>
      <c r="Q53" s="187">
        <f t="shared" si="20"/>
        <v>0</v>
      </c>
      <c r="R53" s="187">
        <f t="shared" si="20"/>
        <v>0</v>
      </c>
      <c r="S53" s="187">
        <f t="shared" si="20"/>
        <v>0</v>
      </c>
      <c r="T53" s="187">
        <f t="shared" si="20"/>
        <v>0</v>
      </c>
      <c r="U53" s="187">
        <f t="shared" si="20"/>
        <v>0</v>
      </c>
      <c r="V53" s="187">
        <f t="shared" si="20"/>
        <v>0</v>
      </c>
      <c r="W53" s="187">
        <f t="shared" si="20"/>
        <v>0</v>
      </c>
      <c r="X53" s="187">
        <f t="shared" si="20"/>
        <v>5.8479532163742687E-2</v>
      </c>
      <c r="Y53" s="187">
        <f t="shared" si="20"/>
        <v>5.8479532163742687E-2</v>
      </c>
      <c r="Z53" s="187">
        <f t="shared" si="20"/>
        <v>5.8479532163742687E-2</v>
      </c>
      <c r="AA53" s="187">
        <f t="shared" si="20"/>
        <v>5.8479532163742687E-2</v>
      </c>
      <c r="AB53" s="187">
        <f t="shared" si="20"/>
        <v>5.8479532163742687E-2</v>
      </c>
      <c r="AC53" s="187">
        <f t="shared" si="20"/>
        <v>5.8479532163742687E-2</v>
      </c>
      <c r="AD53" s="187">
        <f t="shared" si="20"/>
        <v>5.8479532163742687E-2</v>
      </c>
      <c r="AE53" s="187">
        <f t="shared" si="20"/>
        <v>5.8479532163742687E-2</v>
      </c>
      <c r="AF53" s="187">
        <f t="shared" si="20"/>
        <v>5.8479532163742687E-2</v>
      </c>
      <c r="AG53" s="187">
        <f t="shared" si="20"/>
        <v>5.8479532163742687E-2</v>
      </c>
      <c r="AH53" s="187">
        <f t="shared" si="20"/>
        <v>5.8479532163742687E-2</v>
      </c>
      <c r="AI53" s="187">
        <f t="shared" si="20"/>
        <v>5.8479532163742687E-2</v>
      </c>
      <c r="AJ53" s="187">
        <f t="shared" si="20"/>
        <v>5.8479532163742687E-2</v>
      </c>
      <c r="AK53" s="187">
        <f t="shared" si="20"/>
        <v>5.8479532163742687E-2</v>
      </c>
      <c r="AL53" s="187">
        <f t="shared" si="20"/>
        <v>5.8479532163742687E-2</v>
      </c>
      <c r="AM53" s="187">
        <f t="shared" si="20"/>
        <v>5.8479532163742687E-2</v>
      </c>
      <c r="AN53" s="187">
        <f t="shared" si="20"/>
        <v>6.4327485380116955E-2</v>
      </c>
      <c r="AO53" s="187">
        <f t="shared" si="20"/>
        <v>0</v>
      </c>
      <c r="AP53" s="187">
        <f t="shared" si="20"/>
        <v>0</v>
      </c>
      <c r="AQ53" s="187">
        <f t="shared" si="20"/>
        <v>0</v>
      </c>
      <c r="AR53" s="187">
        <f t="shared" si="20"/>
        <v>0</v>
      </c>
      <c r="AS53" s="187">
        <f t="shared" si="20"/>
        <v>0</v>
      </c>
      <c r="AT53" s="187">
        <f t="shared" si="20"/>
        <v>0</v>
      </c>
      <c r="AU53" s="187">
        <f t="shared" si="20"/>
        <v>0</v>
      </c>
      <c r="AV53" s="187">
        <f t="shared" si="20"/>
        <v>0</v>
      </c>
      <c r="AW53" s="187">
        <f t="shared" si="20"/>
        <v>0</v>
      </c>
      <c r="AX53" s="187">
        <f t="shared" si="20"/>
        <v>0</v>
      </c>
      <c r="AY53" s="187">
        <f t="shared" si="20"/>
        <v>0</v>
      </c>
      <c r="AZ53" s="187">
        <f t="shared" si="20"/>
        <v>0</v>
      </c>
      <c r="BA53" s="187">
        <f t="shared" si="20"/>
        <v>0</v>
      </c>
      <c r="BB53" s="187">
        <f t="shared" si="20"/>
        <v>0</v>
      </c>
      <c r="BC53" s="187">
        <f t="shared" si="20"/>
        <v>0</v>
      </c>
      <c r="BD53" s="187">
        <f t="shared" si="20"/>
        <v>0</v>
      </c>
      <c r="BE53" s="187">
        <f t="shared" si="20"/>
        <v>0</v>
      </c>
      <c r="BF53" s="187">
        <f t="shared" si="20"/>
        <v>0</v>
      </c>
      <c r="BG53" s="187">
        <f t="shared" si="20"/>
        <v>0</v>
      </c>
      <c r="BH53" s="187">
        <f t="shared" si="20"/>
        <v>0</v>
      </c>
      <c r="BI53" s="187">
        <f t="shared" si="20"/>
        <v>0</v>
      </c>
      <c r="BJ53" s="187">
        <f t="shared" si="20"/>
        <v>0</v>
      </c>
      <c r="BK53" s="187">
        <f t="shared" si="20"/>
        <v>0</v>
      </c>
      <c r="BL53" s="187">
        <f t="shared" si="20"/>
        <v>0</v>
      </c>
      <c r="BM53" s="187">
        <f t="shared" si="20"/>
        <v>0</v>
      </c>
    </row>
    <row r="54" spans="2:65">
      <c r="B54" s="55" t="s">
        <v>132</v>
      </c>
      <c r="C54" s="59">
        <f>IFERROR(EOMONTH(_xlfn.MINIFS($F$36:$AS$36,$F54:$AS54,"&gt;0"),-3)+1,0)</f>
        <v>0</v>
      </c>
      <c r="D54" s="59">
        <f>_xlfn.MAXIFS($F$36:$AS$36,$F54:$AS54,"&gt;0")</f>
        <v>0</v>
      </c>
      <c r="E54" s="60">
        <f>'DB2'!J17</f>
        <v>0</v>
      </c>
      <c r="F54" s="61"/>
      <c r="G54" s="61">
        <f>IF(SUM($F46:G46)=$E46,$E54-SUM($F54:F54),IF((SUM($F54:F54)+ROUND(G46/$E46*$E54,0))&gt;$E54,$E54-SUM($F54:F54),ROUND(G46/$E46*$E54,0)))</f>
        <v>0</v>
      </c>
      <c r="H54" s="61">
        <f>IF(SUM($F46:H46)=$E46,$E54-SUM($F54:G54),IF((SUM($F54:G54)+ROUND(H46/$E46*$E54,0))&gt;$E54,$E54-SUM($F54:G54),ROUND(H46/$E46*$E54,0)))</f>
        <v>0</v>
      </c>
      <c r="I54" s="61">
        <f>IF(SUM($F46:I46)=$E46,$E54-SUM($F54:H54),IF((SUM($F54:H54)+ROUND(I46/$E46*$E54,0))&gt;$E54,$E54-SUM($F54:H54),ROUND(I46/$E46*$E54,0)))</f>
        <v>0</v>
      </c>
      <c r="J54" s="61">
        <f>IF(SUM($F46:J46)=$E46,$E54-SUM($F54:I54),IF((SUM($F54:I54)+ROUND(J46/$E46*$E54,0))&gt;$E54,$E54-SUM($F54:I54),ROUND(J46/$E46*$E54,0)))</f>
        <v>0</v>
      </c>
      <c r="K54" s="61">
        <f>IF(SUM($F46:K46)=$E46,$E54-SUM($F54:J54),IF((SUM($F54:J54)+ROUND(K46/$E46*$E54,0))&gt;$E54,$E54-SUM($F54:J54),ROUND(K46/$E46*$E54,0)))</f>
        <v>0</v>
      </c>
      <c r="L54" s="61">
        <f>IF(SUM($F46:L46)=$E46,$E54-SUM($F54:K54),IF((SUM($F54:K54)+ROUND(L46/$E46*$E54,0))&gt;$E54,$E54-SUM($F54:K54),ROUND(L46/$E46*$E54,0)))</f>
        <v>0</v>
      </c>
      <c r="M54" s="61">
        <f>IF(SUM($F46:M46)=$E46,$E54-SUM($F54:L54),IF((SUM($F54:L54)+ROUND(M46/$E46*$E54,0))&gt;$E54,$E54-SUM($F54:L54),ROUND(M46/$E46*$E54,0)))</f>
        <v>0</v>
      </c>
      <c r="N54" s="61">
        <f>IF(SUM($F46:N46)=$E46,$E54-SUM($F54:M54),IF((SUM($F54:M54)+ROUND(N46/$E46*$E54,0))&gt;$E54,$E54-SUM($F54:M54),ROUND(N46/$E46*$E54,0)))</f>
        <v>0</v>
      </c>
      <c r="O54" s="61">
        <f>IF(SUM($F46:O46)=$E46,$E54-SUM($F54:N54),IF((SUM($F54:N54)+ROUND(O46/$E46*$E54,0))&gt;$E54,$E54-SUM($F54:N54),ROUND(O46/$E46*$E54,0)))</f>
        <v>0</v>
      </c>
      <c r="P54" s="61">
        <f>IF(SUM($F46:P46)=$E46,$E54-SUM($F54:O54),IF((SUM($F54:O54)+ROUND(P46/$E46*$E54,0))&gt;$E54,$E54-SUM($F54:O54),ROUND(P46/$E46*$E54,0)))</f>
        <v>0</v>
      </c>
      <c r="Q54" s="61">
        <f>IF(SUM($F46:Q46)=$E46,$E54-SUM($F54:P54),IF((SUM($F54:P54)+ROUND(Q46/$E46*$E54,0))&gt;$E54,$E54-SUM($F54:P54),ROUND(Q46/$E46*$E54,0)))</f>
        <v>0</v>
      </c>
      <c r="R54" s="61">
        <f>IF(SUM($F46:R46)=$E46,$E54-SUM($F54:Q54),IF((SUM($F54:Q54)+ROUND(R46/$E46*$E54,0))&gt;$E54,$E54-SUM($F54:Q54),ROUND(R46/$E46*$E54,0)))</f>
        <v>0</v>
      </c>
      <c r="S54" s="61">
        <f>IF(SUM($F46:S46)=$E46,$E54-SUM($F54:R54),IF((SUM($F54:R54)+ROUND(S46/$E46*$E54,0))&gt;$E54,$E54-SUM($F54:R54),ROUND(S46/$E46*$E54,0)))</f>
        <v>0</v>
      </c>
      <c r="T54" s="61">
        <f>IF(SUM($F46:T46)=$E46,$E54-SUM($F54:S54),IF((SUM($F54:S54)+ROUND(T46/$E46*$E54,0))&gt;$E54,$E54-SUM($F54:S54),ROUND(T46/$E46*$E54,0)))</f>
        <v>0</v>
      </c>
      <c r="U54" s="61">
        <f>IF(SUM($F46:U46)=$E46,$E54-SUM($F54:T54),IF((SUM($F54:T54)+ROUND(U46/$E46*$E54,0))&gt;$E54,$E54-SUM($F54:T54),ROUND(U46/$E46*$E54,0)))</f>
        <v>0</v>
      </c>
      <c r="V54" s="61">
        <f>IF(SUM($F46:V46)=$E46,$E54-SUM($F54:U54),IF((SUM($F54:U54)+ROUND(V46/$E46*$E54,0))&gt;$E54,$E54-SUM($F54:U54),ROUND(V46/$E46*$E54,0)))</f>
        <v>0</v>
      </c>
      <c r="W54" s="61">
        <f>IF(SUM($F46:W46)=$E46,$E54-SUM($F54:V54),IF((SUM($F54:V54)+ROUND(W46/$E46*$E54,0))&gt;$E54,$E54-SUM($F54:V54),ROUND(W46/$E46*$E54,0)))</f>
        <v>0</v>
      </c>
      <c r="X54" s="61">
        <f>IF(SUM($F46:X46)=$E46,$E54-SUM($F54:W54),IF((SUM($F54:W54)+ROUND(X46/$E46*$E54,0))&gt;$E54,$E54-SUM($F54:W54),ROUND(X46/$E46*$E54,0)))</f>
        <v>0</v>
      </c>
      <c r="Y54" s="61">
        <f>IF(SUM($F46:Y46)=$E46,$E54-SUM($F54:X54),IF((SUM($F54:X54)+ROUND(Y46/$E46*$E54,0))&gt;$E54,$E54-SUM($F54:X54),ROUND(Y46/$E46*$E54,0)))</f>
        <v>0</v>
      </c>
      <c r="Z54" s="61">
        <f>IF(SUM($F46:Z46)=$E46,$E54-SUM($F54:Y54),IF((SUM($F54:Y54)+ROUND(Z46/$E46*$E54,0))&gt;$E54,$E54-SUM($F54:Y54),ROUND(Z46/$E46*$E54,0)))</f>
        <v>0</v>
      </c>
      <c r="AA54" s="61">
        <f>IF(SUM($F46:AA46)=$E46,$E54-SUM($F54:Z54),IF((SUM($F54:Z54)+ROUND(AA46/$E46*$E54,0))&gt;$E54,$E54-SUM($F54:Z54),ROUND(AA46/$E46*$E54,0)))</f>
        <v>0</v>
      </c>
      <c r="AB54" s="61">
        <f>IF(SUM($F46:AB46)=$E46,$E54-SUM($F54:AA54),IF((SUM($F54:AA54)+ROUND(AB46/$E46*$E54,0))&gt;$E54,$E54-SUM($F54:AA54),ROUND(AB46/$E46*$E54,0)))</f>
        <v>0</v>
      </c>
      <c r="AC54" s="61">
        <f>IF(SUM($F46:AC46)=$E46,$E54-SUM($F54:AB54),IF((SUM($F54:AB54)+ROUND(AC46/$E46*$E54,0))&gt;$E54,$E54-SUM($F54:AB54),ROUND(AC46/$E46*$E54,0)))</f>
        <v>0</v>
      </c>
      <c r="AD54" s="61">
        <f>IF(SUM($F46:AD46)=$E46,$E54-SUM($F54:AC54),IF((SUM($F54:AC54)+ROUND(AD46/$E46*$E54,0))&gt;$E54,$E54-SUM($F54:AC54),ROUND(AD46/$E46*$E54,0)))</f>
        <v>0</v>
      </c>
      <c r="AE54" s="61">
        <f>IF(SUM($F46:AE46)=$E46,$E54-SUM($F54:AD54),IF((SUM($F54:AD54)+ROUND(AE46/$E46*$E54,0))&gt;$E54,$E54-SUM($F54:AD54),ROUND(AE46/$E46*$E54,0)))</f>
        <v>0</v>
      </c>
      <c r="AF54" s="61">
        <f>IF(SUM($F46:AF46)=$E46,$E54-SUM($F54:AE54),IF((SUM($F54:AE54)+ROUND(AF46/$E46*$E54,0))&gt;$E54,$E54-SUM($F54:AE54),ROUND(AF46/$E46*$E54,0)))</f>
        <v>0</v>
      </c>
      <c r="AG54" s="61">
        <f>IF(SUM($F46:AG46)=$E46,$E54-SUM($F54:AF54),IF((SUM($F54:AF54)+ROUND(AG46/$E46*$E54,0))&gt;$E54,$E54-SUM($F54:AF54),ROUND(AG46/$E46*$E54,0)))</f>
        <v>0</v>
      </c>
      <c r="AH54" s="61">
        <f>IF(SUM($F46:AH46)=$E46,$E54-SUM($F54:AG54),IF((SUM($F54:AG54)+ROUND(AH46/$E46*$E54,0))&gt;$E54,$E54-SUM($F54:AG54),ROUND(AH46/$E46*$E54,0)))</f>
        <v>0</v>
      </c>
      <c r="AI54" s="61">
        <f>IF(SUM($F46:AI46)=$E46,$E54-SUM($F54:AH54),IF((SUM($F54:AH54)+ROUND(AI46/$E46*$E54,0))&gt;$E54,$E54-SUM($F54:AH54),ROUND(AI46/$E46*$E54,0)))</f>
        <v>0</v>
      </c>
      <c r="AJ54" s="61">
        <f>IF(SUM($F46:AJ46)=$E46,$E54-SUM($F54:AI54),IF((SUM($F54:AI54)+ROUND(AJ46/$E46*$E54,0))&gt;$E54,$E54-SUM($F54:AI54),ROUND(AJ46/$E46*$E54,0)))</f>
        <v>0</v>
      </c>
      <c r="AK54" s="61">
        <f>IF(SUM($F46:AK46)=$E46,$E54-SUM($F54:AJ54),IF((SUM($F54:AJ54)+ROUND(AK46/$E46*$E54,0))&gt;$E54,$E54-SUM($F54:AJ54),ROUND(AK46/$E46*$E54,0)))</f>
        <v>0</v>
      </c>
      <c r="AL54" s="61">
        <f>IF(SUM($F46:AL46)=$E46,$E54-SUM($F54:AK54),IF((SUM($F54:AK54)+ROUND(AL46/$E46*$E54,0))&gt;$E54,$E54-SUM($F54:AK54),ROUND(AL46/$E46*$E54,0)))</f>
        <v>0</v>
      </c>
      <c r="AM54" s="61">
        <f>IF(SUM($F46:AM46)=$E46,$E54-SUM($F54:AL54),IF((SUM($F54:AL54)+ROUND(AM46/$E46*$E54,0))&gt;$E54,$E54-SUM($F54:AL54),ROUND(AM46/$E46*$E54,0)))</f>
        <v>0</v>
      </c>
      <c r="AN54" s="61">
        <f>IF(SUM($F46:AN46)=$E46,$E54-SUM($F54:AM54),IF((SUM($F54:AM54)+ROUND(AN46/$E46*$E54,0))&gt;$E54,$E54-SUM($F54:AM54),ROUND(AN46/$E46*$E54,0)))</f>
        <v>0</v>
      </c>
      <c r="AO54" s="61">
        <f>IF(SUM($F46:AO46)=$E46,$E54-SUM($F54:AN54),IF((SUM($F54:AN54)+ROUND(AO46/$E46*$E54,0))&gt;$E54,$E54-SUM($F54:AN54),ROUND(AO46/$E46*$E54,0)))</f>
        <v>0</v>
      </c>
      <c r="AP54" s="61">
        <f>IF(SUM($F46:AP46)=$E46,$E54-SUM($F54:AO54),IF((SUM($F54:AO54)+ROUND(AP46/$E46*$E54,0))&gt;$E54,$E54-SUM($F54:AO54),ROUND(AP46/$E46*$E54,0)))</f>
        <v>0</v>
      </c>
      <c r="AQ54" s="61">
        <f>IF(SUM($F46:AQ46)=$E46,$E54-SUM($F54:AP54),IF((SUM($F54:AP54)+ROUND(AQ46/$E46*$E54,0))&gt;$E54,$E54-SUM($F54:AP54),ROUND(AQ46/$E46*$E54,0)))</f>
        <v>0</v>
      </c>
      <c r="AR54" s="61">
        <f>IF(SUM($F46:AR46)=$E46,$E54-SUM($F54:AQ54),IF((SUM($F54:AQ54)+ROUND(AR46/$E46*$E54,0))&gt;$E54,$E54-SUM($F54:AQ54),ROUND(AR46/$E46*$E54,0)))</f>
        <v>0</v>
      </c>
      <c r="AS54" s="61">
        <f>IF(SUM($F46:AS46)=$E46,$E54-SUM($F54:AR54),IF((SUM($F54:AR54)+ROUND(AS46/$E46*$E54,0))&gt;$E54,$E54-SUM($F54:AR54),ROUND(AS46/$E46*$E54,0)))</f>
        <v>0</v>
      </c>
      <c r="AT54" s="61">
        <f>IF(SUM($F46:AT46)=$E46,$E54-SUM($F54:AS54),IF((SUM($F54:AS54)+ROUND(AT46/$E46*$E54,0))&gt;$E54,$E54-SUM($F54:AS54),ROUND(AT46/$E46*$E54,0)))</f>
        <v>0</v>
      </c>
      <c r="AU54" s="61">
        <f>IF(SUM($F46:AU46)=$E46,$E54-SUM($F54:AT54),IF((SUM($F54:AT54)+ROUND(AU46/$E46*$E54,0))&gt;$E54,$E54-SUM($F54:AT54),ROUND(AU46/$E46*$E54,0)))</f>
        <v>0</v>
      </c>
      <c r="AV54" s="61">
        <f>IF(SUM($F46:AV46)=$E46,$E54-SUM($F54:AU54),IF((SUM($F54:AU54)+ROUND(AV46/$E46*$E54,0))&gt;$E54,$E54-SUM($F54:AU54),ROUND(AV46/$E46*$E54,0)))</f>
        <v>0</v>
      </c>
      <c r="AW54" s="61">
        <f>IF(SUM($F46:AW46)=$E46,$E54-SUM($F54:AV54),IF((SUM($F54:AV54)+ROUND(AW46/$E46*$E54,0))&gt;$E54,$E54-SUM($F54:AV54),ROUND(AW46/$E46*$E54,0)))</f>
        <v>0</v>
      </c>
      <c r="AX54" s="61">
        <f>IF(SUM($F46:AX46)=$E46,$E54-SUM($F54:AW54),IF((SUM($F54:AW54)+ROUND(AX46/$E46*$E54,0))&gt;$E54,$E54-SUM($F54:AW54),ROUND(AX46/$E46*$E54,0)))</f>
        <v>0</v>
      </c>
      <c r="AY54" s="61">
        <f>IF(SUM($F46:AY46)=$E46,$E54-SUM($F54:AX54),IF((SUM($F54:AX54)+ROUND(AY46/$E46*$E54,0))&gt;$E54,$E54-SUM($F54:AX54),ROUND(AY46/$E46*$E54,0)))</f>
        <v>0</v>
      </c>
      <c r="AZ54" s="61">
        <f>IF(SUM($F46:AZ46)=$E46,$E54-SUM($F54:AY54),IF((SUM($F54:AY54)+ROUND(AZ46/$E46*$E54,0))&gt;$E54,$E54-SUM($F54:AY54),ROUND(AZ46/$E46*$E54,0)))</f>
        <v>0</v>
      </c>
      <c r="BA54" s="61">
        <f>IF(SUM($F46:BA46)=$E46,$E54-SUM($F54:AZ54),IF((SUM($F54:AZ54)+ROUND(BA46/$E46*$E54,0))&gt;$E54,$E54-SUM($F54:AZ54),ROUND(BA46/$E46*$E54,0)))</f>
        <v>0</v>
      </c>
      <c r="BB54" s="61">
        <f>IF(SUM($F46:BB46)=$E46,$E54-SUM($F54:BA54),IF((SUM($F54:BA54)+ROUND(BB46/$E46*$E54,0))&gt;$E54,$E54-SUM($F54:BA54),ROUND(BB46/$E46*$E54,0)))</f>
        <v>0</v>
      </c>
      <c r="BC54" s="61">
        <f>IF(SUM($F46:BC46)=$E46,$E54-SUM($F54:BB54),IF((SUM($F54:BB54)+ROUND(BC46/$E46*$E54,0))&gt;$E54,$E54-SUM($F54:BB54),ROUND(BC46/$E46*$E54,0)))</f>
        <v>0</v>
      </c>
      <c r="BD54" s="61">
        <f>IF(SUM($F46:BD46)=$E46,$E54-SUM($F54:BC54),IF((SUM($F54:BC54)+ROUND(BD46/$E46*$E54,0))&gt;$E54,$E54-SUM($F54:BC54),ROUND(BD46/$E46*$E54,0)))</f>
        <v>0</v>
      </c>
      <c r="BE54" s="61">
        <f>IF(SUM($F46:BE46)=$E46,$E54-SUM($F54:BD54),IF((SUM($F54:BD54)+ROUND(BE46/$E46*$E54,0))&gt;$E54,$E54-SUM($F54:BD54),ROUND(BE46/$E46*$E54,0)))</f>
        <v>0</v>
      </c>
      <c r="BF54" s="61">
        <f>IF(SUM($F46:BF46)=$E46,$E54-SUM($F54:BE54),IF((SUM($F54:BE54)+ROUND(BF46/$E46*$E54,0))&gt;$E54,$E54-SUM($F54:BE54),ROUND(BF46/$E46*$E54,0)))</f>
        <v>0</v>
      </c>
      <c r="BG54" s="61">
        <f>IF(SUM($F46:BG46)=$E46,$E54-SUM($F54:BF54),IF((SUM($F54:BF54)+ROUND(BG46/$E46*$E54,0))&gt;$E54,$E54-SUM($F54:BF54),ROUND(BG46/$E46*$E54,0)))</f>
        <v>0</v>
      </c>
      <c r="BH54" s="61">
        <f>IF(SUM($F46:BH46)=$E46,$E54-SUM($F54:BG54),IF((SUM($F54:BG54)+ROUND(BH46/$E46*$E54,0))&gt;$E54,$E54-SUM($F54:BG54),ROUND(BH46/$E46*$E54,0)))</f>
        <v>0</v>
      </c>
      <c r="BI54" s="61">
        <f>IF(SUM($F46:BI46)=$E46,$E54-SUM($F54:BH54),IF((SUM($F54:BH54)+ROUND(BI46/$E46*$E54,0))&gt;$E54,$E54-SUM($F54:BH54),ROUND(BI46/$E46*$E54,0)))</f>
        <v>0</v>
      </c>
      <c r="BJ54" s="61">
        <f>IF(SUM($F46:BJ46)=$E46,$E54-SUM($F54:BI54),IF((SUM($F54:BI54)+ROUND(BJ46/$E46*$E54,0))&gt;$E54,$E54-SUM($F54:BI54),ROUND(BJ46/$E46*$E54,0)))</f>
        <v>0</v>
      </c>
      <c r="BK54" s="61">
        <f>IF(SUM($F46:BK46)=$E46,$E54-SUM($F54:BJ54),IF((SUM($F54:BJ54)+ROUND(BK46/$E46*$E54,0))&gt;$E54,$E54-SUM($F54:BJ54),ROUND(BK46/$E46*$E54,0)))</f>
        <v>0</v>
      </c>
      <c r="BL54" s="61">
        <f>IF(SUM($F46:BL46)=$E46,$E54-SUM($F54:BK54),IF((SUM($F54:BK54)+ROUND(BL46/$E46*$E54,0))&gt;$E54,$E54-SUM($F54:BK54),ROUND(BL46/$E46*$E54,0)))</f>
        <v>0</v>
      </c>
      <c r="BM54" s="61">
        <f>IF(SUM($F46:BM46)=$E46,$E54-SUM($F54:BL54),IF((SUM($F54:BL54)+ROUND(BM46/$E46*$E54,0))&gt;$E54,$E54-SUM($F54:BL54),ROUND(BM46/$E46*$E54,0)))</f>
        <v>0</v>
      </c>
    </row>
    <row r="55" spans="2:65" s="188" customFormat="1">
      <c r="B55" s="185"/>
      <c r="C55" s="185"/>
      <c r="D55" s="185"/>
      <c r="E55" s="185"/>
      <c r="F55" s="187"/>
      <c r="G55" s="187"/>
      <c r="H55" s="187">
        <f>IFERROR(H54/$E$54,0)</f>
        <v>0</v>
      </c>
      <c r="I55" s="187">
        <f t="shared" ref="I55:BM55" si="21">IFERROR(I54/$E$54,0)</f>
        <v>0</v>
      </c>
      <c r="J55" s="187">
        <f t="shared" si="21"/>
        <v>0</v>
      </c>
      <c r="K55" s="187">
        <f t="shared" si="21"/>
        <v>0</v>
      </c>
      <c r="L55" s="187">
        <f t="shared" si="21"/>
        <v>0</v>
      </c>
      <c r="M55" s="187">
        <f t="shared" si="21"/>
        <v>0</v>
      </c>
      <c r="N55" s="187">
        <f t="shared" si="21"/>
        <v>0</v>
      </c>
      <c r="O55" s="187">
        <f t="shared" si="21"/>
        <v>0</v>
      </c>
      <c r="P55" s="187">
        <f t="shared" si="21"/>
        <v>0</v>
      </c>
      <c r="Q55" s="187">
        <f t="shared" si="21"/>
        <v>0</v>
      </c>
      <c r="R55" s="187">
        <f t="shared" si="21"/>
        <v>0</v>
      </c>
      <c r="S55" s="187">
        <f t="shared" si="21"/>
        <v>0</v>
      </c>
      <c r="T55" s="187">
        <f t="shared" si="21"/>
        <v>0</v>
      </c>
      <c r="U55" s="187">
        <f t="shared" si="21"/>
        <v>0</v>
      </c>
      <c r="V55" s="187">
        <f t="shared" si="21"/>
        <v>0</v>
      </c>
      <c r="W55" s="187">
        <f t="shared" si="21"/>
        <v>0</v>
      </c>
      <c r="X55" s="187">
        <f t="shared" si="21"/>
        <v>0</v>
      </c>
      <c r="Y55" s="187">
        <f t="shared" si="21"/>
        <v>0</v>
      </c>
      <c r="Z55" s="187">
        <f t="shared" si="21"/>
        <v>0</v>
      </c>
      <c r="AA55" s="187">
        <f t="shared" si="21"/>
        <v>0</v>
      </c>
      <c r="AB55" s="187">
        <f t="shared" si="21"/>
        <v>0</v>
      </c>
      <c r="AC55" s="187">
        <f t="shared" si="21"/>
        <v>0</v>
      </c>
      <c r="AD55" s="187">
        <f t="shared" si="21"/>
        <v>0</v>
      </c>
      <c r="AE55" s="187">
        <f t="shared" si="21"/>
        <v>0</v>
      </c>
      <c r="AF55" s="187">
        <f t="shared" si="21"/>
        <v>0</v>
      </c>
      <c r="AG55" s="187">
        <f t="shared" si="21"/>
        <v>0</v>
      </c>
      <c r="AH55" s="187">
        <f t="shared" si="21"/>
        <v>0</v>
      </c>
      <c r="AI55" s="187">
        <f t="shared" si="21"/>
        <v>0</v>
      </c>
      <c r="AJ55" s="187">
        <f t="shared" si="21"/>
        <v>0</v>
      </c>
      <c r="AK55" s="187">
        <f t="shared" si="21"/>
        <v>0</v>
      </c>
      <c r="AL55" s="187">
        <f t="shared" si="21"/>
        <v>0</v>
      </c>
      <c r="AM55" s="187">
        <f t="shared" si="21"/>
        <v>0</v>
      </c>
      <c r="AN55" s="187">
        <f t="shared" si="21"/>
        <v>0</v>
      </c>
      <c r="AO55" s="187">
        <f t="shared" si="21"/>
        <v>0</v>
      </c>
      <c r="AP55" s="187">
        <f t="shared" si="21"/>
        <v>0</v>
      </c>
      <c r="AQ55" s="187">
        <f t="shared" si="21"/>
        <v>0</v>
      </c>
      <c r="AR55" s="187">
        <f t="shared" si="21"/>
        <v>0</v>
      </c>
      <c r="AS55" s="187">
        <f t="shared" si="21"/>
        <v>0</v>
      </c>
      <c r="AT55" s="187">
        <f t="shared" si="21"/>
        <v>0</v>
      </c>
      <c r="AU55" s="187">
        <f t="shared" si="21"/>
        <v>0</v>
      </c>
      <c r="AV55" s="187">
        <f t="shared" si="21"/>
        <v>0</v>
      </c>
      <c r="AW55" s="187">
        <f t="shared" si="21"/>
        <v>0</v>
      </c>
      <c r="AX55" s="187">
        <f t="shared" si="21"/>
        <v>0</v>
      </c>
      <c r="AY55" s="187">
        <f t="shared" si="21"/>
        <v>0</v>
      </c>
      <c r="AZ55" s="187">
        <f t="shared" si="21"/>
        <v>0</v>
      </c>
      <c r="BA55" s="187">
        <f t="shared" si="21"/>
        <v>0</v>
      </c>
      <c r="BB55" s="187">
        <f t="shared" si="21"/>
        <v>0</v>
      </c>
      <c r="BC55" s="187">
        <f t="shared" si="21"/>
        <v>0</v>
      </c>
      <c r="BD55" s="187">
        <f t="shared" si="21"/>
        <v>0</v>
      </c>
      <c r="BE55" s="187">
        <f t="shared" si="21"/>
        <v>0</v>
      </c>
      <c r="BF55" s="187">
        <f t="shared" si="21"/>
        <v>0</v>
      </c>
      <c r="BG55" s="187">
        <f t="shared" si="21"/>
        <v>0</v>
      </c>
      <c r="BH55" s="187">
        <f t="shared" si="21"/>
        <v>0</v>
      </c>
      <c r="BI55" s="187">
        <f t="shared" si="21"/>
        <v>0</v>
      </c>
      <c r="BJ55" s="187">
        <f t="shared" si="21"/>
        <v>0</v>
      </c>
      <c r="BK55" s="187">
        <f t="shared" si="21"/>
        <v>0</v>
      </c>
      <c r="BL55" s="187">
        <f t="shared" si="21"/>
        <v>0</v>
      </c>
      <c r="BM55" s="187">
        <f t="shared" si="21"/>
        <v>0</v>
      </c>
    </row>
    <row r="56" spans="2:65" s="65" customFormat="1" ht="15">
      <c r="B56" s="62" t="s">
        <v>48</v>
      </c>
      <c r="C56" s="63"/>
      <c r="D56" s="63"/>
      <c r="E56" s="63"/>
      <c r="F56" s="64"/>
      <c r="G56" s="64"/>
      <c r="H56" s="64" t="str">
        <f t="shared" ref="H56:BM56" si="22">IF(AND(F40=0,G40&gt;0),1,IF(AND(G56&gt;0,G40&gt;0),G56+1,""))</f>
        <v/>
      </c>
      <c r="I56" s="64" t="str">
        <f t="shared" si="22"/>
        <v/>
      </c>
      <c r="J56" s="64" t="str">
        <f t="shared" si="22"/>
        <v/>
      </c>
      <c r="K56" s="64" t="str">
        <f t="shared" si="22"/>
        <v/>
      </c>
      <c r="L56" s="64" t="str">
        <f t="shared" si="22"/>
        <v/>
      </c>
      <c r="M56" s="64" t="str">
        <f t="shared" si="22"/>
        <v/>
      </c>
      <c r="N56" s="64" t="str">
        <f t="shared" si="22"/>
        <v/>
      </c>
      <c r="O56" s="64" t="str">
        <f t="shared" si="22"/>
        <v/>
      </c>
      <c r="P56" s="64" t="str">
        <f t="shared" si="22"/>
        <v/>
      </c>
      <c r="Q56" s="64" t="str">
        <f t="shared" si="22"/>
        <v/>
      </c>
      <c r="R56" s="64" t="str">
        <f t="shared" si="22"/>
        <v/>
      </c>
      <c r="S56" s="64" t="str">
        <f t="shared" si="22"/>
        <v/>
      </c>
      <c r="T56" s="64" t="str">
        <f t="shared" si="22"/>
        <v/>
      </c>
      <c r="U56" s="64" t="str">
        <f t="shared" si="22"/>
        <v/>
      </c>
      <c r="V56" s="64" t="str">
        <f t="shared" si="22"/>
        <v/>
      </c>
      <c r="W56" s="64" t="str">
        <f t="shared" si="22"/>
        <v/>
      </c>
      <c r="X56" s="64" t="str">
        <f t="shared" si="22"/>
        <v/>
      </c>
      <c r="Y56" s="64">
        <f t="shared" si="22"/>
        <v>1</v>
      </c>
      <c r="Z56" s="64">
        <f t="shared" si="22"/>
        <v>2</v>
      </c>
      <c r="AA56" s="64">
        <f t="shared" si="22"/>
        <v>3</v>
      </c>
      <c r="AB56" s="64">
        <f t="shared" si="22"/>
        <v>4</v>
      </c>
      <c r="AC56" s="64">
        <f t="shared" si="22"/>
        <v>5</v>
      </c>
      <c r="AD56" s="64">
        <f t="shared" si="22"/>
        <v>6</v>
      </c>
      <c r="AE56" s="64">
        <f t="shared" si="22"/>
        <v>7</v>
      </c>
      <c r="AF56" s="64">
        <f t="shared" si="22"/>
        <v>8</v>
      </c>
      <c r="AG56" s="64">
        <f t="shared" si="22"/>
        <v>9</v>
      </c>
      <c r="AH56" s="64">
        <f t="shared" si="22"/>
        <v>10</v>
      </c>
      <c r="AI56" s="64">
        <f t="shared" si="22"/>
        <v>11</v>
      </c>
      <c r="AJ56" s="64">
        <f t="shared" si="22"/>
        <v>12</v>
      </c>
      <c r="AK56" s="64">
        <f t="shared" si="22"/>
        <v>13</v>
      </c>
      <c r="AL56" s="64">
        <f t="shared" si="22"/>
        <v>14</v>
      </c>
      <c r="AM56" s="64">
        <f t="shared" si="22"/>
        <v>15</v>
      </c>
      <c r="AN56" s="64">
        <f t="shared" si="22"/>
        <v>16</v>
      </c>
      <c r="AO56" s="64">
        <f t="shared" si="22"/>
        <v>17</v>
      </c>
      <c r="AP56" s="64" t="str">
        <f t="shared" si="22"/>
        <v/>
      </c>
      <c r="AQ56" s="64" t="str">
        <f t="shared" si="22"/>
        <v/>
      </c>
      <c r="AR56" s="64" t="str">
        <f t="shared" si="22"/>
        <v/>
      </c>
      <c r="AS56" s="64" t="str">
        <f t="shared" si="22"/>
        <v/>
      </c>
      <c r="AT56" s="64" t="str">
        <f t="shared" si="22"/>
        <v/>
      </c>
      <c r="AU56" s="64" t="str">
        <f t="shared" si="22"/>
        <v/>
      </c>
      <c r="AV56" s="64" t="str">
        <f t="shared" si="22"/>
        <v/>
      </c>
      <c r="AW56" s="64" t="str">
        <f t="shared" si="22"/>
        <v/>
      </c>
      <c r="AX56" s="64" t="str">
        <f t="shared" si="22"/>
        <v/>
      </c>
      <c r="AY56" s="64" t="str">
        <f t="shared" si="22"/>
        <v/>
      </c>
      <c r="AZ56" s="64" t="str">
        <f t="shared" si="22"/>
        <v/>
      </c>
      <c r="BA56" s="64" t="str">
        <f t="shared" si="22"/>
        <v/>
      </c>
      <c r="BB56" s="64" t="str">
        <f t="shared" si="22"/>
        <v/>
      </c>
      <c r="BC56" s="64" t="str">
        <f t="shared" si="22"/>
        <v/>
      </c>
      <c r="BD56" s="64" t="str">
        <f t="shared" si="22"/>
        <v/>
      </c>
      <c r="BE56" s="64" t="str">
        <f t="shared" si="22"/>
        <v/>
      </c>
      <c r="BF56" s="64" t="str">
        <f t="shared" si="22"/>
        <v/>
      </c>
      <c r="BG56" s="64" t="str">
        <f t="shared" si="22"/>
        <v/>
      </c>
      <c r="BH56" s="64" t="str">
        <f t="shared" si="22"/>
        <v/>
      </c>
      <c r="BI56" s="64" t="str">
        <f t="shared" si="22"/>
        <v/>
      </c>
      <c r="BJ56" s="64" t="str">
        <f t="shared" si="22"/>
        <v/>
      </c>
      <c r="BK56" s="64" t="str">
        <f t="shared" si="22"/>
        <v/>
      </c>
      <c r="BL56" s="64" t="str">
        <f t="shared" si="22"/>
        <v/>
      </c>
      <c r="BM56" s="64" t="str">
        <f t="shared" si="22"/>
        <v/>
      </c>
    </row>
    <row r="57" spans="2:65" s="65" customFormat="1" ht="15">
      <c r="B57" s="62" t="s">
        <v>113</v>
      </c>
      <c r="C57" s="63"/>
      <c r="D57" s="63"/>
      <c r="E57" s="63"/>
      <c r="F57" s="64"/>
      <c r="G57" s="64"/>
      <c r="H57" s="64" t="str">
        <f t="shared" ref="H57:BM57" si="23">IF(AND(F44=0,G44&gt;0),1,IF(AND(G57&gt;0,G44&gt;0),G57+1,""))</f>
        <v/>
      </c>
      <c r="I57" s="64" t="str">
        <f t="shared" si="23"/>
        <v/>
      </c>
      <c r="J57" s="64" t="str">
        <f t="shared" si="23"/>
        <v/>
      </c>
      <c r="K57" s="64" t="str">
        <f t="shared" si="23"/>
        <v/>
      </c>
      <c r="L57" s="64" t="str">
        <f t="shared" si="23"/>
        <v/>
      </c>
      <c r="M57" s="64" t="str">
        <f t="shared" si="23"/>
        <v/>
      </c>
      <c r="N57" s="64" t="str">
        <f t="shared" si="23"/>
        <v/>
      </c>
      <c r="O57" s="64" t="str">
        <f>IF(AND(M44=0,N44&gt;0),1,IF(AND(N57&gt;0,N44&gt;0),N57+1,""))</f>
        <v/>
      </c>
      <c r="P57" s="64" t="str">
        <f t="shared" si="23"/>
        <v/>
      </c>
      <c r="Q57" s="64" t="str">
        <f t="shared" si="23"/>
        <v/>
      </c>
      <c r="R57" s="64" t="str">
        <f t="shared" si="23"/>
        <v/>
      </c>
      <c r="S57" s="64" t="str">
        <f t="shared" si="23"/>
        <v/>
      </c>
      <c r="T57" s="64" t="str">
        <f t="shared" si="23"/>
        <v/>
      </c>
      <c r="U57" s="64" t="str">
        <f t="shared" si="23"/>
        <v/>
      </c>
      <c r="V57" s="64" t="str">
        <f t="shared" si="23"/>
        <v/>
      </c>
      <c r="W57" s="64" t="str">
        <f t="shared" si="23"/>
        <v/>
      </c>
      <c r="X57" s="64" t="str">
        <f t="shared" si="23"/>
        <v/>
      </c>
      <c r="Y57" s="64" t="str">
        <f t="shared" si="23"/>
        <v/>
      </c>
      <c r="Z57" s="64" t="str">
        <f t="shared" si="23"/>
        <v/>
      </c>
      <c r="AA57" s="64" t="str">
        <f t="shared" si="23"/>
        <v/>
      </c>
      <c r="AB57" s="64" t="str">
        <f t="shared" si="23"/>
        <v/>
      </c>
      <c r="AC57" s="64" t="str">
        <f t="shared" si="23"/>
        <v/>
      </c>
      <c r="AD57" s="64" t="str">
        <f t="shared" si="23"/>
        <v/>
      </c>
      <c r="AE57" s="64" t="str">
        <f t="shared" si="23"/>
        <v/>
      </c>
      <c r="AF57" s="64" t="str">
        <f t="shared" si="23"/>
        <v/>
      </c>
      <c r="AG57" s="64" t="str">
        <f t="shared" si="23"/>
        <v/>
      </c>
      <c r="AH57" s="64" t="str">
        <f t="shared" si="23"/>
        <v/>
      </c>
      <c r="AI57" s="64" t="str">
        <f t="shared" si="23"/>
        <v/>
      </c>
      <c r="AJ57" s="64" t="str">
        <f t="shared" si="23"/>
        <v/>
      </c>
      <c r="AK57" s="64" t="str">
        <f t="shared" si="23"/>
        <v/>
      </c>
      <c r="AL57" s="64" t="str">
        <f t="shared" si="23"/>
        <v/>
      </c>
      <c r="AM57" s="64" t="str">
        <f t="shared" si="23"/>
        <v/>
      </c>
      <c r="AN57" s="64" t="str">
        <f t="shared" si="23"/>
        <v/>
      </c>
      <c r="AO57" s="64" t="str">
        <f t="shared" si="23"/>
        <v/>
      </c>
      <c r="AP57" s="64" t="str">
        <f t="shared" si="23"/>
        <v/>
      </c>
      <c r="AQ57" s="64" t="str">
        <f t="shared" si="23"/>
        <v/>
      </c>
      <c r="AR57" s="64" t="str">
        <f t="shared" si="23"/>
        <v/>
      </c>
      <c r="AS57" s="64" t="str">
        <f t="shared" si="23"/>
        <v/>
      </c>
      <c r="AT57" s="64" t="str">
        <f t="shared" si="23"/>
        <v/>
      </c>
      <c r="AU57" s="64" t="str">
        <f t="shared" si="23"/>
        <v/>
      </c>
      <c r="AV57" s="64" t="str">
        <f t="shared" si="23"/>
        <v/>
      </c>
      <c r="AW57" s="64" t="str">
        <f t="shared" si="23"/>
        <v/>
      </c>
      <c r="AX57" s="64" t="str">
        <f t="shared" si="23"/>
        <v/>
      </c>
      <c r="AY57" s="64" t="str">
        <f t="shared" si="23"/>
        <v/>
      </c>
      <c r="AZ57" s="64" t="str">
        <f t="shared" si="23"/>
        <v/>
      </c>
      <c r="BA57" s="64" t="str">
        <f t="shared" si="23"/>
        <v/>
      </c>
      <c r="BB57" s="64" t="str">
        <f t="shared" si="23"/>
        <v/>
      </c>
      <c r="BC57" s="64" t="str">
        <f t="shared" si="23"/>
        <v/>
      </c>
      <c r="BD57" s="64" t="str">
        <f t="shared" si="23"/>
        <v/>
      </c>
      <c r="BE57" s="64" t="str">
        <f t="shared" si="23"/>
        <v/>
      </c>
      <c r="BF57" s="64" t="str">
        <f t="shared" si="23"/>
        <v/>
      </c>
      <c r="BG57" s="64" t="str">
        <f t="shared" si="23"/>
        <v/>
      </c>
      <c r="BH57" s="64" t="str">
        <f t="shared" si="23"/>
        <v/>
      </c>
      <c r="BI57" s="64" t="str">
        <f t="shared" si="23"/>
        <v/>
      </c>
      <c r="BJ57" s="64" t="str">
        <f t="shared" si="23"/>
        <v/>
      </c>
      <c r="BK57" s="64" t="str">
        <f t="shared" si="23"/>
        <v/>
      </c>
      <c r="BL57" s="64" t="str">
        <f t="shared" si="23"/>
        <v/>
      </c>
      <c r="BM57" s="64" t="str">
        <f t="shared" si="23"/>
        <v/>
      </c>
    </row>
    <row r="58" spans="2:65" s="65" customFormat="1" ht="15">
      <c r="B58" s="62" t="s">
        <v>114</v>
      </c>
      <c r="C58" s="63"/>
      <c r="D58" s="63"/>
      <c r="E58" s="63"/>
      <c r="F58" s="64"/>
      <c r="G58" s="64"/>
      <c r="H58" s="64" t="str">
        <f>IF(AND(F46=0,G46&gt;0),1,IF(AND(G58&gt;0,G46&gt;0),G58+1,""))</f>
        <v/>
      </c>
      <c r="I58" s="64" t="str">
        <f>IF(AND(G46=0,H46&gt;0),1,IF(AND(H58&gt;0,H46&gt;0),H58+1,""))</f>
        <v/>
      </c>
      <c r="J58" s="64" t="str">
        <f t="shared" ref="J58:BM58" si="24">IF(AND(H46=0,I46&gt;0),1,IF(AND(I58&gt;0,I46&gt;0),I58+1,""))</f>
        <v/>
      </c>
      <c r="K58" s="64" t="str">
        <f t="shared" si="24"/>
        <v/>
      </c>
      <c r="L58" s="64" t="str">
        <f t="shared" si="24"/>
        <v/>
      </c>
      <c r="M58" s="64" t="str">
        <f t="shared" si="24"/>
        <v/>
      </c>
      <c r="N58" s="64" t="str">
        <f t="shared" si="24"/>
        <v/>
      </c>
      <c r="O58" s="64" t="str">
        <f t="shared" si="24"/>
        <v/>
      </c>
      <c r="P58" s="64" t="str">
        <f t="shared" si="24"/>
        <v/>
      </c>
      <c r="Q58" s="64" t="str">
        <f t="shared" si="24"/>
        <v/>
      </c>
      <c r="R58" s="64" t="str">
        <f t="shared" si="24"/>
        <v/>
      </c>
      <c r="S58" s="64" t="str">
        <f t="shared" si="24"/>
        <v/>
      </c>
      <c r="T58" s="64" t="str">
        <f t="shared" si="24"/>
        <v/>
      </c>
      <c r="U58" s="64" t="str">
        <f t="shared" si="24"/>
        <v/>
      </c>
      <c r="V58" s="64" t="str">
        <f t="shared" si="24"/>
        <v/>
      </c>
      <c r="W58" s="64" t="str">
        <f t="shared" si="24"/>
        <v/>
      </c>
      <c r="X58" s="64" t="str">
        <f t="shared" si="24"/>
        <v/>
      </c>
      <c r="Y58" s="64" t="str">
        <f t="shared" si="24"/>
        <v/>
      </c>
      <c r="Z58" s="64" t="str">
        <f t="shared" si="24"/>
        <v/>
      </c>
      <c r="AA58" s="64" t="str">
        <f t="shared" si="24"/>
        <v/>
      </c>
      <c r="AB58" s="64" t="str">
        <f t="shared" si="24"/>
        <v/>
      </c>
      <c r="AC58" s="64" t="str">
        <f t="shared" si="24"/>
        <v/>
      </c>
      <c r="AD58" s="64" t="str">
        <f t="shared" si="24"/>
        <v/>
      </c>
      <c r="AE58" s="64" t="str">
        <f t="shared" si="24"/>
        <v/>
      </c>
      <c r="AF58" s="64" t="str">
        <f t="shared" si="24"/>
        <v/>
      </c>
      <c r="AG58" s="64" t="str">
        <f t="shared" si="24"/>
        <v/>
      </c>
      <c r="AH58" s="64" t="str">
        <f t="shared" si="24"/>
        <v/>
      </c>
      <c r="AI58" s="64" t="str">
        <f t="shared" si="24"/>
        <v/>
      </c>
      <c r="AJ58" s="64" t="str">
        <f t="shared" si="24"/>
        <v/>
      </c>
      <c r="AK58" s="64" t="str">
        <f t="shared" si="24"/>
        <v/>
      </c>
      <c r="AL58" s="64" t="str">
        <f t="shared" si="24"/>
        <v/>
      </c>
      <c r="AM58" s="64" t="str">
        <f t="shared" si="24"/>
        <v/>
      </c>
      <c r="AN58" s="64" t="str">
        <f t="shared" si="24"/>
        <v/>
      </c>
      <c r="AO58" s="64" t="str">
        <f t="shared" si="24"/>
        <v/>
      </c>
      <c r="AP58" s="64" t="str">
        <f t="shared" si="24"/>
        <v/>
      </c>
      <c r="AQ58" s="64" t="str">
        <f t="shared" si="24"/>
        <v/>
      </c>
      <c r="AR58" s="64" t="str">
        <f t="shared" si="24"/>
        <v/>
      </c>
      <c r="AS58" s="64" t="str">
        <f t="shared" si="24"/>
        <v/>
      </c>
      <c r="AT58" s="64" t="str">
        <f t="shared" si="24"/>
        <v/>
      </c>
      <c r="AU58" s="64" t="str">
        <f t="shared" si="24"/>
        <v/>
      </c>
      <c r="AV58" s="64" t="str">
        <f t="shared" si="24"/>
        <v/>
      </c>
      <c r="AW58" s="64" t="str">
        <f t="shared" si="24"/>
        <v/>
      </c>
      <c r="AX58" s="64" t="str">
        <f t="shared" si="24"/>
        <v/>
      </c>
      <c r="AY58" s="64" t="str">
        <f t="shared" si="24"/>
        <v/>
      </c>
      <c r="AZ58" s="64" t="str">
        <f t="shared" si="24"/>
        <v/>
      </c>
      <c r="BA58" s="64" t="str">
        <f t="shared" si="24"/>
        <v/>
      </c>
      <c r="BB58" s="64" t="str">
        <f t="shared" si="24"/>
        <v/>
      </c>
      <c r="BC58" s="64" t="str">
        <f t="shared" si="24"/>
        <v/>
      </c>
      <c r="BD58" s="64" t="str">
        <f t="shared" si="24"/>
        <v/>
      </c>
      <c r="BE58" s="64" t="str">
        <f t="shared" si="24"/>
        <v/>
      </c>
      <c r="BF58" s="64" t="str">
        <f t="shared" si="24"/>
        <v/>
      </c>
      <c r="BG58" s="64" t="str">
        <f t="shared" si="24"/>
        <v/>
      </c>
      <c r="BH58" s="64" t="str">
        <f t="shared" si="24"/>
        <v/>
      </c>
      <c r="BI58" s="64" t="str">
        <f t="shared" si="24"/>
        <v/>
      </c>
      <c r="BJ58" s="64" t="str">
        <f t="shared" si="24"/>
        <v/>
      </c>
      <c r="BK58" s="64" t="str">
        <f t="shared" si="24"/>
        <v/>
      </c>
      <c r="BL58" s="64" t="str">
        <f t="shared" si="24"/>
        <v/>
      </c>
      <c r="BM58" s="64" t="str">
        <f t="shared" si="24"/>
        <v/>
      </c>
    </row>
    <row r="60" spans="2:65">
      <c r="B60" s="121" t="s">
        <v>87</v>
      </c>
      <c r="E60" s="66" t="s">
        <v>211</v>
      </c>
      <c r="F60" s="67" t="str">
        <f>LEFT('DB2'!P48,5)</f>
        <v>77:02</v>
      </c>
      <c r="H60" s="121" t="s">
        <v>212</v>
      </c>
      <c r="J60" s="68" t="s">
        <v>216</v>
      </c>
      <c r="K60" s="69" t="s">
        <v>159</v>
      </c>
      <c r="M60" s="196" t="s">
        <v>38</v>
      </c>
      <c r="O60" s="70" t="s">
        <v>228</v>
      </c>
      <c r="P60" s="337">
        <f>HLOOKUP($O$63,'CF2'!$F$188:$BM$194,7,0)+J88</f>
        <v>0.125</v>
      </c>
      <c r="Q60" s="71"/>
      <c r="R60" s="72"/>
      <c r="S60" s="72"/>
      <c r="T60" s="72"/>
      <c r="U60" s="72"/>
      <c r="V60" s="72"/>
      <c r="W60" s="196" t="s">
        <v>384</v>
      </c>
      <c r="X60" s="71"/>
      <c r="Y60" s="71"/>
      <c r="Z60" s="71"/>
      <c r="AA60" s="72"/>
      <c r="AB60" s="72"/>
      <c r="AC60" s="72"/>
      <c r="AD60" s="72"/>
    </row>
    <row r="61" spans="2:65" s="73" customFormat="1" ht="45">
      <c r="B61" s="191"/>
      <c r="C61" s="191"/>
      <c r="D61" s="192" t="s">
        <v>232</v>
      </c>
      <c r="E61" s="17" t="s">
        <v>207</v>
      </c>
      <c r="F61" s="17" t="s">
        <v>241</v>
      </c>
      <c r="G61" s="54"/>
      <c r="H61" s="191"/>
      <c r="I61" s="191"/>
      <c r="J61" s="191"/>
      <c r="K61" s="191" t="s">
        <v>213</v>
      </c>
      <c r="M61" s="17" t="s">
        <v>87</v>
      </c>
      <c r="N61" s="17"/>
      <c r="O61" s="17" t="s">
        <v>174</v>
      </c>
      <c r="P61" s="17" t="s">
        <v>175</v>
      </c>
      <c r="Q61" s="17" t="s">
        <v>176</v>
      </c>
      <c r="R61" s="17" t="s">
        <v>177</v>
      </c>
      <c r="S61" s="17" t="s">
        <v>178</v>
      </c>
      <c r="T61" s="17" t="s">
        <v>179</v>
      </c>
      <c r="U61" s="17" t="s">
        <v>180</v>
      </c>
      <c r="W61" s="17" t="s">
        <v>218</v>
      </c>
      <c r="X61" s="17"/>
      <c r="Y61" s="17" t="s">
        <v>174</v>
      </c>
      <c r="Z61" s="17" t="s">
        <v>175</v>
      </c>
      <c r="AA61" s="17" t="s">
        <v>373</v>
      </c>
      <c r="AB61" s="17" t="s">
        <v>372</v>
      </c>
      <c r="AC61" s="17" t="s">
        <v>371</v>
      </c>
      <c r="AF61" s="17" t="s">
        <v>147</v>
      </c>
      <c r="AG61" s="17"/>
      <c r="AH61" s="17" t="s">
        <v>202</v>
      </c>
      <c r="AI61" s="17" t="s">
        <v>109</v>
      </c>
      <c r="AJ61" s="17" t="s">
        <v>90</v>
      </c>
      <c r="AK61" s="17" t="s">
        <v>91</v>
      </c>
      <c r="AL61" s="17" t="s">
        <v>148</v>
      </c>
      <c r="AN61" s="17" t="s">
        <v>109</v>
      </c>
      <c r="AO61" s="17" t="s">
        <v>145</v>
      </c>
      <c r="AP61" s="17" t="s">
        <v>146</v>
      </c>
      <c r="AR61" s="17" t="s">
        <v>60</v>
      </c>
      <c r="AS61" s="17" t="s">
        <v>233</v>
      </c>
      <c r="AT61" s="17" t="s">
        <v>234</v>
      </c>
    </row>
    <row r="62" spans="2:65">
      <c r="B62" s="74" t="s">
        <v>159</v>
      </c>
      <c r="C62" s="75" t="s">
        <v>230</v>
      </c>
      <c r="D62" s="45">
        <v>230298.39</v>
      </c>
      <c r="E62" s="76">
        <f>'МАСТЕР ПЛАН'!AC22</f>
        <v>78152.600000000006</v>
      </c>
      <c r="F62" s="76">
        <f>(D62*E62)/1000000</f>
        <v>17998.417954314002</v>
      </c>
      <c r="H62" s="74" t="s">
        <v>159</v>
      </c>
      <c r="I62" s="75" t="s">
        <v>154</v>
      </c>
      <c r="J62" s="77"/>
      <c r="K62" s="45">
        <v>91277.94</v>
      </c>
      <c r="M62" s="78"/>
      <c r="N62" s="78"/>
      <c r="O62" s="79"/>
      <c r="P62" s="80"/>
      <c r="Q62" s="81"/>
      <c r="R62" s="82"/>
      <c r="S62" s="82"/>
      <c r="T62" s="82"/>
      <c r="U62" s="82"/>
      <c r="W62" s="78"/>
      <c r="X62" s="78"/>
      <c r="Y62" s="79"/>
      <c r="Z62" s="80"/>
      <c r="AA62" s="81"/>
      <c r="AB62" s="82"/>
      <c r="AC62" s="82"/>
      <c r="AL62" s="83"/>
      <c r="AO62" s="84">
        <f>'TS2'!$J$86</f>
        <v>1.4999999999999999E-2</v>
      </c>
      <c r="AP62" s="84">
        <f>'TS2'!$J$87</f>
        <v>3.0000000000000001E-3</v>
      </c>
      <c r="AR62" s="85" t="s">
        <v>92</v>
      </c>
      <c r="AS62" s="86"/>
      <c r="AT62" s="86"/>
      <c r="AU62" s="120" t="s">
        <v>137</v>
      </c>
    </row>
    <row r="63" spans="2:65">
      <c r="B63" s="74" t="s">
        <v>205</v>
      </c>
      <c r="C63" s="75" t="s">
        <v>149</v>
      </c>
      <c r="D63" s="45">
        <v>0</v>
      </c>
      <c r="E63" s="76">
        <f>SUMIFS('DB2'!$F$8:$F$14,'DB2'!$A$8:$A$14,'TS2'!B63)</f>
        <v>0</v>
      </c>
      <c r="F63" s="76">
        <f t="shared" ref="F63:F68" si="25">(D63*E63)/1000000</f>
        <v>0</v>
      </c>
      <c r="H63" s="74" t="s">
        <v>208</v>
      </c>
      <c r="I63" s="75" t="s">
        <v>155</v>
      </c>
      <c r="J63" s="77"/>
      <c r="K63" s="45">
        <v>56292.57</v>
      </c>
      <c r="M63" s="181" t="s">
        <v>222</v>
      </c>
      <c r="N63" s="193">
        <f>E89/10^6</f>
        <v>0</v>
      </c>
      <c r="O63" s="87" t="str">
        <f>CONCATENATE(IF(MONTH(P63)&lt;=3,"1",IF(MONTH(P63)&lt;=6,"2",IF(MONTH(P63)&lt;=9,"3","4"))),"Q",YEAR(P63))</f>
        <v>3Q2027</v>
      </c>
      <c r="P63" s="88">
        <f>'DB2'!U25-1</f>
        <v>46660</v>
      </c>
      <c r="Q63" s="89">
        <f>IF(SUM(Q62:Q$62)&lt;$N$63,$N$65,)</f>
        <v>0</v>
      </c>
      <c r="R63" s="89">
        <f>$N$63-SUM(Q$62:Q62)</f>
        <v>0</v>
      </c>
      <c r="S63" s="90">
        <f>R63*$P$60/4</f>
        <v>0</v>
      </c>
      <c r="T63" s="89">
        <f>SUM(Q63,S63)</f>
        <v>0</v>
      </c>
      <c r="U63" s="90">
        <f>IF(P63&gt;$N$66,0,IF(P64&gt;$N$66,SUM(Q63:$Q$63)+S63,T63))</f>
        <v>0</v>
      </c>
      <c r="W63" s="181" t="s">
        <v>222</v>
      </c>
      <c r="X63" s="193">
        <f>(C81-F81)/10^6</f>
        <v>3130.2992370514689</v>
      </c>
      <c r="Y63" s="87" t="str">
        <f>CONCATENATE(IF(MONTH(Z63)&lt;=3,"1",IF(MONTH(Z63)&lt;=6,"2",IF(MONTH(Z63)&lt;=9,"3","4"))),"Q",YEAR(Z63))</f>
        <v>3Q2027</v>
      </c>
      <c r="Z63" s="88">
        <f>'DB2'!U25-3*29.4</f>
        <v>46572.800000000003</v>
      </c>
      <c r="AA63" s="89">
        <f>$X$63*$X$64/4</f>
        <v>391.28740463143362</v>
      </c>
      <c r="AB63" s="89">
        <f>IF(Z63&lt;$X$65,$C$81,)/10^6</f>
        <v>3901.7226870514687</v>
      </c>
      <c r="AC63" s="89">
        <f>AB63*$X$66/4</f>
        <v>24.385766794071682</v>
      </c>
      <c r="AF63" s="87" t="str">
        <f>CONCATENATE(IF(MONTH(AG63)&lt;=3,"1",IF(MONTH(AG63)&lt;=6,"2",IF(MONTH(AG63)&lt;=9,"3","4"))),"Q",YEAR(AG63))</f>
        <v>2Q2025</v>
      </c>
      <c r="AG63" s="88">
        <f>C4</f>
        <v>45838</v>
      </c>
      <c r="AH63" s="76">
        <f>IF(AND(AH62&lt;0,AG63&lt;=EOMONTH('DB2'!U$27,3*'DB2'!$P$50)),1,IF(AG63&lt;=EOMONTH('DB2'!U$27,3*'DB2'!$P$50),AH62+1,0))</f>
        <v>1</v>
      </c>
      <c r="AI63" s="76">
        <f>IF(AND(AI62&gt;0,AG63&lt;=EOMONTH('DB2'!$U$27,0)),AI62+1,IF(AND(AG63&gt;'DB2'!$U$25,AG63&lt;='DB2'!$U$27),1,0))</f>
        <v>0</v>
      </c>
      <c r="AJ63" s="90">
        <f t="shared" ref="AJ63:AJ122" si="26">IF(AG63&lt;=$P$63,$E$85,$E$86)</f>
        <v>478937619.59999996</v>
      </c>
      <c r="AK63" s="91">
        <f>IF($E$83="АРЕНДА",IF(OR(AG63&lt;'DB2'!$U$25,AG63&gt;'DB2'!$U$27),$AO$62,VLOOKUP(AI63,$AN$63:$AO$122,2,0)),IF(AG63&gt;0,AP63,0))</f>
        <v>1.4999999999999999E-2</v>
      </c>
      <c r="AL63" s="92">
        <f>IF(AH63&gt;0,AJ63*AK63/4,0)/10^6</f>
        <v>1.7960160734999997</v>
      </c>
      <c r="AN63" s="90">
        <v>1</v>
      </c>
      <c r="AO63" s="91"/>
      <c r="AP63" s="91">
        <f t="shared" ref="AP63:AP122" si="27">$AP$62</f>
        <v>3.0000000000000001E-3</v>
      </c>
      <c r="AR63" s="194" t="str">
        <f>'CF2'!B8</f>
        <v>КВАРТИРЫ</v>
      </c>
      <c r="AS63" s="60">
        <f>SUMPRODUCT('CF2'!$F8:$BM8,'CF2'!$F$174:$BM$174)</f>
        <v>36000</v>
      </c>
      <c r="AT63" s="60">
        <f>'CF2'!E8-AS63</f>
        <v>14877.342600000004</v>
      </c>
      <c r="AU63" s="117">
        <f>AS63+AT63-'CF2'!E129-'CF2'!E137</f>
        <v>0</v>
      </c>
    </row>
    <row r="64" spans="2:65">
      <c r="B64" s="74" t="s">
        <v>208</v>
      </c>
      <c r="C64" s="75" t="s">
        <v>231</v>
      </c>
      <c r="D64" s="45">
        <v>0</v>
      </c>
      <c r="E64" s="76">
        <f>SUMIFS('DB2'!$F$8:$F$14,'DB2'!$A$8:$A$14,'TS2'!B64)</f>
        <v>3664.6</v>
      </c>
      <c r="F64" s="76">
        <f t="shared" si="25"/>
        <v>0</v>
      </c>
      <c r="H64" s="74" t="s">
        <v>204</v>
      </c>
      <c r="I64" s="75" t="s">
        <v>156</v>
      </c>
      <c r="J64" s="77"/>
      <c r="K64" s="45">
        <v>63891.1</v>
      </c>
      <c r="M64" s="181" t="s">
        <v>220</v>
      </c>
      <c r="N64" s="193">
        <f>IF($E$89&lt;100000000,12,IF($E$89&lt;=500000000,36,72))/3</f>
        <v>4</v>
      </c>
      <c r="O64" s="87" t="str">
        <f t="shared" ref="O64:O108" si="28">CONCATENATE(IF(MONTH(P64)&lt;=3,"1",IF(MONTH(P64)&lt;=6,"2",IF(MONTH(P64)&lt;=9,"3","4"))),"Q",YEAR(P64))</f>
        <v>4Q2027</v>
      </c>
      <c r="P64" s="88">
        <f>EOMONTH(P63,3)</f>
        <v>46752</v>
      </c>
      <c r="Q64" s="89">
        <f>IF(SUM(Q$62:Q63)&lt;$N$63,$N$65,)</f>
        <v>0</v>
      </c>
      <c r="R64" s="89">
        <f>$N$63-SUM(Q$62:Q63)</f>
        <v>0</v>
      </c>
      <c r="S64" s="89">
        <f t="shared" ref="S64:S112" si="29">R64*$P$60/4</f>
        <v>0</v>
      </c>
      <c r="T64" s="89">
        <f t="shared" ref="T64:T108" si="30">SUM(Q64,S64)</f>
        <v>0</v>
      </c>
      <c r="U64" s="90">
        <f>IF(P64&gt;$N$66,0,IF(P65&gt;$N$66,SUM(Q$63:$Q64)+S64,T64))</f>
        <v>0</v>
      </c>
      <c r="W64" s="181" t="s">
        <v>374</v>
      </c>
      <c r="X64" s="337">
        <v>0.5</v>
      </c>
      <c r="Y64" s="87" t="str">
        <f t="shared" ref="Y64:Y108" si="31">CONCATENATE(IF(MONTH(Z64)&lt;=3,"1",IF(MONTH(Z64)&lt;=6,"2",IF(MONTH(Z64)&lt;=9,"3","4"))),"Q",YEAR(Z64))</f>
        <v>4Q2027</v>
      </c>
      <c r="Z64" s="88">
        <f>EOMONTH(Z63,3)</f>
        <v>46691</v>
      </c>
      <c r="AA64" s="89">
        <f t="shared" ref="AA64:AA66" si="32">$X$63*$X$64/4</f>
        <v>391.28740463143362</v>
      </c>
      <c r="AB64" s="89">
        <f t="shared" ref="AB64:AB112" si="33">IF(Z64&lt;$X$65,$C$81,)/10^6</f>
        <v>3901.7226870514687</v>
      </c>
      <c r="AC64" s="89">
        <f t="shared" ref="AC64:AC112" si="34">AB64*$X$66/4</f>
        <v>24.385766794071682</v>
      </c>
      <c r="AF64" s="87" t="str">
        <f t="shared" ref="AF64:AF122" si="35">CONCATENATE(IF(MONTH(AG64)&lt;=3,"1",IF(MONTH(AG64)&lt;=6,"2",IF(MONTH(AG64)&lt;=9,"3","4"))),"Q",YEAR(AG64))</f>
        <v>3Q2025</v>
      </c>
      <c r="AG64" s="88">
        <f>EOMONTH(AG63,3)</f>
        <v>45930</v>
      </c>
      <c r="AH64" s="76">
        <f>IF(AND(AH63&lt;0,AG64&lt;=EOMONTH('DB2'!U$27,3*'DB2'!$P$50)),1,IF(AG64&lt;=EOMONTH('DB2'!U$27,3*'DB2'!$P$50),AH63+1,0))</f>
        <v>2</v>
      </c>
      <c r="AI64" s="76">
        <f>IF(AND(AI63&gt;0,AG64&lt;=EOMONTH('DB2'!$U$27,0)),AI63+1,IF(AND(AG64&gt;'DB2'!$U$25,AG64&lt;='DB2'!$U$27),1,0))</f>
        <v>0</v>
      </c>
      <c r="AJ64" s="90">
        <f t="shared" si="26"/>
        <v>478937619.59999996</v>
      </c>
      <c r="AK64" s="91">
        <f>IF($E$83="АРЕНДА",IF(OR(AG64&lt;'DB2'!$U$25,AG64&gt;'DB2'!$U$27),$AO$62,VLOOKUP(AI64,$AN$63:$AO$122,2,0)),IF(AG64&gt;0,AP64,0))</f>
        <v>1.4999999999999999E-2</v>
      </c>
      <c r="AL64" s="92">
        <f t="shared" ref="AL64:AL122" si="36">IF(AH64&gt;0,AJ64*AK64/4,0)/10^6</f>
        <v>1.7960160734999997</v>
      </c>
      <c r="AN64" s="90">
        <v>2</v>
      </c>
      <c r="AO64" s="91"/>
      <c r="AP64" s="91">
        <f t="shared" si="27"/>
        <v>3.0000000000000001E-3</v>
      </c>
      <c r="AR64" s="194" t="str">
        <f>'CF2'!B9</f>
        <v>АПАРТАМЕНТЫ</v>
      </c>
      <c r="AS64" s="60">
        <f>SUMPRODUCT('CF2'!$F9:$BM9,'CF2'!$F$174:$BM$174)</f>
        <v>0</v>
      </c>
      <c r="AT64" s="60">
        <f>'CF2'!E9-AS64</f>
        <v>0</v>
      </c>
      <c r="AU64" s="117">
        <f>AS64+AT64-'CF2'!E130-'CF2'!E138</f>
        <v>0</v>
      </c>
    </row>
    <row r="65" spans="2:48">
      <c r="B65" s="74" t="s">
        <v>209</v>
      </c>
      <c r="C65" s="75" t="s">
        <v>150</v>
      </c>
      <c r="D65" s="45">
        <v>165199.29</v>
      </c>
      <c r="E65" s="76">
        <f>SUMIFS('DB2'!$F$8:$F$14,'DB2'!$A$8:$A$14,'TS2'!B65)</f>
        <v>0</v>
      </c>
      <c r="F65" s="76">
        <f t="shared" si="25"/>
        <v>0</v>
      </c>
      <c r="M65" s="181" t="s">
        <v>226</v>
      </c>
      <c r="N65" s="193">
        <f>N63/N64</f>
        <v>0</v>
      </c>
      <c r="O65" s="87" t="str">
        <f t="shared" si="28"/>
        <v>1Q2028</v>
      </c>
      <c r="P65" s="88">
        <f t="shared" ref="P65:P112" si="37">EOMONTH(P64,3)</f>
        <v>46843</v>
      </c>
      <c r="Q65" s="89">
        <f>IF(SUM(Q$62:Q64)&lt;$N$63,$N$65,)</f>
        <v>0</v>
      </c>
      <c r="R65" s="89">
        <f>$N$63-SUM(Q$62:Q64)</f>
        <v>0</v>
      </c>
      <c r="S65" s="89">
        <f t="shared" si="29"/>
        <v>0</v>
      </c>
      <c r="T65" s="89">
        <f t="shared" si="30"/>
        <v>0</v>
      </c>
      <c r="U65" s="90">
        <f>IF(P65&gt;$N$66,0,IF(P66&gt;$N$66,SUM(Q$63:$Q65)+S65,T65))</f>
        <v>0</v>
      </c>
      <c r="W65" s="181" t="s">
        <v>376</v>
      </c>
      <c r="X65" s="338">
        <f>EOMONTH(Z63,(3*12+7+3))</f>
        <v>47999</v>
      </c>
      <c r="Y65" s="87" t="str">
        <f t="shared" si="31"/>
        <v>1Q2028</v>
      </c>
      <c r="Z65" s="88">
        <f t="shared" ref="Z65:Z112" si="38">EOMONTH(Z64,3)</f>
        <v>46783</v>
      </c>
      <c r="AA65" s="89">
        <f t="shared" si="32"/>
        <v>391.28740463143362</v>
      </c>
      <c r="AB65" s="89">
        <f t="shared" si="33"/>
        <v>3901.7226870514687</v>
      </c>
      <c r="AC65" s="89">
        <f t="shared" si="34"/>
        <v>24.385766794071682</v>
      </c>
      <c r="AF65" s="87" t="str">
        <f t="shared" si="35"/>
        <v>4Q2025</v>
      </c>
      <c r="AG65" s="88">
        <f t="shared" ref="AG65:AG122" si="39">EOMONTH(AG64,3)</f>
        <v>46022</v>
      </c>
      <c r="AH65" s="76">
        <f>IF(AND(AH64&lt;0,AG65&lt;=EOMONTH('DB2'!U$27,3*'DB2'!$P$50)),1,IF(AG65&lt;=EOMONTH('DB2'!U$27,3*'DB2'!$P$50),AH64+1,0))</f>
        <v>3</v>
      </c>
      <c r="AI65" s="76">
        <f>IF(AND(AI64&gt;0,AG65&lt;=EOMONTH('DB2'!$U$27,0)),AI64+1,IF(AND(AG65&gt;'DB2'!$U$25,AG65&lt;='DB2'!$U$27),1,0))</f>
        <v>0</v>
      </c>
      <c r="AJ65" s="90">
        <f t="shared" si="26"/>
        <v>478937619.59999996</v>
      </c>
      <c r="AK65" s="91">
        <f>IF($E$83="АРЕНДА",IF(OR(AG65&lt;'DB2'!$U$25,AG65&gt;'DB2'!$U$27),$AO$62,VLOOKUP(AI65,$AN$63:$AO$122,2,0)),IF(AG65&gt;0,AP65,0))</f>
        <v>1.4999999999999999E-2</v>
      </c>
      <c r="AL65" s="92">
        <f t="shared" si="36"/>
        <v>1.7960160734999997</v>
      </c>
      <c r="AN65" s="90">
        <v>3</v>
      </c>
      <c r="AO65" s="91"/>
      <c r="AP65" s="91">
        <f t="shared" si="27"/>
        <v>3.0000000000000001E-3</v>
      </c>
      <c r="AR65" s="194" t="str">
        <f>'CF2'!B10</f>
        <v>ОФИСЫ</v>
      </c>
      <c r="AS65" s="60">
        <f>SUMPRODUCT('CF2'!$F10:$BM10,'CF2'!$F$174:$BM$174)</f>
        <v>0</v>
      </c>
      <c r="AT65" s="60">
        <f>'CF2'!E10-AS65</f>
        <v>0</v>
      </c>
      <c r="AU65" s="117">
        <f>AS65+AT65-'CF2'!E131-'CF2'!E139</f>
        <v>0</v>
      </c>
    </row>
    <row r="66" spans="2:48">
      <c r="B66" s="74" t="s">
        <v>204</v>
      </c>
      <c r="C66" s="75" t="s">
        <v>153</v>
      </c>
      <c r="D66" s="45">
        <v>0</v>
      </c>
      <c r="E66" s="76">
        <f>SUMIFS('DB2'!$F$8:$F$14,'DB2'!$A$8:$A$14,'TS2'!B66)</f>
        <v>0</v>
      </c>
      <c r="F66" s="76">
        <f t="shared" si="25"/>
        <v>0</v>
      </c>
      <c r="M66" s="181" t="s">
        <v>221</v>
      </c>
      <c r="N66" s="53">
        <f>'DB2'!U27</f>
        <v>47756</v>
      </c>
      <c r="O66" s="87" t="str">
        <f t="shared" si="28"/>
        <v>2Q2028</v>
      </c>
      <c r="P66" s="88">
        <f t="shared" si="37"/>
        <v>46934</v>
      </c>
      <c r="Q66" s="89">
        <f>IF(SUM(Q$62:Q65)&lt;$N$63,$N$65,)</f>
        <v>0</v>
      </c>
      <c r="R66" s="89">
        <f>$N$63-SUM(Q$62:Q65)</f>
        <v>0</v>
      </c>
      <c r="S66" s="89">
        <f t="shared" si="29"/>
        <v>0</v>
      </c>
      <c r="T66" s="89">
        <f t="shared" si="30"/>
        <v>0</v>
      </c>
      <c r="U66" s="90">
        <f>IF(P66&gt;$N$66,0,IF(P67&gt;$N$66,SUM(Q$63:$Q66)+S66,T66))</f>
        <v>0</v>
      </c>
      <c r="W66" s="181" t="s">
        <v>375</v>
      </c>
      <c r="X66" s="337">
        <v>2.5000000000000001E-2</v>
      </c>
      <c r="Y66" s="87" t="str">
        <f t="shared" si="31"/>
        <v>2Q2028</v>
      </c>
      <c r="Z66" s="88">
        <f t="shared" si="38"/>
        <v>46873</v>
      </c>
      <c r="AA66" s="89">
        <f t="shared" si="32"/>
        <v>391.28740463143362</v>
      </c>
      <c r="AB66" s="89">
        <f t="shared" si="33"/>
        <v>3901.7226870514687</v>
      </c>
      <c r="AC66" s="89">
        <f t="shared" si="34"/>
        <v>24.385766794071682</v>
      </c>
      <c r="AF66" s="87" t="str">
        <f t="shared" si="35"/>
        <v>1Q2026</v>
      </c>
      <c r="AG66" s="88">
        <f t="shared" si="39"/>
        <v>46112</v>
      </c>
      <c r="AH66" s="76">
        <f>IF(AND(AH65&lt;0,AG66&lt;=EOMONTH('DB2'!U$27,3*'DB2'!$P$50)),1,IF(AG66&lt;=EOMONTH('DB2'!U$27,3*'DB2'!$P$50),AH65+1,0))</f>
        <v>4</v>
      </c>
      <c r="AI66" s="76">
        <f>IF(AND(AI65&gt;0,AG66&lt;=EOMONTH('DB2'!$U$27,0)),AI65+1,IF(AND(AG66&gt;'DB2'!$U$25,AG66&lt;='DB2'!$U$27),1,0))</f>
        <v>0</v>
      </c>
      <c r="AJ66" s="90">
        <f t="shared" si="26"/>
        <v>478937619.59999996</v>
      </c>
      <c r="AK66" s="91">
        <f>IF($E$83="АРЕНДА",IF(OR(AG66&lt;'DB2'!$U$25,AG66&gt;'DB2'!$U$27),$AO$62,VLOOKUP(AI66,$AN$63:$AO$122,2,0)),IF(AG66&gt;0,AP66,0))</f>
        <v>1.4999999999999999E-2</v>
      </c>
      <c r="AL66" s="92">
        <f t="shared" si="36"/>
        <v>1.7960160734999997</v>
      </c>
      <c r="AN66" s="90">
        <v>4</v>
      </c>
      <c r="AO66" s="91"/>
      <c r="AP66" s="91">
        <f t="shared" si="27"/>
        <v>3.0000000000000001E-3</v>
      </c>
      <c r="AR66" s="194" t="str">
        <f>'CF2'!B11</f>
        <v>РИТЕЙЛ</v>
      </c>
      <c r="AS66" s="60">
        <f>SUMPRODUCT('CF2'!$F11:$BM11,'CF2'!$F$174:$BM$174)</f>
        <v>0</v>
      </c>
      <c r="AT66" s="60">
        <f>'CF2'!E11-AS66</f>
        <v>2556.0584999999996</v>
      </c>
      <c r="AU66" s="117">
        <f>AS66+AT66-'CF2'!E132-'CF2'!E140</f>
        <v>0</v>
      </c>
    </row>
    <row r="67" spans="2:48">
      <c r="B67" s="74" t="s">
        <v>210</v>
      </c>
      <c r="C67" s="75" t="s">
        <v>151</v>
      </c>
      <c r="D67" s="45">
        <v>0</v>
      </c>
      <c r="E67" s="76">
        <f>SUMIFS('DB2'!$F$8:$F$14,'DB2'!$A$8:$A$14,'TS2'!B67)</f>
        <v>0</v>
      </c>
      <c r="F67" s="76">
        <f t="shared" si="25"/>
        <v>0</v>
      </c>
      <c r="H67" s="121" t="s">
        <v>219</v>
      </c>
      <c r="I67" s="122"/>
      <c r="J67" s="54" t="s">
        <v>217</v>
      </c>
      <c r="K67" s="93">
        <f>'DB2'!P2</f>
        <v>35000</v>
      </c>
      <c r="M67" s="181" t="s">
        <v>236</v>
      </c>
      <c r="N67" s="193">
        <f>U113-Q113</f>
        <v>0</v>
      </c>
      <c r="O67" s="87" t="str">
        <f t="shared" si="28"/>
        <v>3Q2028</v>
      </c>
      <c r="P67" s="88">
        <f t="shared" si="37"/>
        <v>47026</v>
      </c>
      <c r="Q67" s="89">
        <f>IF(SUM(Q$62:Q66)&lt;$N$63,$N$65,)</f>
        <v>0</v>
      </c>
      <c r="R67" s="89">
        <f>$N$63-SUM(Q$62:Q66)</f>
        <v>0</v>
      </c>
      <c r="S67" s="89">
        <f t="shared" si="29"/>
        <v>0</v>
      </c>
      <c r="T67" s="89">
        <f t="shared" si="30"/>
        <v>0</v>
      </c>
      <c r="U67" s="90">
        <f>IF(P67&gt;$N$66,0,IF(P68&gt;$N$66,SUM(Q$63:$Q67)+S67,T67))</f>
        <v>0</v>
      </c>
      <c r="Y67" s="87" t="str">
        <f t="shared" si="31"/>
        <v>3Q2028</v>
      </c>
      <c r="Z67" s="88">
        <f t="shared" si="38"/>
        <v>46965</v>
      </c>
      <c r="AA67" s="89"/>
      <c r="AB67" s="89">
        <f t="shared" si="33"/>
        <v>3901.7226870514687</v>
      </c>
      <c r="AC67" s="89">
        <f t="shared" si="34"/>
        <v>24.385766794071682</v>
      </c>
      <c r="AF67" s="87" t="str">
        <f t="shared" si="35"/>
        <v>2Q2026</v>
      </c>
      <c r="AG67" s="88">
        <f t="shared" si="39"/>
        <v>46203</v>
      </c>
      <c r="AH67" s="76">
        <f>IF(AND(AH66&lt;0,AG67&lt;=EOMONTH('DB2'!U$27,3*'DB2'!$P$50)),1,IF(AG67&lt;=EOMONTH('DB2'!U$27,3*'DB2'!$P$50),AH66+1,0))</f>
        <v>5</v>
      </c>
      <c r="AI67" s="76">
        <f>IF(AND(AI66&gt;0,AG67&lt;=EOMONTH('DB2'!$U$27,0)),AI66+1,IF(AND(AG67&gt;'DB2'!$U$25,AG67&lt;='DB2'!$U$27),1,0))</f>
        <v>0</v>
      </c>
      <c r="AJ67" s="90">
        <f t="shared" si="26"/>
        <v>478937619.59999996</v>
      </c>
      <c r="AK67" s="91">
        <f>IF($E$83="АРЕНДА",IF(OR(AG67&lt;'DB2'!$U$25,AG67&gt;'DB2'!$U$27),$AO$62,VLOOKUP(AI67,$AN$63:$AO$122,2,0)),IF(AG67&gt;0,AP67,0))</f>
        <v>1.4999999999999999E-2</v>
      </c>
      <c r="AL67" s="92">
        <f t="shared" si="36"/>
        <v>1.7960160734999997</v>
      </c>
      <c r="AN67" s="90">
        <v>5</v>
      </c>
      <c r="AO67" s="91">
        <f>$AO$62</f>
        <v>1.4999999999999999E-2</v>
      </c>
      <c r="AP67" s="91">
        <f t="shared" si="27"/>
        <v>3.0000000000000001E-3</v>
      </c>
      <c r="AR67" s="194" t="str">
        <f>'CF2'!B12</f>
        <v>ТЦ</v>
      </c>
      <c r="AS67" s="60">
        <f>SUMPRODUCT('CF2'!$F12:$BM12,'CF2'!$F$174:$BM$174)</f>
        <v>0</v>
      </c>
      <c r="AT67" s="60">
        <f>'CF2'!E12-AS67</f>
        <v>0</v>
      </c>
      <c r="AU67" s="117">
        <f>AS67+AT67-'CF2'!E133-'CF2'!E141</f>
        <v>0</v>
      </c>
    </row>
    <row r="68" spans="2:48" ht="25" customHeight="1">
      <c r="B68" s="74" t="s">
        <v>206</v>
      </c>
      <c r="C68" s="75" t="s">
        <v>152</v>
      </c>
      <c r="D68" s="45">
        <v>0</v>
      </c>
      <c r="E68" s="76">
        <f>SUMIFS('DB2'!$F$8:$F$14,'DB2'!$A$8:$A$14,'TS2'!B68)</f>
        <v>0</v>
      </c>
      <c r="F68" s="76">
        <f t="shared" si="25"/>
        <v>0</v>
      </c>
      <c r="H68" s="17" t="s">
        <v>203</v>
      </c>
      <c r="I68" s="17" t="s">
        <v>173</v>
      </c>
      <c r="J68" s="17" t="s">
        <v>172</v>
      </c>
      <c r="K68" s="17" t="s">
        <v>171</v>
      </c>
      <c r="M68" s="78"/>
      <c r="N68" s="78"/>
      <c r="O68" s="87" t="str">
        <f t="shared" si="28"/>
        <v>4Q2028</v>
      </c>
      <c r="P68" s="88">
        <f t="shared" si="37"/>
        <v>47118</v>
      </c>
      <c r="Q68" s="89">
        <f>IF(SUM(Q$62:Q67)&lt;$N$63,$N$65,)</f>
        <v>0</v>
      </c>
      <c r="R68" s="89">
        <f>$N$63-SUM(Q$62:Q67)</f>
        <v>0</v>
      </c>
      <c r="S68" s="89">
        <f t="shared" si="29"/>
        <v>0</v>
      </c>
      <c r="T68" s="89">
        <f t="shared" si="30"/>
        <v>0</v>
      </c>
      <c r="U68" s="90">
        <f>IF(P68&gt;$N$66,0,IF(P69&gt;$N$66,SUM(Q$63:$Q68)+S68,T68))</f>
        <v>0</v>
      </c>
      <c r="Y68" s="87" t="str">
        <f t="shared" si="31"/>
        <v>4Q2028</v>
      </c>
      <c r="Z68" s="88">
        <f t="shared" si="38"/>
        <v>47057</v>
      </c>
      <c r="AA68" s="89"/>
      <c r="AB68" s="89">
        <f t="shared" si="33"/>
        <v>3901.7226870514687</v>
      </c>
      <c r="AC68" s="89">
        <f t="shared" si="34"/>
        <v>24.385766794071682</v>
      </c>
      <c r="AF68" s="87" t="str">
        <f t="shared" si="35"/>
        <v>3Q2026</v>
      </c>
      <c r="AG68" s="88">
        <f t="shared" si="39"/>
        <v>46295</v>
      </c>
      <c r="AH68" s="76">
        <f>IF(AND(AH67&lt;0,AG68&lt;=EOMONTH('DB2'!U$27,3*'DB2'!$P$50)),1,IF(AG68&lt;=EOMONTH('DB2'!U$27,3*'DB2'!$P$50),AH67+1,0))</f>
        <v>6</v>
      </c>
      <c r="AI68" s="76">
        <f>IF(AND(AI67&gt;0,AG68&lt;=EOMONTH('DB2'!$U$27,0)),AI67+1,IF(AND(AG68&gt;'DB2'!$U$25,AG68&lt;='DB2'!$U$27),1,0))</f>
        <v>0</v>
      </c>
      <c r="AJ68" s="90">
        <f t="shared" si="26"/>
        <v>478937619.59999996</v>
      </c>
      <c r="AK68" s="91">
        <f>IF($E$83="АРЕНДА",IF(OR(AG68&lt;'DB2'!$U$25,AG68&gt;'DB2'!$U$27),$AO$62,VLOOKUP(AI68,$AN$63:$AO$122,2,0)),IF(AG68&gt;0,AP68,0))</f>
        <v>1.4999999999999999E-2</v>
      </c>
      <c r="AL68" s="92">
        <f t="shared" si="36"/>
        <v>1.7960160734999997</v>
      </c>
      <c r="AN68" s="90">
        <v>6</v>
      </c>
      <c r="AO68" s="91">
        <f>$AO$62</f>
        <v>1.4999999999999999E-2</v>
      </c>
      <c r="AP68" s="91">
        <f t="shared" si="27"/>
        <v>3.0000000000000001E-3</v>
      </c>
      <c r="AR68" s="194" t="str">
        <f>'CF2'!B13</f>
        <v>ПАРКИНГ ЖИЛЬЕ</v>
      </c>
      <c r="AS68" s="60">
        <f>SUMPRODUCT('CF2'!$F13:$BM13,'CF2'!$F$174:$BM$174)</f>
        <v>360</v>
      </c>
      <c r="AT68" s="60">
        <f>'CF2'!E13-AS68</f>
        <v>153</v>
      </c>
      <c r="AU68" s="117">
        <f>AS68+AT68-'CF2'!E134-'CF2'!E142</f>
        <v>0</v>
      </c>
    </row>
    <row r="69" spans="2:48">
      <c r="E69" s="94">
        <f>SUM(E62:E68)</f>
        <v>81817.200000000012</v>
      </c>
      <c r="F69" s="94">
        <f>SUM(F62:F68)</f>
        <v>17998.417954314002</v>
      </c>
      <c r="H69" s="76">
        <f t="shared" ref="H69:H80" si="40">IF(AND($K$67&gt;=I69,$K$67&lt;=J69),1,0)</f>
        <v>0</v>
      </c>
      <c r="I69" s="76">
        <v>0</v>
      </c>
      <c r="J69" s="76">
        <v>3000</v>
      </c>
      <c r="K69" s="91">
        <v>0.05</v>
      </c>
      <c r="M69" s="78"/>
      <c r="N69" s="78"/>
      <c r="O69" s="87" t="str">
        <f t="shared" si="28"/>
        <v>1Q2029</v>
      </c>
      <c r="P69" s="88">
        <f t="shared" si="37"/>
        <v>47208</v>
      </c>
      <c r="Q69" s="89">
        <f>IF(SUM(Q$62:Q68)&lt;$N$63,$N$65,)</f>
        <v>0</v>
      </c>
      <c r="R69" s="89">
        <f>$N$63-SUM(Q$62:Q68)</f>
        <v>0</v>
      </c>
      <c r="S69" s="89">
        <f t="shared" si="29"/>
        <v>0</v>
      </c>
      <c r="T69" s="89">
        <f t="shared" si="30"/>
        <v>0</v>
      </c>
      <c r="U69" s="90">
        <f>IF(P69&gt;$N$66,0,IF(P70&gt;$N$66,SUM(Q$63:$Q69)+S69,T69))</f>
        <v>0</v>
      </c>
      <c r="Y69" s="87" t="str">
        <f t="shared" si="31"/>
        <v>1Q2029</v>
      </c>
      <c r="Z69" s="88">
        <f t="shared" si="38"/>
        <v>47149</v>
      </c>
      <c r="AA69" s="89"/>
      <c r="AB69" s="89">
        <f t="shared" si="33"/>
        <v>3901.7226870514687</v>
      </c>
      <c r="AC69" s="89">
        <f t="shared" si="34"/>
        <v>24.385766794071682</v>
      </c>
      <c r="AF69" s="87" t="str">
        <f t="shared" si="35"/>
        <v>4Q2026</v>
      </c>
      <c r="AG69" s="88">
        <f t="shared" si="39"/>
        <v>46387</v>
      </c>
      <c r="AH69" s="76">
        <f>IF(AND(AH68&lt;0,AG69&lt;=EOMONTH('DB2'!U$27,3*'DB2'!$P$50)),1,IF(AG69&lt;=EOMONTH('DB2'!U$27,3*'DB2'!$P$50),AH68+1,0))</f>
        <v>7</v>
      </c>
      <c r="AI69" s="76">
        <f>IF(AND(AI68&gt;0,AG69&lt;=EOMONTH('DB2'!$U$27,0)),AI68+1,IF(AND(AG69&gt;'DB2'!$U$25,AG69&lt;='DB2'!$U$27),1,0))</f>
        <v>0</v>
      </c>
      <c r="AJ69" s="90">
        <f t="shared" si="26"/>
        <v>478937619.59999996</v>
      </c>
      <c r="AK69" s="91">
        <f>IF($E$83="АРЕНДА",IF(OR(AG69&lt;'DB2'!$U$25,AG69&gt;'DB2'!$U$27),$AO$62,VLOOKUP(AI69,$AN$63:$AO$122,2,0)),IF(AG69&gt;0,AP69,0))</f>
        <v>1.4999999999999999E-2</v>
      </c>
      <c r="AL69" s="92">
        <f t="shared" si="36"/>
        <v>1.7960160734999997</v>
      </c>
      <c r="AN69" s="90">
        <v>7</v>
      </c>
      <c r="AO69" s="91">
        <f>$AO$62</f>
        <v>1.4999999999999999E-2</v>
      </c>
      <c r="AP69" s="91">
        <f t="shared" si="27"/>
        <v>3.0000000000000001E-3</v>
      </c>
      <c r="AR69" s="194" t="str">
        <f>'CF2'!B14</f>
        <v>ПАРКИНГ ОФИС</v>
      </c>
      <c r="AS69" s="60">
        <f>SUMPRODUCT('CF2'!$F14:$BM14,'CF2'!$F$174:$BM$174)</f>
        <v>0</v>
      </c>
      <c r="AT69" s="60">
        <f>'CF2'!E14-AS69</f>
        <v>0</v>
      </c>
      <c r="AU69" s="117">
        <f>AS69+AT69-'CF2'!E135-'CF2'!E143</f>
        <v>0</v>
      </c>
    </row>
    <row r="70" spans="2:48">
      <c r="B70" s="95" t="s">
        <v>211</v>
      </c>
      <c r="C70" s="96" t="str">
        <f>LEFT('DB2'!P48,13)</f>
        <v>77:02:0019010</v>
      </c>
      <c r="D70" s="66"/>
      <c r="H70" s="76">
        <f t="shared" si="40"/>
        <v>0</v>
      </c>
      <c r="I70" s="76">
        <v>3000</v>
      </c>
      <c r="J70" s="76">
        <v>7000</v>
      </c>
      <c r="K70" s="91">
        <v>0.1</v>
      </c>
      <c r="M70" s="78"/>
      <c r="N70" s="78"/>
      <c r="O70" s="87" t="str">
        <f t="shared" si="28"/>
        <v>2Q2029</v>
      </c>
      <c r="P70" s="88">
        <f t="shared" si="37"/>
        <v>47299</v>
      </c>
      <c r="Q70" s="89">
        <f>IF(SUM(Q$62:Q69)&lt;$N$63,$N$65,)</f>
        <v>0</v>
      </c>
      <c r="R70" s="89">
        <f>$N$63-SUM(Q$62:Q69)</f>
        <v>0</v>
      </c>
      <c r="S70" s="89">
        <f t="shared" si="29"/>
        <v>0</v>
      </c>
      <c r="T70" s="89">
        <f t="shared" si="30"/>
        <v>0</v>
      </c>
      <c r="U70" s="90">
        <f>IF(P70&gt;$N$66,0,IF(P71&gt;$N$66,SUM(Q$63:$Q70)+S70,T70))</f>
        <v>0</v>
      </c>
      <c r="Y70" s="87" t="str">
        <f t="shared" si="31"/>
        <v>2Q2029</v>
      </c>
      <c r="Z70" s="88">
        <f t="shared" si="38"/>
        <v>47238</v>
      </c>
      <c r="AA70" s="89"/>
      <c r="AB70" s="89">
        <f t="shared" si="33"/>
        <v>3901.7226870514687</v>
      </c>
      <c r="AC70" s="89">
        <f t="shared" si="34"/>
        <v>24.385766794071682</v>
      </c>
      <c r="AF70" s="87" t="str">
        <f t="shared" si="35"/>
        <v>1Q2027</v>
      </c>
      <c r="AG70" s="88">
        <f t="shared" si="39"/>
        <v>46477</v>
      </c>
      <c r="AH70" s="76">
        <f>IF(AND(AH69&lt;0,AG70&lt;=EOMONTH('DB2'!U$27,3*'DB2'!$P$50)),1,IF(AG70&lt;=EOMONTH('DB2'!U$27,3*'DB2'!$P$50),AH69+1,0))</f>
        <v>8</v>
      </c>
      <c r="AI70" s="76">
        <f>IF(AND(AI69&gt;0,AG70&lt;=EOMONTH('DB2'!$U$27,0)),AI69+1,IF(AND(AG70&gt;'DB2'!$U$25,AG70&lt;='DB2'!$U$27),1,0))</f>
        <v>0</v>
      </c>
      <c r="AJ70" s="90">
        <f t="shared" si="26"/>
        <v>478937619.59999996</v>
      </c>
      <c r="AK70" s="91">
        <f>IF($E$83="АРЕНДА",IF(OR(AG70&lt;'DB2'!$U$25,AG70&gt;'DB2'!$U$27),$AO$62,VLOOKUP(AI70,$AN$63:$AO$122,2,0)),IF(AG70&gt;0,AP70,0))</f>
        <v>1.4999999999999999E-2</v>
      </c>
      <c r="AL70" s="92">
        <f t="shared" si="36"/>
        <v>1.7960160734999997</v>
      </c>
      <c r="AN70" s="90">
        <v>8</v>
      </c>
      <c r="AO70" s="91">
        <f>$AO$62</f>
        <v>1.4999999999999999E-2</v>
      </c>
      <c r="AP70" s="91">
        <f t="shared" si="27"/>
        <v>3.0000000000000001E-3</v>
      </c>
      <c r="AR70" s="85" t="s">
        <v>13</v>
      </c>
      <c r="AS70" s="85" t="s">
        <v>1</v>
      </c>
      <c r="AT70" s="97">
        <f>SUM(AT71:AT74)</f>
        <v>19639.097446740216</v>
      </c>
    </row>
    <row r="71" spans="2:48">
      <c r="B71" s="116"/>
      <c r="C71" s="116"/>
      <c r="H71" s="76">
        <f t="shared" si="40"/>
        <v>0</v>
      </c>
      <c r="I71" s="76">
        <v>7000</v>
      </c>
      <c r="J71" s="76">
        <v>11000</v>
      </c>
      <c r="K71" s="91">
        <v>0.15000000000000002</v>
      </c>
      <c r="O71" s="87" t="str">
        <f t="shared" si="28"/>
        <v>3Q2029</v>
      </c>
      <c r="P71" s="88">
        <f t="shared" si="37"/>
        <v>47391</v>
      </c>
      <c r="Q71" s="89">
        <f>IF(SUM(Q$62:Q70)&lt;$N$63,$N$65,)</f>
        <v>0</v>
      </c>
      <c r="R71" s="89">
        <f>$N$63-SUM(Q$62:Q70)</f>
        <v>0</v>
      </c>
      <c r="S71" s="89">
        <f t="shared" si="29"/>
        <v>0</v>
      </c>
      <c r="T71" s="89">
        <f t="shared" si="30"/>
        <v>0</v>
      </c>
      <c r="U71" s="90">
        <f>IF(P71&gt;$N$66,0,IF(P72&gt;$N$66,SUM(Q$63:$Q71)+S71,T71))</f>
        <v>0</v>
      </c>
      <c r="Y71" s="87" t="str">
        <f t="shared" si="31"/>
        <v>3Q2029</v>
      </c>
      <c r="Z71" s="88">
        <f t="shared" si="38"/>
        <v>47330</v>
      </c>
      <c r="AA71" s="89"/>
      <c r="AB71" s="89">
        <f t="shared" si="33"/>
        <v>3901.7226870514687</v>
      </c>
      <c r="AC71" s="89">
        <f t="shared" si="34"/>
        <v>24.385766794071682</v>
      </c>
      <c r="AF71" s="87" t="str">
        <f t="shared" si="35"/>
        <v>2Q2027</v>
      </c>
      <c r="AG71" s="88">
        <f t="shared" si="39"/>
        <v>46568</v>
      </c>
      <c r="AH71" s="76">
        <f>IF(AND(AH70&lt;0,AG71&lt;=EOMONTH('DB2'!U$27,3*'DB2'!$P$50)),1,IF(AG71&lt;=EOMONTH('DB2'!U$27,3*'DB2'!$P$50),AH70+1,0))</f>
        <v>9</v>
      </c>
      <c r="AI71" s="76">
        <f>IF(AND(AI70&gt;0,AG71&lt;=EOMONTH('DB2'!$U$27,0)),AI70+1,IF(AND(AG71&gt;'DB2'!$U$25,AG71&lt;='DB2'!$U$27),1,0))</f>
        <v>0</v>
      </c>
      <c r="AJ71" s="90">
        <f t="shared" si="26"/>
        <v>478937619.59999996</v>
      </c>
      <c r="AK71" s="91">
        <f>IF($E$83="АРЕНДА",IF(OR(AG71&lt;'DB2'!$U$25,AG71&gt;'DB2'!$U$27),$AO$62,VLOOKUP(AI71,$AN$63:$AO$122,2,0)),IF(AG71&gt;0,AP71,0))</f>
        <v>1.4999999999999999E-2</v>
      </c>
      <c r="AL71" s="92">
        <f t="shared" si="36"/>
        <v>1.7960160734999997</v>
      </c>
      <c r="AN71" s="90">
        <v>9</v>
      </c>
      <c r="AO71" s="91">
        <f>$AO$70*2</f>
        <v>0.03</v>
      </c>
      <c r="AP71" s="91">
        <f t="shared" si="27"/>
        <v>3.0000000000000001E-3</v>
      </c>
      <c r="AR71" s="98" t="s">
        <v>13</v>
      </c>
      <c r="AS71" s="98" t="s">
        <v>135</v>
      </c>
      <c r="AT71" s="99">
        <f>-'CF2'!E59-AT72-AT73-AT74-'TS2'!AA113-'CF2'!E60+AU71/2</f>
        <v>6403.527994740215</v>
      </c>
      <c r="AU71" s="1171">
        <f>'CF1'!E60+'CF2'!E60</f>
        <v>-3841.3457539823703</v>
      </c>
      <c r="AV71" s="1173" t="s">
        <v>1692</v>
      </c>
    </row>
    <row r="72" spans="2:48">
      <c r="B72" s="74" t="s">
        <v>215</v>
      </c>
      <c r="C72" s="182">
        <v>0.12989999999999999</v>
      </c>
      <c r="H72" s="76">
        <f t="shared" si="40"/>
        <v>0</v>
      </c>
      <c r="I72" s="76">
        <v>11000</v>
      </c>
      <c r="J72" s="76">
        <v>15000</v>
      </c>
      <c r="K72" s="91">
        <v>0.2</v>
      </c>
      <c r="O72" s="87" t="str">
        <f t="shared" si="28"/>
        <v>4Q2029</v>
      </c>
      <c r="P72" s="88">
        <f t="shared" si="37"/>
        <v>47483</v>
      </c>
      <c r="Q72" s="89">
        <f>IF(SUM(Q$62:Q71)&lt;$N$63,$N$65,)</f>
        <v>0</v>
      </c>
      <c r="R72" s="89">
        <f>$N$63-SUM(Q$62:Q71)</f>
        <v>0</v>
      </c>
      <c r="S72" s="89">
        <f t="shared" si="29"/>
        <v>0</v>
      </c>
      <c r="T72" s="89">
        <f t="shared" si="30"/>
        <v>0</v>
      </c>
      <c r="U72" s="90">
        <f>IF(P72&gt;$N$66,0,IF(P73&gt;$N$66,SUM(Q$63:$Q72)+S72,T72))</f>
        <v>0</v>
      </c>
      <c r="Y72" s="87" t="str">
        <f t="shared" si="31"/>
        <v>4Q2029</v>
      </c>
      <c r="Z72" s="88">
        <f t="shared" si="38"/>
        <v>47422</v>
      </c>
      <c r="AA72" s="89"/>
      <c r="AB72" s="89">
        <f t="shared" si="33"/>
        <v>3901.7226870514687</v>
      </c>
      <c r="AC72" s="89">
        <f t="shared" si="34"/>
        <v>24.385766794071682</v>
      </c>
      <c r="AF72" s="87" t="str">
        <f t="shared" si="35"/>
        <v>3Q2027</v>
      </c>
      <c r="AG72" s="88">
        <f t="shared" si="39"/>
        <v>46660</v>
      </c>
      <c r="AH72" s="76">
        <f>IF(AND(AH71&lt;0,AG72&lt;=EOMONTH('DB2'!U$27,3*'DB2'!$P$50)),1,IF(AG72&lt;=EOMONTH('DB2'!U$27,3*'DB2'!$P$50),AH71+1,0))</f>
        <v>10</v>
      </c>
      <c r="AI72" s="76">
        <f>IF(AND(AI71&gt;0,AG72&lt;=EOMONTH('DB2'!$U$27,0)),AI71+1,IF(AND(AG72&gt;'DB2'!$U$25,AG72&lt;='DB2'!$U$27),1,0))</f>
        <v>0</v>
      </c>
      <c r="AJ72" s="90">
        <f t="shared" si="26"/>
        <v>478937619.59999996</v>
      </c>
      <c r="AK72" s="91">
        <f>IF($E$83="АРЕНДА",IF(OR(AG72&lt;'DB2'!$U$25,AG72&gt;'DB2'!$U$27),$AO$62,VLOOKUP(AI72,$AN$63:$AO$122,2,0)),IF(AG72&gt;0,AP72,0))</f>
        <v>1.4999999999999999E-2</v>
      </c>
      <c r="AL72" s="92">
        <f t="shared" si="36"/>
        <v>1.7960160734999997</v>
      </c>
      <c r="AN72" s="90">
        <v>10</v>
      </c>
      <c r="AO72" s="91">
        <f>$AO$70*2</f>
        <v>0.03</v>
      </c>
      <c r="AP72" s="91">
        <f t="shared" si="27"/>
        <v>3.0000000000000001E-3</v>
      </c>
      <c r="AR72" s="98" t="s">
        <v>13</v>
      </c>
      <c r="AS72" s="98" t="str">
        <f>'CF2'!B65</f>
        <v>СМР жилье</v>
      </c>
      <c r="AT72" s="99">
        <f>-'CF2'!E65</f>
        <v>13235.569452000002</v>
      </c>
    </row>
    <row r="73" spans="2:48">
      <c r="B73" s="74" t="s">
        <v>244</v>
      </c>
      <c r="C73" s="183">
        <v>1.6575</v>
      </c>
      <c r="D73" s="335" t="s">
        <v>369</v>
      </c>
      <c r="H73" s="76">
        <f t="shared" si="40"/>
        <v>0</v>
      </c>
      <c r="I73" s="76">
        <v>15000</v>
      </c>
      <c r="J73" s="76">
        <v>19000</v>
      </c>
      <c r="K73" s="91">
        <v>0.25</v>
      </c>
      <c r="O73" s="87" t="str">
        <f t="shared" si="28"/>
        <v>1Q2030</v>
      </c>
      <c r="P73" s="88">
        <f t="shared" si="37"/>
        <v>47573</v>
      </c>
      <c r="Q73" s="89">
        <f>IF(SUM(Q$62:Q72)&lt;$N$63,$N$65,)</f>
        <v>0</v>
      </c>
      <c r="R73" s="89">
        <f>$N$63-SUM(Q$62:Q72)</f>
        <v>0</v>
      </c>
      <c r="S73" s="89">
        <f t="shared" si="29"/>
        <v>0</v>
      </c>
      <c r="T73" s="89">
        <f t="shared" si="30"/>
        <v>0</v>
      </c>
      <c r="U73" s="90">
        <f>IF(P73&gt;$N$66,0,IF(P74&gt;$N$66,SUM(Q$63:$Q73)+S73,T73))</f>
        <v>0</v>
      </c>
      <c r="Y73" s="87" t="str">
        <f t="shared" si="31"/>
        <v>1Q2030</v>
      </c>
      <c r="Z73" s="88">
        <f t="shared" si="38"/>
        <v>47514</v>
      </c>
      <c r="AA73" s="89"/>
      <c r="AB73" s="89">
        <f t="shared" si="33"/>
        <v>3901.7226870514687</v>
      </c>
      <c r="AC73" s="89">
        <f t="shared" si="34"/>
        <v>24.385766794071682</v>
      </c>
      <c r="AF73" s="87" t="str">
        <f t="shared" si="35"/>
        <v>4Q2027</v>
      </c>
      <c r="AG73" s="88">
        <f t="shared" si="39"/>
        <v>46752</v>
      </c>
      <c r="AH73" s="76">
        <f>IF(AND(AH72&lt;0,AG73&lt;=EOMONTH('DB2'!U$27,3*'DB2'!$P$50)),1,IF(AG73&lt;=EOMONTH('DB2'!U$27,3*'DB2'!$P$50),AH72+1,0))</f>
        <v>11</v>
      </c>
      <c r="AI73" s="76">
        <f>IF(AND(AI72&gt;0,AG73&lt;=EOMONTH('DB2'!$U$27,0)),AI72+1,IF(AND(AG73&gt;'DB2'!$U$25,AG73&lt;='DB2'!$U$27),1,0))</f>
        <v>1</v>
      </c>
      <c r="AJ73" s="90">
        <f t="shared" si="26"/>
        <v>2024544709.2</v>
      </c>
      <c r="AK73" s="91">
        <f>IF($E$83="АРЕНДА",IF(OR(AG73&lt;'DB2'!$U$25,AG73&gt;'DB2'!$U$27),$AO$62,VLOOKUP(AI73,$AN$63:$AO$122,2,0)),IF(AG73&gt;0,AP73,0))</f>
        <v>0</v>
      </c>
      <c r="AL73" s="92">
        <f t="shared" si="36"/>
        <v>0</v>
      </c>
      <c r="AN73" s="90">
        <v>11</v>
      </c>
      <c r="AO73" s="91">
        <f>$AO$70*2</f>
        <v>0.03</v>
      </c>
      <c r="AP73" s="91">
        <f t="shared" si="27"/>
        <v>3.0000000000000001E-3</v>
      </c>
      <c r="AR73" s="98" t="s">
        <v>13</v>
      </c>
      <c r="AS73" s="98" t="str">
        <f>'CF2'!B66</f>
        <v>СМР офисы</v>
      </c>
      <c r="AT73" s="99">
        <f>-'CF2'!E66</f>
        <v>0</v>
      </c>
    </row>
    <row r="74" spans="2:48">
      <c r="B74" s="339" t="s">
        <v>245</v>
      </c>
      <c r="C74" s="195">
        <v>1</v>
      </c>
      <c r="H74" s="76">
        <f t="shared" si="40"/>
        <v>0</v>
      </c>
      <c r="I74" s="76">
        <v>19000</v>
      </c>
      <c r="J74" s="76">
        <v>23000</v>
      </c>
      <c r="K74" s="91">
        <v>0.3</v>
      </c>
      <c r="O74" s="87" t="str">
        <f t="shared" si="28"/>
        <v>2Q2030</v>
      </c>
      <c r="P74" s="88">
        <f t="shared" si="37"/>
        <v>47664</v>
      </c>
      <c r="Q74" s="89">
        <f>IF(SUM(Q$62:Q73)&lt;$N$63,$N$65,)</f>
        <v>0</v>
      </c>
      <c r="R74" s="89">
        <f>$N$63-SUM(Q$62:Q73)</f>
        <v>0</v>
      </c>
      <c r="S74" s="89">
        <f t="shared" si="29"/>
        <v>0</v>
      </c>
      <c r="T74" s="89">
        <f t="shared" si="30"/>
        <v>0</v>
      </c>
      <c r="U74" s="90">
        <f>IF(P74&gt;$N$66,0,IF(P75&gt;$N$66,SUM(Q$63:$Q74)+S74,T74))</f>
        <v>0</v>
      </c>
      <c r="Y74" s="87" t="str">
        <f t="shared" si="31"/>
        <v>2Q2030</v>
      </c>
      <c r="Z74" s="88">
        <f t="shared" si="38"/>
        <v>47603</v>
      </c>
      <c r="AA74" s="89"/>
      <c r="AB74" s="89">
        <f t="shared" si="33"/>
        <v>3901.7226870514687</v>
      </c>
      <c r="AC74" s="89">
        <f t="shared" si="34"/>
        <v>24.385766794071682</v>
      </c>
      <c r="AF74" s="87" t="str">
        <f t="shared" si="35"/>
        <v>1Q2028</v>
      </c>
      <c r="AG74" s="88">
        <f t="shared" si="39"/>
        <v>46843</v>
      </c>
      <c r="AH74" s="76">
        <f>IF(AND(AH73&lt;0,AG74&lt;=EOMONTH('DB2'!U$27,3*'DB2'!$P$50)),1,IF(AG74&lt;=EOMONTH('DB2'!U$27,3*'DB2'!$P$50),AH73+1,0))</f>
        <v>12</v>
      </c>
      <c r="AI74" s="76">
        <f>IF(AND(AI73&gt;0,AG74&lt;=EOMONTH('DB2'!$U$27,0)),AI73+1,IF(AND(AG74&gt;'DB2'!$U$25,AG74&lt;='DB2'!$U$27),1,0))</f>
        <v>2</v>
      </c>
      <c r="AJ74" s="90">
        <f t="shared" si="26"/>
        <v>2024544709.2</v>
      </c>
      <c r="AK74" s="91">
        <f>IF($E$83="АРЕНДА",IF(OR(AG74&lt;'DB2'!$U$25,AG74&gt;'DB2'!$U$27),$AO$62,VLOOKUP(AI74,$AN$63:$AO$122,2,0)),IF(AG74&gt;0,AP74,0))</f>
        <v>0</v>
      </c>
      <c r="AL74" s="92">
        <f t="shared" si="36"/>
        <v>0</v>
      </c>
      <c r="AN74" s="90">
        <v>12</v>
      </c>
      <c r="AO74" s="91">
        <f>$AO$70*2</f>
        <v>0.03</v>
      </c>
      <c r="AP74" s="91">
        <f t="shared" si="27"/>
        <v>3.0000000000000001E-3</v>
      </c>
      <c r="AR74" s="98" t="s">
        <v>13</v>
      </c>
      <c r="AS74" s="98" t="str">
        <f>'CF2'!B67</f>
        <v>СМР ТЦ</v>
      </c>
      <c r="AT74" s="99">
        <f>-'CF2'!E67</f>
        <v>0</v>
      </c>
      <c r="AU74" s="100"/>
    </row>
    <row r="75" spans="2:48">
      <c r="B75" s="104" t="s">
        <v>382</v>
      </c>
      <c r="C75" s="105"/>
      <c r="D75" s="105"/>
      <c r="E75" s="102">
        <f>E86*E87</f>
        <v>3901722687.0514688</v>
      </c>
      <c r="H75" s="76">
        <f t="shared" si="40"/>
        <v>0</v>
      </c>
      <c r="I75" s="76">
        <v>23000</v>
      </c>
      <c r="J75" s="76">
        <v>26999.999999999996</v>
      </c>
      <c r="K75" s="91">
        <v>0.4</v>
      </c>
      <c r="O75" s="87" t="str">
        <f t="shared" si="28"/>
        <v>3Q2030</v>
      </c>
      <c r="P75" s="88">
        <f t="shared" si="37"/>
        <v>47756</v>
      </c>
      <c r="Q75" s="89">
        <f>IF(SUM(Q$62:Q74)&lt;$N$63,$N$65,)</f>
        <v>0</v>
      </c>
      <c r="R75" s="89">
        <f>$N$63-SUM(Q$62:Q74)</f>
        <v>0</v>
      </c>
      <c r="S75" s="89">
        <f t="shared" si="29"/>
        <v>0</v>
      </c>
      <c r="T75" s="89">
        <f t="shared" si="30"/>
        <v>0</v>
      </c>
      <c r="U75" s="90">
        <f>IF(P75&gt;$N$66,0,IF(P76&gt;$N$66,SUM(Q$63:$Q75)+S75,T75))</f>
        <v>0</v>
      </c>
      <c r="Y75" s="87" t="str">
        <f t="shared" si="31"/>
        <v>3Q2030</v>
      </c>
      <c r="Z75" s="88">
        <f t="shared" si="38"/>
        <v>47695</v>
      </c>
      <c r="AA75" s="89"/>
      <c r="AB75" s="89">
        <f t="shared" si="33"/>
        <v>3901.7226870514687</v>
      </c>
      <c r="AC75" s="89">
        <f t="shared" si="34"/>
        <v>24.385766794071682</v>
      </c>
      <c r="AF75" s="87" t="str">
        <f t="shared" si="35"/>
        <v>2Q2028</v>
      </c>
      <c r="AG75" s="88">
        <f t="shared" si="39"/>
        <v>46934</v>
      </c>
      <c r="AH75" s="76">
        <f>IF(AND(AH74&lt;0,AG75&lt;=EOMONTH('DB2'!U$27,3*'DB2'!$P$50)),1,IF(AG75&lt;=EOMONTH('DB2'!U$27,3*'DB2'!$P$50),AH74+1,0))</f>
        <v>13</v>
      </c>
      <c r="AI75" s="76">
        <f>IF(AND(AI74&gt;0,AG75&lt;=EOMONTH('DB2'!$U$27,0)),AI74+1,IF(AND(AG75&gt;'DB2'!$U$25,AG75&lt;='DB2'!$U$27),1,0))</f>
        <v>3</v>
      </c>
      <c r="AJ75" s="90">
        <f t="shared" si="26"/>
        <v>2024544709.2</v>
      </c>
      <c r="AK75" s="91">
        <f>IF($E$83="АРЕНДА",IF(OR(AG75&lt;'DB2'!$U$25,AG75&gt;'DB2'!$U$27),$AO$62,VLOOKUP(AI75,$AN$63:$AO$122,2,0)),IF(AG75&gt;0,AP75,0))</f>
        <v>0</v>
      </c>
      <c r="AL75" s="92">
        <f t="shared" si="36"/>
        <v>0</v>
      </c>
      <c r="AN75" s="90">
        <v>13</v>
      </c>
      <c r="AO75" s="91">
        <f>$AO$74+2%</f>
        <v>0.05</v>
      </c>
      <c r="AP75" s="91">
        <f t="shared" si="27"/>
        <v>3.0000000000000001E-3</v>
      </c>
      <c r="AR75" s="55" t="str">
        <f>AR63</f>
        <v>КВАРТИРЫ</v>
      </c>
      <c r="AS75" s="60">
        <f>($AT$71)/SUM($AS$63:$AT$67)*AS63+($AT$72-SUM($AS$80:$AT$80))/SUM($AS$63:$AT$64,$AS$66:$AT$66)*AS63</f>
        <v>11676.24548014496</v>
      </c>
      <c r="AT75" s="60">
        <f>($AT$71)/SUM($AS$63:$AT$67)*AT63+($AT$72-SUM($AS$80:$AT$80))/SUM($AS$63:$AT$64,$AS$66:$AT$66)*AT63</f>
        <v>4825.3195636060591</v>
      </c>
    </row>
    <row r="76" spans="2:48" ht="13.5" customHeight="1">
      <c r="B76" s="104" t="s">
        <v>380</v>
      </c>
      <c r="C76" s="105"/>
      <c r="D76" s="105"/>
      <c r="E76" s="1165"/>
      <c r="G76" s="54">
        <f>IF(AND($K$67&gt;=I77,$K$67&lt;=J77),1,0)</f>
        <v>1</v>
      </c>
      <c r="H76" s="76">
        <f t="shared" si="40"/>
        <v>0</v>
      </c>
      <c r="I76" s="76">
        <v>26999.999999999996</v>
      </c>
      <c r="J76" s="76">
        <v>30999.999999999996</v>
      </c>
      <c r="K76" s="91">
        <v>0.5</v>
      </c>
      <c r="O76" s="87" t="str">
        <f t="shared" si="28"/>
        <v>4Q2030</v>
      </c>
      <c r="P76" s="88">
        <f t="shared" si="37"/>
        <v>47848</v>
      </c>
      <c r="Q76" s="89">
        <f>IF(SUM(Q$62:Q75)&lt;$N$63,$N$65,)</f>
        <v>0</v>
      </c>
      <c r="R76" s="89">
        <f>$N$63-SUM(Q$62:Q75)</f>
        <v>0</v>
      </c>
      <c r="S76" s="89">
        <f t="shared" si="29"/>
        <v>0</v>
      </c>
      <c r="T76" s="89">
        <f t="shared" si="30"/>
        <v>0</v>
      </c>
      <c r="U76" s="90">
        <f>IF(P76&gt;$N$66,0,IF(P77&gt;$N$66,SUM(Q$63:$Q76)+S76,T76))</f>
        <v>0</v>
      </c>
      <c r="Y76" s="87" t="str">
        <f t="shared" si="31"/>
        <v>4Q2030</v>
      </c>
      <c r="Z76" s="88">
        <f t="shared" si="38"/>
        <v>47787</v>
      </c>
      <c r="AA76" s="89"/>
      <c r="AB76" s="89">
        <f t="shared" si="33"/>
        <v>3901.7226870514687</v>
      </c>
      <c r="AC76" s="89">
        <f t="shared" si="34"/>
        <v>24.385766794071682</v>
      </c>
      <c r="AF76" s="87" t="str">
        <f t="shared" si="35"/>
        <v>3Q2028</v>
      </c>
      <c r="AG76" s="88">
        <f t="shared" si="39"/>
        <v>47026</v>
      </c>
      <c r="AH76" s="76">
        <f>IF(AND(AH75&lt;0,AG76&lt;=EOMONTH('DB2'!U$27,3*'DB2'!$P$50)),1,IF(AG76&lt;=EOMONTH('DB2'!U$27,3*'DB2'!$P$50),AH75+1,0))</f>
        <v>14</v>
      </c>
      <c r="AI76" s="76">
        <f>IF(AND(AI75&gt;0,AG76&lt;=EOMONTH('DB2'!$U$27,0)),AI75+1,IF(AND(AG76&gt;'DB2'!$U$25,AG76&lt;='DB2'!$U$27),1,0))</f>
        <v>4</v>
      </c>
      <c r="AJ76" s="90">
        <f t="shared" si="26"/>
        <v>2024544709.2</v>
      </c>
      <c r="AK76" s="91">
        <f>IF($E$83="АРЕНДА",IF(OR(AG76&lt;'DB2'!$U$25,AG76&gt;'DB2'!$U$27),$AO$62,VLOOKUP(AI76,$AN$63:$AO$122,2,0)),IF(AG76&gt;0,AP76,0))</f>
        <v>0</v>
      </c>
      <c r="AL76" s="92">
        <f t="shared" si="36"/>
        <v>0</v>
      </c>
      <c r="AN76" s="90">
        <v>14</v>
      </c>
      <c r="AO76" s="91">
        <f>$AO$74+2%</f>
        <v>0.05</v>
      </c>
      <c r="AP76" s="91">
        <f t="shared" si="27"/>
        <v>3.0000000000000001E-3</v>
      </c>
      <c r="AR76" s="55" t="str">
        <f t="shared" ref="AR76:AR81" si="41">AR64</f>
        <v>АПАРТАМЕНТЫ</v>
      </c>
      <c r="AS76" s="60">
        <f>($AT$71)/SUM($AS$63:$AT$67)*AS64+($AT$72-SUM($AS$80:$AT$80))/SUM($AS$63:$AT$64,$AS$66:$AT$66)*AS64</f>
        <v>0</v>
      </c>
      <c r="AT76" s="60">
        <f>($AT$71)/SUM($AS$63:$AT$67)*AT64+($AT$72-SUM($AS$80:$AT$80))/SUM($AS$63:$AT$64,$AS$66:$AT$66)*AT64</f>
        <v>0</v>
      </c>
    </row>
    <row r="77" spans="2:48">
      <c r="B77" s="104" t="s">
        <v>383</v>
      </c>
      <c r="C77" s="105"/>
      <c r="D77" s="105"/>
      <c r="E77" s="102">
        <f>E75*(1-E76)</f>
        <v>3901722687.0514688</v>
      </c>
      <c r="G77" s="54">
        <f>IF(AND($K$67&gt;=I78,$K$67&lt;=J78),1,0)</f>
        <v>1</v>
      </c>
      <c r="H77" s="76">
        <f t="shared" si="40"/>
        <v>1</v>
      </c>
      <c r="I77" s="76">
        <v>30999.999999999996</v>
      </c>
      <c r="J77" s="76">
        <v>34999.999999999993</v>
      </c>
      <c r="K77" s="91">
        <v>0.6</v>
      </c>
      <c r="O77" s="87" t="str">
        <f t="shared" si="28"/>
        <v>1Q2031</v>
      </c>
      <c r="P77" s="88">
        <f t="shared" si="37"/>
        <v>47938</v>
      </c>
      <c r="Q77" s="89">
        <f>IF(SUM(Q$62:Q76)&lt;$N$63,$N$65,)</f>
        <v>0</v>
      </c>
      <c r="R77" s="89">
        <f>$N$63-SUM(Q$62:Q76)</f>
        <v>0</v>
      </c>
      <c r="S77" s="89">
        <f t="shared" si="29"/>
        <v>0</v>
      </c>
      <c r="T77" s="89">
        <f t="shared" si="30"/>
        <v>0</v>
      </c>
      <c r="U77" s="90">
        <f>IF(P77&gt;$N$66,0,IF(P78&gt;$N$66,SUM(Q$63:$Q77)+S77,T77))</f>
        <v>0</v>
      </c>
      <c r="Y77" s="87" t="str">
        <f t="shared" si="31"/>
        <v>1Q2031</v>
      </c>
      <c r="Z77" s="88">
        <f t="shared" si="38"/>
        <v>47879</v>
      </c>
      <c r="AA77" s="89"/>
      <c r="AB77" s="89">
        <f t="shared" si="33"/>
        <v>3901.7226870514687</v>
      </c>
      <c r="AC77" s="89">
        <f>AB77*$X$66/4</f>
        <v>24.385766794071682</v>
      </c>
      <c r="AF77" s="87" t="str">
        <f t="shared" si="35"/>
        <v>4Q2028</v>
      </c>
      <c r="AG77" s="88">
        <f t="shared" si="39"/>
        <v>47118</v>
      </c>
      <c r="AH77" s="76">
        <f>IF(AND(AH76&lt;0,AG77&lt;=EOMONTH('DB2'!U$27,3*'DB2'!$P$50)),1,IF(AG77&lt;=EOMONTH('DB2'!U$27,3*'DB2'!$P$50),AH76+1,0))</f>
        <v>15</v>
      </c>
      <c r="AI77" s="76">
        <f>IF(AND(AI76&gt;0,AG77&lt;=EOMONTH('DB2'!$U$27,0)),AI76+1,IF(AND(AG77&gt;'DB2'!$U$25,AG77&lt;='DB2'!$U$27),1,0))</f>
        <v>5</v>
      </c>
      <c r="AJ77" s="90">
        <f t="shared" si="26"/>
        <v>2024544709.2</v>
      </c>
      <c r="AK77" s="91">
        <f>IF($E$83="АРЕНДА",IF(OR(AG77&lt;'DB2'!$U$25,AG77&gt;'DB2'!$U$27),$AO$62,VLOOKUP(AI77,$AN$63:$AO$122,2,0)),IF(AG77&gt;0,AP77,0))</f>
        <v>1.4999999999999999E-2</v>
      </c>
      <c r="AL77" s="92">
        <f t="shared" si="36"/>
        <v>7.5920426594999997</v>
      </c>
      <c r="AN77" s="90">
        <v>15</v>
      </c>
      <c r="AO77" s="91">
        <f>$AO$74+2%</f>
        <v>0.05</v>
      </c>
      <c r="AP77" s="91">
        <f t="shared" si="27"/>
        <v>3.0000000000000001E-3</v>
      </c>
      <c r="AR77" s="55" t="str">
        <f t="shared" si="41"/>
        <v>ОФИСЫ</v>
      </c>
      <c r="AS77" s="60">
        <f>IFERROR(($AT$71)/SUM($AS$63:$AT$67)*AS65+($AT$73-SUM($AS$81:$AT$81))/SUM($AS$65:$AT$65)*AS65,0)</f>
        <v>0</v>
      </c>
      <c r="AT77" s="60">
        <f>IFERROR(($AT$71)/SUM($AS$63:$AT$67)*AT65+($AT$73-SUM($AS$81:$AT$81))/SUM($AS$65:$AT$65)*AT65,0)</f>
        <v>0</v>
      </c>
    </row>
    <row r="78" spans="2:48">
      <c r="H78" s="76">
        <f t="shared" si="40"/>
        <v>1</v>
      </c>
      <c r="I78" s="76">
        <v>34999.999999999993</v>
      </c>
      <c r="J78" s="76">
        <v>38999.999999999993</v>
      </c>
      <c r="K78" s="91">
        <v>0.7</v>
      </c>
      <c r="O78" s="87" t="str">
        <f t="shared" si="28"/>
        <v>2Q2031</v>
      </c>
      <c r="P78" s="88">
        <f t="shared" si="37"/>
        <v>48029</v>
      </c>
      <c r="Q78" s="89">
        <f>IF(SUM(Q$62:Q77)&lt;$N$63,$N$65,)</f>
        <v>0</v>
      </c>
      <c r="R78" s="89">
        <f>$N$63-SUM(Q$62:Q77)</f>
        <v>0</v>
      </c>
      <c r="S78" s="89">
        <f t="shared" si="29"/>
        <v>0</v>
      </c>
      <c r="T78" s="89">
        <f t="shared" si="30"/>
        <v>0</v>
      </c>
      <c r="U78" s="90">
        <f>IF(P78&gt;$N$66,0,IF(P79&gt;$N$66,SUM(Q$63:$Q78)+S78,T78))</f>
        <v>0</v>
      </c>
      <c r="Y78" s="87" t="str">
        <f t="shared" si="31"/>
        <v>2Q2031</v>
      </c>
      <c r="Z78" s="88">
        <f t="shared" si="38"/>
        <v>47968</v>
      </c>
      <c r="AA78" s="89"/>
      <c r="AB78" s="89">
        <f>IF(Z78&lt;$X$65,$C$81,)/10^6</f>
        <v>3901.7226870514687</v>
      </c>
      <c r="AC78" s="89">
        <f t="shared" si="34"/>
        <v>24.385766794071682</v>
      </c>
      <c r="AF78" s="87" t="str">
        <f t="shared" si="35"/>
        <v>1Q2029</v>
      </c>
      <c r="AG78" s="88">
        <f t="shared" si="39"/>
        <v>47208</v>
      </c>
      <c r="AH78" s="76">
        <f>IF(AND(AH77&lt;0,AG78&lt;=EOMONTH('DB2'!U$27,3*'DB2'!$P$50)),1,IF(AG78&lt;=EOMONTH('DB2'!U$27,3*'DB2'!$P$50),AH77+1,0))</f>
        <v>16</v>
      </c>
      <c r="AI78" s="76">
        <f>IF(AND(AI77&gt;0,AG78&lt;=EOMONTH('DB2'!$U$27,0)),AI77+1,IF(AND(AG78&gt;'DB2'!$U$25,AG78&lt;='DB2'!$U$27),1,0))</f>
        <v>6</v>
      </c>
      <c r="AJ78" s="90">
        <f t="shared" si="26"/>
        <v>2024544709.2</v>
      </c>
      <c r="AK78" s="91">
        <f>IF($E$83="АРЕНДА",IF(OR(AG78&lt;'DB2'!$U$25,AG78&gt;'DB2'!$U$27),$AO$62,VLOOKUP(AI78,$AN$63:$AO$122,2,0)),IF(AG78&gt;0,AP78,0))</f>
        <v>1.4999999999999999E-2</v>
      </c>
      <c r="AL78" s="92">
        <f t="shared" si="36"/>
        <v>7.5920426594999997</v>
      </c>
      <c r="AN78" s="90">
        <v>16</v>
      </c>
      <c r="AO78" s="91">
        <f>$AO$74+2%</f>
        <v>0.05</v>
      </c>
      <c r="AP78" s="91">
        <f t="shared" si="27"/>
        <v>3.0000000000000001E-3</v>
      </c>
      <c r="AR78" s="55" t="str">
        <f t="shared" si="41"/>
        <v>РИТЕЙЛ</v>
      </c>
      <c r="AS78" s="60">
        <f>($AT$71)/SUM($AS$63:$AT$67)*AS66+($AT$72-SUM($AS$80:$AT$80))/SUM($AS$63:$AT$64,$AS$66:$AT$66)*AS66</f>
        <v>0</v>
      </c>
      <c r="AT78" s="60">
        <f>($AT$71)/SUM($AS$63:$AT$67)*AT66+($AT$72-SUM($AS$80:$AT$80))/SUM($AS$63:$AT$64,$AS$66:$AT$66)*AT66</f>
        <v>829.03240298919741</v>
      </c>
    </row>
    <row r="79" spans="2:48">
      <c r="B79" s="1158" t="s">
        <v>218</v>
      </c>
      <c r="C79" s="1159"/>
      <c r="E79" s="1158" t="s">
        <v>1684</v>
      </c>
      <c r="F79" s="1159"/>
      <c r="H79" s="76">
        <f t="shared" si="40"/>
        <v>0</v>
      </c>
      <c r="I79" s="76">
        <v>38999.999999999993</v>
      </c>
      <c r="J79" s="76">
        <v>50000</v>
      </c>
      <c r="K79" s="91">
        <v>0.79999999999999993</v>
      </c>
      <c r="O79" s="87" t="str">
        <f t="shared" si="28"/>
        <v>3Q2031</v>
      </c>
      <c r="P79" s="88">
        <f t="shared" si="37"/>
        <v>48121</v>
      </c>
      <c r="Q79" s="89">
        <f>IF(SUM(Q$62:Q78)&lt;$N$63,$N$65,)</f>
        <v>0</v>
      </c>
      <c r="R79" s="89">
        <f>$N$63-SUM(Q$62:Q78)</f>
        <v>0</v>
      </c>
      <c r="S79" s="89">
        <f t="shared" si="29"/>
        <v>0</v>
      </c>
      <c r="T79" s="89">
        <f t="shared" si="30"/>
        <v>0</v>
      </c>
      <c r="U79" s="90">
        <f>IF(P79&gt;$N$66,0,IF(P80&gt;$N$66,SUM(Q$63:$Q79)+S79,T79))</f>
        <v>0</v>
      </c>
      <c r="Y79" s="87" t="str">
        <f t="shared" si="31"/>
        <v>3Q2031</v>
      </c>
      <c r="Z79" s="88">
        <f t="shared" si="38"/>
        <v>48060</v>
      </c>
      <c r="AA79" s="89"/>
      <c r="AB79" s="89">
        <f t="shared" si="33"/>
        <v>0</v>
      </c>
      <c r="AC79" s="89">
        <f t="shared" si="34"/>
        <v>0</v>
      </c>
      <c r="AF79" s="87" t="str">
        <f t="shared" si="35"/>
        <v>2Q2029</v>
      </c>
      <c r="AG79" s="88">
        <f t="shared" si="39"/>
        <v>47299</v>
      </c>
      <c r="AH79" s="76">
        <f>IF(AND(AH78&lt;0,AG79&lt;=EOMONTH('DB2'!U$27,3*'DB2'!$P$50)),1,IF(AG79&lt;=EOMONTH('DB2'!U$27,3*'DB2'!$P$50),AH78+1,0))</f>
        <v>17</v>
      </c>
      <c r="AI79" s="76">
        <f>IF(AND(AI78&gt;0,AG79&lt;=EOMONTH('DB2'!$U$27,0)),AI78+1,IF(AND(AG79&gt;'DB2'!$U$25,AG79&lt;='DB2'!$U$27),1,0))</f>
        <v>7</v>
      </c>
      <c r="AJ79" s="90">
        <f t="shared" si="26"/>
        <v>2024544709.2</v>
      </c>
      <c r="AK79" s="91">
        <f>IF($E$83="АРЕНДА",IF(OR(AG79&lt;'DB2'!$U$25,AG79&gt;'DB2'!$U$27),$AO$62,VLOOKUP(AI79,$AN$63:$AO$122,2,0)),IF(AG79&gt;0,AP79,0))</f>
        <v>1.4999999999999999E-2</v>
      </c>
      <c r="AL79" s="92">
        <f t="shared" si="36"/>
        <v>7.5920426594999997</v>
      </c>
      <c r="AN79" s="90">
        <v>17</v>
      </c>
      <c r="AO79" s="91">
        <f>$AO$78+2%</f>
        <v>7.0000000000000007E-2</v>
      </c>
      <c r="AP79" s="91">
        <f t="shared" si="27"/>
        <v>3.0000000000000001E-3</v>
      </c>
      <c r="AR79" s="55" t="str">
        <f t="shared" si="41"/>
        <v>ТЦ</v>
      </c>
      <c r="AS79" s="60">
        <f>IFERROR(($AT$71)/SUM($AS$63:$AT$67)*AS67+$AT$74/SUM($AS$67:$AT$67)*AS67,0)</f>
        <v>0</v>
      </c>
      <c r="AT79" s="60">
        <f>IFERROR(($AT$71)/SUM($AS$63:$AT$67)*AT67+$AT$74/SUM($AS$67:$AT$67)*AT67,0)</f>
        <v>0</v>
      </c>
    </row>
    <row r="80" spans="2:48">
      <c r="B80" s="191"/>
      <c r="C80" s="191"/>
      <c r="E80" s="191"/>
      <c r="F80" s="191"/>
      <c r="H80" s="76">
        <f t="shared" si="40"/>
        <v>0</v>
      </c>
      <c r="I80" s="76">
        <f>J79</f>
        <v>50000</v>
      </c>
      <c r="J80" s="76">
        <v>500000</v>
      </c>
      <c r="K80" s="91">
        <v>0.8</v>
      </c>
      <c r="N80" s="103"/>
      <c r="O80" s="87" t="str">
        <f t="shared" si="28"/>
        <v>4Q2031</v>
      </c>
      <c r="P80" s="88">
        <f t="shared" si="37"/>
        <v>48213</v>
      </c>
      <c r="Q80" s="89">
        <f>IF(SUM(Q$62:Q79)&lt;$N$63,$N$65,)</f>
        <v>0</v>
      </c>
      <c r="R80" s="89">
        <f>$N$63-SUM(Q$62:Q79)</f>
        <v>0</v>
      </c>
      <c r="S80" s="89">
        <f t="shared" si="29"/>
        <v>0</v>
      </c>
      <c r="T80" s="89">
        <f t="shared" si="30"/>
        <v>0</v>
      </c>
      <c r="U80" s="90">
        <f>IF(P80&gt;$N$66,0,IF(P81&gt;$N$66,SUM(Q$63:$Q80)+S80,T80))</f>
        <v>0</v>
      </c>
      <c r="Y80" s="87" t="str">
        <f t="shared" si="31"/>
        <v>4Q2031</v>
      </c>
      <c r="Z80" s="88">
        <f t="shared" si="38"/>
        <v>48152</v>
      </c>
      <c r="AA80" s="89"/>
      <c r="AB80" s="89">
        <f t="shared" si="33"/>
        <v>0</v>
      </c>
      <c r="AC80" s="89">
        <f t="shared" si="34"/>
        <v>0</v>
      </c>
      <c r="AF80" s="87" t="str">
        <f t="shared" si="35"/>
        <v>3Q2029</v>
      </c>
      <c r="AG80" s="88">
        <f t="shared" si="39"/>
        <v>47391</v>
      </c>
      <c r="AH80" s="76">
        <f>IF(AND(AH79&lt;0,AG80&lt;=EOMONTH('DB2'!U$27,3*'DB2'!$P$50)),1,IF(AG80&lt;=EOMONTH('DB2'!U$27,3*'DB2'!$P$50),AH79+1,0))</f>
        <v>18</v>
      </c>
      <c r="AI80" s="76">
        <f>IF(AND(AI79&gt;0,AG80&lt;=EOMONTH('DB2'!$U$27,0)),AI79+1,IF(AND(AG80&gt;'DB2'!$U$25,AG80&lt;='DB2'!$U$27),1,0))</f>
        <v>8</v>
      </c>
      <c r="AJ80" s="90">
        <f t="shared" si="26"/>
        <v>2024544709.2</v>
      </c>
      <c r="AK80" s="91">
        <f>IF($E$83="АРЕНДА",IF(OR(AG80&lt;'DB2'!$U$25,AG80&gt;'DB2'!$U$27),$AO$62,VLOOKUP(AI80,$AN$63:$AO$122,2,0)),IF(AG80&gt;0,AP80,0))</f>
        <v>1.4999999999999999E-2</v>
      </c>
      <c r="AL80" s="92">
        <f t="shared" si="36"/>
        <v>7.5920426594999997</v>
      </c>
      <c r="AN80" s="90">
        <v>18</v>
      </c>
      <c r="AO80" s="91">
        <f>$AO$78+2%</f>
        <v>7.0000000000000007E-2</v>
      </c>
      <c r="AP80" s="91">
        <f t="shared" si="27"/>
        <v>3.0000000000000001E-3</v>
      </c>
      <c r="AR80" s="55" t="str">
        <f>AR68</f>
        <v>ПАРКИНГ ЖИЛЬЕ</v>
      </c>
      <c r="AS80" s="60">
        <f>SUMPRODUCT('CF2'!$F$31:$BM$31,'CF2'!$F$174:$BM$174)</f>
        <v>1620</v>
      </c>
      <c r="AT80" s="60">
        <f>'CF2'!E46-AS80</f>
        <v>688.5</v>
      </c>
    </row>
    <row r="81" spans="2:47">
      <c r="B81" s="74" t="s">
        <v>222</v>
      </c>
      <c r="C81" s="101">
        <f>E77</f>
        <v>3901722687.0514688</v>
      </c>
      <c r="E81" s="74" t="s">
        <v>462</v>
      </c>
      <c r="F81" s="101">
        <f>1000*17*0.3*151.2595*1000</f>
        <v>771423450.00000012</v>
      </c>
      <c r="N81" s="103"/>
      <c r="O81" s="87" t="str">
        <f t="shared" si="28"/>
        <v>1Q2032</v>
      </c>
      <c r="P81" s="88">
        <f t="shared" si="37"/>
        <v>48304</v>
      </c>
      <c r="Q81" s="89">
        <f>IF(SUM(Q$62:Q80)&lt;$N$63,$N$65,)</f>
        <v>0</v>
      </c>
      <c r="R81" s="89">
        <f>$N$63-SUM(Q$62:Q80)</f>
        <v>0</v>
      </c>
      <c r="S81" s="89">
        <f t="shared" si="29"/>
        <v>0</v>
      </c>
      <c r="T81" s="89">
        <f t="shared" si="30"/>
        <v>0</v>
      </c>
      <c r="U81" s="90">
        <f>IF(P81&gt;$N$66,0,IF(P82&gt;$N$66,SUM(Q$63:$Q81)+S81,T81))</f>
        <v>0</v>
      </c>
      <c r="Y81" s="87" t="str">
        <f t="shared" si="31"/>
        <v>1Q2032</v>
      </c>
      <c r="Z81" s="88">
        <f t="shared" si="38"/>
        <v>48244</v>
      </c>
      <c r="AA81" s="89"/>
      <c r="AB81" s="89">
        <f t="shared" si="33"/>
        <v>0</v>
      </c>
      <c r="AC81" s="89">
        <f t="shared" si="34"/>
        <v>0</v>
      </c>
      <c r="AF81" s="87" t="str">
        <f t="shared" si="35"/>
        <v>4Q2029</v>
      </c>
      <c r="AG81" s="88">
        <f t="shared" si="39"/>
        <v>47483</v>
      </c>
      <c r="AH81" s="76">
        <f>IF(AND(AH80&lt;0,AG81&lt;=EOMONTH('DB2'!U$27,3*'DB2'!$P$50)),1,IF(AG81&lt;=EOMONTH('DB2'!U$27,3*'DB2'!$P$50),AH80+1,0))</f>
        <v>19</v>
      </c>
      <c r="AI81" s="76">
        <f>IF(AND(AI80&gt;0,AG81&lt;=EOMONTH('DB2'!$U$27,0)),AI80+1,IF(AND(AG81&gt;'DB2'!$U$25,AG81&lt;='DB2'!$U$27),1,0))</f>
        <v>9</v>
      </c>
      <c r="AJ81" s="90">
        <f t="shared" si="26"/>
        <v>2024544709.2</v>
      </c>
      <c r="AK81" s="91">
        <f>IF($E$83="АРЕНДА",IF(OR(AG81&lt;'DB2'!$U$25,AG81&gt;'DB2'!$U$27),$AO$62,VLOOKUP(AI81,$AN$63:$AO$122,2,0)),IF(AG81&gt;0,AP81,0))</f>
        <v>0.03</v>
      </c>
      <c r="AL81" s="92">
        <f t="shared" si="36"/>
        <v>15.184085318999999</v>
      </c>
      <c r="AN81" s="90">
        <v>19</v>
      </c>
      <c r="AO81" s="91">
        <f>$AO$78+2%</f>
        <v>7.0000000000000007E-2</v>
      </c>
      <c r="AP81" s="91">
        <f t="shared" si="27"/>
        <v>3.0000000000000001E-3</v>
      </c>
      <c r="AR81" s="55" t="str">
        <f t="shared" si="41"/>
        <v>ПАРКИНГ ОФИС</v>
      </c>
      <c r="AS81" s="60">
        <f>SUMPRODUCT('CF2'!$F$32:$BM$32,'CF2'!$F$174:$BM$174)</f>
        <v>0</v>
      </c>
      <c r="AT81" s="60">
        <f>'CF2'!E47-AS81</f>
        <v>0</v>
      </c>
    </row>
    <row r="82" spans="2:47" ht="15">
      <c r="H82" s="192" t="s">
        <v>102</v>
      </c>
      <c r="I82" s="315"/>
      <c r="J82" s="192"/>
      <c r="O82" s="87" t="str">
        <f t="shared" si="28"/>
        <v>2Q2032</v>
      </c>
      <c r="P82" s="88">
        <f t="shared" si="37"/>
        <v>48395</v>
      </c>
      <c r="Q82" s="89">
        <f>IF(SUM(Q$62:Q81)&lt;$N$63,$N$65,)</f>
        <v>0</v>
      </c>
      <c r="R82" s="89">
        <f>$N$63-SUM(Q$62:Q81)</f>
        <v>0</v>
      </c>
      <c r="S82" s="89">
        <f t="shared" si="29"/>
        <v>0</v>
      </c>
      <c r="T82" s="89">
        <f t="shared" si="30"/>
        <v>0</v>
      </c>
      <c r="U82" s="90">
        <f>IF(P82&gt;$N$66,0,IF(P83&gt;$N$66,SUM(Q$63:$Q82)+S82,T82))</f>
        <v>0</v>
      </c>
      <c r="Y82" s="87" t="str">
        <f t="shared" si="31"/>
        <v>2Q2032</v>
      </c>
      <c r="Z82" s="88">
        <f t="shared" si="38"/>
        <v>48334</v>
      </c>
      <c r="AA82" s="89"/>
      <c r="AB82" s="89">
        <f t="shared" si="33"/>
        <v>0</v>
      </c>
      <c r="AC82" s="89">
        <f t="shared" si="34"/>
        <v>0</v>
      </c>
      <c r="AF82" s="87" t="str">
        <f t="shared" si="35"/>
        <v>1Q2030</v>
      </c>
      <c r="AG82" s="88">
        <f t="shared" si="39"/>
        <v>47573</v>
      </c>
      <c r="AH82" s="76">
        <f>IF(AND(AH81&lt;0,AG82&lt;=EOMONTH('DB2'!U$27,3*'DB2'!$P$50)),1,IF(AG82&lt;=EOMONTH('DB2'!U$27,3*'DB2'!$P$50),AH81+1,0))</f>
        <v>20</v>
      </c>
      <c r="AI82" s="76">
        <f>IF(AND(AI81&gt;0,AG82&lt;=EOMONTH('DB2'!$U$27,0)),AI81+1,IF(AND(AG82&gt;'DB2'!$U$25,AG82&lt;='DB2'!$U$27),1,0))</f>
        <v>10</v>
      </c>
      <c r="AJ82" s="90">
        <f t="shared" si="26"/>
        <v>2024544709.2</v>
      </c>
      <c r="AK82" s="91">
        <f>IF($E$83="АРЕНДА",IF(OR(AG82&lt;'DB2'!$U$25,AG82&gt;'DB2'!$U$27),$AO$62,VLOOKUP(AI82,$AN$63:$AO$122,2,0)),IF(AG82&gt;0,AP82,0))</f>
        <v>0.03</v>
      </c>
      <c r="AL82" s="92">
        <f t="shared" si="36"/>
        <v>15.184085318999999</v>
      </c>
      <c r="AN82" s="90">
        <v>20</v>
      </c>
      <c r="AO82" s="91">
        <f>$AO$78+2%</f>
        <v>7.0000000000000007E-2</v>
      </c>
      <c r="AP82" s="91">
        <f t="shared" si="27"/>
        <v>3.0000000000000001E-3</v>
      </c>
      <c r="AR82" s="106" t="s">
        <v>21</v>
      </c>
      <c r="AS82" s="107" t="s">
        <v>1</v>
      </c>
      <c r="AT82" s="97">
        <f>-SUM('CF2'!E63:E74)/(1+'TS2'!$J$84)*'TS2'!$J$84</f>
        <v>3333.7555637295432</v>
      </c>
    </row>
    <row r="83" spans="2:47" ht="15">
      <c r="B83" s="313" t="s">
        <v>157</v>
      </c>
      <c r="C83" s="192" t="s">
        <v>214</v>
      </c>
      <c r="D83" s="192"/>
      <c r="E83" s="314" t="str">
        <f>'DB2'!P49</f>
        <v>АРЕНДА</v>
      </c>
      <c r="H83" s="29" t="s">
        <v>61</v>
      </c>
      <c r="I83" s="30"/>
      <c r="J83" s="32">
        <v>0.25</v>
      </c>
      <c r="O83" s="87" t="str">
        <f t="shared" si="28"/>
        <v>3Q2032</v>
      </c>
      <c r="P83" s="88">
        <f t="shared" si="37"/>
        <v>48487</v>
      </c>
      <c r="Q83" s="89">
        <f>IF(SUM(Q$62:Q82)&lt;$N$63,$N$65,)</f>
        <v>0</v>
      </c>
      <c r="R83" s="89">
        <f>$N$63-SUM(Q$62:Q82)</f>
        <v>0</v>
      </c>
      <c r="S83" s="89">
        <f t="shared" si="29"/>
        <v>0</v>
      </c>
      <c r="T83" s="89">
        <f t="shared" si="30"/>
        <v>0</v>
      </c>
      <c r="U83" s="90">
        <f>IF(P83&gt;$N$66,0,IF(P84&gt;$N$66,SUM(Q$63:$Q83)+S83,T83))</f>
        <v>0</v>
      </c>
      <c r="Y83" s="87" t="str">
        <f t="shared" si="31"/>
        <v>3Q2032</v>
      </c>
      <c r="Z83" s="88">
        <f t="shared" si="38"/>
        <v>48426</v>
      </c>
      <c r="AA83" s="89"/>
      <c r="AB83" s="89">
        <f t="shared" si="33"/>
        <v>0</v>
      </c>
      <c r="AC83" s="89">
        <f t="shared" si="34"/>
        <v>0</v>
      </c>
      <c r="AF83" s="87" t="str">
        <f t="shared" si="35"/>
        <v>2Q2030</v>
      </c>
      <c r="AG83" s="88">
        <f t="shared" si="39"/>
        <v>47664</v>
      </c>
      <c r="AH83" s="76">
        <f>IF(AND(AH82&lt;0,AG83&lt;=EOMONTH('DB2'!U$27,3*'DB2'!$P$50)),1,IF(AG83&lt;=EOMONTH('DB2'!U$27,3*'DB2'!$P$50),AH82+1,0))</f>
        <v>21</v>
      </c>
      <c r="AI83" s="76">
        <f>IF(AND(AI82&gt;0,AG83&lt;=EOMONTH('DB2'!$U$27,0)),AI82+1,IF(AND(AG83&gt;'DB2'!$U$25,AG83&lt;='DB2'!$U$27),1,0))</f>
        <v>11</v>
      </c>
      <c r="AJ83" s="90">
        <f t="shared" si="26"/>
        <v>2024544709.2</v>
      </c>
      <c r="AK83" s="91">
        <f>IF($E$83="АРЕНДА",IF(OR(AG83&lt;'DB2'!$U$25,AG83&gt;'DB2'!$U$27),$AO$62,VLOOKUP(AI83,$AN$63:$AO$122,2,0)),IF(AG83&gt;0,AP83,0))</f>
        <v>0.03</v>
      </c>
      <c r="AL83" s="92">
        <f t="shared" si="36"/>
        <v>15.184085318999999</v>
      </c>
      <c r="AN83" s="90">
        <v>21</v>
      </c>
      <c r="AO83" s="91">
        <f>$AO$82+1%</f>
        <v>0.08</v>
      </c>
      <c r="AP83" s="91">
        <f t="shared" si="27"/>
        <v>3.0000000000000001E-3</v>
      </c>
      <c r="AR83" s="98" t="s">
        <v>21</v>
      </c>
      <c r="AS83" s="98" t="str">
        <f>AS71</f>
        <v>без СМР</v>
      </c>
      <c r="AT83" s="99">
        <f>AT82-AT84-AT85-AT86</f>
        <v>1127.8273217295427</v>
      </c>
    </row>
    <row r="84" spans="2:47">
      <c r="B84" s="75" t="s">
        <v>223</v>
      </c>
      <c r="C84" s="77"/>
      <c r="D84" s="77"/>
      <c r="E84" s="102">
        <f>'DB2'!P51</f>
        <v>22180</v>
      </c>
      <c r="H84" s="29" t="s">
        <v>21</v>
      </c>
      <c r="I84" s="30"/>
      <c r="J84" s="32">
        <v>0.2</v>
      </c>
      <c r="O84" s="87" t="str">
        <f t="shared" si="28"/>
        <v>4Q2032</v>
      </c>
      <c r="P84" s="88">
        <f t="shared" si="37"/>
        <v>48579</v>
      </c>
      <c r="Q84" s="89">
        <f>IF(SUM(Q$62:Q83)&lt;$N$63,$N$65,)</f>
        <v>0</v>
      </c>
      <c r="R84" s="89">
        <f>$N$63-SUM(Q$62:Q83)</f>
        <v>0</v>
      </c>
      <c r="S84" s="89">
        <f t="shared" si="29"/>
        <v>0</v>
      </c>
      <c r="T84" s="89">
        <f t="shared" si="30"/>
        <v>0</v>
      </c>
      <c r="U84" s="90">
        <f>IF(P84&gt;$N$66,0,IF(P85&gt;$N$66,SUM(Q$63:$Q84)+S84,T84))</f>
        <v>0</v>
      </c>
      <c r="Y84" s="87" t="str">
        <f t="shared" si="31"/>
        <v>4Q2032</v>
      </c>
      <c r="Z84" s="88">
        <f t="shared" si="38"/>
        <v>48518</v>
      </c>
      <c r="AA84" s="89"/>
      <c r="AB84" s="89">
        <f t="shared" si="33"/>
        <v>0</v>
      </c>
      <c r="AC84" s="89">
        <f t="shared" si="34"/>
        <v>0</v>
      </c>
      <c r="AF84" s="87" t="str">
        <f t="shared" si="35"/>
        <v>3Q2030</v>
      </c>
      <c r="AG84" s="88">
        <f t="shared" si="39"/>
        <v>47756</v>
      </c>
      <c r="AH84" s="76">
        <f>IF(AND(AH83&lt;0,AG84&lt;=EOMONTH('DB2'!U$27,3*'DB2'!$P$50)),1,IF(AG84&lt;=EOMONTH('DB2'!U$27,3*'DB2'!$P$50),AH83+1,0))</f>
        <v>22</v>
      </c>
      <c r="AI84" s="76">
        <f>IF(AND(AI83&gt;0,AG84&lt;=EOMONTH('DB2'!$U$27,0)),AI83+1,IF(AND(AG84&gt;'DB2'!$U$25,AG84&lt;='DB2'!$U$27),1,0))</f>
        <v>12</v>
      </c>
      <c r="AJ84" s="90">
        <f t="shared" si="26"/>
        <v>2024544709.2</v>
      </c>
      <c r="AK84" s="91">
        <f>IF($E$83="АРЕНДА",IF(OR(AG84&lt;'DB2'!$U$25,AG84&gt;'DB2'!$U$27),$AO$62,VLOOKUP(AI84,$AN$63:$AO$122,2,0)),IF(AG84&gt;0,AP84,0))</f>
        <v>0.03</v>
      </c>
      <c r="AL84" s="92">
        <f t="shared" si="36"/>
        <v>15.184085318999999</v>
      </c>
      <c r="AN84" s="90">
        <v>22</v>
      </c>
      <c r="AO84" s="91">
        <f>$AO$82+1%</f>
        <v>0.08</v>
      </c>
      <c r="AP84" s="91">
        <f t="shared" si="27"/>
        <v>3.0000000000000001E-3</v>
      </c>
      <c r="AR84" s="98" t="s">
        <v>21</v>
      </c>
      <c r="AS84" s="98" t="str">
        <f>AS72</f>
        <v>СМР жилье</v>
      </c>
      <c r="AT84" s="99">
        <f>-'CF2'!E65/(1+'TS2'!$J$84)*'TS2'!$J$84</f>
        <v>2205.9282420000004</v>
      </c>
    </row>
    <row r="85" spans="2:47">
      <c r="B85" s="75" t="s">
        <v>224</v>
      </c>
      <c r="C85" s="77"/>
      <c r="D85" s="77"/>
      <c r="E85" s="102">
        <f>'DB2'!P52*'TS2'!E84</f>
        <v>478937619.59999996</v>
      </c>
      <c r="H85" s="29" t="s">
        <v>227</v>
      </c>
      <c r="I85" s="30"/>
      <c r="J85" s="32">
        <v>0.2</v>
      </c>
      <c r="O85" s="87" t="str">
        <f t="shared" si="28"/>
        <v>1Q2033</v>
      </c>
      <c r="P85" s="88">
        <f t="shared" si="37"/>
        <v>48669</v>
      </c>
      <c r="Q85" s="89">
        <f>IF(SUM(Q$62:Q84)&lt;$N$63,$N$65,)</f>
        <v>0</v>
      </c>
      <c r="R85" s="89">
        <f>$N$63-SUM(Q$62:Q84)</f>
        <v>0</v>
      </c>
      <c r="S85" s="89">
        <f t="shared" si="29"/>
        <v>0</v>
      </c>
      <c r="T85" s="89">
        <f t="shared" si="30"/>
        <v>0</v>
      </c>
      <c r="U85" s="90">
        <f>IF(P85&gt;$N$66,0,IF(P86&gt;$N$66,SUM(Q$63:$Q85)+S85,T85))</f>
        <v>0</v>
      </c>
      <c r="Y85" s="87" t="str">
        <f t="shared" si="31"/>
        <v>1Q2033</v>
      </c>
      <c r="Z85" s="88">
        <f t="shared" si="38"/>
        <v>48610</v>
      </c>
      <c r="AA85" s="89"/>
      <c r="AB85" s="89">
        <f t="shared" si="33"/>
        <v>0</v>
      </c>
      <c r="AC85" s="89">
        <f t="shared" si="34"/>
        <v>0</v>
      </c>
      <c r="AF85" s="87" t="str">
        <f t="shared" si="35"/>
        <v>4Q2030</v>
      </c>
      <c r="AG85" s="88">
        <f t="shared" si="39"/>
        <v>47848</v>
      </c>
      <c r="AH85" s="76">
        <f>IF(AND(AH84&lt;0,AG85&lt;=EOMONTH('DB2'!U$27,3*'DB2'!$P$50)),1,IF(AG85&lt;=EOMONTH('DB2'!U$27,3*'DB2'!$P$50),AH84+1,0))</f>
        <v>23</v>
      </c>
      <c r="AI85" s="76">
        <f>IF(AND(AI84&gt;0,AG85&lt;=EOMONTH('DB2'!$U$27,0)),AI84+1,IF(AND(AG85&gt;'DB2'!$U$25,AG85&lt;='DB2'!$U$27),1,0))</f>
        <v>0</v>
      </c>
      <c r="AJ85" s="90">
        <f t="shared" si="26"/>
        <v>2024544709.2</v>
      </c>
      <c r="AK85" s="91">
        <f>IF($E$83="АРЕНДА",IF(OR(AG85&lt;'DB2'!$U$25,AG85&gt;'DB2'!$U$27),$AO$62,VLOOKUP(AI85,$AN$63:$AO$122,2,0)),IF(AG85&gt;0,AP85,0))</f>
        <v>1.4999999999999999E-2</v>
      </c>
      <c r="AL85" s="92">
        <f t="shared" si="36"/>
        <v>7.5920426594999997</v>
      </c>
      <c r="AN85" s="90">
        <v>23</v>
      </c>
      <c r="AO85" s="91">
        <f>$AO$82+1%</f>
        <v>0.08</v>
      </c>
      <c r="AP85" s="91">
        <f t="shared" si="27"/>
        <v>3.0000000000000001E-3</v>
      </c>
      <c r="AR85" s="98" t="s">
        <v>21</v>
      </c>
      <c r="AS85" s="98" t="str">
        <f>AS73</f>
        <v>СМР офисы</v>
      </c>
      <c r="AT85" s="99">
        <f>-'CF2'!E66/(1+'TS2'!$J$84)*'TS2'!$J$84</f>
        <v>0</v>
      </c>
    </row>
    <row r="86" spans="2:47">
      <c r="B86" s="75" t="s">
        <v>225</v>
      </c>
      <c r="C86" s="77"/>
      <c r="D86" s="77"/>
      <c r="E86" s="102">
        <f>E84*VLOOKUP($K$60,$H$62:$K$64,4,0)</f>
        <v>2024544709.2</v>
      </c>
      <c r="H86" s="29" t="s">
        <v>145</v>
      </c>
      <c r="I86" s="30"/>
      <c r="J86" s="32">
        <v>1.4999999999999999E-2</v>
      </c>
      <c r="O86" s="87" t="str">
        <f t="shared" si="28"/>
        <v>2Q2033</v>
      </c>
      <c r="P86" s="88">
        <f t="shared" si="37"/>
        <v>48760</v>
      </c>
      <c r="Q86" s="89">
        <f>IF(SUM(Q$62:Q85)&lt;$N$63,$N$65,)</f>
        <v>0</v>
      </c>
      <c r="R86" s="89">
        <f>$N$63-SUM(Q$62:Q85)</f>
        <v>0</v>
      </c>
      <c r="S86" s="89">
        <f t="shared" si="29"/>
        <v>0</v>
      </c>
      <c r="T86" s="89">
        <f t="shared" si="30"/>
        <v>0</v>
      </c>
      <c r="U86" s="90">
        <f>IF(P86&gt;$N$66,0,IF(P87&gt;$N$66,SUM(Q$63:$Q86)+S86,T86))</f>
        <v>0</v>
      </c>
      <c r="Y86" s="87" t="str">
        <f t="shared" si="31"/>
        <v>2Q2033</v>
      </c>
      <c r="Z86" s="88">
        <f t="shared" si="38"/>
        <v>48699</v>
      </c>
      <c r="AA86" s="89"/>
      <c r="AB86" s="89">
        <f t="shared" si="33"/>
        <v>0</v>
      </c>
      <c r="AC86" s="89">
        <f t="shared" si="34"/>
        <v>0</v>
      </c>
      <c r="AF86" s="87" t="str">
        <f t="shared" si="35"/>
        <v>1Q2031</v>
      </c>
      <c r="AG86" s="88">
        <f t="shared" si="39"/>
        <v>47938</v>
      </c>
      <c r="AH86" s="76">
        <f>IF(AND(AH85&lt;0,AG86&lt;=EOMONTH('DB2'!U$27,3*'DB2'!$P$50)),1,IF(AG86&lt;=EOMONTH('DB2'!U$27,3*'DB2'!$P$50),AH85+1,0))</f>
        <v>24</v>
      </c>
      <c r="AI86" s="76">
        <f>IF(AND(AI85&gt;0,AG86&lt;=EOMONTH('DB2'!$U$27,0)),AI85+1,IF(AND(AG86&gt;'DB2'!$U$25,AG86&lt;='DB2'!$U$27),1,0))</f>
        <v>0</v>
      </c>
      <c r="AJ86" s="90">
        <f t="shared" si="26"/>
        <v>2024544709.2</v>
      </c>
      <c r="AK86" s="91">
        <f>IF($E$83="АРЕНДА",IF(OR(AG86&lt;'DB2'!$U$25,AG86&gt;'DB2'!$U$27),$AO$62,VLOOKUP(AI86,$AN$63:$AO$122,2,0)),IF(AG86&gt;0,AP86,0))</f>
        <v>1.4999999999999999E-2</v>
      </c>
      <c r="AL86" s="92">
        <f t="shared" si="36"/>
        <v>7.5920426594999997</v>
      </c>
      <c r="AN86" s="90">
        <v>24</v>
      </c>
      <c r="AO86" s="91">
        <f>$AO$82+1%</f>
        <v>0.08</v>
      </c>
      <c r="AP86" s="91">
        <f t="shared" si="27"/>
        <v>3.0000000000000001E-3</v>
      </c>
      <c r="AR86" s="98" t="s">
        <v>21</v>
      </c>
      <c r="AS86" s="98" t="str">
        <f>AS74</f>
        <v>СМР ТЦ</v>
      </c>
      <c r="AT86" s="99">
        <f>-'CF2'!E67/(1+'TS2'!$J$84)*'TS2'!$J$84</f>
        <v>0</v>
      </c>
      <c r="AU86" s="120" t="s">
        <v>137</v>
      </c>
    </row>
    <row r="87" spans="2:47">
      <c r="B87" s="104" t="s">
        <v>161</v>
      </c>
      <c r="C87" s="105"/>
      <c r="D87" s="105"/>
      <c r="E87" s="184">
        <f>IF(E83="СОБСТВЕННОСТЬ",VLOOKUP(1,$H$69:$K$80,4,0),
IF(E83="АРЕНДА",((F69*10^6)/(E86*1.001)*C72*C73*C74)+$J$86,0))</f>
        <v>1.9272099397563993</v>
      </c>
      <c r="H87" s="29" t="s">
        <v>146</v>
      </c>
      <c r="I87" s="30"/>
      <c r="J87" s="32">
        <v>3.0000000000000001E-3</v>
      </c>
      <c r="O87" s="87" t="str">
        <f t="shared" si="28"/>
        <v>3Q2033</v>
      </c>
      <c r="P87" s="88">
        <f t="shared" si="37"/>
        <v>48852</v>
      </c>
      <c r="Q87" s="89">
        <f>IF(SUM(Q$62:Q86)&lt;$N$63,$N$65,)</f>
        <v>0</v>
      </c>
      <c r="R87" s="89">
        <f>$N$63-SUM(Q$62:Q86)</f>
        <v>0</v>
      </c>
      <c r="S87" s="89">
        <f t="shared" si="29"/>
        <v>0</v>
      </c>
      <c r="T87" s="89">
        <f t="shared" si="30"/>
        <v>0</v>
      </c>
      <c r="U87" s="90">
        <f>IF(P87&gt;$N$66,0,IF(P88&gt;$N$66,SUM(Q$63:$Q87)+S87,T87))</f>
        <v>0</v>
      </c>
      <c r="Y87" s="87" t="str">
        <f t="shared" si="31"/>
        <v>3Q2033</v>
      </c>
      <c r="Z87" s="88">
        <f t="shared" si="38"/>
        <v>48791</v>
      </c>
      <c r="AA87" s="89"/>
      <c r="AB87" s="89">
        <f t="shared" si="33"/>
        <v>0</v>
      </c>
      <c r="AC87" s="89">
        <f t="shared" si="34"/>
        <v>0</v>
      </c>
      <c r="AF87" s="87" t="str">
        <f t="shared" si="35"/>
        <v>2Q2031</v>
      </c>
      <c r="AG87" s="88">
        <f t="shared" si="39"/>
        <v>48029</v>
      </c>
      <c r="AH87" s="76">
        <f>IF(AND(AH86&lt;0,AG87&lt;=EOMONTH('DB2'!U$27,3*'DB2'!$P$50)),1,IF(AG87&lt;=EOMONTH('DB2'!U$27,3*'DB2'!$P$50),AH86+1,0))</f>
        <v>0</v>
      </c>
      <c r="AI87" s="76">
        <f>IF(AND(AI86&gt;0,AG87&lt;=EOMONTH('DB2'!$U$27,0)),AI86+1,IF(AND(AG87&gt;'DB2'!$U$25,AG87&lt;='DB2'!$U$27),1,0))</f>
        <v>0</v>
      </c>
      <c r="AJ87" s="90">
        <f t="shared" si="26"/>
        <v>2024544709.2</v>
      </c>
      <c r="AK87" s="91">
        <f>IF($E$83="АРЕНДА",IF(OR(AG87&lt;'DB2'!$U$25,AG87&gt;'DB2'!$U$27),$AO$62,VLOOKUP(AI87,$AN$63:$AO$122,2,0)),IF(AG87&gt;0,AP87,0))</f>
        <v>1.4999999999999999E-2</v>
      </c>
      <c r="AL87" s="92">
        <f t="shared" si="36"/>
        <v>0</v>
      </c>
      <c r="AN87" s="90">
        <v>25</v>
      </c>
      <c r="AO87" s="91">
        <f t="shared" ref="AO87:AO122" si="42">$AO$86+2%</f>
        <v>0.1</v>
      </c>
      <c r="AP87" s="91">
        <f t="shared" si="27"/>
        <v>3.0000000000000001E-3</v>
      </c>
      <c r="AR87" s="55" t="str">
        <f>AR75</f>
        <v>КВАРТИРЫ</v>
      </c>
      <c r="AS87" s="60">
        <f>($AT$83)/SUM($AS$63:$AT$67)*AS63+($AT$84-SUM($AS$92:$AT$92))/SUM($AS$63:$AT$64,$AS$66:$AT$66)*AS63</f>
        <v>1986.8508855646014</v>
      </c>
      <c r="AT87" s="60">
        <f>($AT$83)/SUM($AS$63:$AT$67)*AT63+($AT$84-SUM($AS$92:$AT$92))/SUM($AS$63:$AT$64,$AS$66:$AT$66)*AT63</f>
        <v>821.08503665716603</v>
      </c>
      <c r="AU87" s="117">
        <f>AT88+AS89+AT89+AT90+AS91+AT91+AS93+AT93+AT92-'CF2'!E120</f>
        <v>0</v>
      </c>
    </row>
    <row r="88" spans="2:47">
      <c r="B88" s="104" t="s">
        <v>242</v>
      </c>
      <c r="C88" s="69"/>
      <c r="D88" s="105"/>
      <c r="E88" s="102">
        <f>C81</f>
        <v>3901722687.0514688</v>
      </c>
      <c r="H88" s="29" t="s">
        <v>243</v>
      </c>
      <c r="I88" s="30"/>
      <c r="J88" s="32">
        <v>0.03</v>
      </c>
      <c r="O88" s="87" t="str">
        <f t="shared" si="28"/>
        <v>4Q2033</v>
      </c>
      <c r="P88" s="88">
        <f t="shared" si="37"/>
        <v>48944</v>
      </c>
      <c r="Q88" s="89">
        <f>IF(SUM(Q$62:Q87)&lt;$N$63,$N$65,)</f>
        <v>0</v>
      </c>
      <c r="R88" s="89">
        <f>$N$63-SUM(Q$62:Q87)</f>
        <v>0</v>
      </c>
      <c r="S88" s="89">
        <f t="shared" si="29"/>
        <v>0</v>
      </c>
      <c r="T88" s="89">
        <f t="shared" si="30"/>
        <v>0</v>
      </c>
      <c r="U88" s="90">
        <f>IF(P88&gt;$N$66,0,IF(P89&gt;$N$66,SUM(Q$63:$Q88)+S88,T88))</f>
        <v>0</v>
      </c>
      <c r="Y88" s="87" t="str">
        <f t="shared" si="31"/>
        <v>4Q2033</v>
      </c>
      <c r="Z88" s="88">
        <f t="shared" si="38"/>
        <v>48883</v>
      </c>
      <c r="AA88" s="89"/>
      <c r="AB88" s="89">
        <f t="shared" si="33"/>
        <v>0</v>
      </c>
      <c r="AC88" s="89">
        <f t="shared" si="34"/>
        <v>0</v>
      </c>
      <c r="AF88" s="87" t="str">
        <f t="shared" si="35"/>
        <v>3Q2031</v>
      </c>
      <c r="AG88" s="88">
        <f t="shared" si="39"/>
        <v>48121</v>
      </c>
      <c r="AH88" s="76">
        <f>IF(AND(AH87&lt;0,AG88&lt;=EOMONTH('DB2'!U$27,3*'DB2'!$P$50)),1,IF(AG88&lt;=EOMONTH('DB2'!U$27,3*'DB2'!$P$50),AH87+1,0))</f>
        <v>0</v>
      </c>
      <c r="AI88" s="76">
        <f>IF(AND(AI87&gt;0,AG88&lt;=EOMONTH('DB2'!$U$27,0)),AI87+1,IF(AND(AG88&gt;'DB2'!$U$25,AG88&lt;='DB2'!$U$27),1,0))</f>
        <v>0</v>
      </c>
      <c r="AJ88" s="90">
        <f t="shared" si="26"/>
        <v>2024544709.2</v>
      </c>
      <c r="AK88" s="91">
        <f>IF($E$83="АРЕНДА",IF(OR(AG88&lt;'DB2'!$U$25,AG88&gt;'DB2'!$U$27),$AO$62,VLOOKUP(AI88,$AN$63:$AO$122,2,0)),IF(AG88&gt;0,AP88,0))</f>
        <v>1.4999999999999999E-2</v>
      </c>
      <c r="AL88" s="92">
        <f t="shared" si="36"/>
        <v>0</v>
      </c>
      <c r="AN88" s="90">
        <v>26</v>
      </c>
      <c r="AO88" s="91">
        <f t="shared" si="42"/>
        <v>0.1</v>
      </c>
      <c r="AP88" s="91">
        <f t="shared" si="27"/>
        <v>3.0000000000000001E-3</v>
      </c>
      <c r="AR88" s="55" t="str">
        <f t="shared" ref="AR88:AR93" si="43">AR76</f>
        <v>АПАРТАМЕНТЫ</v>
      </c>
      <c r="AS88" s="60">
        <f>($AT$83)/SUM($AS$63:$AT$67)*AS64+($AT$84-SUM($AS$92:$AT$92))/SUM($AS$63:$AT$64,$AS$66:$AT$66)*AS64</f>
        <v>0</v>
      </c>
      <c r="AT88" s="118">
        <f>($AT$83)/SUM($AS$63:$AT$67)*AT64+($AT$84-SUM($AS$92:$AT$92))/SUM($AS$63:$AT$64,$AS$66:$AT$66)*AT64</f>
        <v>0</v>
      </c>
    </row>
    <row r="89" spans="2:47">
      <c r="B89" s="340" t="s">
        <v>381</v>
      </c>
      <c r="C89" s="341"/>
      <c r="D89" s="341"/>
      <c r="E89" s="342">
        <f>(E86*E87)*(1-E76)-E88</f>
        <v>0</v>
      </c>
      <c r="O89" s="87" t="str">
        <f t="shared" si="28"/>
        <v>1Q2034</v>
      </c>
      <c r="P89" s="88">
        <f t="shared" si="37"/>
        <v>49034</v>
      </c>
      <c r="Q89" s="89">
        <f>IF(SUM(Q$62:Q88)&lt;$N$63,$N$65,)</f>
        <v>0</v>
      </c>
      <c r="R89" s="89">
        <f>$N$63-SUM(Q$62:Q88)</f>
        <v>0</v>
      </c>
      <c r="S89" s="89">
        <f t="shared" si="29"/>
        <v>0</v>
      </c>
      <c r="T89" s="89">
        <f t="shared" si="30"/>
        <v>0</v>
      </c>
      <c r="U89" s="90">
        <f>IF(P89&gt;$N$66,0,IF(P90&gt;$N$66,SUM(Q$63:$Q89)+S89,T89))</f>
        <v>0</v>
      </c>
      <c r="Y89" s="87" t="str">
        <f t="shared" si="31"/>
        <v>1Q2034</v>
      </c>
      <c r="Z89" s="88">
        <f t="shared" si="38"/>
        <v>48975</v>
      </c>
      <c r="AA89" s="89"/>
      <c r="AB89" s="89">
        <f t="shared" si="33"/>
        <v>0</v>
      </c>
      <c r="AC89" s="89">
        <f t="shared" si="34"/>
        <v>0</v>
      </c>
      <c r="AF89" s="87" t="str">
        <f t="shared" si="35"/>
        <v>4Q2031</v>
      </c>
      <c r="AG89" s="88">
        <f t="shared" si="39"/>
        <v>48213</v>
      </c>
      <c r="AH89" s="76">
        <f>IF(AND(AH88&lt;0,AG89&lt;=EOMONTH('DB2'!U$27,3*'DB2'!$P$50)),1,IF(AG89&lt;=EOMONTH('DB2'!U$27,3*'DB2'!$P$50),AH88+1,0))</f>
        <v>0</v>
      </c>
      <c r="AI89" s="76">
        <f>IF(AND(AI88&gt;0,AG89&lt;=EOMONTH('DB2'!$U$27,0)),AI88+1,IF(AND(AG89&gt;'DB2'!$U$25,AG89&lt;='DB2'!$U$27),1,0))</f>
        <v>0</v>
      </c>
      <c r="AJ89" s="90">
        <f t="shared" si="26"/>
        <v>2024544709.2</v>
      </c>
      <c r="AK89" s="91">
        <f>IF($E$83="АРЕНДА",IF(OR(AG89&lt;'DB2'!$U$25,AG89&gt;'DB2'!$U$27),$AO$62,VLOOKUP(AI89,$AN$63:$AO$122,2,0)),IF(AG89&gt;0,AP89,0))</f>
        <v>1.4999999999999999E-2</v>
      </c>
      <c r="AL89" s="92">
        <f t="shared" si="36"/>
        <v>0</v>
      </c>
      <c r="AN89" s="90">
        <v>27</v>
      </c>
      <c r="AO89" s="91">
        <f t="shared" si="42"/>
        <v>0.1</v>
      </c>
      <c r="AP89" s="91">
        <f t="shared" si="27"/>
        <v>3.0000000000000001E-3</v>
      </c>
      <c r="AR89" s="55" t="str">
        <f t="shared" si="43"/>
        <v>ОФИСЫ</v>
      </c>
      <c r="AS89" s="119">
        <f>IFERROR(($AT$83)/SUM($AS$63:$AT$67)*AS65+($AT$85-SUM($AS$93:$AT$93))/SUM($AS$65:$AT$65)*AS65,0)</f>
        <v>0</v>
      </c>
      <c r="AT89" s="118">
        <f>IFERROR(($AT$83)/SUM($AS$63:$AT$67)*AT65+($AT$85-SUM($AS$93:$AT$93))/SUM($AS$65:$AT$65)*AT65,0)</f>
        <v>0</v>
      </c>
    </row>
    <row r="90" spans="2:47">
      <c r="O90" s="87" t="str">
        <f t="shared" si="28"/>
        <v>2Q2034</v>
      </c>
      <c r="P90" s="88">
        <f t="shared" si="37"/>
        <v>49125</v>
      </c>
      <c r="Q90" s="89">
        <f>IF(SUM(Q$62:Q89)&lt;$N$63,$N$65,)</f>
        <v>0</v>
      </c>
      <c r="R90" s="89">
        <f>$N$63-SUM(Q$62:Q89)</f>
        <v>0</v>
      </c>
      <c r="S90" s="89">
        <f t="shared" si="29"/>
        <v>0</v>
      </c>
      <c r="T90" s="89">
        <f t="shared" si="30"/>
        <v>0</v>
      </c>
      <c r="U90" s="90">
        <f>IF(P90&gt;$N$66,0,IF(P91&gt;$N$66,SUM(Q$63:$Q90)+S90,T90))</f>
        <v>0</v>
      </c>
      <c r="Y90" s="87" t="str">
        <f t="shared" si="31"/>
        <v>2Q2034</v>
      </c>
      <c r="Z90" s="88">
        <f t="shared" si="38"/>
        <v>49064</v>
      </c>
      <c r="AA90" s="89"/>
      <c r="AB90" s="89">
        <f t="shared" si="33"/>
        <v>0</v>
      </c>
      <c r="AC90" s="89">
        <f t="shared" si="34"/>
        <v>0</v>
      </c>
      <c r="AF90" s="87" t="str">
        <f t="shared" si="35"/>
        <v>1Q2032</v>
      </c>
      <c r="AG90" s="88">
        <f t="shared" si="39"/>
        <v>48304</v>
      </c>
      <c r="AH90" s="76">
        <f>IF(AND(AH89&lt;0,AG90&lt;=EOMONTH('DB2'!U$27,3*'DB2'!$P$50)),1,IF(AG90&lt;=EOMONTH('DB2'!U$27,3*'DB2'!$P$50),AH89+1,0))</f>
        <v>0</v>
      </c>
      <c r="AI90" s="76">
        <f>IF(AND(AI89&gt;0,AG90&lt;=EOMONTH('DB2'!$U$27,0)),AI89+1,IF(AND(AG90&gt;'DB2'!$U$25,AG90&lt;='DB2'!$U$27),1,0))</f>
        <v>0</v>
      </c>
      <c r="AJ90" s="90">
        <f t="shared" si="26"/>
        <v>2024544709.2</v>
      </c>
      <c r="AK90" s="91">
        <f>IF($E$83="АРЕНДА",IF(OR(AG90&lt;'DB2'!$U$25,AG90&gt;'DB2'!$U$27),$AO$62,VLOOKUP(AI90,$AN$63:$AO$122,2,0)),IF(AG90&gt;0,AP90,0))</f>
        <v>1.4999999999999999E-2</v>
      </c>
      <c r="AL90" s="92">
        <f t="shared" si="36"/>
        <v>0</v>
      </c>
      <c r="AN90" s="90">
        <v>28</v>
      </c>
      <c r="AO90" s="91">
        <f t="shared" si="42"/>
        <v>0.1</v>
      </c>
      <c r="AP90" s="91">
        <f t="shared" si="27"/>
        <v>3.0000000000000001E-3</v>
      </c>
      <c r="AR90" s="55" t="str">
        <f t="shared" si="43"/>
        <v>РИТЕЙЛ</v>
      </c>
      <c r="AS90" s="60">
        <f>($AT$83)/SUM($AS$63:$AT$67)*AS66+($AT$84-SUM($AS$92:$AT$92))/SUM($AS$63:$AT$64,$AS$66:$AT$66)*AS66</f>
        <v>0</v>
      </c>
      <c r="AT90" s="118">
        <f>($AT$83)/SUM($AS$63:$AT$67)*AT66+($AT$84-SUM($AS$92:$AT$92))/SUM($AS$63:$AT$64,$AS$66:$AT$66)*AT66</f>
        <v>141.06964150777571</v>
      </c>
    </row>
    <row r="91" spans="2:47">
      <c r="O91" s="87" t="str">
        <f t="shared" si="28"/>
        <v>3Q2034</v>
      </c>
      <c r="P91" s="88">
        <f t="shared" si="37"/>
        <v>49217</v>
      </c>
      <c r="Q91" s="89">
        <f>IF(SUM(Q$62:Q90)&lt;$N$63,$N$65,)</f>
        <v>0</v>
      </c>
      <c r="R91" s="89">
        <f>$N$63-SUM(Q$62:Q90)</f>
        <v>0</v>
      </c>
      <c r="S91" s="89">
        <f t="shared" si="29"/>
        <v>0</v>
      </c>
      <c r="T91" s="89">
        <f t="shared" si="30"/>
        <v>0</v>
      </c>
      <c r="U91" s="90">
        <f>IF(P91&gt;$N$66,0,IF(P92&gt;$N$66,SUM(Q$63:$Q91)+S91,T91))</f>
        <v>0</v>
      </c>
      <c r="Y91" s="87" t="str">
        <f t="shared" si="31"/>
        <v>3Q2034</v>
      </c>
      <c r="Z91" s="88">
        <f t="shared" si="38"/>
        <v>49156</v>
      </c>
      <c r="AA91" s="89"/>
      <c r="AB91" s="89">
        <f t="shared" si="33"/>
        <v>0</v>
      </c>
      <c r="AC91" s="89">
        <f t="shared" si="34"/>
        <v>0</v>
      </c>
      <c r="AF91" s="87" t="str">
        <f t="shared" si="35"/>
        <v>2Q2032</v>
      </c>
      <c r="AG91" s="88">
        <f t="shared" si="39"/>
        <v>48395</v>
      </c>
      <c r="AH91" s="76">
        <f>IF(AND(AH90&lt;0,AG91&lt;=EOMONTH('DB2'!U$27,3*'DB2'!$P$50)),1,IF(AG91&lt;=EOMONTH('DB2'!U$27,3*'DB2'!$P$50),AH90+1,0))</f>
        <v>0</v>
      </c>
      <c r="AI91" s="76">
        <f>IF(AND(AI90&gt;0,AG91&lt;=EOMONTH('DB2'!$U$27,0)),AI90+1,IF(AND(AG91&gt;'DB2'!$U$25,AG91&lt;='DB2'!$U$27),1,0))</f>
        <v>0</v>
      </c>
      <c r="AJ91" s="90">
        <f t="shared" si="26"/>
        <v>2024544709.2</v>
      </c>
      <c r="AK91" s="91">
        <f>IF($E$83="АРЕНДА",IF(OR(AG91&lt;'DB2'!$U$25,AG91&gt;'DB2'!$U$27),$AO$62,VLOOKUP(AI91,$AN$63:$AO$122,2,0)),IF(AG91&gt;0,AP91,0))</f>
        <v>1.4999999999999999E-2</v>
      </c>
      <c r="AL91" s="92">
        <f t="shared" si="36"/>
        <v>0</v>
      </c>
      <c r="AN91" s="90">
        <v>29</v>
      </c>
      <c r="AO91" s="91">
        <f t="shared" si="42"/>
        <v>0.1</v>
      </c>
      <c r="AP91" s="91">
        <f t="shared" si="27"/>
        <v>3.0000000000000001E-3</v>
      </c>
      <c r="AR91" s="55" t="str">
        <f t="shared" si="43"/>
        <v>ТЦ</v>
      </c>
      <c r="AS91" s="119">
        <f>IFERROR(($AT$83)/SUM($AS$63:$AT$67)*AS67+$AT$86/SUM($AS$67:$AT$67)*AS67,0)</f>
        <v>0</v>
      </c>
      <c r="AT91" s="118">
        <f>IFERROR(($AT$83)/SUM($AS$63:$AT$67)*AT67+$AT$86/SUM($AS$67:$AT$67)*AT67,0)</f>
        <v>0</v>
      </c>
    </row>
    <row r="92" spans="2:47">
      <c r="O92" s="87" t="str">
        <f t="shared" si="28"/>
        <v>4Q2034</v>
      </c>
      <c r="P92" s="88">
        <f t="shared" si="37"/>
        <v>49309</v>
      </c>
      <c r="Q92" s="89">
        <f>IF(SUM(Q$62:Q91)&lt;$N$63,$N$65,)</f>
        <v>0</v>
      </c>
      <c r="R92" s="89">
        <f>$N$63-SUM(Q$62:Q91)</f>
        <v>0</v>
      </c>
      <c r="S92" s="89">
        <f t="shared" si="29"/>
        <v>0</v>
      </c>
      <c r="T92" s="89">
        <f t="shared" si="30"/>
        <v>0</v>
      </c>
      <c r="U92" s="90">
        <f>IF(P92&gt;$N$66,0,IF(P93&gt;$N$66,SUM(Q$63:$Q92)+S92,T92))</f>
        <v>0</v>
      </c>
      <c r="Y92" s="87" t="str">
        <f t="shared" si="31"/>
        <v>4Q2034</v>
      </c>
      <c r="Z92" s="88">
        <f t="shared" si="38"/>
        <v>49248</v>
      </c>
      <c r="AA92" s="89"/>
      <c r="AB92" s="89">
        <f t="shared" si="33"/>
        <v>0</v>
      </c>
      <c r="AC92" s="89">
        <f t="shared" si="34"/>
        <v>0</v>
      </c>
      <c r="AF92" s="87" t="str">
        <f t="shared" si="35"/>
        <v>3Q2032</v>
      </c>
      <c r="AG92" s="88">
        <f t="shared" si="39"/>
        <v>48487</v>
      </c>
      <c r="AH92" s="76">
        <f>IF(AND(AH91&lt;0,AG92&lt;=EOMONTH('DB2'!U$27,3*'DB2'!$P$50)),1,IF(AG92&lt;=EOMONTH('DB2'!U$27,3*'DB2'!$P$50),AH91+1,0))</f>
        <v>0</v>
      </c>
      <c r="AI92" s="76">
        <f>IF(AND(AI91&gt;0,AG92&lt;=EOMONTH('DB2'!$U$27,0)),AI91+1,IF(AND(AG92&gt;'DB2'!$U$25,AG92&lt;='DB2'!$U$27),1,0))</f>
        <v>0</v>
      </c>
      <c r="AJ92" s="90">
        <f t="shared" si="26"/>
        <v>2024544709.2</v>
      </c>
      <c r="AK92" s="91">
        <f>IF($E$83="АРЕНДА",IF(OR(AG92&lt;'DB2'!$U$25,AG92&gt;'DB2'!$U$27),$AO$62,VLOOKUP(AI92,$AN$63:$AO$122,2,0)),IF(AG92&gt;0,AP92,0))</f>
        <v>1.4999999999999999E-2</v>
      </c>
      <c r="AL92" s="92">
        <f t="shared" si="36"/>
        <v>0</v>
      </c>
      <c r="AN92" s="90">
        <v>30</v>
      </c>
      <c r="AO92" s="91">
        <f t="shared" si="42"/>
        <v>0.1</v>
      </c>
      <c r="AP92" s="91">
        <f t="shared" si="27"/>
        <v>3.0000000000000001E-3</v>
      </c>
      <c r="AR92" s="55" t="str">
        <f t="shared" si="43"/>
        <v>ПАРКИНГ ЖИЛЬЕ</v>
      </c>
      <c r="AS92" s="60">
        <f>AS80/(1+'TS2'!$J$84)*'TS2'!$J$84</f>
        <v>270</v>
      </c>
      <c r="AT92" s="118">
        <f>AT80/(1+'TS2'!$J$84)*'TS2'!$J$84</f>
        <v>114.75</v>
      </c>
    </row>
    <row r="93" spans="2:47">
      <c r="O93" s="87" t="str">
        <f t="shared" si="28"/>
        <v>1Q2035</v>
      </c>
      <c r="P93" s="88">
        <f t="shared" si="37"/>
        <v>49399</v>
      </c>
      <c r="Q93" s="89">
        <f>IF(SUM(Q$62:Q92)&lt;$N$63,$N$65,)</f>
        <v>0</v>
      </c>
      <c r="R93" s="89">
        <f>$N$63-SUM(Q$62:Q92)</f>
        <v>0</v>
      </c>
      <c r="S93" s="89">
        <f t="shared" si="29"/>
        <v>0</v>
      </c>
      <c r="T93" s="89">
        <f t="shared" si="30"/>
        <v>0</v>
      </c>
      <c r="U93" s="90">
        <f>IF(P93&gt;$N$66,0,IF(P94&gt;$N$66,SUM(Q$63:$Q93)+S93,T93))</f>
        <v>0</v>
      </c>
      <c r="Y93" s="87" t="str">
        <f t="shared" si="31"/>
        <v>1Q2035</v>
      </c>
      <c r="Z93" s="88">
        <f t="shared" si="38"/>
        <v>49340</v>
      </c>
      <c r="AA93" s="89"/>
      <c r="AB93" s="89">
        <f t="shared" si="33"/>
        <v>0</v>
      </c>
      <c r="AC93" s="89">
        <f t="shared" si="34"/>
        <v>0</v>
      </c>
      <c r="AF93" s="87" t="str">
        <f t="shared" si="35"/>
        <v>4Q2032</v>
      </c>
      <c r="AG93" s="88">
        <f t="shared" si="39"/>
        <v>48579</v>
      </c>
      <c r="AH93" s="76">
        <f>IF(AND(AH92&lt;0,AG93&lt;=EOMONTH('DB2'!U$27,3*'DB2'!$P$50)),1,IF(AG93&lt;=EOMONTH('DB2'!U$27,3*'DB2'!$P$50),AH92+1,0))</f>
        <v>0</v>
      </c>
      <c r="AI93" s="76">
        <f>IF(AND(AI92&gt;0,AG93&lt;=EOMONTH('DB2'!$U$27,0)),AI92+1,IF(AND(AG93&gt;'DB2'!$U$25,AG93&lt;='DB2'!$U$27),1,0))</f>
        <v>0</v>
      </c>
      <c r="AJ93" s="90">
        <f t="shared" si="26"/>
        <v>2024544709.2</v>
      </c>
      <c r="AK93" s="91">
        <f>IF($E$83="АРЕНДА",IF(OR(AG93&lt;'DB2'!$U$25,AG93&gt;'DB2'!$U$27),$AO$62,VLOOKUP(AI93,$AN$63:$AO$122,2,0)),IF(AG93&gt;0,AP93,0))</f>
        <v>1.4999999999999999E-2</v>
      </c>
      <c r="AL93" s="92">
        <f t="shared" si="36"/>
        <v>0</v>
      </c>
      <c r="AN93" s="90">
        <v>31</v>
      </c>
      <c r="AO93" s="91">
        <f t="shared" si="42"/>
        <v>0.1</v>
      </c>
      <c r="AP93" s="91">
        <f t="shared" si="27"/>
        <v>3.0000000000000001E-3</v>
      </c>
      <c r="AR93" s="55" t="str">
        <f t="shared" si="43"/>
        <v>ПАРКИНГ ОФИС</v>
      </c>
      <c r="AS93" s="119">
        <f>AS81/(1+'TS2'!$J$84)*'TS2'!$J$84</f>
        <v>0</v>
      </c>
      <c r="AT93" s="118">
        <f>AT81/(1+'TS2'!$J$84)*'TS2'!$J$84</f>
        <v>0</v>
      </c>
    </row>
    <row r="94" spans="2:47">
      <c r="O94" s="87" t="str">
        <f t="shared" si="28"/>
        <v>2Q2035</v>
      </c>
      <c r="P94" s="88">
        <f t="shared" si="37"/>
        <v>49490</v>
      </c>
      <c r="Q94" s="89">
        <f>IF(SUM(Q$62:Q93)&lt;$N$63,$N$65,)</f>
        <v>0</v>
      </c>
      <c r="R94" s="89">
        <f>$N$63-SUM(Q$62:Q93)</f>
        <v>0</v>
      </c>
      <c r="S94" s="89">
        <f t="shared" si="29"/>
        <v>0</v>
      </c>
      <c r="T94" s="89">
        <f t="shared" si="30"/>
        <v>0</v>
      </c>
      <c r="U94" s="90">
        <f>IF(P94&gt;$N$66,0,IF(P95&gt;$N$66,SUM(Q$63:$Q94)+S94,T94))</f>
        <v>0</v>
      </c>
      <c r="Y94" s="87" t="str">
        <f t="shared" si="31"/>
        <v>2Q2035</v>
      </c>
      <c r="Z94" s="88">
        <f t="shared" si="38"/>
        <v>49429</v>
      </c>
      <c r="AA94" s="89"/>
      <c r="AB94" s="89">
        <f t="shared" si="33"/>
        <v>0</v>
      </c>
      <c r="AC94" s="89">
        <f t="shared" si="34"/>
        <v>0</v>
      </c>
      <c r="AF94" s="87" t="str">
        <f t="shared" si="35"/>
        <v>1Q2033</v>
      </c>
      <c r="AG94" s="88">
        <f t="shared" si="39"/>
        <v>48669</v>
      </c>
      <c r="AH94" s="76">
        <f>IF(AND(AH93&lt;0,AG94&lt;=EOMONTH('DB2'!U$27,3*'DB2'!$P$50)),1,IF(AG94&lt;=EOMONTH('DB2'!U$27,3*'DB2'!$P$50),AH93+1,0))</f>
        <v>0</v>
      </c>
      <c r="AI94" s="76">
        <f>IF(AND(AI93&gt;0,AG94&lt;=EOMONTH('DB2'!$U$27,0)),AI93+1,IF(AND(AG94&gt;'DB2'!$U$25,AG94&lt;='DB2'!$U$27),1,0))</f>
        <v>0</v>
      </c>
      <c r="AJ94" s="90">
        <f t="shared" si="26"/>
        <v>2024544709.2</v>
      </c>
      <c r="AK94" s="91">
        <f>IF($E$83="АРЕНДА",IF(OR(AG94&lt;'DB2'!$U$25,AG94&gt;'DB2'!$U$27),$AO$62,VLOOKUP(AI94,$AN$63:$AO$122,2,0)),IF(AG94&gt;0,AP94,0))</f>
        <v>1.4999999999999999E-2</v>
      </c>
      <c r="AL94" s="92">
        <f t="shared" si="36"/>
        <v>0</v>
      </c>
      <c r="AN94" s="90">
        <v>32</v>
      </c>
      <c r="AO94" s="91">
        <f t="shared" si="42"/>
        <v>0.1</v>
      </c>
      <c r="AP94" s="91">
        <f t="shared" si="27"/>
        <v>3.0000000000000001E-3</v>
      </c>
      <c r="AR94" s="85" t="s">
        <v>89</v>
      </c>
      <c r="AS94" s="86"/>
      <c r="AT94" s="108"/>
    </row>
    <row r="95" spans="2:47">
      <c r="O95" s="87" t="str">
        <f t="shared" si="28"/>
        <v>3Q2035</v>
      </c>
      <c r="P95" s="88">
        <f t="shared" si="37"/>
        <v>49582</v>
      </c>
      <c r="Q95" s="89">
        <f>IF(SUM(Q$62:Q94)&lt;$N$63,$N$65,)</f>
        <v>0</v>
      </c>
      <c r="R95" s="89">
        <f>$N$63-SUM(Q$62:Q94)</f>
        <v>0</v>
      </c>
      <c r="S95" s="89">
        <f t="shared" si="29"/>
        <v>0</v>
      </c>
      <c r="T95" s="89">
        <f t="shared" si="30"/>
        <v>0</v>
      </c>
      <c r="U95" s="90">
        <f>IF(P95&gt;$N$66,0,IF(P96&gt;$N$66,SUM(Q$63:$Q95)+S95,T95))</f>
        <v>0</v>
      </c>
      <c r="Y95" s="87" t="str">
        <f t="shared" si="31"/>
        <v>3Q2035</v>
      </c>
      <c r="Z95" s="88">
        <f t="shared" si="38"/>
        <v>49521</v>
      </c>
      <c r="AA95" s="89"/>
      <c r="AB95" s="89">
        <f t="shared" si="33"/>
        <v>0</v>
      </c>
      <c r="AC95" s="89">
        <f t="shared" si="34"/>
        <v>0</v>
      </c>
      <c r="AF95" s="87" t="str">
        <f t="shared" si="35"/>
        <v>2Q2033</v>
      </c>
      <c r="AG95" s="88">
        <f t="shared" si="39"/>
        <v>48760</v>
      </c>
      <c r="AH95" s="76">
        <f>IF(AND(AH94&lt;0,AG95&lt;=EOMONTH('DB2'!U$27,3*'DB2'!$P$50)),1,IF(AG95&lt;=EOMONTH('DB2'!U$27,3*'DB2'!$P$50),AH94+1,0))</f>
        <v>0</v>
      </c>
      <c r="AI95" s="76">
        <f>IF(AND(AI94&gt;0,AG95&lt;=EOMONTH('DB2'!$U$27,0)),AI94+1,IF(AND(AG95&gt;'DB2'!$U$25,AG95&lt;='DB2'!$U$27),1,0))</f>
        <v>0</v>
      </c>
      <c r="AJ95" s="90">
        <f t="shared" si="26"/>
        <v>2024544709.2</v>
      </c>
      <c r="AK95" s="91">
        <f>IF($E$83="АРЕНДА",IF(OR(AG95&lt;'DB2'!$U$25,AG95&gt;'DB2'!$U$27),$AO$62,VLOOKUP(AI95,$AN$63:$AO$122,2,0)),IF(AG95&gt;0,AP95,0))</f>
        <v>1.4999999999999999E-2</v>
      </c>
      <c r="AL95" s="92">
        <f t="shared" si="36"/>
        <v>0</v>
      </c>
      <c r="AN95" s="90">
        <v>33</v>
      </c>
      <c r="AO95" s="91">
        <f t="shared" si="42"/>
        <v>0.1</v>
      </c>
      <c r="AP95" s="91">
        <f t="shared" si="27"/>
        <v>3.0000000000000001E-3</v>
      </c>
      <c r="AR95" s="55" t="str">
        <f>AR87</f>
        <v>КВАРТИРЫ</v>
      </c>
      <c r="AS95" s="60">
        <v>1</v>
      </c>
      <c r="AT95" s="60">
        <v>1</v>
      </c>
    </row>
    <row r="96" spans="2:47">
      <c r="O96" s="87" t="str">
        <f t="shared" si="28"/>
        <v>4Q2035</v>
      </c>
      <c r="P96" s="88">
        <f t="shared" si="37"/>
        <v>49674</v>
      </c>
      <c r="Q96" s="89">
        <f>IF(SUM(Q$62:Q95)&lt;$N$63,$N$65,)</f>
        <v>0</v>
      </c>
      <c r="R96" s="89">
        <f>$N$63-SUM(Q$62:Q95)</f>
        <v>0</v>
      </c>
      <c r="S96" s="89">
        <f t="shared" si="29"/>
        <v>0</v>
      </c>
      <c r="T96" s="89">
        <f t="shared" si="30"/>
        <v>0</v>
      </c>
      <c r="U96" s="90">
        <f>IF(P96&gt;$N$66,0,IF(P97&gt;$N$66,SUM(Q$63:$Q96)+S96,T96))</f>
        <v>0</v>
      </c>
      <c r="Y96" s="87" t="str">
        <f t="shared" si="31"/>
        <v>4Q2035</v>
      </c>
      <c r="Z96" s="88">
        <f t="shared" si="38"/>
        <v>49613</v>
      </c>
      <c r="AA96" s="89"/>
      <c r="AB96" s="89">
        <f t="shared" si="33"/>
        <v>0</v>
      </c>
      <c r="AC96" s="89">
        <f t="shared" si="34"/>
        <v>0</v>
      </c>
      <c r="AF96" s="87" t="str">
        <f t="shared" si="35"/>
        <v>3Q2033</v>
      </c>
      <c r="AG96" s="88">
        <f t="shared" si="39"/>
        <v>48852</v>
      </c>
      <c r="AH96" s="76">
        <f>IF(AND(AH95&lt;0,AG96&lt;=EOMONTH('DB2'!U$27,3*'DB2'!$P$50)),1,IF(AG96&lt;=EOMONTH('DB2'!U$27,3*'DB2'!$P$50),AH95+1,0))</f>
        <v>0</v>
      </c>
      <c r="AI96" s="76">
        <f>IF(AND(AI95&gt;0,AG96&lt;=EOMONTH('DB2'!$U$27,0)),AI95+1,IF(AND(AG96&gt;'DB2'!$U$25,AG96&lt;='DB2'!$U$27),1,0))</f>
        <v>0</v>
      </c>
      <c r="AJ96" s="90">
        <f t="shared" si="26"/>
        <v>2024544709.2</v>
      </c>
      <c r="AK96" s="91">
        <f>IF($E$83="АРЕНДА",IF(OR(AG96&lt;'DB2'!$U$25,AG96&gt;'DB2'!$U$27),$AO$62,VLOOKUP(AI96,$AN$63:$AO$122,2,0)),IF(AG96&gt;0,AP96,0))</f>
        <v>1.4999999999999999E-2</v>
      </c>
      <c r="AL96" s="92">
        <f t="shared" si="36"/>
        <v>0</v>
      </c>
      <c r="AN96" s="90">
        <v>34</v>
      </c>
      <c r="AO96" s="91">
        <f t="shared" si="42"/>
        <v>0.1</v>
      </c>
      <c r="AP96" s="91">
        <f t="shared" si="27"/>
        <v>3.0000000000000001E-3</v>
      </c>
      <c r="AR96" s="55" t="str">
        <f t="shared" ref="AR96:AR101" si="44">AR88</f>
        <v>АПАРТАМЕНТЫ</v>
      </c>
      <c r="AS96" s="60">
        <v>1</v>
      </c>
      <c r="AT96" s="60"/>
    </row>
    <row r="97" spans="15:48">
      <c r="O97" s="87" t="str">
        <f t="shared" si="28"/>
        <v>1Q2036</v>
      </c>
      <c r="P97" s="88">
        <f t="shared" si="37"/>
        <v>49765</v>
      </c>
      <c r="Q97" s="89">
        <f>IF(SUM(Q$62:Q96)&lt;$N$63,$N$65,)</f>
        <v>0</v>
      </c>
      <c r="R97" s="89">
        <f>$N$63-SUM(Q$62:Q96)</f>
        <v>0</v>
      </c>
      <c r="S97" s="89">
        <f t="shared" si="29"/>
        <v>0</v>
      </c>
      <c r="T97" s="89">
        <f t="shared" si="30"/>
        <v>0</v>
      </c>
      <c r="U97" s="90">
        <f>IF(P97&gt;$N$66,0,IF(P98&gt;$N$66,SUM(Q$63:$Q97)+S97,T97))</f>
        <v>0</v>
      </c>
      <c r="Y97" s="87" t="str">
        <f t="shared" si="31"/>
        <v>1Q2036</v>
      </c>
      <c r="Z97" s="88">
        <f t="shared" si="38"/>
        <v>49705</v>
      </c>
      <c r="AA97" s="89"/>
      <c r="AB97" s="89">
        <f t="shared" si="33"/>
        <v>0</v>
      </c>
      <c r="AC97" s="89">
        <f t="shared" si="34"/>
        <v>0</v>
      </c>
      <c r="AF97" s="87" t="str">
        <f t="shared" si="35"/>
        <v>4Q2033</v>
      </c>
      <c r="AG97" s="88">
        <f t="shared" si="39"/>
        <v>48944</v>
      </c>
      <c r="AH97" s="76">
        <f>IF(AND(AH96&lt;0,AG97&lt;=EOMONTH('DB2'!U$27,3*'DB2'!$P$50)),1,IF(AG97&lt;=EOMONTH('DB2'!U$27,3*'DB2'!$P$50),AH96+1,0))</f>
        <v>0</v>
      </c>
      <c r="AI97" s="76">
        <f>IF(AND(AI96&gt;0,AG97&lt;=EOMONTH('DB2'!$U$27,0)),AI96+1,IF(AND(AG97&gt;'DB2'!$U$25,AG97&lt;='DB2'!$U$27),1,0))</f>
        <v>0</v>
      </c>
      <c r="AJ97" s="90">
        <f t="shared" si="26"/>
        <v>2024544709.2</v>
      </c>
      <c r="AK97" s="91">
        <f>IF($E$83="АРЕНДА",IF(OR(AG97&lt;'DB2'!$U$25,AG97&gt;'DB2'!$U$27),$AO$62,VLOOKUP(AI97,$AN$63:$AO$122,2,0)),IF(AG97&gt;0,AP97,0))</f>
        <v>1.4999999999999999E-2</v>
      </c>
      <c r="AL97" s="92">
        <f t="shared" si="36"/>
        <v>0</v>
      </c>
      <c r="AN97" s="90">
        <v>35</v>
      </c>
      <c r="AO97" s="91">
        <f t="shared" si="42"/>
        <v>0.1</v>
      </c>
      <c r="AP97" s="91">
        <f t="shared" si="27"/>
        <v>3.0000000000000001E-3</v>
      </c>
      <c r="AR97" s="55" t="str">
        <f t="shared" si="44"/>
        <v>ОФИСЫ</v>
      </c>
      <c r="AS97" s="60"/>
      <c r="AT97" s="60"/>
    </row>
    <row r="98" spans="15:48">
      <c r="O98" s="87" t="str">
        <f t="shared" si="28"/>
        <v>2Q2036</v>
      </c>
      <c r="P98" s="88">
        <f t="shared" si="37"/>
        <v>49856</v>
      </c>
      <c r="Q98" s="89">
        <f>IF(SUM(Q$62:Q97)&lt;$N$63,$N$65,)</f>
        <v>0</v>
      </c>
      <c r="R98" s="89">
        <f>$N$63-SUM(Q$62:Q97)</f>
        <v>0</v>
      </c>
      <c r="S98" s="89">
        <f t="shared" si="29"/>
        <v>0</v>
      </c>
      <c r="T98" s="89">
        <f t="shared" si="30"/>
        <v>0</v>
      </c>
      <c r="U98" s="90">
        <f>IF(P98&gt;$N$66,0,IF(P99&gt;$N$66,SUM(Q$63:$Q98)+S98,T98))</f>
        <v>0</v>
      </c>
      <c r="Y98" s="87" t="str">
        <f t="shared" si="31"/>
        <v>2Q2036</v>
      </c>
      <c r="Z98" s="88">
        <f t="shared" si="38"/>
        <v>49795</v>
      </c>
      <c r="AA98" s="89"/>
      <c r="AB98" s="89">
        <f t="shared" si="33"/>
        <v>0</v>
      </c>
      <c r="AC98" s="89">
        <f t="shared" si="34"/>
        <v>0</v>
      </c>
      <c r="AF98" s="87" t="str">
        <f t="shared" si="35"/>
        <v>1Q2034</v>
      </c>
      <c r="AG98" s="88">
        <f t="shared" si="39"/>
        <v>49034</v>
      </c>
      <c r="AH98" s="76">
        <f>IF(AND(AH97&lt;0,AG98&lt;=EOMONTH('DB2'!U$27,3*'DB2'!$P$50)),1,IF(AG98&lt;=EOMONTH('DB2'!U$27,3*'DB2'!$P$50),AH97+1,0))</f>
        <v>0</v>
      </c>
      <c r="AI98" s="76">
        <f>IF(AND(AI97&gt;0,AG98&lt;=EOMONTH('DB2'!$U$27,0)),AI97+1,IF(AND(AG98&gt;'DB2'!$U$25,AG98&lt;='DB2'!$U$27),1,0))</f>
        <v>0</v>
      </c>
      <c r="AJ98" s="90">
        <f t="shared" si="26"/>
        <v>2024544709.2</v>
      </c>
      <c r="AK98" s="91">
        <f>IF($E$83="АРЕНДА",IF(OR(AG98&lt;'DB2'!$U$25,AG98&gt;'DB2'!$U$27),$AO$62,VLOOKUP(AI98,$AN$63:$AO$122,2,0)),IF(AG98&gt;0,AP98,0))</f>
        <v>1.4999999999999999E-2</v>
      </c>
      <c r="AL98" s="92">
        <f t="shared" si="36"/>
        <v>0</v>
      </c>
      <c r="AN98" s="90">
        <v>36</v>
      </c>
      <c r="AO98" s="91">
        <f t="shared" si="42"/>
        <v>0.1</v>
      </c>
      <c r="AP98" s="91">
        <f t="shared" si="27"/>
        <v>3.0000000000000001E-3</v>
      </c>
      <c r="AR98" s="55" t="str">
        <f t="shared" si="44"/>
        <v>РИТЕЙЛ</v>
      </c>
      <c r="AS98" s="60">
        <v>1</v>
      </c>
      <c r="AT98" s="60"/>
    </row>
    <row r="99" spans="15:48">
      <c r="O99" s="87" t="str">
        <f t="shared" si="28"/>
        <v>3Q2036</v>
      </c>
      <c r="P99" s="88">
        <f t="shared" si="37"/>
        <v>49948</v>
      </c>
      <c r="Q99" s="89">
        <f>IF(SUM(Q$62:Q98)&lt;$N$63,$N$65,)</f>
        <v>0</v>
      </c>
      <c r="R99" s="89">
        <f>$N$63-SUM(Q$62:Q98)</f>
        <v>0</v>
      </c>
      <c r="S99" s="89">
        <f t="shared" si="29"/>
        <v>0</v>
      </c>
      <c r="T99" s="89">
        <f t="shared" si="30"/>
        <v>0</v>
      </c>
      <c r="U99" s="90">
        <f>IF(P99&gt;$N$66,0,IF(P100&gt;$N$66,SUM(Q$63:$Q99)+S99,T99))</f>
        <v>0</v>
      </c>
      <c r="Y99" s="87" t="str">
        <f t="shared" si="31"/>
        <v>3Q2036</v>
      </c>
      <c r="Z99" s="88">
        <f t="shared" si="38"/>
        <v>49887</v>
      </c>
      <c r="AA99" s="89"/>
      <c r="AB99" s="89">
        <f t="shared" si="33"/>
        <v>0</v>
      </c>
      <c r="AC99" s="89">
        <f t="shared" si="34"/>
        <v>0</v>
      </c>
      <c r="AF99" s="87" t="str">
        <f t="shared" si="35"/>
        <v>2Q2034</v>
      </c>
      <c r="AG99" s="88">
        <f t="shared" si="39"/>
        <v>49125</v>
      </c>
      <c r="AH99" s="76">
        <f>IF(AND(AH98&lt;0,AG99&lt;=EOMONTH('DB2'!U$27,3*'DB2'!$P$50)),1,IF(AG99&lt;=EOMONTH('DB2'!U$27,3*'DB2'!$P$50),AH98+1,0))</f>
        <v>0</v>
      </c>
      <c r="AI99" s="76">
        <f>IF(AND(AI98&gt;0,AG99&lt;=EOMONTH('DB2'!$U$27,0)),AI98+1,IF(AND(AG99&gt;'DB2'!$U$25,AG99&lt;='DB2'!$U$27),1,0))</f>
        <v>0</v>
      </c>
      <c r="AJ99" s="90">
        <f t="shared" si="26"/>
        <v>2024544709.2</v>
      </c>
      <c r="AK99" s="91">
        <f>IF($E$83="АРЕНДА",IF(OR(AG99&lt;'DB2'!$U$25,AG99&gt;'DB2'!$U$27),$AO$62,VLOOKUP(AI99,$AN$63:$AO$122,2,0)),IF(AG99&gt;0,AP99,0))</f>
        <v>1.4999999999999999E-2</v>
      </c>
      <c r="AL99" s="92">
        <f t="shared" si="36"/>
        <v>0</v>
      </c>
      <c r="AN99" s="90">
        <v>37</v>
      </c>
      <c r="AO99" s="91">
        <f t="shared" si="42"/>
        <v>0.1</v>
      </c>
      <c r="AP99" s="91">
        <f t="shared" si="27"/>
        <v>3.0000000000000001E-3</v>
      </c>
      <c r="AR99" s="55" t="str">
        <f t="shared" si="44"/>
        <v>ТЦ</v>
      </c>
      <c r="AS99" s="60"/>
      <c r="AT99" s="60"/>
    </row>
    <row r="100" spans="15:48">
      <c r="O100" s="87" t="str">
        <f t="shared" si="28"/>
        <v>4Q2036</v>
      </c>
      <c r="P100" s="88">
        <f t="shared" si="37"/>
        <v>50040</v>
      </c>
      <c r="Q100" s="89">
        <f>IF(SUM(Q$62:Q99)&lt;$N$63,$N$65,)</f>
        <v>0</v>
      </c>
      <c r="R100" s="89">
        <f>$N$63-SUM(Q$62:Q99)</f>
        <v>0</v>
      </c>
      <c r="S100" s="89">
        <f t="shared" si="29"/>
        <v>0</v>
      </c>
      <c r="T100" s="89">
        <f t="shared" si="30"/>
        <v>0</v>
      </c>
      <c r="U100" s="90">
        <f>IF(P100&gt;$N$66,0,IF(P101&gt;$N$66,SUM(Q$63:$Q100)+S100,T100))</f>
        <v>0</v>
      </c>
      <c r="Y100" s="87" t="str">
        <f t="shared" si="31"/>
        <v>4Q2036</v>
      </c>
      <c r="Z100" s="88">
        <f t="shared" si="38"/>
        <v>49979</v>
      </c>
      <c r="AA100" s="89"/>
      <c r="AB100" s="89">
        <f t="shared" si="33"/>
        <v>0</v>
      </c>
      <c r="AC100" s="89">
        <f t="shared" si="34"/>
        <v>0</v>
      </c>
      <c r="AF100" s="87" t="str">
        <f t="shared" si="35"/>
        <v>3Q2034</v>
      </c>
      <c r="AG100" s="88">
        <f t="shared" si="39"/>
        <v>49217</v>
      </c>
      <c r="AH100" s="76">
        <f>IF(AND(AH99&lt;0,AG100&lt;=EOMONTH('DB2'!U$27,3*'DB2'!$P$50)),1,IF(AG100&lt;=EOMONTH('DB2'!U$27,3*'DB2'!$P$50),AH99+1,0))</f>
        <v>0</v>
      </c>
      <c r="AI100" s="76">
        <f>IF(AND(AI99&gt;0,AG100&lt;=EOMONTH('DB2'!$U$27,0)),AI99+1,IF(AND(AG100&gt;'DB2'!$U$25,AG100&lt;='DB2'!$U$27),1,0))</f>
        <v>0</v>
      </c>
      <c r="AJ100" s="90">
        <f t="shared" si="26"/>
        <v>2024544709.2</v>
      </c>
      <c r="AK100" s="91">
        <f>IF($E$83="АРЕНДА",IF(OR(AG100&lt;'DB2'!$U$25,AG100&gt;'DB2'!$U$27),$AO$62,VLOOKUP(AI100,$AN$63:$AO$122,2,0)),IF(AG100&gt;0,AP100,0))</f>
        <v>1.4999999999999999E-2</v>
      </c>
      <c r="AL100" s="92">
        <f t="shared" si="36"/>
        <v>0</v>
      </c>
      <c r="AN100" s="90">
        <v>38</v>
      </c>
      <c r="AO100" s="91">
        <f t="shared" si="42"/>
        <v>0.1</v>
      </c>
      <c r="AP100" s="91">
        <f t="shared" si="27"/>
        <v>3.0000000000000001E-3</v>
      </c>
      <c r="AR100" s="55" t="str">
        <f t="shared" si="44"/>
        <v>ПАРКИНГ ЖИЛЬЕ</v>
      </c>
      <c r="AS100" s="60">
        <v>1</v>
      </c>
      <c r="AT100" s="60"/>
    </row>
    <row r="101" spans="15:48">
      <c r="O101" s="87" t="str">
        <f t="shared" si="28"/>
        <v>1Q2037</v>
      </c>
      <c r="P101" s="88">
        <f t="shared" si="37"/>
        <v>50130</v>
      </c>
      <c r="Q101" s="89">
        <f>IF(SUM(Q$62:Q100)&lt;$N$63,$N$65,)</f>
        <v>0</v>
      </c>
      <c r="R101" s="89">
        <f>$N$63-SUM(Q$62:Q100)</f>
        <v>0</v>
      </c>
      <c r="S101" s="89">
        <f t="shared" si="29"/>
        <v>0</v>
      </c>
      <c r="T101" s="89">
        <f t="shared" si="30"/>
        <v>0</v>
      </c>
      <c r="U101" s="90">
        <f>IF(P101&gt;$N$66,0,IF(P102&gt;$N$66,SUM(Q$63:$Q101)+S101,T101))</f>
        <v>0</v>
      </c>
      <c r="Y101" s="87" t="str">
        <f t="shared" si="31"/>
        <v>1Q2037</v>
      </c>
      <c r="Z101" s="88">
        <f t="shared" si="38"/>
        <v>50071</v>
      </c>
      <c r="AA101" s="89"/>
      <c r="AB101" s="89">
        <f t="shared" si="33"/>
        <v>0</v>
      </c>
      <c r="AC101" s="89">
        <f t="shared" si="34"/>
        <v>0</v>
      </c>
      <c r="AF101" s="87" t="str">
        <f t="shared" si="35"/>
        <v>4Q2034</v>
      </c>
      <c r="AG101" s="88">
        <f t="shared" si="39"/>
        <v>49309</v>
      </c>
      <c r="AH101" s="76">
        <f>IF(AND(AH100&lt;0,AG101&lt;=EOMONTH('DB2'!U$27,3*'DB2'!$P$50)),1,IF(AG101&lt;=EOMONTH('DB2'!U$27,3*'DB2'!$P$50),AH100+1,0))</f>
        <v>0</v>
      </c>
      <c r="AI101" s="76">
        <f>IF(AND(AI100&gt;0,AG101&lt;=EOMONTH('DB2'!$U$27,0)),AI100+1,IF(AND(AG101&gt;'DB2'!$U$25,AG101&lt;='DB2'!$U$27),1,0))</f>
        <v>0</v>
      </c>
      <c r="AJ101" s="90">
        <f t="shared" si="26"/>
        <v>2024544709.2</v>
      </c>
      <c r="AK101" s="91">
        <f>IF($E$83="АРЕНДА",IF(OR(AG101&lt;'DB2'!$U$25,AG101&gt;'DB2'!$U$27),$AO$62,VLOOKUP(AI101,$AN$63:$AO$122,2,0)),IF(AG101&gt;0,AP101,0))</f>
        <v>1.4999999999999999E-2</v>
      </c>
      <c r="AL101" s="92">
        <f t="shared" si="36"/>
        <v>0</v>
      </c>
      <c r="AN101" s="90">
        <v>39</v>
      </c>
      <c r="AO101" s="91">
        <f t="shared" si="42"/>
        <v>0.1</v>
      </c>
      <c r="AP101" s="91">
        <f t="shared" si="27"/>
        <v>3.0000000000000001E-3</v>
      </c>
      <c r="AR101" s="55" t="str">
        <f t="shared" si="44"/>
        <v>ПАРКИНГ ОФИС</v>
      </c>
      <c r="AS101" s="60"/>
      <c r="AT101" s="60"/>
    </row>
    <row r="102" spans="15:48">
      <c r="O102" s="87" t="str">
        <f t="shared" si="28"/>
        <v>2Q2037</v>
      </c>
      <c r="P102" s="88">
        <f t="shared" si="37"/>
        <v>50221</v>
      </c>
      <c r="Q102" s="89">
        <f>IF(SUM(Q$62:Q101)&lt;$N$63,$N$65,)</f>
        <v>0</v>
      </c>
      <c r="R102" s="89">
        <f>$N$63-SUM(Q$62:Q101)</f>
        <v>0</v>
      </c>
      <c r="S102" s="89">
        <f t="shared" si="29"/>
        <v>0</v>
      </c>
      <c r="T102" s="89">
        <f t="shared" si="30"/>
        <v>0</v>
      </c>
      <c r="U102" s="90">
        <f>IF(P102&gt;$N$66,0,IF(P103&gt;$N$66,SUM(Q$63:$Q102)+S102,T102))</f>
        <v>0</v>
      </c>
      <c r="Y102" s="87" t="str">
        <f t="shared" si="31"/>
        <v>2Q2037</v>
      </c>
      <c r="Z102" s="88">
        <f t="shared" si="38"/>
        <v>50160</v>
      </c>
      <c r="AA102" s="89"/>
      <c r="AB102" s="89">
        <f t="shared" si="33"/>
        <v>0</v>
      </c>
      <c r="AC102" s="89">
        <f t="shared" si="34"/>
        <v>0</v>
      </c>
      <c r="AF102" s="87" t="str">
        <f t="shared" si="35"/>
        <v>1Q2035</v>
      </c>
      <c r="AG102" s="88">
        <f t="shared" si="39"/>
        <v>49399</v>
      </c>
      <c r="AH102" s="76">
        <f>IF(AND(AH101&lt;0,AG102&lt;=EOMONTH('DB2'!U$27,3*'DB2'!$P$50)),1,IF(AG102&lt;=EOMONTH('DB2'!U$27,3*'DB2'!$P$50),AH101+1,0))</f>
        <v>0</v>
      </c>
      <c r="AI102" s="76">
        <f>IF(AND(AI101&gt;0,AG102&lt;=EOMONTH('DB2'!$U$27,0)),AI101+1,IF(AND(AG102&gt;'DB2'!$U$25,AG102&lt;='DB2'!$U$27),1,0))</f>
        <v>0</v>
      </c>
      <c r="AJ102" s="90">
        <f t="shared" si="26"/>
        <v>2024544709.2</v>
      </c>
      <c r="AK102" s="91">
        <f>IF($E$83="АРЕНДА",IF(OR(AG102&lt;'DB2'!$U$25,AG102&gt;'DB2'!$U$27),$AO$62,VLOOKUP(AI102,$AN$63:$AO$122,2,0)),IF(AG102&gt;0,AP102,0))</f>
        <v>1.4999999999999999E-2</v>
      </c>
      <c r="AL102" s="92">
        <f t="shared" si="36"/>
        <v>0</v>
      </c>
      <c r="AN102" s="90">
        <v>40</v>
      </c>
      <c r="AO102" s="91">
        <f t="shared" si="42"/>
        <v>0.1</v>
      </c>
      <c r="AP102" s="91">
        <f t="shared" si="27"/>
        <v>3.0000000000000001E-3</v>
      </c>
      <c r="AR102" s="85" t="s">
        <v>229</v>
      </c>
      <c r="AS102" s="86"/>
      <c r="AT102" s="108"/>
    </row>
    <row r="103" spans="15:48">
      <c r="O103" s="87" t="str">
        <f t="shared" si="28"/>
        <v>3Q2037</v>
      </c>
      <c r="P103" s="88">
        <f t="shared" si="37"/>
        <v>50313</v>
      </c>
      <c r="Q103" s="89">
        <f>IF(SUM(Q$62:Q102)&lt;$N$63,$N$65,)</f>
        <v>0</v>
      </c>
      <c r="R103" s="89">
        <f>$N$63-SUM(Q$62:Q102)</f>
        <v>0</v>
      </c>
      <c r="S103" s="89">
        <f t="shared" si="29"/>
        <v>0</v>
      </c>
      <c r="T103" s="89">
        <f t="shared" si="30"/>
        <v>0</v>
      </c>
      <c r="U103" s="90">
        <f>IF(P103&gt;$N$66,0,IF(P104&gt;$N$66,SUM(Q$63:$Q103)+S103,T103))</f>
        <v>0</v>
      </c>
      <c r="Y103" s="87" t="str">
        <f t="shared" si="31"/>
        <v>3Q2037</v>
      </c>
      <c r="Z103" s="88">
        <f t="shared" si="38"/>
        <v>50252</v>
      </c>
      <c r="AA103" s="89"/>
      <c r="AB103" s="89">
        <f t="shared" si="33"/>
        <v>0</v>
      </c>
      <c r="AC103" s="89">
        <f t="shared" si="34"/>
        <v>0</v>
      </c>
      <c r="AF103" s="87" t="str">
        <f t="shared" si="35"/>
        <v>2Q2035</v>
      </c>
      <c r="AG103" s="88">
        <f t="shared" si="39"/>
        <v>49490</v>
      </c>
      <c r="AH103" s="76">
        <f>IF(AND(AH102&lt;0,AG103&lt;=EOMONTH('DB2'!U$27,3*'DB2'!$P$50)),1,IF(AG103&lt;=EOMONTH('DB2'!U$27,3*'DB2'!$P$50),AH102+1,0))</f>
        <v>0</v>
      </c>
      <c r="AI103" s="76">
        <f>IF(AND(AI102&gt;0,AG103&lt;=EOMONTH('DB2'!$U$27,0)),AI102+1,IF(AND(AG103&gt;'DB2'!$U$25,AG103&lt;='DB2'!$U$27),1,0))</f>
        <v>0</v>
      </c>
      <c r="AJ103" s="90">
        <f t="shared" si="26"/>
        <v>2024544709.2</v>
      </c>
      <c r="AK103" s="91">
        <f>IF($E$83="АРЕНДА",IF(OR(AG103&lt;'DB2'!$U$25,AG103&gt;'DB2'!$U$27),$AO$62,VLOOKUP(AI103,$AN$63:$AO$122,2,0)),IF(AG103&gt;0,AP103,0))</f>
        <v>1.4999999999999999E-2</v>
      </c>
      <c r="AL103" s="92">
        <f t="shared" si="36"/>
        <v>0</v>
      </c>
      <c r="AM103" s="109"/>
      <c r="AN103" s="90">
        <v>41</v>
      </c>
      <c r="AO103" s="91">
        <f t="shared" si="42"/>
        <v>0.1</v>
      </c>
      <c r="AP103" s="91">
        <f t="shared" si="27"/>
        <v>3.0000000000000001E-3</v>
      </c>
      <c r="AR103" s="55" t="str">
        <f>AR95</f>
        <v>КВАРТИРЫ</v>
      </c>
      <c r="AS103" s="60">
        <f>IFERROR(IF(AS95=1,AS75/AS63,(AS75-AS87)/AS63)*1000000,0)</f>
        <v>324340.15222624887</v>
      </c>
      <c r="AT103" s="60">
        <f>IFERROR(IF(AT95=1,AT75/AT63,(AT75-AT87)/AT63)*1000000,0)</f>
        <v>324340.15222624887</v>
      </c>
    </row>
    <row r="104" spans="15:48">
      <c r="O104" s="87" t="str">
        <f t="shared" si="28"/>
        <v>4Q2037</v>
      </c>
      <c r="P104" s="88">
        <f t="shared" si="37"/>
        <v>50405</v>
      </c>
      <c r="Q104" s="89">
        <f>IF(SUM(Q$62:Q103)&lt;$N$63,$N$65,)</f>
        <v>0</v>
      </c>
      <c r="R104" s="89">
        <f>$N$63-SUM(Q$62:Q103)</f>
        <v>0</v>
      </c>
      <c r="S104" s="89">
        <f t="shared" si="29"/>
        <v>0</v>
      </c>
      <c r="T104" s="89">
        <f t="shared" si="30"/>
        <v>0</v>
      </c>
      <c r="U104" s="90">
        <f>IF(P104&gt;$N$66,0,IF(P105&gt;$N$66,SUM(Q$63:$Q104)+S104,T104))</f>
        <v>0</v>
      </c>
      <c r="Y104" s="87" t="str">
        <f t="shared" si="31"/>
        <v>4Q2037</v>
      </c>
      <c r="Z104" s="88">
        <f t="shared" si="38"/>
        <v>50344</v>
      </c>
      <c r="AA104" s="89"/>
      <c r="AB104" s="89">
        <f t="shared" si="33"/>
        <v>0</v>
      </c>
      <c r="AC104" s="89">
        <f t="shared" si="34"/>
        <v>0</v>
      </c>
      <c r="AF104" s="87" t="str">
        <f t="shared" si="35"/>
        <v>3Q2035</v>
      </c>
      <c r="AG104" s="88">
        <f t="shared" si="39"/>
        <v>49582</v>
      </c>
      <c r="AH104" s="76">
        <f>IF(AND(AH103&lt;0,AG104&lt;=EOMONTH('DB2'!U$27,3*'DB2'!$P$50)),1,IF(AG104&lt;=EOMONTH('DB2'!U$27,3*'DB2'!$P$50),AH103+1,0))</f>
        <v>0</v>
      </c>
      <c r="AI104" s="76">
        <f>IF(AND(AI103&gt;0,AG104&lt;=EOMONTH('DB2'!$U$27,0)),AI103+1,IF(AND(AG104&gt;'DB2'!$U$25,AG104&lt;='DB2'!$U$27),1,0))</f>
        <v>0</v>
      </c>
      <c r="AJ104" s="90">
        <f t="shared" si="26"/>
        <v>2024544709.2</v>
      </c>
      <c r="AK104" s="91">
        <f>IF($E$83="АРЕНДА",IF(OR(AG104&lt;'DB2'!$U$25,AG104&gt;'DB2'!$U$27),$AO$62,VLOOKUP(AI104,$AN$63:$AO$122,2,0)),IF(AG104&gt;0,AP104,0))</f>
        <v>1.4999999999999999E-2</v>
      </c>
      <c r="AL104" s="92">
        <f t="shared" si="36"/>
        <v>0</v>
      </c>
      <c r="AN104" s="90">
        <v>42</v>
      </c>
      <c r="AO104" s="91">
        <f t="shared" si="42"/>
        <v>0.1</v>
      </c>
      <c r="AP104" s="91">
        <f t="shared" si="27"/>
        <v>3.0000000000000001E-3</v>
      </c>
      <c r="AR104" s="55" t="str">
        <f t="shared" ref="AR104:AR109" si="45">AR96</f>
        <v>АПАРТАМЕНТЫ</v>
      </c>
      <c r="AS104" s="60">
        <f t="shared" ref="AS104:AT109" si="46">IFERROR(IF(AS96=1,AS76/AS64,(AS76-AS88)/AS64)*1000000,0)</f>
        <v>0</v>
      </c>
      <c r="AT104" s="60">
        <f t="shared" si="46"/>
        <v>0</v>
      </c>
    </row>
    <row r="105" spans="15:48">
      <c r="O105" s="87" t="str">
        <f t="shared" si="28"/>
        <v>1Q2038</v>
      </c>
      <c r="P105" s="88">
        <f t="shared" si="37"/>
        <v>50495</v>
      </c>
      <c r="Q105" s="89">
        <f>IF(SUM(Q$62:Q104)&lt;$N$63,$N$65,)</f>
        <v>0</v>
      </c>
      <c r="R105" s="89">
        <f>$N$63-SUM(Q$62:Q104)</f>
        <v>0</v>
      </c>
      <c r="S105" s="89">
        <f t="shared" si="29"/>
        <v>0</v>
      </c>
      <c r="T105" s="89">
        <f t="shared" si="30"/>
        <v>0</v>
      </c>
      <c r="U105" s="90">
        <f>IF(P105&gt;$N$66,0,IF(P106&gt;$N$66,SUM(Q$63:$Q105)+S105,T105))</f>
        <v>0</v>
      </c>
      <c r="Y105" s="87" t="str">
        <f t="shared" si="31"/>
        <v>1Q2038</v>
      </c>
      <c r="Z105" s="88">
        <f t="shared" si="38"/>
        <v>50436</v>
      </c>
      <c r="AA105" s="89"/>
      <c r="AB105" s="89">
        <f t="shared" si="33"/>
        <v>0</v>
      </c>
      <c r="AC105" s="89">
        <f t="shared" si="34"/>
        <v>0</v>
      </c>
      <c r="AF105" s="87" t="str">
        <f t="shared" si="35"/>
        <v>4Q2035</v>
      </c>
      <c r="AG105" s="88">
        <f t="shared" si="39"/>
        <v>49674</v>
      </c>
      <c r="AH105" s="76">
        <f>IF(AND(AH104&lt;0,AG105&lt;=EOMONTH('DB2'!U$27,3*'DB2'!$P$50)),1,IF(AG105&lt;=EOMONTH('DB2'!U$27,3*'DB2'!$P$50),AH104+1,0))</f>
        <v>0</v>
      </c>
      <c r="AI105" s="76">
        <f>IF(AND(AI104&gt;0,AG105&lt;=EOMONTH('DB2'!$U$27,0)),AI104+1,IF(AND(AG105&gt;'DB2'!$U$25,AG105&lt;='DB2'!$U$27),1,0))</f>
        <v>0</v>
      </c>
      <c r="AJ105" s="90">
        <f t="shared" si="26"/>
        <v>2024544709.2</v>
      </c>
      <c r="AK105" s="91">
        <f>IF($E$83="АРЕНДА",IF(OR(AG105&lt;'DB2'!$U$25,AG105&gt;'DB2'!$U$27),$AO$62,VLOOKUP(AI105,$AN$63:$AO$122,2,0)),IF(AG105&gt;0,AP105,0))</f>
        <v>1.4999999999999999E-2</v>
      </c>
      <c r="AL105" s="92">
        <f t="shared" si="36"/>
        <v>0</v>
      </c>
      <c r="AM105" s="110"/>
      <c r="AN105" s="90">
        <v>43</v>
      </c>
      <c r="AO105" s="91">
        <f t="shared" si="42"/>
        <v>0.1</v>
      </c>
      <c r="AP105" s="91">
        <f t="shared" si="27"/>
        <v>3.0000000000000001E-3</v>
      </c>
      <c r="AR105" s="55" t="str">
        <f t="shared" si="45"/>
        <v>ОФИСЫ</v>
      </c>
      <c r="AS105" s="60">
        <f t="shared" si="46"/>
        <v>0</v>
      </c>
      <c r="AT105" s="60">
        <f t="shared" si="46"/>
        <v>0</v>
      </c>
      <c r="AU105" s="110"/>
      <c r="AV105" s="110"/>
    </row>
    <row r="106" spans="15:48">
      <c r="O106" s="87" t="str">
        <f t="shared" si="28"/>
        <v>2Q2038</v>
      </c>
      <c r="P106" s="88">
        <f t="shared" si="37"/>
        <v>50586</v>
      </c>
      <c r="Q106" s="89">
        <f>IF(SUM(Q$62:Q105)&lt;$N$63,$N$65,)</f>
        <v>0</v>
      </c>
      <c r="R106" s="89">
        <f>$N$63-SUM(Q$62:Q105)</f>
        <v>0</v>
      </c>
      <c r="S106" s="89">
        <f t="shared" si="29"/>
        <v>0</v>
      </c>
      <c r="T106" s="89">
        <f t="shared" si="30"/>
        <v>0</v>
      </c>
      <c r="U106" s="90">
        <f>IF(P106&gt;$N$66,0,IF(P107&gt;$N$66,SUM(Q$63:$Q106)+S106,T106))</f>
        <v>0</v>
      </c>
      <c r="Y106" s="87" t="str">
        <f t="shared" si="31"/>
        <v>2Q2038</v>
      </c>
      <c r="Z106" s="88">
        <f t="shared" si="38"/>
        <v>50525</v>
      </c>
      <c r="AA106" s="89"/>
      <c r="AB106" s="89">
        <f t="shared" si="33"/>
        <v>0</v>
      </c>
      <c r="AC106" s="89">
        <f t="shared" si="34"/>
        <v>0</v>
      </c>
      <c r="AF106" s="87" t="str">
        <f t="shared" si="35"/>
        <v>1Q2036</v>
      </c>
      <c r="AG106" s="88">
        <f t="shared" si="39"/>
        <v>49765</v>
      </c>
      <c r="AH106" s="76">
        <f>IF(AND(AH105&lt;0,AG106&lt;=EOMONTH('DB2'!U$27,3*'DB2'!$P$50)),1,IF(AG106&lt;=EOMONTH('DB2'!U$27,3*'DB2'!$P$50),AH105+1,0))</f>
        <v>0</v>
      </c>
      <c r="AI106" s="76">
        <f>IF(AND(AI105&gt;0,AG106&lt;=EOMONTH('DB2'!$U$27,0)),AI105+1,IF(AND(AG106&gt;'DB2'!$U$25,AG106&lt;='DB2'!$U$27),1,0))</f>
        <v>0</v>
      </c>
      <c r="AJ106" s="90">
        <f t="shared" si="26"/>
        <v>2024544709.2</v>
      </c>
      <c r="AK106" s="91">
        <f>IF($E$83="АРЕНДА",IF(OR(AG106&lt;'DB2'!$U$25,AG106&gt;'DB2'!$U$27),$AO$62,VLOOKUP(AI106,$AN$63:$AO$122,2,0)),IF(AG106&gt;0,AP106,0))</f>
        <v>1.4999999999999999E-2</v>
      </c>
      <c r="AL106" s="92">
        <f t="shared" si="36"/>
        <v>0</v>
      </c>
      <c r="AN106" s="90">
        <v>44</v>
      </c>
      <c r="AO106" s="91">
        <f t="shared" si="42"/>
        <v>0.1</v>
      </c>
      <c r="AP106" s="91">
        <f t="shared" si="27"/>
        <v>3.0000000000000001E-3</v>
      </c>
      <c r="AR106" s="55" t="str">
        <f t="shared" si="45"/>
        <v>РИТЕЙЛ</v>
      </c>
      <c r="AS106" s="60">
        <f t="shared" si="46"/>
        <v>0</v>
      </c>
      <c r="AT106" s="60">
        <f t="shared" si="46"/>
        <v>269149.84984945448</v>
      </c>
    </row>
    <row r="107" spans="15:48">
      <c r="O107" s="87" t="str">
        <f t="shared" si="28"/>
        <v>3Q2038</v>
      </c>
      <c r="P107" s="88">
        <f t="shared" si="37"/>
        <v>50678</v>
      </c>
      <c r="Q107" s="89">
        <f>IF(SUM(Q$62:Q106)&lt;$N$63,$N$65,)</f>
        <v>0</v>
      </c>
      <c r="R107" s="89">
        <f>$N$63-SUM(Q$62:Q106)</f>
        <v>0</v>
      </c>
      <c r="S107" s="89">
        <f t="shared" si="29"/>
        <v>0</v>
      </c>
      <c r="T107" s="89">
        <f t="shared" si="30"/>
        <v>0</v>
      </c>
      <c r="U107" s="90">
        <f>IF(P107&gt;$N$66,0,IF(P108&gt;$N$66,SUM(Q$63:$Q107)+S107,T107))</f>
        <v>0</v>
      </c>
      <c r="Y107" s="87" t="str">
        <f t="shared" si="31"/>
        <v>3Q2038</v>
      </c>
      <c r="Z107" s="88">
        <f t="shared" si="38"/>
        <v>50617</v>
      </c>
      <c r="AA107" s="89"/>
      <c r="AB107" s="89">
        <f t="shared" si="33"/>
        <v>0</v>
      </c>
      <c r="AC107" s="89">
        <f t="shared" si="34"/>
        <v>0</v>
      </c>
      <c r="AF107" s="87" t="str">
        <f t="shared" si="35"/>
        <v>2Q2036</v>
      </c>
      <c r="AG107" s="88">
        <f t="shared" si="39"/>
        <v>49856</v>
      </c>
      <c r="AH107" s="76">
        <f>IF(AND(AH106&lt;0,AG107&lt;=EOMONTH('DB2'!U$27,3*'DB2'!$P$50)),1,IF(AG107&lt;=EOMONTH('DB2'!U$27,3*'DB2'!$P$50),AH106+1,0))</f>
        <v>0</v>
      </c>
      <c r="AI107" s="76">
        <f>IF(AND(AI106&gt;0,AG107&lt;=EOMONTH('DB2'!$U$27,0)),AI106+1,IF(AND(AG107&gt;'DB2'!$U$25,AG107&lt;='DB2'!$U$27),1,0))</f>
        <v>0</v>
      </c>
      <c r="AJ107" s="90">
        <f t="shared" si="26"/>
        <v>2024544709.2</v>
      </c>
      <c r="AK107" s="91">
        <f>IF($E$83="АРЕНДА",IF(OR(AG107&lt;'DB2'!$U$25,AG107&gt;'DB2'!$U$27),$AO$62,VLOOKUP(AI107,$AN$63:$AO$122,2,0)),IF(AG107&gt;0,AP107,0))</f>
        <v>1.4999999999999999E-2</v>
      </c>
      <c r="AL107" s="92">
        <f t="shared" si="36"/>
        <v>0</v>
      </c>
      <c r="AN107" s="90">
        <v>45</v>
      </c>
      <c r="AO107" s="91">
        <f t="shared" si="42"/>
        <v>0.1</v>
      </c>
      <c r="AP107" s="91">
        <f t="shared" si="27"/>
        <v>3.0000000000000001E-3</v>
      </c>
      <c r="AR107" s="55" t="str">
        <f t="shared" si="45"/>
        <v>ТЦ</v>
      </c>
      <c r="AS107" s="60">
        <f t="shared" si="46"/>
        <v>0</v>
      </c>
      <c r="AT107" s="60">
        <f t="shared" si="46"/>
        <v>0</v>
      </c>
    </row>
    <row r="108" spans="15:48">
      <c r="O108" s="87" t="str">
        <f t="shared" si="28"/>
        <v>4Q2038</v>
      </c>
      <c r="P108" s="88">
        <f t="shared" si="37"/>
        <v>50770</v>
      </c>
      <c r="Q108" s="89">
        <f>IF(SUM(Q$62:Q107)&lt;$N$63,$N$65,)</f>
        <v>0</v>
      </c>
      <c r="R108" s="89">
        <f>$N$63-SUM(Q$62:Q107)</f>
        <v>0</v>
      </c>
      <c r="S108" s="89">
        <f t="shared" si="29"/>
        <v>0</v>
      </c>
      <c r="T108" s="89">
        <f t="shared" si="30"/>
        <v>0</v>
      </c>
      <c r="U108" s="90">
        <f>IF(P108&gt;$N$66,0,IF(P109&gt;$N$66,SUM(Q$63:$Q108)+S108,T108))</f>
        <v>0</v>
      </c>
      <c r="Y108" s="87" t="str">
        <f t="shared" si="31"/>
        <v>4Q2038</v>
      </c>
      <c r="Z108" s="88">
        <f t="shared" si="38"/>
        <v>50709</v>
      </c>
      <c r="AA108" s="89"/>
      <c r="AB108" s="89">
        <f t="shared" si="33"/>
        <v>0</v>
      </c>
      <c r="AC108" s="89">
        <f t="shared" si="34"/>
        <v>0</v>
      </c>
      <c r="AF108" s="87" t="str">
        <f t="shared" si="35"/>
        <v>3Q2036</v>
      </c>
      <c r="AG108" s="88">
        <f t="shared" si="39"/>
        <v>49948</v>
      </c>
      <c r="AH108" s="76">
        <f>IF(AND(AH107&lt;0,AG108&lt;=EOMONTH('DB2'!U$27,3*'DB2'!$P$50)),1,IF(AG108&lt;=EOMONTH('DB2'!U$27,3*'DB2'!$P$50),AH107+1,0))</f>
        <v>0</v>
      </c>
      <c r="AI108" s="76">
        <f>IF(AND(AI107&gt;0,AG108&lt;=EOMONTH('DB2'!$U$27,0)),AI107+1,IF(AND(AG108&gt;'DB2'!$U$25,AG108&lt;='DB2'!$U$27),1,0))</f>
        <v>0</v>
      </c>
      <c r="AJ108" s="90">
        <f t="shared" si="26"/>
        <v>2024544709.2</v>
      </c>
      <c r="AK108" s="91">
        <f>IF($E$83="АРЕНДА",IF(OR(AG108&lt;'DB2'!$U$25,AG108&gt;'DB2'!$U$27),$AO$62,VLOOKUP(AI108,$AN$63:$AO$122,2,0)),IF(AG108&gt;0,AP108,0))</f>
        <v>1.4999999999999999E-2</v>
      </c>
      <c r="AL108" s="92">
        <f t="shared" si="36"/>
        <v>0</v>
      </c>
      <c r="AN108" s="90">
        <v>46</v>
      </c>
      <c r="AO108" s="91">
        <f t="shared" si="42"/>
        <v>0.1</v>
      </c>
      <c r="AP108" s="91">
        <f t="shared" si="27"/>
        <v>3.0000000000000001E-3</v>
      </c>
      <c r="AR108" s="55" t="str">
        <f t="shared" si="45"/>
        <v>ПАРКИНГ ЖИЛЬЕ</v>
      </c>
      <c r="AS108" s="60">
        <f t="shared" si="46"/>
        <v>4500000</v>
      </c>
      <c r="AT108" s="60">
        <f t="shared" si="46"/>
        <v>3750000</v>
      </c>
    </row>
    <row r="109" spans="15:48">
      <c r="O109" s="87" t="str">
        <f>CONCATENATE(IF(MONTH(P109)&lt;=3,"1",IF(MONTH(P109)&lt;=6,"2",IF(MONTH(P109)&lt;=9,"3","4"))),"Q",YEAR(P109))</f>
        <v>1Q2039</v>
      </c>
      <c r="P109" s="88">
        <f t="shared" si="37"/>
        <v>50860</v>
      </c>
      <c r="Q109" s="89">
        <f>IF(SUM(Q$62:Q108)&lt;$N$63,$N$65,)</f>
        <v>0</v>
      </c>
      <c r="R109" s="89">
        <f>$N$63-SUM(Q$62:Q108)</f>
        <v>0</v>
      </c>
      <c r="S109" s="89">
        <f t="shared" si="29"/>
        <v>0</v>
      </c>
      <c r="T109" s="89">
        <f>SUM(Q109,S109)</f>
        <v>0</v>
      </c>
      <c r="U109" s="90">
        <f>IF(P109&gt;$N$66,0,IF(P110&gt;$N$66,SUM(Q$63:$Q109)+S109,T109))</f>
        <v>0</v>
      </c>
      <c r="Y109" s="87" t="str">
        <f>CONCATENATE(IF(MONTH(Z109)&lt;=3,"1",IF(MONTH(Z109)&lt;=6,"2",IF(MONTH(Z109)&lt;=9,"3","4"))),"Q",YEAR(Z109))</f>
        <v>1Q2039</v>
      </c>
      <c r="Z109" s="88">
        <f t="shared" si="38"/>
        <v>50801</v>
      </c>
      <c r="AA109" s="89"/>
      <c r="AB109" s="89">
        <f t="shared" si="33"/>
        <v>0</v>
      </c>
      <c r="AC109" s="89">
        <f t="shared" si="34"/>
        <v>0</v>
      </c>
      <c r="AF109" s="87" t="str">
        <f t="shared" si="35"/>
        <v>4Q2036</v>
      </c>
      <c r="AG109" s="88">
        <f t="shared" si="39"/>
        <v>50040</v>
      </c>
      <c r="AH109" s="76">
        <f>IF(AND(AH108&lt;0,AG109&lt;=EOMONTH('DB2'!U$27,3*'DB2'!$P$50)),1,IF(AG109&lt;=EOMONTH('DB2'!U$27,3*'DB2'!$P$50),AH108+1,0))</f>
        <v>0</v>
      </c>
      <c r="AI109" s="76">
        <f>IF(AND(AI108&gt;0,AG109&lt;=EOMONTH('DB2'!$U$27,0)),AI108+1,IF(AND(AG109&gt;'DB2'!$U$25,AG109&lt;='DB2'!$U$27),1,0))</f>
        <v>0</v>
      </c>
      <c r="AJ109" s="90">
        <f t="shared" si="26"/>
        <v>2024544709.2</v>
      </c>
      <c r="AK109" s="91">
        <f>IF($E$83="АРЕНДА",IF(OR(AG109&lt;'DB2'!$U$25,AG109&gt;'DB2'!$U$27),$AO$62,VLOOKUP(AI109,$AN$63:$AO$122,2,0)),IF(AG109&gt;0,AP109,0))</f>
        <v>1.4999999999999999E-2</v>
      </c>
      <c r="AL109" s="92">
        <f t="shared" si="36"/>
        <v>0</v>
      </c>
      <c r="AN109" s="90">
        <v>47</v>
      </c>
      <c r="AO109" s="91">
        <f t="shared" si="42"/>
        <v>0.1</v>
      </c>
      <c r="AP109" s="91">
        <f t="shared" si="27"/>
        <v>3.0000000000000001E-3</v>
      </c>
      <c r="AR109" s="55" t="str">
        <f t="shared" si="45"/>
        <v>ПАРКИНГ ОФИС</v>
      </c>
      <c r="AS109" s="60">
        <f t="shared" si="46"/>
        <v>0</v>
      </c>
      <c r="AT109" s="60">
        <f t="shared" si="46"/>
        <v>0</v>
      </c>
      <c r="AU109" s="120" t="s">
        <v>137</v>
      </c>
    </row>
    <row r="110" spans="15:48">
      <c r="O110" s="87" t="str">
        <f>CONCATENATE(IF(MONTH(P110)&lt;=3,"1",IF(MONTH(P110)&lt;=6,"2",IF(MONTH(P110)&lt;=9,"3","4"))),"Q",YEAR(P110))</f>
        <v>2Q2039</v>
      </c>
      <c r="P110" s="88">
        <f t="shared" si="37"/>
        <v>50951</v>
      </c>
      <c r="Q110" s="89">
        <f>IF(SUM(Q$62:Q109)&lt;$N$63,$N$65,)</f>
        <v>0</v>
      </c>
      <c r="R110" s="89">
        <f>$N$63-SUM(Q$62:Q109)</f>
        <v>0</v>
      </c>
      <c r="S110" s="89">
        <f t="shared" si="29"/>
        <v>0</v>
      </c>
      <c r="T110" s="89">
        <f>SUM(Q110,S110)</f>
        <v>0</v>
      </c>
      <c r="U110" s="90">
        <f>IF(P110&gt;$N$66,0,IF(P111&gt;$N$66,SUM(Q$63:$Q110)+S110,T110))</f>
        <v>0</v>
      </c>
      <c r="Y110" s="87" t="str">
        <f>CONCATENATE(IF(MONTH(Z110)&lt;=3,"1",IF(MONTH(Z110)&lt;=6,"2",IF(MONTH(Z110)&lt;=9,"3","4"))),"Q",YEAR(Z110))</f>
        <v>2Q2039</v>
      </c>
      <c r="Z110" s="88">
        <f t="shared" si="38"/>
        <v>50890</v>
      </c>
      <c r="AA110" s="89"/>
      <c r="AB110" s="89">
        <f t="shared" si="33"/>
        <v>0</v>
      </c>
      <c r="AC110" s="89">
        <f t="shared" si="34"/>
        <v>0</v>
      </c>
      <c r="AF110" s="87" t="str">
        <f t="shared" si="35"/>
        <v>1Q2037</v>
      </c>
      <c r="AG110" s="88">
        <f t="shared" si="39"/>
        <v>50130</v>
      </c>
      <c r="AH110" s="76">
        <f>IF(AND(AH109&lt;0,AG110&lt;=EOMONTH('DB2'!U$27,3*'DB2'!$P$50)),1,IF(AG110&lt;=EOMONTH('DB2'!U$27,3*'DB2'!$P$50),AH109+1,0))</f>
        <v>0</v>
      </c>
      <c r="AI110" s="76">
        <f>IF(AND(AI109&gt;0,AG110&lt;=EOMONTH('DB2'!$U$27,0)),AI109+1,IF(AND(AG110&gt;'DB2'!$U$25,AG110&lt;='DB2'!$U$27),1,0))</f>
        <v>0</v>
      </c>
      <c r="AJ110" s="90">
        <f t="shared" si="26"/>
        <v>2024544709.2</v>
      </c>
      <c r="AK110" s="91">
        <f>IF($E$83="АРЕНДА",IF(OR(AG110&lt;'DB2'!$U$25,AG110&gt;'DB2'!$U$27),$AO$62,VLOOKUP(AI110,$AN$63:$AO$122,2,0)),IF(AG110&gt;0,AP110,0))</f>
        <v>1.4999999999999999E-2</v>
      </c>
      <c r="AL110" s="92">
        <f t="shared" si="36"/>
        <v>0</v>
      </c>
      <c r="AN110" s="90">
        <v>48</v>
      </c>
      <c r="AO110" s="91">
        <f t="shared" si="42"/>
        <v>0.1</v>
      </c>
      <c r="AP110" s="91">
        <f t="shared" si="27"/>
        <v>3.0000000000000001E-3</v>
      </c>
      <c r="AR110" s="85" t="s">
        <v>136</v>
      </c>
      <c r="AS110" s="111">
        <f>SUM(AS111:AS117)</f>
        <v>13296.245480144958</v>
      </c>
      <c r="AT110" s="111">
        <f>SUM(AT111:AT117)</f>
        <v>6087.0323250874799</v>
      </c>
      <c r="AU110" s="117">
        <f>AS110+AT110+'CF2'!E160</f>
        <v>0</v>
      </c>
    </row>
    <row r="111" spans="15:48">
      <c r="O111" s="87" t="str">
        <f>CONCATENATE(IF(MONTH(P111)&lt;=3,"1",IF(MONTH(P111)&lt;=6,"2",IF(MONTH(P111)&lt;=9,"3","4"))),"Q",YEAR(P111))</f>
        <v>3Q2039</v>
      </c>
      <c r="P111" s="88">
        <f t="shared" si="37"/>
        <v>51043</v>
      </c>
      <c r="Q111" s="89">
        <f>IF(SUM(Q$62:Q110)&lt;$N$63,$N$65,)</f>
        <v>0</v>
      </c>
      <c r="R111" s="89">
        <f>$N$63-SUM(Q$62:Q110)</f>
        <v>0</v>
      </c>
      <c r="S111" s="89">
        <f t="shared" si="29"/>
        <v>0</v>
      </c>
      <c r="T111" s="89">
        <f>SUM(Q111,S111)</f>
        <v>0</v>
      </c>
      <c r="U111" s="90">
        <f>IF(P111&gt;$N$66,0,IF(P112&gt;$N$66,SUM(Q$63:$Q111)+S111,T111))</f>
        <v>0</v>
      </c>
      <c r="Y111" s="87" t="str">
        <f>CONCATENATE(IF(MONTH(Z111)&lt;=3,"1",IF(MONTH(Z111)&lt;=6,"2",IF(MONTH(Z111)&lt;=9,"3","4"))),"Q",YEAR(Z111))</f>
        <v>3Q2039</v>
      </c>
      <c r="Z111" s="88">
        <f t="shared" si="38"/>
        <v>50982</v>
      </c>
      <c r="AA111" s="89"/>
      <c r="AB111" s="89">
        <f t="shared" si="33"/>
        <v>0</v>
      </c>
      <c r="AC111" s="89">
        <f t="shared" si="34"/>
        <v>0</v>
      </c>
      <c r="AF111" s="87" t="str">
        <f t="shared" si="35"/>
        <v>2Q2037</v>
      </c>
      <c r="AG111" s="88">
        <f t="shared" si="39"/>
        <v>50221</v>
      </c>
      <c r="AH111" s="76">
        <f>IF(AND(AH110&lt;0,AG111&lt;=EOMONTH('DB2'!U$27,3*'DB2'!$P$50)),1,IF(AG111&lt;=EOMONTH('DB2'!U$27,3*'DB2'!$P$50),AH110+1,0))</f>
        <v>0</v>
      </c>
      <c r="AI111" s="76">
        <f>IF(AND(AI110&gt;0,AG111&lt;=EOMONTH('DB2'!$U$27,0)),AI110+1,IF(AND(AG111&gt;'DB2'!$U$25,AG111&lt;='DB2'!$U$27),1,0))</f>
        <v>0</v>
      </c>
      <c r="AJ111" s="90">
        <f t="shared" si="26"/>
        <v>2024544709.2</v>
      </c>
      <c r="AK111" s="91">
        <f>IF($E$83="АРЕНДА",IF(OR(AG111&lt;'DB2'!$U$25,AG111&gt;'DB2'!$U$27),$AO$62,VLOOKUP(AI111,$AN$63:$AO$122,2,0)),IF(AG111&gt;0,AP111,0))</f>
        <v>1.4999999999999999E-2</v>
      </c>
      <c r="AL111" s="92">
        <f t="shared" si="36"/>
        <v>0</v>
      </c>
      <c r="AN111" s="90">
        <v>49</v>
      </c>
      <c r="AO111" s="91">
        <f t="shared" si="42"/>
        <v>0.1</v>
      </c>
      <c r="AP111" s="91">
        <f t="shared" si="27"/>
        <v>3.0000000000000001E-3</v>
      </c>
      <c r="AR111" s="55" t="str">
        <f>AR103</f>
        <v>КВАРТИРЫ</v>
      </c>
      <c r="AS111" s="60">
        <f t="shared" ref="AS111:AT117" si="47">AS63*AS103/1000000</f>
        <v>11676.245480144958</v>
      </c>
      <c r="AT111" s="60">
        <f t="shared" si="47"/>
        <v>4825.3195636060582</v>
      </c>
    </row>
    <row r="112" spans="15:48">
      <c r="O112" s="87" t="str">
        <f>CONCATENATE(IF(MONTH(P112)&lt;=3,"1",IF(MONTH(P112)&lt;=6,"2",IF(MONTH(P112)&lt;=9,"3","4"))),"Q",YEAR(P112))</f>
        <v>4Q2039</v>
      </c>
      <c r="P112" s="88">
        <f t="shared" si="37"/>
        <v>51135</v>
      </c>
      <c r="Q112" s="89">
        <f>IF(SUM(Q$62:Q111)&lt;$N$63,$N$65,)</f>
        <v>0</v>
      </c>
      <c r="R112" s="89">
        <f>$N$63-SUM(Q$62:Q111)</f>
        <v>0</v>
      </c>
      <c r="S112" s="89">
        <f t="shared" si="29"/>
        <v>0</v>
      </c>
      <c r="T112" s="89">
        <f>SUM(Q112,S112)</f>
        <v>0</v>
      </c>
      <c r="U112" s="90">
        <f>IF(P112&gt;$N$66,0,IF(P113&gt;$N$66,SUM(Q$63:$Q112)+S112,T112))</f>
        <v>0</v>
      </c>
      <c r="Y112" s="87" t="str">
        <f>CONCATENATE(IF(MONTH(Z112)&lt;=3,"1",IF(MONTH(Z112)&lt;=6,"2",IF(MONTH(Z112)&lt;=9,"3","4"))),"Q",YEAR(Z112))</f>
        <v>4Q2039</v>
      </c>
      <c r="Z112" s="88">
        <f t="shared" si="38"/>
        <v>51074</v>
      </c>
      <c r="AA112" s="89"/>
      <c r="AB112" s="89">
        <f t="shared" si="33"/>
        <v>0</v>
      </c>
      <c r="AC112" s="89">
        <f t="shared" si="34"/>
        <v>0</v>
      </c>
      <c r="AF112" s="87" t="str">
        <f t="shared" si="35"/>
        <v>3Q2037</v>
      </c>
      <c r="AG112" s="88">
        <f t="shared" si="39"/>
        <v>50313</v>
      </c>
      <c r="AH112" s="76">
        <f>IF(AND(AH111&lt;0,AG112&lt;=EOMONTH('DB2'!U$27,3*'DB2'!$P$50)),1,IF(AG112&lt;=EOMONTH('DB2'!U$27,3*'DB2'!$P$50),AH111+1,0))</f>
        <v>0</v>
      </c>
      <c r="AI112" s="76">
        <f>IF(AND(AI111&gt;0,AG112&lt;=EOMONTH('DB2'!$U$27,0)),AI111+1,IF(AND(AG112&gt;'DB2'!$U$25,AG112&lt;='DB2'!$U$27),1,0))</f>
        <v>0</v>
      </c>
      <c r="AJ112" s="90">
        <f t="shared" si="26"/>
        <v>2024544709.2</v>
      </c>
      <c r="AK112" s="91">
        <f>IF($E$83="АРЕНДА",IF(OR(AG112&lt;'DB2'!$U$25,AG112&gt;'DB2'!$U$27),$AO$62,VLOOKUP(AI112,$AN$63:$AO$122,2,0)),IF(AG112&gt;0,AP112,0))</f>
        <v>1.4999999999999999E-2</v>
      </c>
      <c r="AL112" s="92">
        <f t="shared" si="36"/>
        <v>0</v>
      </c>
      <c r="AN112" s="90">
        <v>50</v>
      </c>
      <c r="AO112" s="91">
        <f t="shared" si="42"/>
        <v>0.1</v>
      </c>
      <c r="AP112" s="91">
        <f t="shared" si="27"/>
        <v>3.0000000000000001E-3</v>
      </c>
      <c r="AR112" s="55" t="str">
        <f t="shared" ref="AR112:AR117" si="48">AR104</f>
        <v>АПАРТАМЕНТЫ</v>
      </c>
      <c r="AS112" s="60">
        <f t="shared" si="47"/>
        <v>0</v>
      </c>
      <c r="AT112" s="60">
        <f t="shared" si="47"/>
        <v>0</v>
      </c>
    </row>
    <row r="113" spans="17:46">
      <c r="Q113" s="112">
        <f>SUM(Q63:Q112)</f>
        <v>0</v>
      </c>
      <c r="R113" s="112">
        <f t="shared" ref="R113:U113" si="49">SUM(R63:R112)</f>
        <v>0</v>
      </c>
      <c r="S113" s="112">
        <f t="shared" si="49"/>
        <v>0</v>
      </c>
      <c r="T113" s="112">
        <f t="shared" si="49"/>
        <v>0</v>
      </c>
      <c r="U113" s="112">
        <f t="shared" si="49"/>
        <v>0</v>
      </c>
      <c r="AA113" s="390">
        <f>SUM(AA63:AA112)</f>
        <v>1565.1496185257345</v>
      </c>
      <c r="AB113" s="390"/>
      <c r="AC113" s="390">
        <f>SUM(AC63:AC112)</f>
        <v>390.17226870514691</v>
      </c>
      <c r="AF113" s="87" t="str">
        <f t="shared" si="35"/>
        <v>4Q2037</v>
      </c>
      <c r="AG113" s="88">
        <f t="shared" si="39"/>
        <v>50405</v>
      </c>
      <c r="AH113" s="76">
        <f>IF(AND(AH112&lt;0,AG113&lt;=EOMONTH('DB2'!U$27,3*'DB2'!$P$50)),1,IF(AG113&lt;=EOMONTH('DB2'!U$27,3*'DB2'!$P$50),AH112+1,0))</f>
        <v>0</v>
      </c>
      <c r="AI113" s="76">
        <f>IF(AND(AI112&gt;0,AG113&lt;=EOMONTH('DB2'!$U$27,0)),AI112+1,IF(AND(AG113&gt;'DB2'!$U$25,AG113&lt;='DB2'!$U$27),1,0))</f>
        <v>0</v>
      </c>
      <c r="AJ113" s="90">
        <f t="shared" si="26"/>
        <v>2024544709.2</v>
      </c>
      <c r="AK113" s="91">
        <f>IF($E$83="АРЕНДА",IF(OR(AG113&lt;'DB2'!$U$25,AG113&gt;'DB2'!$U$27),$AO$62,VLOOKUP(AI113,$AN$63:$AO$122,2,0)),IF(AG113&gt;0,AP113,0))</f>
        <v>1.4999999999999999E-2</v>
      </c>
      <c r="AL113" s="92">
        <f t="shared" si="36"/>
        <v>0</v>
      </c>
      <c r="AN113" s="90">
        <v>51</v>
      </c>
      <c r="AO113" s="91">
        <f t="shared" si="42"/>
        <v>0.1</v>
      </c>
      <c r="AP113" s="91">
        <f t="shared" si="27"/>
        <v>3.0000000000000001E-3</v>
      </c>
      <c r="AR113" s="55" t="str">
        <f t="shared" si="48"/>
        <v>ОФИСЫ</v>
      </c>
      <c r="AS113" s="60">
        <f t="shared" si="47"/>
        <v>0</v>
      </c>
      <c r="AT113" s="60">
        <f t="shared" si="47"/>
        <v>0</v>
      </c>
    </row>
    <row r="114" spans="17:46">
      <c r="AB114" s="72"/>
      <c r="AC114" s="72"/>
      <c r="AF114" s="87" t="str">
        <f t="shared" si="35"/>
        <v>1Q2038</v>
      </c>
      <c r="AG114" s="88">
        <f t="shared" si="39"/>
        <v>50495</v>
      </c>
      <c r="AH114" s="76">
        <f>IF(AND(AH113&lt;0,AG114&lt;=EOMONTH('DB2'!U$27,3*'DB2'!$P$50)),1,IF(AG114&lt;=EOMONTH('DB2'!U$27,3*'DB2'!$P$50),AH113+1,0))</f>
        <v>0</v>
      </c>
      <c r="AI114" s="76">
        <f>IF(AND(AI113&gt;0,AG114&lt;=EOMONTH('DB2'!$U$27,0)),AI113+1,IF(AND(AG114&gt;'DB2'!$U$25,AG114&lt;='DB2'!$U$27),1,0))</f>
        <v>0</v>
      </c>
      <c r="AJ114" s="90">
        <f t="shared" si="26"/>
        <v>2024544709.2</v>
      </c>
      <c r="AK114" s="91">
        <f>IF($E$83="АРЕНДА",IF(OR(AG114&lt;'DB2'!$U$25,AG114&gt;'DB2'!$U$27),$AO$62,VLOOKUP(AI114,$AN$63:$AO$122,2,0)),IF(AG114&gt;0,AP114,0))</f>
        <v>1.4999999999999999E-2</v>
      </c>
      <c r="AL114" s="92">
        <f t="shared" si="36"/>
        <v>0</v>
      </c>
      <c r="AN114" s="90">
        <v>52</v>
      </c>
      <c r="AO114" s="91">
        <f t="shared" si="42"/>
        <v>0.1</v>
      </c>
      <c r="AP114" s="91">
        <f t="shared" si="27"/>
        <v>3.0000000000000001E-3</v>
      </c>
      <c r="AR114" s="55" t="str">
        <f t="shared" si="48"/>
        <v>РИТЕЙЛ</v>
      </c>
      <c r="AS114" s="60">
        <f t="shared" si="47"/>
        <v>0</v>
      </c>
      <c r="AT114" s="60">
        <f t="shared" si="47"/>
        <v>687.96276148142169</v>
      </c>
    </row>
    <row r="115" spans="17:46">
      <c r="AF115" s="87" t="str">
        <f t="shared" si="35"/>
        <v>2Q2038</v>
      </c>
      <c r="AG115" s="88">
        <f t="shared" si="39"/>
        <v>50586</v>
      </c>
      <c r="AH115" s="76">
        <f>IF(AND(AH114&lt;0,AG115&lt;=EOMONTH('DB2'!U$27,3*'DB2'!$P$50)),1,IF(AG115&lt;=EOMONTH('DB2'!U$27,3*'DB2'!$P$50),AH114+1,0))</f>
        <v>0</v>
      </c>
      <c r="AI115" s="76">
        <f>IF(AND(AI114&gt;0,AG115&lt;=EOMONTH('DB2'!$U$27,0)),AI114+1,IF(AND(AG115&gt;'DB2'!$U$25,AG115&lt;='DB2'!$U$27),1,0))</f>
        <v>0</v>
      </c>
      <c r="AJ115" s="90">
        <f t="shared" si="26"/>
        <v>2024544709.2</v>
      </c>
      <c r="AK115" s="91">
        <f>IF($E$83="АРЕНДА",IF(OR(AG115&lt;'DB2'!$U$25,AG115&gt;'DB2'!$U$27),$AO$62,VLOOKUP(AI115,$AN$63:$AO$122,2,0)),IF(AG115&gt;0,AP115,0))</f>
        <v>1.4999999999999999E-2</v>
      </c>
      <c r="AL115" s="92">
        <f t="shared" si="36"/>
        <v>0</v>
      </c>
      <c r="AN115" s="90">
        <v>53</v>
      </c>
      <c r="AO115" s="91">
        <f t="shared" si="42"/>
        <v>0.1</v>
      </c>
      <c r="AP115" s="91">
        <f t="shared" si="27"/>
        <v>3.0000000000000001E-3</v>
      </c>
      <c r="AR115" s="55" t="str">
        <f t="shared" si="48"/>
        <v>ТЦ</v>
      </c>
      <c r="AS115" s="60">
        <f t="shared" si="47"/>
        <v>0</v>
      </c>
      <c r="AT115" s="60">
        <f t="shared" si="47"/>
        <v>0</v>
      </c>
    </row>
    <row r="116" spans="17:46">
      <c r="AF116" s="87" t="str">
        <f t="shared" si="35"/>
        <v>3Q2038</v>
      </c>
      <c r="AG116" s="88">
        <f t="shared" si="39"/>
        <v>50678</v>
      </c>
      <c r="AH116" s="76">
        <f>IF(AND(AH115&lt;0,AG116&lt;=EOMONTH('DB2'!U$27,3*'DB2'!$P$50)),1,IF(AG116&lt;=EOMONTH('DB2'!U$27,3*'DB2'!$P$50),AH115+1,0))</f>
        <v>0</v>
      </c>
      <c r="AI116" s="76">
        <f>IF(AND(AI115&gt;0,AG116&lt;=EOMONTH('DB2'!$U$27,0)),AI115+1,IF(AND(AG116&gt;'DB2'!$U$25,AG116&lt;='DB2'!$U$27),1,0))</f>
        <v>0</v>
      </c>
      <c r="AJ116" s="90">
        <f t="shared" si="26"/>
        <v>2024544709.2</v>
      </c>
      <c r="AK116" s="91">
        <f>IF($E$83="АРЕНДА",IF(OR(AG116&lt;'DB2'!$U$25,AG116&gt;'DB2'!$U$27),$AO$62,VLOOKUP(AI116,$AN$63:$AO$122,2,0)),IF(AG116&gt;0,AP116,0))</f>
        <v>1.4999999999999999E-2</v>
      </c>
      <c r="AL116" s="92">
        <f t="shared" si="36"/>
        <v>0</v>
      </c>
      <c r="AN116" s="90">
        <v>54</v>
      </c>
      <c r="AO116" s="91">
        <f t="shared" si="42"/>
        <v>0.1</v>
      </c>
      <c r="AP116" s="91">
        <f t="shared" si="27"/>
        <v>3.0000000000000001E-3</v>
      </c>
      <c r="AR116" s="55" t="str">
        <f t="shared" si="48"/>
        <v>ПАРКИНГ ЖИЛЬЕ</v>
      </c>
      <c r="AS116" s="60">
        <f t="shared" si="47"/>
        <v>1620</v>
      </c>
      <c r="AT116" s="60">
        <f t="shared" si="47"/>
        <v>573.75</v>
      </c>
    </row>
    <row r="117" spans="17:46">
      <c r="AF117" s="87" t="str">
        <f t="shared" si="35"/>
        <v>4Q2038</v>
      </c>
      <c r="AG117" s="88">
        <f t="shared" si="39"/>
        <v>50770</v>
      </c>
      <c r="AH117" s="76">
        <f>IF(AND(AH116&lt;0,AG117&lt;=EOMONTH('DB2'!U$27,3*'DB2'!$P$50)),1,IF(AG117&lt;=EOMONTH('DB2'!U$27,3*'DB2'!$P$50),AH116+1,0))</f>
        <v>0</v>
      </c>
      <c r="AI117" s="76">
        <f>IF(AND(AI116&gt;0,AG117&lt;=EOMONTH('DB2'!$U$27,0)),AI116+1,IF(AND(AG117&gt;'DB2'!$U$25,AG117&lt;='DB2'!$U$27),1,0))</f>
        <v>0</v>
      </c>
      <c r="AJ117" s="90">
        <f t="shared" si="26"/>
        <v>2024544709.2</v>
      </c>
      <c r="AK117" s="91">
        <f>IF($E$83="АРЕНДА",IF(OR(AG117&lt;'DB2'!$U$25,AG117&gt;'DB2'!$U$27),$AO$62,VLOOKUP(AI117,$AN$63:$AO$122,2,0)),IF(AG117&gt;0,AP117,0))</f>
        <v>1.4999999999999999E-2</v>
      </c>
      <c r="AL117" s="92">
        <f t="shared" si="36"/>
        <v>0</v>
      </c>
      <c r="AN117" s="90">
        <v>55</v>
      </c>
      <c r="AO117" s="91">
        <f t="shared" si="42"/>
        <v>0.1</v>
      </c>
      <c r="AP117" s="91">
        <f t="shared" si="27"/>
        <v>3.0000000000000001E-3</v>
      </c>
      <c r="AR117" s="55" t="str">
        <f t="shared" si="48"/>
        <v>ПАРКИНГ ОФИС</v>
      </c>
      <c r="AS117" s="60">
        <f t="shared" si="47"/>
        <v>0</v>
      </c>
      <c r="AT117" s="60">
        <f t="shared" si="47"/>
        <v>0</v>
      </c>
    </row>
    <row r="118" spans="17:46">
      <c r="AF118" s="87" t="str">
        <f t="shared" si="35"/>
        <v>1Q2039</v>
      </c>
      <c r="AG118" s="88">
        <f t="shared" si="39"/>
        <v>50860</v>
      </c>
      <c r="AH118" s="76">
        <f>IF(AND(AH117&lt;0,AG118&lt;=EOMONTH('DB2'!U$27,3*'DB2'!$P$50)),1,IF(AG118&lt;=EOMONTH('DB2'!U$27,3*'DB2'!$P$50),AH117+1,0))</f>
        <v>0</v>
      </c>
      <c r="AI118" s="76">
        <f>IF(AND(AI117&gt;0,AG118&lt;=EOMONTH('DB2'!$U$27,0)),AI117+1,IF(AND(AG118&gt;'DB2'!$U$25,AG118&lt;='DB2'!$U$27),1,0))</f>
        <v>0</v>
      </c>
      <c r="AJ118" s="90">
        <f t="shared" si="26"/>
        <v>2024544709.2</v>
      </c>
      <c r="AK118" s="91">
        <f>IF($E$83="АРЕНДА",IF(OR(AG118&lt;'DB2'!$U$25,AG118&gt;'DB2'!$U$27),$AO$62,VLOOKUP(AI118,$AN$63:$AO$122,2,0)),IF(AG118&gt;0,AP118,0))</f>
        <v>1.4999999999999999E-2</v>
      </c>
      <c r="AL118" s="92">
        <f t="shared" si="36"/>
        <v>0</v>
      </c>
      <c r="AN118" s="90">
        <v>56</v>
      </c>
      <c r="AO118" s="91">
        <f t="shared" si="42"/>
        <v>0.1</v>
      </c>
      <c r="AP118" s="91">
        <f t="shared" si="27"/>
        <v>3.0000000000000001E-3</v>
      </c>
    </row>
    <row r="119" spans="17:46">
      <c r="AF119" s="87" t="str">
        <f t="shared" si="35"/>
        <v>2Q2039</v>
      </c>
      <c r="AG119" s="88">
        <f t="shared" si="39"/>
        <v>50951</v>
      </c>
      <c r="AH119" s="76">
        <f>IF(AND(AH118&lt;0,AG119&lt;=EOMONTH('DB2'!U$27,3*'DB2'!$P$50)),1,IF(AG119&lt;=EOMONTH('DB2'!U$27,3*'DB2'!$P$50),AH118+1,0))</f>
        <v>0</v>
      </c>
      <c r="AI119" s="76">
        <f>IF(AND(AI118&gt;0,AG119&lt;=EOMONTH('DB2'!$U$27,0)),AI118+1,IF(AND(AG119&gt;'DB2'!$U$25,AG119&lt;='DB2'!$U$27),1,0))</f>
        <v>0</v>
      </c>
      <c r="AJ119" s="90">
        <f t="shared" si="26"/>
        <v>2024544709.2</v>
      </c>
      <c r="AK119" s="91">
        <f>IF($E$83="АРЕНДА",IF(OR(AG119&lt;'DB2'!$U$25,AG119&gt;'DB2'!$U$27),$AO$62,VLOOKUP(AI119,$AN$63:$AO$122,2,0)),IF(AG119&gt;0,AP119,0))</f>
        <v>1.4999999999999999E-2</v>
      </c>
      <c r="AL119" s="92">
        <f t="shared" si="36"/>
        <v>0</v>
      </c>
      <c r="AN119" s="90">
        <v>57</v>
      </c>
      <c r="AO119" s="91">
        <f t="shared" si="42"/>
        <v>0.1</v>
      </c>
      <c r="AP119" s="91">
        <f t="shared" si="27"/>
        <v>3.0000000000000001E-3</v>
      </c>
    </row>
    <row r="120" spans="17:46">
      <c r="AF120" s="87" t="str">
        <f t="shared" si="35"/>
        <v>3Q2039</v>
      </c>
      <c r="AG120" s="88">
        <f t="shared" si="39"/>
        <v>51043</v>
      </c>
      <c r="AH120" s="76">
        <f>IF(AND(AH119&lt;0,AG120&lt;=EOMONTH('DB2'!U$27,3*'DB2'!$P$50)),1,IF(AG120&lt;=EOMONTH('DB2'!U$27,3*'DB2'!$P$50),AH119+1,0))</f>
        <v>0</v>
      </c>
      <c r="AI120" s="76">
        <f>IF(AND(AI119&gt;0,AG120&lt;=EOMONTH('DB2'!$U$27,0)),AI119+1,IF(AND(AG120&gt;'DB2'!$U$25,AG120&lt;='DB2'!$U$27),1,0))</f>
        <v>0</v>
      </c>
      <c r="AJ120" s="90">
        <f t="shared" si="26"/>
        <v>2024544709.2</v>
      </c>
      <c r="AK120" s="91">
        <f>IF($E$83="АРЕНДА",IF(OR(AG120&lt;'DB2'!$U$25,AG120&gt;'DB2'!$U$27),$AO$62,VLOOKUP(AI120,$AN$63:$AO$122,2,0)),IF(AG120&gt;0,AP120,0))</f>
        <v>1.4999999999999999E-2</v>
      </c>
      <c r="AL120" s="92">
        <f t="shared" si="36"/>
        <v>0</v>
      </c>
      <c r="AN120" s="90">
        <v>58</v>
      </c>
      <c r="AO120" s="91">
        <f t="shared" si="42"/>
        <v>0.1</v>
      </c>
      <c r="AP120" s="91">
        <f t="shared" si="27"/>
        <v>3.0000000000000001E-3</v>
      </c>
    </row>
    <row r="121" spans="17:46">
      <c r="AF121" s="87" t="str">
        <f t="shared" si="35"/>
        <v>4Q2039</v>
      </c>
      <c r="AG121" s="88">
        <f t="shared" si="39"/>
        <v>51135</v>
      </c>
      <c r="AH121" s="76">
        <f>IF(AND(AH120&lt;0,AG121&lt;=EOMONTH('DB2'!U$27,3*'DB2'!$P$50)),1,IF(AG121&lt;=EOMONTH('DB2'!U$27,3*'DB2'!$P$50),AH120+1,0))</f>
        <v>0</v>
      </c>
      <c r="AI121" s="76">
        <f>IF(AND(AI120&gt;0,AG121&lt;=EOMONTH('DB2'!$U$27,0)),AI120+1,IF(AND(AG121&gt;'DB2'!$U$25,AG121&lt;='DB2'!$U$27),1,0))</f>
        <v>0</v>
      </c>
      <c r="AJ121" s="90">
        <f t="shared" si="26"/>
        <v>2024544709.2</v>
      </c>
      <c r="AK121" s="91">
        <f>IF($E$83="АРЕНДА",IF(OR(AG121&lt;'DB2'!$U$25,AG121&gt;'DB2'!$U$27),$AO$62,VLOOKUP(AI121,$AN$63:$AO$122,2,0)),IF(AG121&gt;0,AP121,0))</f>
        <v>1.4999999999999999E-2</v>
      </c>
      <c r="AL121" s="92">
        <f t="shared" si="36"/>
        <v>0</v>
      </c>
      <c r="AN121" s="90">
        <v>59</v>
      </c>
      <c r="AO121" s="91">
        <f t="shared" si="42"/>
        <v>0.1</v>
      </c>
      <c r="AP121" s="91">
        <f t="shared" si="27"/>
        <v>3.0000000000000001E-3</v>
      </c>
    </row>
    <row r="122" spans="17:46">
      <c r="AF122" s="87" t="str">
        <f t="shared" si="35"/>
        <v>1Q2040</v>
      </c>
      <c r="AG122" s="88">
        <f t="shared" si="39"/>
        <v>51226</v>
      </c>
      <c r="AH122" s="76">
        <f>IF(AND(AH121&lt;0,AG122&lt;=EOMONTH('DB2'!U$27,3*'DB2'!$P$50)),1,IF(AG122&lt;=EOMONTH('DB2'!U$27,3*'DB2'!$P$50),AH121+1,0))</f>
        <v>0</v>
      </c>
      <c r="AI122" s="76">
        <f>IF(AND(AI121&gt;0,AG122&lt;=EOMONTH('DB2'!$U$27,0)),AI121+1,IF(AND(AG122&gt;'DB2'!$U$25,AG122&lt;='DB2'!$U$27),1,0))</f>
        <v>0</v>
      </c>
      <c r="AJ122" s="90">
        <f t="shared" si="26"/>
        <v>2024544709.2</v>
      </c>
      <c r="AK122" s="91">
        <f>IF($E$83="АРЕНДА",IF(OR(AG122&lt;'DB2'!$U$25,AG122&gt;'DB2'!$U$27),$AO$62,VLOOKUP(AI122,$AN$63:$AO$122,2,0)),IF(AG122&gt;0,AP122,0))</f>
        <v>1.4999999999999999E-2</v>
      </c>
      <c r="AL122" s="92">
        <f t="shared" si="36"/>
        <v>0</v>
      </c>
      <c r="AN122" s="90">
        <v>60</v>
      </c>
      <c r="AO122" s="91">
        <f t="shared" si="42"/>
        <v>0.1</v>
      </c>
      <c r="AP122" s="91">
        <f t="shared" si="27"/>
        <v>3.0000000000000001E-3</v>
      </c>
    </row>
    <row r="123" spans="17:46">
      <c r="AA123" s="100"/>
    </row>
    <row r="124" spans="17:46">
      <c r="Z124" s="100"/>
    </row>
    <row r="125" spans="17:46">
      <c r="V125" s="100"/>
    </row>
  </sheetData>
  <conditionalFormatting sqref="C4 D7:D8 F60 K60 N66 K67 C70 E83 J83:J88 C88">
    <cfRule type="expression" dxfId="6" priority="5">
      <formula>#REF!="Нет"</formula>
    </cfRule>
  </conditionalFormatting>
  <conditionalFormatting sqref="E76">
    <cfRule type="expression" dxfId="5" priority="3">
      <formula>#REF!="Нет"</formula>
    </cfRule>
  </conditionalFormatting>
  <conditionalFormatting sqref="F46">
    <cfRule type="dataBar" priority="6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{4669B6F7-7550-449A-BE30-2886D7D4DB79}</x14:id>
        </ext>
      </extLst>
    </cfRule>
  </conditionalFormatting>
  <conditionalFormatting sqref="F40:BM42">
    <cfRule type="dataBar" priority="10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{CBB1F7F5-6CBD-46FE-A4E0-569CD1835894}</x14:id>
        </ext>
      </extLst>
    </cfRule>
  </conditionalFormatting>
  <conditionalFormatting sqref="F44:BM44">
    <cfRule type="dataBar" priority="7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{4292909F-2F2E-4B1C-B2E9-6BFB0B182F29}</x14:id>
        </ext>
      </extLst>
    </cfRule>
  </conditionalFormatting>
  <conditionalFormatting sqref="F48:BM48">
    <cfRule type="dataBar" priority="12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{4660BDF4-BF7D-4860-905C-1BD375710771}</x14:id>
        </ext>
      </extLst>
    </cfRule>
  </conditionalFormatting>
  <conditionalFormatting sqref="F50:BM50">
    <cfRule type="dataBar" priority="11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{728D5A3A-75E9-495E-B73E-DA3E6CFB68CD}</x14:id>
        </ext>
      </extLst>
    </cfRule>
  </conditionalFormatting>
  <conditionalFormatting sqref="F52:BM52">
    <cfRule type="dataBar" priority="9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{5A521335-0018-4835-9339-066A847F5824}</x14:id>
        </ext>
      </extLst>
    </cfRule>
  </conditionalFormatting>
  <conditionalFormatting sqref="F54:BM54">
    <cfRule type="dataBar" priority="13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{E30762BA-612E-4E5D-8541-C71184027B88}</x14:id>
        </ext>
      </extLst>
    </cfRule>
  </conditionalFormatting>
  <conditionalFormatting sqref="G46:BM46">
    <cfRule type="dataBar" priority="8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{699698FC-3EDC-46DE-8CB4-8ADB2E80F1DC}</x14:id>
        </ext>
      </extLst>
    </cfRule>
  </conditionalFormatting>
  <conditionalFormatting sqref="P60">
    <cfRule type="expression" dxfId="4" priority="2">
      <formula>#REF!="Нет"</formula>
    </cfRule>
  </conditionalFormatting>
  <conditionalFormatting sqref="X64:X66">
    <cfRule type="expression" dxfId="3" priority="4">
      <formula>#REF!="Нет"</formula>
    </cfRule>
  </conditionalFormatting>
  <dataValidations count="1">
    <dataValidation type="list" allowBlank="1" showInputMessage="1" showErrorMessage="1" sqref="K60" xr:uid="{022488EB-5F25-4C2C-899C-791CD89631A3}">
      <formula1>$H$62:$H$64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69B6F7-7550-449A-BE30-2886D7D4DB79}">
            <x14:dataBar minLength="0" maxLength="100" gradient="0">
              <x14:cfvo type="autoMin"/>
              <x14:cfvo type="autoMax"/>
              <x14:negativeFillColor rgb="FFFF0000"/>
              <x14:axisColor theme="0"/>
            </x14:dataBar>
          </x14:cfRule>
          <xm:sqref>F46</xm:sqref>
        </x14:conditionalFormatting>
        <x14:conditionalFormatting xmlns:xm="http://schemas.microsoft.com/office/excel/2006/main">
          <x14:cfRule type="dataBar" id="{CBB1F7F5-6CBD-46FE-A4E0-569CD1835894}">
            <x14:dataBar minLength="0" maxLength="100" gradient="0">
              <x14:cfvo type="autoMin"/>
              <x14:cfvo type="autoMax"/>
              <x14:negativeFillColor rgb="FFFF0000"/>
              <x14:axisColor theme="0"/>
            </x14:dataBar>
          </x14:cfRule>
          <xm:sqref>F40:BM42</xm:sqref>
        </x14:conditionalFormatting>
        <x14:conditionalFormatting xmlns:xm="http://schemas.microsoft.com/office/excel/2006/main">
          <x14:cfRule type="dataBar" id="{4292909F-2F2E-4B1C-B2E9-6BFB0B182F29}">
            <x14:dataBar minLength="0" maxLength="100" gradient="0">
              <x14:cfvo type="autoMin"/>
              <x14:cfvo type="autoMax"/>
              <x14:negativeFillColor rgb="FFFF0000"/>
              <x14:axisColor theme="0"/>
            </x14:dataBar>
          </x14:cfRule>
          <xm:sqref>F44:BM44</xm:sqref>
        </x14:conditionalFormatting>
        <x14:conditionalFormatting xmlns:xm="http://schemas.microsoft.com/office/excel/2006/main">
          <x14:cfRule type="dataBar" id="{4660BDF4-BF7D-4860-905C-1BD375710771}">
            <x14:dataBar minLength="0" maxLength="100" gradient="0">
              <x14:cfvo type="autoMin"/>
              <x14:cfvo type="autoMax"/>
              <x14:negativeFillColor rgb="FFFF0000"/>
              <x14:axisColor theme="0"/>
            </x14:dataBar>
          </x14:cfRule>
          <xm:sqref>F48:BM48</xm:sqref>
        </x14:conditionalFormatting>
        <x14:conditionalFormatting xmlns:xm="http://schemas.microsoft.com/office/excel/2006/main">
          <x14:cfRule type="dataBar" id="{728D5A3A-75E9-495E-B73E-DA3E6CFB68CD}">
            <x14:dataBar minLength="0" maxLength="100" gradient="0">
              <x14:cfvo type="autoMin"/>
              <x14:cfvo type="autoMax"/>
              <x14:negativeFillColor rgb="FFFF0000"/>
              <x14:axisColor theme="0"/>
            </x14:dataBar>
          </x14:cfRule>
          <xm:sqref>F50:BM50</xm:sqref>
        </x14:conditionalFormatting>
        <x14:conditionalFormatting xmlns:xm="http://schemas.microsoft.com/office/excel/2006/main">
          <x14:cfRule type="dataBar" id="{5A521335-0018-4835-9339-066A847F5824}">
            <x14:dataBar minLength="0" maxLength="100" gradient="0">
              <x14:cfvo type="autoMin"/>
              <x14:cfvo type="autoMax"/>
              <x14:negativeFillColor rgb="FFFF0000"/>
              <x14:axisColor theme="0"/>
            </x14:dataBar>
          </x14:cfRule>
          <xm:sqref>F52:BM52</xm:sqref>
        </x14:conditionalFormatting>
        <x14:conditionalFormatting xmlns:xm="http://schemas.microsoft.com/office/excel/2006/main">
          <x14:cfRule type="dataBar" id="{E30762BA-612E-4E5D-8541-C71184027B88}">
            <x14:dataBar minLength="0" maxLength="100" gradient="0">
              <x14:cfvo type="autoMin"/>
              <x14:cfvo type="autoMax"/>
              <x14:negativeFillColor rgb="FFFF0000"/>
              <x14:axisColor theme="0"/>
            </x14:dataBar>
          </x14:cfRule>
          <xm:sqref>F54:BM54</xm:sqref>
        </x14:conditionalFormatting>
        <x14:conditionalFormatting xmlns:xm="http://schemas.microsoft.com/office/excel/2006/main">
          <x14:cfRule type="dataBar" id="{699698FC-3EDC-46DE-8CB4-8ADB2E80F1DC}">
            <x14:dataBar minLength="0" maxLength="100" gradient="0">
              <x14:cfvo type="autoMin"/>
              <x14:cfvo type="autoMax"/>
              <x14:negativeFillColor rgb="FFFF0000"/>
              <x14:axisColor theme="0"/>
            </x14:dataBar>
          </x14:cfRule>
          <xm:sqref>G46:BM46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9D64-90D0-EA49-956A-7C970EE59367}">
  <sheetPr>
    <tabColor rgb="FFF0CCB9"/>
  </sheetPr>
  <dimension ref="A1:BR419"/>
  <sheetViews>
    <sheetView showGridLines="0" showZeros="0" zoomScale="125" zoomScaleNormal="110" workbookViewId="0">
      <pane xSplit="10" ySplit="4" topLeftCell="W129" activePane="bottomRight" state="frozen"/>
      <selection activeCell="AF28" sqref="AF28"/>
      <selection pane="topRight" activeCell="AF28" sqref="AF28"/>
      <selection pane="bottomLeft" activeCell="AF28" sqref="AF28"/>
      <selection pane="bottomRight" activeCell="G138" sqref="G138:G143"/>
    </sheetView>
  </sheetViews>
  <sheetFormatPr baseColWidth="10" defaultColWidth="10.83203125" defaultRowHeight="12" outlineLevelRow="1"/>
  <cols>
    <col min="1" max="1" width="4.33203125" style="354" customWidth="1"/>
    <col min="2" max="3" width="6.5" style="354" customWidth="1"/>
    <col min="4" max="4" width="20.6640625" style="354" customWidth="1"/>
    <col min="5" max="5" width="6.6640625" style="354" customWidth="1"/>
    <col min="6" max="6" width="11.1640625" style="353" customWidth="1"/>
    <col min="7" max="7" width="10" style="354" customWidth="1"/>
    <col min="8" max="8" width="11.1640625" style="354" customWidth="1"/>
    <col min="9" max="9" width="14" style="534" customWidth="1"/>
    <col min="10" max="10" width="11.1640625" style="543" customWidth="1"/>
    <col min="11" max="19" width="10.83203125" style="354"/>
    <col min="20" max="33" width="11.5" style="354" bestFit="1" customWidth="1"/>
    <col min="34" max="60" width="10.83203125" style="354"/>
    <col min="61" max="61" width="11.83203125" style="354" bestFit="1" customWidth="1"/>
    <col min="62" max="62" width="10.83203125" style="354"/>
    <col min="63" max="63" width="11.83203125" style="354" bestFit="1" customWidth="1"/>
    <col min="64" max="16384" width="10.83203125" style="354"/>
  </cols>
  <sheetData>
    <row r="1" spans="1:70" ht="16">
      <c r="B1" s="201"/>
      <c r="C1" s="201"/>
      <c r="K1" s="556">
        <f>'TS1'!F35</f>
        <v>0</v>
      </c>
      <c r="L1" s="556">
        <f>'TS1'!G35</f>
        <v>0</v>
      </c>
      <c r="M1" s="556">
        <f>'TS1'!H35</f>
        <v>0</v>
      </c>
      <c r="N1" s="556">
        <f>'TS1'!I35</f>
        <v>0</v>
      </c>
      <c r="O1" s="556">
        <f>'TS1'!J35</f>
        <v>0</v>
      </c>
      <c r="P1" s="556">
        <f>'TS1'!K35</f>
        <v>0</v>
      </c>
      <c r="Q1" s="556">
        <f>'TS1'!L35</f>
        <v>0</v>
      </c>
      <c r="R1" s="556">
        <f>'TS1'!M35</f>
        <v>0</v>
      </c>
      <c r="S1" s="556">
        <f>'TS1'!N35</f>
        <v>0</v>
      </c>
      <c r="T1" s="556">
        <f>'TS1'!O35</f>
        <v>0</v>
      </c>
      <c r="U1" s="556">
        <f>'TS1'!P35</f>
        <v>0</v>
      </c>
      <c r="V1" s="556">
        <f>'TS1'!Q35</f>
        <v>0</v>
      </c>
      <c r="W1" s="556">
        <f>'TS1'!R35</f>
        <v>0</v>
      </c>
      <c r="X1" s="556">
        <f>'TS1'!S35</f>
        <v>0</v>
      </c>
      <c r="Y1" s="556" t="str">
        <f>'TS1'!T35</f>
        <v>РнС</v>
      </c>
      <c r="Z1" s="556">
        <f>'TS1'!U35</f>
        <v>0</v>
      </c>
      <c r="AA1" s="556">
        <f>'TS1'!V35</f>
        <v>0</v>
      </c>
      <c r="AB1" s="556">
        <f>'TS1'!W35</f>
        <v>0</v>
      </c>
      <c r="AC1" s="556">
        <f>'TS1'!X35</f>
        <v>0</v>
      </c>
      <c r="AD1" s="556">
        <f>'TS1'!Y35</f>
        <v>0</v>
      </c>
      <c r="AE1" s="556">
        <f>'TS1'!Z35</f>
        <v>0</v>
      </c>
      <c r="AF1" s="556">
        <f>'TS1'!AA35</f>
        <v>0</v>
      </c>
      <c r="AG1" s="556">
        <f>'TS1'!AB35</f>
        <v>0</v>
      </c>
      <c r="AH1" s="556">
        <f>'TS1'!AC35</f>
        <v>0</v>
      </c>
      <c r="AI1" s="556">
        <f>'TS1'!AD35</f>
        <v>0</v>
      </c>
      <c r="AJ1" s="556" t="str">
        <f>'TS1'!AE35</f>
        <v>РнВ</v>
      </c>
      <c r="AK1" s="556" t="str">
        <f>'TS1'!AF35</f>
        <v>РнВ</v>
      </c>
      <c r="AL1" s="556" t="str">
        <f>'TS1'!AG35</f>
        <v>РнВ</v>
      </c>
      <c r="AM1" s="556" t="str">
        <f>'TS1'!AH35</f>
        <v>РнВ</v>
      </c>
      <c r="AN1" s="556" t="str">
        <f>'TS1'!AI35</f>
        <v>РнВ</v>
      </c>
      <c r="AO1" s="556" t="str">
        <f>'TS1'!AJ35</f>
        <v>РнВ</v>
      </c>
      <c r="AP1" s="556" t="str">
        <f>'TS1'!AK35</f>
        <v>РнВ</v>
      </c>
      <c r="AQ1" s="556" t="str">
        <f>'TS1'!AL35</f>
        <v>РнВ</v>
      </c>
      <c r="AR1" s="556" t="str">
        <f>'TS1'!AM35</f>
        <v>РнВ</v>
      </c>
      <c r="AS1" s="556" t="str">
        <f>'TS1'!AN35</f>
        <v>РнВ</v>
      </c>
      <c r="AT1" s="556" t="str">
        <f>'TS1'!AO35</f>
        <v>РнВ</v>
      </c>
      <c r="AU1" s="556" t="str">
        <f>'TS1'!AP35</f>
        <v>РнВ</v>
      </c>
      <c r="AV1" s="556" t="str">
        <f>'TS1'!AQ35</f>
        <v>РнВ</v>
      </c>
      <c r="AW1" s="556" t="str">
        <f>'TS1'!AR35</f>
        <v>РнВ</v>
      </c>
      <c r="AX1" s="556" t="str">
        <f>'TS1'!AS35</f>
        <v>РнВ</v>
      </c>
      <c r="AY1" s="556" t="str">
        <f>'TS1'!AT35</f>
        <v>РнВ</v>
      </c>
      <c r="AZ1" s="556" t="str">
        <f>'TS1'!AU35</f>
        <v>РнВ</v>
      </c>
      <c r="BA1" s="556" t="str">
        <f>'TS1'!AV35</f>
        <v>РнВ</v>
      </c>
      <c r="BB1" s="556" t="str">
        <f>'TS1'!AW35</f>
        <v>РнВ</v>
      </c>
      <c r="BC1" s="556" t="str">
        <f>'TS1'!AX35</f>
        <v>РнВ</v>
      </c>
      <c r="BD1" s="556" t="str">
        <f>'TS1'!AY35</f>
        <v>РнВ</v>
      </c>
      <c r="BE1" s="556" t="str">
        <f>'TS1'!AZ35</f>
        <v>РнВ</v>
      </c>
      <c r="BF1" s="556" t="str">
        <f>'TS1'!BA35</f>
        <v>РнВ</v>
      </c>
      <c r="BG1" s="556" t="str">
        <f>'TS1'!BB35</f>
        <v>РнВ</v>
      </c>
      <c r="BH1" s="556" t="str">
        <f>'TS1'!BC35</f>
        <v>РнВ</v>
      </c>
      <c r="BI1" s="556" t="str">
        <f>'TS1'!BD35</f>
        <v>РнВ</v>
      </c>
      <c r="BJ1" s="556" t="str">
        <f>'TS1'!BE35</f>
        <v>РнВ</v>
      </c>
      <c r="BK1" s="556" t="str">
        <f>'TS1'!BF35</f>
        <v>РнВ</v>
      </c>
      <c r="BL1" s="556" t="str">
        <f>'TS1'!BG35</f>
        <v>РнВ</v>
      </c>
      <c r="BM1" s="556" t="str">
        <f>'TS1'!BH35</f>
        <v>РнВ</v>
      </c>
      <c r="BN1" s="556" t="str">
        <f>'TS1'!BI35</f>
        <v>РнВ</v>
      </c>
      <c r="BO1" s="556" t="str">
        <f>'TS1'!BJ35</f>
        <v>РнВ</v>
      </c>
      <c r="BP1" s="556" t="str">
        <f>'TS1'!BK35</f>
        <v>РнВ</v>
      </c>
      <c r="BQ1" s="556" t="str">
        <f>'TS1'!BL35</f>
        <v>РнВ</v>
      </c>
      <c r="BR1" s="556" t="str">
        <f>'TS1'!BM35</f>
        <v>РнВ</v>
      </c>
    </row>
    <row r="2" spans="1:70" ht="16">
      <c r="B2" s="201" t="s">
        <v>332</v>
      </c>
      <c r="C2" s="201"/>
      <c r="K2" s="556">
        <f>'TS2'!F35</f>
        <v>0</v>
      </c>
      <c r="L2" s="556">
        <f>'TS2'!G35</f>
        <v>0</v>
      </c>
      <c r="M2" s="556">
        <f>'TS2'!H35</f>
        <v>0</v>
      </c>
      <c r="N2" s="556">
        <f>'TS2'!I35</f>
        <v>0</v>
      </c>
      <c r="O2" s="556">
        <f>'TS2'!J35</f>
        <v>0</v>
      </c>
      <c r="P2" s="556">
        <f>'TS2'!K35</f>
        <v>0</v>
      </c>
      <c r="Q2" s="556">
        <f>'TS2'!L35</f>
        <v>0</v>
      </c>
      <c r="R2" s="556">
        <f>'TS2'!M35</f>
        <v>0</v>
      </c>
      <c r="S2" s="556">
        <f>'TS2'!N35</f>
        <v>0</v>
      </c>
      <c r="T2" s="556">
        <f>'TS2'!O35</f>
        <v>0</v>
      </c>
      <c r="U2" s="556">
        <f>'TS2'!P35</f>
        <v>0</v>
      </c>
      <c r="V2" s="556">
        <f>'TS2'!Q35</f>
        <v>0</v>
      </c>
      <c r="W2" s="556">
        <f>'TS2'!R35</f>
        <v>0</v>
      </c>
      <c r="X2" s="556">
        <f>'TS2'!S35</f>
        <v>0</v>
      </c>
      <c r="Y2" s="556">
        <f>'TS2'!T35</f>
        <v>0</v>
      </c>
      <c r="Z2" s="556">
        <f>'TS2'!U35</f>
        <v>0</v>
      </c>
      <c r="AA2" s="556">
        <f>'TS2'!V35</f>
        <v>0</v>
      </c>
      <c r="AB2" s="556">
        <f>'TS2'!W35</f>
        <v>0</v>
      </c>
      <c r="AC2" s="556" t="str">
        <f>'TS2'!X35</f>
        <v>РнС</v>
      </c>
      <c r="AD2" s="556">
        <f>'TS2'!Y35</f>
        <v>0</v>
      </c>
      <c r="AE2" s="556">
        <f>'TS2'!Z35</f>
        <v>0</v>
      </c>
      <c r="AF2" s="556">
        <f>'TS2'!AA35</f>
        <v>0</v>
      </c>
      <c r="AG2" s="556">
        <f>'TS2'!AB35</f>
        <v>0</v>
      </c>
      <c r="AH2" s="556">
        <f>'TS2'!AC35</f>
        <v>0</v>
      </c>
      <c r="AI2" s="556">
        <f>'TS2'!AD35</f>
        <v>0</v>
      </c>
      <c r="AJ2" s="556">
        <f>'TS2'!AE35</f>
        <v>0</v>
      </c>
      <c r="AK2" s="556">
        <f>'TS2'!AF35</f>
        <v>0</v>
      </c>
      <c r="AL2" s="556">
        <f>'TS2'!AG35</f>
        <v>0</v>
      </c>
      <c r="AM2" s="556">
        <f>'TS2'!AH35</f>
        <v>0</v>
      </c>
      <c r="AN2" s="556" t="str">
        <f>'TS2'!AI35</f>
        <v>РнВ</v>
      </c>
      <c r="AO2" s="556" t="str">
        <f>'TS2'!AJ35</f>
        <v>РнВ</v>
      </c>
      <c r="AP2" s="556" t="str">
        <f>'TS2'!AK35</f>
        <v>РнВ</v>
      </c>
      <c r="AQ2" s="556" t="str">
        <f>'TS2'!AL35</f>
        <v>РнВ</v>
      </c>
      <c r="AR2" s="556" t="str">
        <f>'TS2'!AM35</f>
        <v>РнВ</v>
      </c>
      <c r="AS2" s="556" t="str">
        <f>'TS2'!AN35</f>
        <v>РнВ</v>
      </c>
      <c r="AT2" s="556" t="str">
        <f>'TS2'!AO35</f>
        <v>РнВ</v>
      </c>
      <c r="AU2" s="556" t="str">
        <f>'TS2'!AP35</f>
        <v>РнВ</v>
      </c>
      <c r="AV2" s="556" t="str">
        <f>'TS2'!AQ35</f>
        <v>РнВ</v>
      </c>
      <c r="AW2" s="556" t="str">
        <f>'TS2'!AR35</f>
        <v>РнВ</v>
      </c>
      <c r="AX2" s="556" t="str">
        <f>'TS2'!AS35</f>
        <v>РнВ</v>
      </c>
      <c r="AY2" s="556" t="str">
        <f>'TS2'!AT35</f>
        <v>РнВ</v>
      </c>
      <c r="AZ2" s="556" t="str">
        <f>'TS2'!AU35</f>
        <v>РнВ</v>
      </c>
      <c r="BA2" s="556" t="str">
        <f>'TS2'!AV35</f>
        <v>РнВ</v>
      </c>
      <c r="BB2" s="556" t="str">
        <f>'TS2'!AW35</f>
        <v>РнВ</v>
      </c>
      <c r="BC2" s="556" t="str">
        <f>'TS2'!AX35</f>
        <v>РнВ</v>
      </c>
      <c r="BD2" s="556" t="str">
        <f>'TS2'!AY35</f>
        <v>РнВ</v>
      </c>
      <c r="BE2" s="556" t="str">
        <f>'TS2'!AZ35</f>
        <v>РнВ</v>
      </c>
      <c r="BF2" s="556" t="str">
        <f>'TS2'!BA35</f>
        <v>РнВ</v>
      </c>
      <c r="BG2" s="556" t="str">
        <f>'TS2'!BB35</f>
        <v>РнВ</v>
      </c>
      <c r="BH2" s="556" t="str">
        <f>'TS2'!BC35</f>
        <v>РнВ</v>
      </c>
      <c r="BI2" s="556" t="str">
        <f>'TS2'!BD35</f>
        <v>РнВ</v>
      </c>
      <c r="BJ2" s="556" t="str">
        <f>'TS2'!BE35</f>
        <v>РнВ</v>
      </c>
      <c r="BK2" s="556" t="str">
        <f>'TS2'!BF35</f>
        <v>РнВ</v>
      </c>
      <c r="BL2" s="556" t="str">
        <f>'TS2'!BG35</f>
        <v>РнВ</v>
      </c>
      <c r="BM2" s="556" t="str">
        <f>'TS2'!BH35</f>
        <v>РнВ</v>
      </c>
      <c r="BN2" s="556" t="str">
        <f>'TS2'!BI35</f>
        <v>РнВ</v>
      </c>
      <c r="BO2" s="556" t="str">
        <f>'TS2'!BJ35</f>
        <v>РнВ</v>
      </c>
      <c r="BP2" s="556" t="str">
        <f>'TS2'!BK35</f>
        <v>РнВ</v>
      </c>
      <c r="BQ2" s="556" t="str">
        <f>'TS2'!BL35</f>
        <v>РнВ</v>
      </c>
      <c r="BR2" s="556" t="str">
        <f>'TS2'!BM35</f>
        <v>РнВ</v>
      </c>
    </row>
    <row r="3" spans="1:70">
      <c r="K3" s="381" t="s">
        <v>328</v>
      </c>
      <c r="L3" s="381" t="s">
        <v>328</v>
      </c>
      <c r="M3" s="381" t="s">
        <v>328</v>
      </c>
      <c r="N3" s="381" t="s">
        <v>328</v>
      </c>
      <c r="O3" s="381" t="s">
        <v>328</v>
      </c>
      <c r="P3" s="381" t="s">
        <v>328</v>
      </c>
      <c r="Q3" s="381" t="s">
        <v>328</v>
      </c>
      <c r="R3" s="381" t="s">
        <v>328</v>
      </c>
      <c r="S3" s="356" t="s">
        <v>449</v>
      </c>
      <c r="T3" s="356" t="s">
        <v>449</v>
      </c>
      <c r="U3" s="356" t="s">
        <v>449</v>
      </c>
      <c r="V3" s="356" t="s">
        <v>449</v>
      </c>
      <c r="W3" s="356" t="s">
        <v>449</v>
      </c>
      <c r="X3" s="356" t="s">
        <v>449</v>
      </c>
      <c r="Y3" s="356" t="s">
        <v>449</v>
      </c>
      <c r="Z3" s="356" t="s">
        <v>449</v>
      </c>
      <c r="AA3" s="356" t="s">
        <v>449</v>
      </c>
      <c r="AB3" s="356" t="s">
        <v>449</v>
      </c>
      <c r="AC3" s="356" t="s">
        <v>449</v>
      </c>
      <c r="AD3" s="356" t="s">
        <v>449</v>
      </c>
      <c r="AE3" s="356" t="s">
        <v>449</v>
      </c>
      <c r="AF3" s="356" t="s">
        <v>449</v>
      </c>
      <c r="AG3" s="356" t="s">
        <v>449</v>
      </c>
      <c r="AH3" s="356" t="s">
        <v>449</v>
      </c>
      <c r="AI3" s="356" t="s">
        <v>449</v>
      </c>
      <c r="AJ3" s="356" t="s">
        <v>449</v>
      </c>
      <c r="AK3" s="356" t="s">
        <v>449</v>
      </c>
      <c r="AL3" s="356" t="s">
        <v>449</v>
      </c>
      <c r="AM3" s="356" t="s">
        <v>449</v>
      </c>
      <c r="AN3" s="356" t="s">
        <v>449</v>
      </c>
      <c r="AO3" s="356" t="s">
        <v>449</v>
      </c>
      <c r="AP3" s="356" t="s">
        <v>449</v>
      </c>
      <c r="AQ3" s="356" t="s">
        <v>449</v>
      </c>
      <c r="AR3" s="356" t="s">
        <v>449</v>
      </c>
      <c r="AS3" s="356" t="s">
        <v>449</v>
      </c>
      <c r="AT3" s="356" t="s">
        <v>449</v>
      </c>
      <c r="AU3" s="356" t="s">
        <v>449</v>
      </c>
      <c r="AV3" s="356" t="s">
        <v>449</v>
      </c>
      <c r="AW3" s="356" t="s">
        <v>449</v>
      </c>
      <c r="AX3" s="356" t="s">
        <v>449</v>
      </c>
      <c r="AY3" s="356" t="s">
        <v>449</v>
      </c>
      <c r="AZ3" s="356" t="s">
        <v>449</v>
      </c>
      <c r="BA3" s="356" t="s">
        <v>449</v>
      </c>
      <c r="BB3" s="356" t="s">
        <v>449</v>
      </c>
      <c r="BC3" s="356" t="s">
        <v>449</v>
      </c>
      <c r="BD3" s="356" t="s">
        <v>449</v>
      </c>
      <c r="BE3" s="356" t="s">
        <v>449</v>
      </c>
      <c r="BF3" s="356" t="s">
        <v>449</v>
      </c>
      <c r="BG3" s="356" t="s">
        <v>449</v>
      </c>
      <c r="BH3" s="356" t="s">
        <v>449</v>
      </c>
      <c r="BI3" s="356" t="s">
        <v>449</v>
      </c>
      <c r="BJ3" s="356" t="s">
        <v>449</v>
      </c>
      <c r="BK3" s="356" t="s">
        <v>449</v>
      </c>
      <c r="BL3" s="356" t="s">
        <v>449</v>
      </c>
      <c r="BM3" s="356" t="s">
        <v>449</v>
      </c>
      <c r="BN3" s="356" t="s">
        <v>449</v>
      </c>
      <c r="BO3" s="356" t="s">
        <v>449</v>
      </c>
      <c r="BP3" s="356" t="s">
        <v>449</v>
      </c>
      <c r="BQ3" s="356" t="s">
        <v>449</v>
      </c>
      <c r="BR3" s="356" t="s">
        <v>449</v>
      </c>
    </row>
    <row r="4" spans="1:70">
      <c r="B4" s="355" t="s">
        <v>111</v>
      </c>
      <c r="C4" s="355" t="s">
        <v>490</v>
      </c>
      <c r="D4" s="355" t="s">
        <v>326</v>
      </c>
      <c r="E4" s="355" t="s">
        <v>329</v>
      </c>
      <c r="F4" s="355" t="s">
        <v>324</v>
      </c>
      <c r="G4" s="355" t="s">
        <v>325</v>
      </c>
      <c r="H4" s="355" t="s">
        <v>27</v>
      </c>
      <c r="I4" s="535" t="s">
        <v>327</v>
      </c>
      <c r="J4" s="544" t="s">
        <v>328</v>
      </c>
      <c r="K4" s="393" t="str">
        <f>'CF1'!F6</f>
        <v>2Q2023</v>
      </c>
      <c r="L4" s="393" t="str">
        <f>'CF1'!G6</f>
        <v>3Q2023</v>
      </c>
      <c r="M4" s="393" t="str">
        <f>'CF1'!H6</f>
        <v>4Q2023</v>
      </c>
      <c r="N4" s="393" t="str">
        <f>'CF1'!I6</f>
        <v>1Q2024</v>
      </c>
      <c r="O4" s="393" t="str">
        <f>'CF1'!J6</f>
        <v>2Q2024</v>
      </c>
      <c r="P4" s="393" t="str">
        <f>'CF1'!K6</f>
        <v>3Q2024</v>
      </c>
      <c r="Q4" s="393" t="str">
        <f>'CF1'!L6</f>
        <v>4Q2024</v>
      </c>
      <c r="R4" s="393" t="str">
        <f>'CF1'!M6</f>
        <v>1Q2025</v>
      </c>
      <c r="S4" s="393" t="str">
        <f>'CF1'!N6</f>
        <v>2Q2025</v>
      </c>
      <c r="T4" s="393" t="str">
        <f>'CF1'!O6</f>
        <v>3Q2025</v>
      </c>
      <c r="U4" s="393" t="str">
        <f>'CF1'!P6</f>
        <v>4Q2025</v>
      </c>
      <c r="V4" s="393" t="str">
        <f>'CF1'!Q6</f>
        <v>1Q2026</v>
      </c>
      <c r="W4" s="393" t="str">
        <f>'CF1'!R6</f>
        <v>2Q2026</v>
      </c>
      <c r="X4" s="393" t="str">
        <f>'CF1'!S6</f>
        <v>3Q2026</v>
      </c>
      <c r="Y4" s="393" t="str">
        <f>'CF1'!T6</f>
        <v>4Q2026</v>
      </c>
      <c r="Z4" s="393" t="str">
        <f>'CF1'!U6</f>
        <v>1Q2027</v>
      </c>
      <c r="AA4" s="393" t="str">
        <f>'CF1'!V6</f>
        <v>2Q2027</v>
      </c>
      <c r="AB4" s="393" t="str">
        <f>'CF1'!W6</f>
        <v>3Q2027</v>
      </c>
      <c r="AC4" s="393" t="str">
        <f>'CF1'!X6</f>
        <v>4Q2027</v>
      </c>
      <c r="AD4" s="393" t="str">
        <f>'CF1'!Y6</f>
        <v>1Q2028</v>
      </c>
      <c r="AE4" s="393" t="str">
        <f>'CF1'!Z6</f>
        <v>2Q2028</v>
      </c>
      <c r="AF4" s="393" t="str">
        <f>'CF1'!AA6</f>
        <v>3Q2028</v>
      </c>
      <c r="AG4" s="393" t="str">
        <f>'CF1'!AB6</f>
        <v>4Q2028</v>
      </c>
      <c r="AH4" s="393" t="str">
        <f>'CF1'!AC6</f>
        <v>1Q2029</v>
      </c>
      <c r="AI4" s="393" t="str">
        <f>'CF1'!AD6</f>
        <v>2Q2029</v>
      </c>
      <c r="AJ4" s="393" t="str">
        <f>'CF1'!AE6</f>
        <v>3Q2029</v>
      </c>
      <c r="AK4" s="393" t="str">
        <f>'CF1'!AF6</f>
        <v>4Q2029</v>
      </c>
      <c r="AL4" s="393" t="str">
        <f>'CF1'!AG6</f>
        <v>1Q2030</v>
      </c>
      <c r="AM4" s="393" t="str">
        <f>'CF1'!AH6</f>
        <v>2Q2030</v>
      </c>
      <c r="AN4" s="393" t="str">
        <f>'CF1'!AI6</f>
        <v>3Q2030</v>
      </c>
      <c r="AO4" s="393" t="str">
        <f>'CF1'!AJ6</f>
        <v>4Q2030</v>
      </c>
      <c r="AP4" s="393" t="str">
        <f>'CF1'!AK6</f>
        <v>1Q2031</v>
      </c>
      <c r="AQ4" s="393" t="str">
        <f>'CF1'!AL6</f>
        <v>2Q2031</v>
      </c>
      <c r="AR4" s="393" t="str">
        <f>'CF1'!AM6</f>
        <v>3Q2031</v>
      </c>
      <c r="AS4" s="393" t="str">
        <f>'CF1'!AN6</f>
        <v>4Q2031</v>
      </c>
      <c r="AT4" s="393" t="str">
        <f>'CF1'!AO6</f>
        <v>1Q2032</v>
      </c>
      <c r="AU4" s="393" t="str">
        <f>'CF1'!AP6</f>
        <v>2Q2032</v>
      </c>
      <c r="AV4" s="393" t="str">
        <f>'CF1'!AQ6</f>
        <v>3Q2032</v>
      </c>
      <c r="AW4" s="393" t="str">
        <f>'CF1'!AR6</f>
        <v>4Q2032</v>
      </c>
      <c r="AX4" s="393" t="str">
        <f>'CF1'!AS6</f>
        <v>1Q2033</v>
      </c>
      <c r="AY4" s="393" t="str">
        <f>'CF1'!AT6</f>
        <v>2Q2033</v>
      </c>
      <c r="AZ4" s="393" t="str">
        <f>'CF1'!AU6</f>
        <v>3Q2033</v>
      </c>
      <c r="BA4" s="393" t="str">
        <f>'CF1'!AV6</f>
        <v>4Q2033</v>
      </c>
      <c r="BB4" s="393" t="str">
        <f>'CF1'!AW6</f>
        <v>1Q2034</v>
      </c>
      <c r="BC4" s="393" t="str">
        <f>'CF1'!AX6</f>
        <v>2Q2034</v>
      </c>
      <c r="BD4" s="393" t="str">
        <f>'CF1'!AY6</f>
        <v>3Q2034</v>
      </c>
      <c r="BE4" s="393" t="str">
        <f>'CF1'!AZ6</f>
        <v>4Q2034</v>
      </c>
      <c r="BF4" s="393" t="str">
        <f>'CF1'!BA6</f>
        <v>1Q2035</v>
      </c>
      <c r="BG4" s="393" t="str">
        <f>'CF1'!BB6</f>
        <v>2Q2035</v>
      </c>
      <c r="BH4" s="393" t="str">
        <f>'CF1'!BC6</f>
        <v>3Q2035</v>
      </c>
      <c r="BI4" s="393" t="str">
        <f>'CF1'!BD6</f>
        <v>4Q2035</v>
      </c>
      <c r="BJ4" s="393" t="str">
        <f>'CF1'!BE6</f>
        <v>1Q2036</v>
      </c>
      <c r="BK4" s="393" t="str">
        <f>'CF1'!BF6</f>
        <v>2Q2036</v>
      </c>
      <c r="BL4" s="393" t="str">
        <f>'CF1'!BG6</f>
        <v>3Q2036</v>
      </c>
      <c r="BM4" s="393" t="str">
        <f>'CF1'!BH6</f>
        <v>4Q2036</v>
      </c>
      <c r="BN4" s="393" t="str">
        <f>'CF1'!BI6</f>
        <v>1Q2037</v>
      </c>
      <c r="BO4" s="393" t="str">
        <f>'CF1'!BJ6</f>
        <v>2Q2037</v>
      </c>
      <c r="BP4" s="393" t="str">
        <f>'CF1'!BK6</f>
        <v>3Q2037</v>
      </c>
      <c r="BQ4" s="393" t="str">
        <f>'CF1'!BL6</f>
        <v>4Q2037</v>
      </c>
      <c r="BR4" s="393" t="str">
        <f>'CF1'!BM6</f>
        <v>1Q2038</v>
      </c>
    </row>
    <row r="5" spans="1:70">
      <c r="B5" s="356"/>
      <c r="C5" s="356"/>
    </row>
    <row r="6" spans="1:70" s="353" customFormat="1">
      <c r="A6" s="374">
        <f>I6-SUM(K6:BR6)</f>
        <v>0</v>
      </c>
      <c r="B6" s="357">
        <v>1000</v>
      </c>
      <c r="C6" s="357"/>
      <c r="D6" s="358" t="s">
        <v>337</v>
      </c>
      <c r="E6" s="358"/>
      <c r="F6" s="358"/>
      <c r="G6" s="358"/>
      <c r="H6" s="375">
        <f>SUM(H7:H9)</f>
        <v>0</v>
      </c>
      <c r="I6" s="536">
        <f t="shared" ref="I6:BR6" si="0">SUM(I7:I9)</f>
        <v>0</v>
      </c>
      <c r="J6" s="545">
        <f t="shared" si="0"/>
        <v>0</v>
      </c>
      <c r="K6" s="375">
        <f t="shared" si="0"/>
        <v>0</v>
      </c>
      <c r="L6" s="375">
        <f t="shared" si="0"/>
        <v>0</v>
      </c>
      <c r="M6" s="375">
        <f t="shared" si="0"/>
        <v>0</v>
      </c>
      <c r="N6" s="375">
        <f t="shared" si="0"/>
        <v>0</v>
      </c>
      <c r="O6" s="375">
        <f t="shared" si="0"/>
        <v>0</v>
      </c>
      <c r="P6" s="375">
        <f t="shared" si="0"/>
        <v>0</v>
      </c>
      <c r="Q6" s="375">
        <f t="shared" si="0"/>
        <v>0</v>
      </c>
      <c r="R6" s="375">
        <f t="shared" si="0"/>
        <v>0</v>
      </c>
      <c r="S6" s="375">
        <f t="shared" si="0"/>
        <v>0</v>
      </c>
      <c r="T6" s="375">
        <f t="shared" si="0"/>
        <v>0</v>
      </c>
      <c r="U6" s="375">
        <f t="shared" si="0"/>
        <v>0</v>
      </c>
      <c r="V6" s="375">
        <f t="shared" si="0"/>
        <v>0</v>
      </c>
      <c r="W6" s="375">
        <f t="shared" si="0"/>
        <v>0</v>
      </c>
      <c r="X6" s="375">
        <f t="shared" si="0"/>
        <v>0</v>
      </c>
      <c r="Y6" s="375">
        <f t="shared" si="0"/>
        <v>0</v>
      </c>
      <c r="Z6" s="375">
        <f t="shared" si="0"/>
        <v>0</v>
      </c>
      <c r="AA6" s="375">
        <f t="shared" si="0"/>
        <v>0</v>
      </c>
      <c r="AB6" s="375">
        <f t="shared" si="0"/>
        <v>0</v>
      </c>
      <c r="AC6" s="375">
        <f t="shared" si="0"/>
        <v>0</v>
      </c>
      <c r="AD6" s="375">
        <f t="shared" si="0"/>
        <v>0</v>
      </c>
      <c r="AE6" s="375">
        <f t="shared" si="0"/>
        <v>0</v>
      </c>
      <c r="AF6" s="375">
        <f t="shared" si="0"/>
        <v>0</v>
      </c>
      <c r="AG6" s="375">
        <f t="shared" si="0"/>
        <v>0</v>
      </c>
      <c r="AH6" s="375">
        <f t="shared" si="0"/>
        <v>0</v>
      </c>
      <c r="AI6" s="375">
        <f t="shared" si="0"/>
        <v>0</v>
      </c>
      <c r="AJ6" s="375">
        <f t="shared" si="0"/>
        <v>0</v>
      </c>
      <c r="AK6" s="375">
        <f t="shared" si="0"/>
        <v>0</v>
      </c>
      <c r="AL6" s="375">
        <f t="shared" si="0"/>
        <v>0</v>
      </c>
      <c r="AM6" s="375">
        <f t="shared" si="0"/>
        <v>0</v>
      </c>
      <c r="AN6" s="375">
        <f t="shared" si="0"/>
        <v>0</v>
      </c>
      <c r="AO6" s="375">
        <f t="shared" si="0"/>
        <v>0</v>
      </c>
      <c r="AP6" s="375">
        <f t="shared" si="0"/>
        <v>0</v>
      </c>
      <c r="AQ6" s="375">
        <f t="shared" si="0"/>
        <v>0</v>
      </c>
      <c r="AR6" s="375">
        <f t="shared" si="0"/>
        <v>0</v>
      </c>
      <c r="AS6" s="375">
        <f t="shared" si="0"/>
        <v>0</v>
      </c>
      <c r="AT6" s="375">
        <f t="shared" si="0"/>
        <v>0</v>
      </c>
      <c r="AU6" s="375">
        <f t="shared" si="0"/>
        <v>0</v>
      </c>
      <c r="AV6" s="375">
        <f t="shared" si="0"/>
        <v>0</v>
      </c>
      <c r="AW6" s="375">
        <f t="shared" si="0"/>
        <v>0</v>
      </c>
      <c r="AX6" s="375">
        <f t="shared" si="0"/>
        <v>0</v>
      </c>
      <c r="AY6" s="375">
        <f t="shared" si="0"/>
        <v>0</v>
      </c>
      <c r="AZ6" s="375">
        <f t="shared" si="0"/>
        <v>0</v>
      </c>
      <c r="BA6" s="375">
        <f t="shared" si="0"/>
        <v>0</v>
      </c>
      <c r="BB6" s="375">
        <f t="shared" si="0"/>
        <v>0</v>
      </c>
      <c r="BC6" s="375">
        <f t="shared" si="0"/>
        <v>0</v>
      </c>
      <c r="BD6" s="375">
        <f t="shared" si="0"/>
        <v>0</v>
      </c>
      <c r="BE6" s="375">
        <f t="shared" si="0"/>
        <v>0</v>
      </c>
      <c r="BF6" s="375">
        <f t="shared" si="0"/>
        <v>0</v>
      </c>
      <c r="BG6" s="375">
        <f t="shared" si="0"/>
        <v>0</v>
      </c>
      <c r="BH6" s="375">
        <f t="shared" si="0"/>
        <v>0</v>
      </c>
      <c r="BI6" s="375">
        <f t="shared" si="0"/>
        <v>0</v>
      </c>
      <c r="BJ6" s="375">
        <f t="shared" si="0"/>
        <v>0</v>
      </c>
      <c r="BK6" s="375">
        <f t="shared" si="0"/>
        <v>0</v>
      </c>
      <c r="BL6" s="375">
        <f t="shared" si="0"/>
        <v>0</v>
      </c>
      <c r="BM6" s="375">
        <f t="shared" si="0"/>
        <v>0</v>
      </c>
      <c r="BN6" s="375">
        <f t="shared" si="0"/>
        <v>0</v>
      </c>
      <c r="BO6" s="375">
        <f t="shared" si="0"/>
        <v>0</v>
      </c>
      <c r="BP6" s="375">
        <f t="shared" si="0"/>
        <v>0</v>
      </c>
      <c r="BQ6" s="375">
        <f t="shared" si="0"/>
        <v>0</v>
      </c>
      <c r="BR6" s="375">
        <f t="shared" si="0"/>
        <v>0</v>
      </c>
    </row>
    <row r="7" spans="1:70" outlineLevel="1">
      <c r="A7" s="374">
        <f t="shared" ref="A7:A99" si="1">I7-SUM(K7:BR7)</f>
        <v>0</v>
      </c>
      <c r="B7" s="359"/>
      <c r="C7" s="359"/>
      <c r="D7" s="360"/>
      <c r="E7" s="360"/>
      <c r="F7" s="373"/>
      <c r="G7" s="360"/>
      <c r="H7" s="377"/>
      <c r="I7" s="537"/>
      <c r="J7" s="546"/>
      <c r="K7" s="383"/>
      <c r="L7" s="383"/>
      <c r="M7" s="383"/>
      <c r="N7" s="383"/>
      <c r="O7" s="383"/>
      <c r="P7" s="383"/>
      <c r="Q7" s="383"/>
      <c r="R7" s="383"/>
      <c r="S7" s="377"/>
      <c r="T7" s="377"/>
      <c r="U7" s="377"/>
      <c r="V7" s="377"/>
      <c r="W7" s="377"/>
      <c r="X7" s="377"/>
      <c r="Y7" s="377"/>
      <c r="Z7" s="377"/>
      <c r="AA7" s="377"/>
      <c r="AB7" s="377"/>
      <c r="AC7" s="377"/>
      <c r="AD7" s="377"/>
      <c r="AE7" s="377"/>
      <c r="AF7" s="377"/>
      <c r="AG7" s="377"/>
      <c r="AH7" s="377"/>
      <c r="AI7" s="377"/>
      <c r="AJ7" s="377"/>
      <c r="AK7" s="377"/>
      <c r="AL7" s="377"/>
      <c r="AM7" s="377"/>
      <c r="AN7" s="377"/>
      <c r="AO7" s="377"/>
      <c r="AP7" s="377"/>
      <c r="AQ7" s="377"/>
      <c r="AR7" s="377"/>
      <c r="AS7" s="377"/>
      <c r="AT7" s="377"/>
      <c r="AU7" s="377"/>
      <c r="AV7" s="377"/>
      <c r="AW7" s="377"/>
      <c r="AX7" s="377"/>
      <c r="AY7" s="377"/>
      <c r="AZ7" s="377"/>
      <c r="BA7" s="377"/>
      <c r="BB7" s="377"/>
      <c r="BC7" s="377"/>
      <c r="BD7" s="377"/>
      <c r="BE7" s="377"/>
      <c r="BF7" s="377"/>
      <c r="BG7" s="377"/>
      <c r="BH7" s="377"/>
      <c r="BI7" s="377"/>
      <c r="BJ7" s="377"/>
      <c r="BK7" s="377"/>
      <c r="BL7" s="377"/>
      <c r="BM7" s="377"/>
      <c r="BN7" s="377"/>
      <c r="BO7" s="377"/>
      <c r="BP7" s="377"/>
      <c r="BQ7" s="377"/>
      <c r="BR7" s="377"/>
    </row>
    <row r="8" spans="1:70" outlineLevel="1">
      <c r="A8" s="374">
        <f t="shared" si="1"/>
        <v>0</v>
      </c>
      <c r="B8" s="359"/>
      <c r="C8" s="359"/>
      <c r="D8" s="360"/>
      <c r="E8" s="360"/>
      <c r="F8" s="373"/>
      <c r="G8" s="360"/>
      <c r="H8" s="377"/>
      <c r="I8" s="537"/>
      <c r="J8" s="546"/>
      <c r="K8" s="383"/>
      <c r="L8" s="383"/>
      <c r="M8" s="383"/>
      <c r="N8" s="383"/>
      <c r="O8" s="383"/>
      <c r="P8" s="383"/>
      <c r="Q8" s="383"/>
      <c r="R8" s="383"/>
      <c r="S8" s="377"/>
      <c r="T8" s="377"/>
      <c r="U8" s="377"/>
      <c r="V8" s="377"/>
      <c r="W8" s="377"/>
      <c r="X8" s="377"/>
      <c r="Y8" s="377"/>
      <c r="Z8" s="377"/>
      <c r="AA8" s="377"/>
      <c r="AB8" s="377"/>
      <c r="AC8" s="377"/>
      <c r="AD8" s="377"/>
      <c r="AE8" s="377"/>
      <c r="AF8" s="377"/>
      <c r="AG8" s="377"/>
      <c r="AH8" s="377"/>
      <c r="AI8" s="377"/>
      <c r="AJ8" s="377"/>
      <c r="AK8" s="377"/>
      <c r="AL8" s="377"/>
      <c r="AM8" s="377"/>
      <c r="AN8" s="377"/>
      <c r="AO8" s="377"/>
      <c r="AP8" s="377"/>
      <c r="AQ8" s="377"/>
      <c r="AR8" s="377"/>
      <c r="AS8" s="377"/>
      <c r="AT8" s="377"/>
      <c r="AU8" s="377"/>
      <c r="AV8" s="377"/>
      <c r="AW8" s="377"/>
      <c r="AX8" s="377"/>
      <c r="AY8" s="377"/>
      <c r="AZ8" s="377"/>
      <c r="BA8" s="377"/>
      <c r="BB8" s="377"/>
      <c r="BC8" s="377"/>
      <c r="BD8" s="377"/>
      <c r="BE8" s="377"/>
      <c r="BF8" s="377"/>
      <c r="BG8" s="377"/>
      <c r="BH8" s="377"/>
      <c r="BI8" s="377"/>
      <c r="BJ8" s="377"/>
      <c r="BK8" s="377"/>
      <c r="BL8" s="377"/>
      <c r="BM8" s="377"/>
      <c r="BN8" s="377"/>
      <c r="BO8" s="377"/>
      <c r="BP8" s="377"/>
      <c r="BQ8" s="377"/>
      <c r="BR8" s="377"/>
    </row>
    <row r="9" spans="1:70" outlineLevel="1">
      <c r="A9" s="374">
        <f t="shared" si="1"/>
        <v>0</v>
      </c>
      <c r="B9" s="359"/>
      <c r="C9" s="359"/>
      <c r="D9" s="360"/>
      <c r="E9" s="360"/>
      <c r="F9" s="373"/>
      <c r="G9" s="360"/>
      <c r="H9" s="377"/>
      <c r="I9" s="537"/>
      <c r="J9" s="546"/>
      <c r="K9" s="383"/>
      <c r="L9" s="383"/>
      <c r="M9" s="383"/>
      <c r="N9" s="383"/>
      <c r="O9" s="383"/>
      <c r="P9" s="383"/>
      <c r="Q9" s="383"/>
      <c r="R9" s="383"/>
      <c r="S9" s="377"/>
      <c r="T9" s="377"/>
      <c r="U9" s="377"/>
      <c r="V9" s="377"/>
      <c r="W9" s="377"/>
      <c r="X9" s="377"/>
      <c r="Y9" s="377"/>
      <c r="Z9" s="377"/>
      <c r="AA9" s="377"/>
      <c r="AB9" s="377"/>
      <c r="AC9" s="377"/>
      <c r="AD9" s="377"/>
      <c r="AE9" s="377"/>
      <c r="AF9" s="377"/>
      <c r="AG9" s="377"/>
      <c r="AH9" s="377"/>
      <c r="AI9" s="377"/>
      <c r="AJ9" s="377"/>
      <c r="AK9" s="377"/>
      <c r="AL9" s="377"/>
      <c r="AM9" s="377"/>
      <c r="AN9" s="377"/>
      <c r="AO9" s="377"/>
      <c r="AP9" s="377"/>
      <c r="AQ9" s="377"/>
      <c r="AR9" s="377"/>
      <c r="AS9" s="377"/>
      <c r="AT9" s="377"/>
      <c r="AU9" s="377"/>
      <c r="AV9" s="377"/>
      <c r="AW9" s="377"/>
      <c r="AX9" s="377"/>
      <c r="AY9" s="377"/>
      <c r="AZ9" s="377"/>
      <c r="BA9" s="377"/>
      <c r="BB9" s="377"/>
      <c r="BC9" s="377"/>
      <c r="BD9" s="377"/>
      <c r="BE9" s="377"/>
      <c r="BF9" s="377"/>
      <c r="BG9" s="377"/>
      <c r="BH9" s="377"/>
      <c r="BI9" s="377"/>
      <c r="BJ9" s="377"/>
      <c r="BK9" s="377"/>
      <c r="BL9" s="377"/>
      <c r="BM9" s="377"/>
      <c r="BN9" s="377"/>
      <c r="BO9" s="377"/>
      <c r="BP9" s="377"/>
      <c r="BQ9" s="377"/>
      <c r="BR9" s="377"/>
    </row>
    <row r="10" spans="1:70" s="353" customFormat="1">
      <c r="A10" s="374">
        <f t="shared" si="1"/>
        <v>0</v>
      </c>
      <c r="B10" s="357">
        <v>2000</v>
      </c>
      <c r="C10" s="357"/>
      <c r="D10" s="358" t="s">
        <v>336</v>
      </c>
      <c r="E10" s="358"/>
      <c r="F10" s="358"/>
      <c r="G10" s="358"/>
      <c r="H10" s="375">
        <f t="shared" ref="H10" si="2">SUM(H11:H24)</f>
        <v>0</v>
      </c>
      <c r="I10" s="536">
        <f t="shared" ref="I10" si="3">SUM(I11:I24)</f>
        <v>78746092704.000031</v>
      </c>
      <c r="J10" s="545">
        <f t="shared" ref="J10" si="4">SUM(J11:J24)</f>
        <v>0</v>
      </c>
      <c r="K10" s="375">
        <f t="shared" ref="K10" si="5">SUM(K11:K24)</f>
        <v>0</v>
      </c>
      <c r="L10" s="375">
        <f t="shared" ref="L10:BR10" si="6">SUM(L11:L24)</f>
        <v>0</v>
      </c>
      <c r="M10" s="375">
        <f t="shared" si="6"/>
        <v>0</v>
      </c>
      <c r="N10" s="375">
        <f t="shared" ref="N10:R10" si="7">SUM(N11:N24)</f>
        <v>0</v>
      </c>
      <c r="O10" s="375">
        <f t="shared" si="7"/>
        <v>0</v>
      </c>
      <c r="P10" s="375">
        <f t="shared" si="7"/>
        <v>0</v>
      </c>
      <c r="Q10" s="375">
        <f t="shared" si="7"/>
        <v>0</v>
      </c>
      <c r="R10" s="375">
        <f t="shared" si="7"/>
        <v>0</v>
      </c>
      <c r="S10" s="375">
        <f t="shared" si="6"/>
        <v>0</v>
      </c>
      <c r="T10" s="375">
        <f t="shared" si="6"/>
        <v>0</v>
      </c>
      <c r="U10" s="375">
        <f t="shared" si="6"/>
        <v>0</v>
      </c>
      <c r="V10" s="375">
        <f t="shared" si="6"/>
        <v>0</v>
      </c>
      <c r="W10" s="375">
        <f t="shared" si="6"/>
        <v>0</v>
      </c>
      <c r="X10" s="375">
        <f t="shared" si="6"/>
        <v>0</v>
      </c>
      <c r="Y10" s="375">
        <f t="shared" si="6"/>
        <v>1164068181.818182</v>
      </c>
      <c r="Z10" s="375">
        <f t="shared" si="6"/>
        <v>1383845948.1673188</v>
      </c>
      <c r="AA10" s="375">
        <f t="shared" si="6"/>
        <v>1459363847.6173966</v>
      </c>
      <c r="AB10" s="375">
        <f t="shared" si="6"/>
        <v>1542443163.4436505</v>
      </c>
      <c r="AC10" s="375">
        <f t="shared" si="6"/>
        <v>2899138845.7795334</v>
      </c>
      <c r="AD10" s="375">
        <f t="shared" si="6"/>
        <v>3322272907.0180197</v>
      </c>
      <c r="AE10" s="375">
        <f t="shared" si="6"/>
        <v>3494030784.6942358</v>
      </c>
      <c r="AF10" s="375">
        <f t="shared" si="6"/>
        <v>3692071522.455605</v>
      </c>
      <c r="AG10" s="375">
        <f t="shared" si="6"/>
        <v>3931681965.7419538</v>
      </c>
      <c r="AH10" s="375">
        <f t="shared" si="6"/>
        <v>4418314960.6826916</v>
      </c>
      <c r="AI10" s="375">
        <f t="shared" si="6"/>
        <v>4800425307.6367388</v>
      </c>
      <c r="AJ10" s="375">
        <f t="shared" si="6"/>
        <v>3587696181.1461058</v>
      </c>
      <c r="AK10" s="375">
        <f t="shared" si="6"/>
        <v>4399388984.203351</v>
      </c>
      <c r="AL10" s="375">
        <f t="shared" si="6"/>
        <v>5980655407.4670553</v>
      </c>
      <c r="AM10" s="375">
        <f t="shared" si="6"/>
        <v>6020914967.0352135</v>
      </c>
      <c r="AN10" s="375">
        <f t="shared" si="6"/>
        <v>4376668056.1971626</v>
      </c>
      <c r="AO10" s="375">
        <f t="shared" si="6"/>
        <v>4496782888.8056583</v>
      </c>
      <c r="AP10" s="375">
        <f t="shared" si="6"/>
        <v>5391403363.8056583</v>
      </c>
      <c r="AQ10" s="375">
        <f t="shared" si="6"/>
        <v>5391403363.8056583</v>
      </c>
      <c r="AR10" s="375">
        <f t="shared" si="6"/>
        <v>4212716128.4298472</v>
      </c>
      <c r="AS10" s="375">
        <f t="shared" si="6"/>
        <v>2736255928.048974</v>
      </c>
      <c r="AT10" s="375">
        <f t="shared" si="6"/>
        <v>44550000.000000179</v>
      </c>
      <c r="AU10" s="375">
        <f t="shared" si="6"/>
        <v>0</v>
      </c>
      <c r="AV10" s="375">
        <f t="shared" si="6"/>
        <v>0</v>
      </c>
      <c r="AW10" s="375">
        <f t="shared" si="6"/>
        <v>0</v>
      </c>
      <c r="AX10" s="375">
        <f t="shared" si="6"/>
        <v>0</v>
      </c>
      <c r="AY10" s="375">
        <f t="shared" si="6"/>
        <v>0</v>
      </c>
      <c r="AZ10" s="375">
        <f t="shared" si="6"/>
        <v>0</v>
      </c>
      <c r="BA10" s="375">
        <f t="shared" si="6"/>
        <v>0</v>
      </c>
      <c r="BB10" s="375">
        <f t="shared" si="6"/>
        <v>0</v>
      </c>
      <c r="BC10" s="375">
        <f t="shared" si="6"/>
        <v>0</v>
      </c>
      <c r="BD10" s="375">
        <f t="shared" si="6"/>
        <v>0</v>
      </c>
      <c r="BE10" s="375">
        <f t="shared" si="6"/>
        <v>0</v>
      </c>
      <c r="BF10" s="375">
        <f t="shared" si="6"/>
        <v>0</v>
      </c>
      <c r="BG10" s="375">
        <f t="shared" si="6"/>
        <v>0</v>
      </c>
      <c r="BH10" s="375">
        <f t="shared" si="6"/>
        <v>0</v>
      </c>
      <c r="BI10" s="375">
        <f t="shared" si="6"/>
        <v>0</v>
      </c>
      <c r="BJ10" s="375">
        <f t="shared" si="6"/>
        <v>0</v>
      </c>
      <c r="BK10" s="375">
        <f t="shared" si="6"/>
        <v>0</v>
      </c>
      <c r="BL10" s="375">
        <f t="shared" si="6"/>
        <v>0</v>
      </c>
      <c r="BM10" s="375">
        <f t="shared" si="6"/>
        <v>0</v>
      </c>
      <c r="BN10" s="375">
        <f t="shared" si="6"/>
        <v>0</v>
      </c>
      <c r="BO10" s="375">
        <f t="shared" si="6"/>
        <v>0</v>
      </c>
      <c r="BP10" s="375">
        <f t="shared" si="6"/>
        <v>0</v>
      </c>
      <c r="BQ10" s="375">
        <f t="shared" si="6"/>
        <v>0</v>
      </c>
      <c r="BR10" s="375">
        <f t="shared" si="6"/>
        <v>0</v>
      </c>
    </row>
    <row r="11" spans="1:70" outlineLevel="1">
      <c r="A11" s="374">
        <f t="shared" si="1"/>
        <v>0</v>
      </c>
      <c r="B11" s="359">
        <v>2201</v>
      </c>
      <c r="C11" s="359">
        <v>1</v>
      </c>
      <c r="D11" s="360" t="s">
        <v>435</v>
      </c>
      <c r="E11" s="360"/>
      <c r="F11" s="366" t="s">
        <v>448</v>
      </c>
      <c r="G11" s="360"/>
      <c r="H11" s="377"/>
      <c r="I11" s="540">
        <f t="shared" ref="I11:I24" si="8">SUM(K11:BR11)</f>
        <v>37437978816</v>
      </c>
      <c r="J11" s="546"/>
      <c r="K11" s="383"/>
      <c r="L11" s="383">
        <f>('CF1'!G26*'DB1'!$N$8+SUM('CF1'!$F26:F26)-SUM('CF1'!$F35:F35))*1000000</f>
        <v>0</v>
      </c>
      <c r="M11" s="383">
        <f>('CF1'!H26*'DB1'!$N$8+SUM('CF1'!$F26:G26)-SUM('CF1'!$F35:G35))*1000000</f>
        <v>0</v>
      </c>
      <c r="N11" s="383">
        <f>('CF1'!I26*'DB1'!$N$8+SUM('CF1'!$F26:H26)-SUM('CF1'!$F35:H35))*1000000</f>
        <v>0</v>
      </c>
      <c r="O11" s="383">
        <f>('CF1'!J26*'DB1'!$N$8+SUM('CF1'!$F26:I26)-SUM('CF1'!$F35:I35))*1000000</f>
        <v>0</v>
      </c>
      <c r="P11" s="383">
        <f>('CF1'!K26*'DB1'!$N$8+SUM('CF1'!$F26:J26)-SUM('CF1'!$F35:J35))*1000000</f>
        <v>0</v>
      </c>
      <c r="Q11" s="383">
        <f>('CF1'!L26*'DB1'!$N$8+SUM('CF1'!$F26:K26)-SUM('CF1'!$F35:K35))*1000000</f>
        <v>0</v>
      </c>
      <c r="R11" s="383">
        <f>('CF1'!M26*'DB1'!$N$8+SUM('CF1'!$F26:L26)-SUM('CF1'!$F35:L35))*1000000</f>
        <v>0</v>
      </c>
      <c r="S11" s="377">
        <f>'CF1'!N35*1000000</f>
        <v>0</v>
      </c>
      <c r="T11" s="377">
        <f>'CF1'!O35*1000000</f>
        <v>0</v>
      </c>
      <c r="U11" s="377">
        <f>'CF1'!P35*1000000</f>
        <v>0</v>
      </c>
      <c r="V11" s="377">
        <f>'CF1'!Q35*1000000</f>
        <v>0</v>
      </c>
      <c r="W11" s="377">
        <f>'CF1'!R35*1000000</f>
        <v>0</v>
      </c>
      <c r="X11" s="377">
        <f>'CF1'!S35*1000000</f>
        <v>0</v>
      </c>
      <c r="Y11" s="377">
        <f>'CF1'!T35*1000000</f>
        <v>1069568181.818182</v>
      </c>
      <c r="Z11" s="377">
        <f>'CF1'!U35*1000000</f>
        <v>1248845948.1673188</v>
      </c>
      <c r="AA11" s="377">
        <f>'CF1'!V35*1000000</f>
        <v>1324363847.6173966</v>
      </c>
      <c r="AB11" s="377">
        <f>'CF1'!W35*1000000</f>
        <v>1407443163.4436505</v>
      </c>
      <c r="AC11" s="377">
        <f>'CF1'!X35*1000000</f>
        <v>1500244300.3249881</v>
      </c>
      <c r="AD11" s="377">
        <f>'CF1'!Y35*1000000</f>
        <v>1707476158.7536986</v>
      </c>
      <c r="AE11" s="377">
        <f>'CF1'!Z35*1000000</f>
        <v>1808947204.9245551</v>
      </c>
      <c r="AF11" s="377">
        <f>'CF1'!AA35*1000000</f>
        <v>1930834075.3110874</v>
      </c>
      <c r="AG11" s="377">
        <f>'CF1'!AB35*1000000</f>
        <v>2086747319.3904126</v>
      </c>
      <c r="AH11" s="377">
        <f>'CF1'!AC35*1000000</f>
        <v>2376375467.8071647</v>
      </c>
      <c r="AI11" s="377">
        <f>'CF1'!AD35*1000000</f>
        <v>2673175387.5251451</v>
      </c>
      <c r="AJ11" s="377">
        <f>'CF1'!AE35*1000000</f>
        <v>1361054947.7116983</v>
      </c>
      <c r="AK11" s="377">
        <f>'CF1'!AF35*1000000</f>
        <v>2049888293.9682152</v>
      </c>
      <c r="AL11" s="377">
        <f>'CF1'!AG35*1000000</f>
        <v>2095112900.9474244</v>
      </c>
      <c r="AM11" s="377">
        <f>'CF1'!AH35*1000000</f>
        <v>2095112900.9474244</v>
      </c>
      <c r="AN11" s="377">
        <f>'CF1'!AI35*1000000</f>
        <v>2095112900.9474244</v>
      </c>
      <c r="AO11" s="377">
        <f>'CF1'!AJ35*1000000</f>
        <v>2095112900.9474244</v>
      </c>
      <c r="AP11" s="377">
        <f>'CF1'!AK35*1000000</f>
        <v>2095112900.9474244</v>
      </c>
      <c r="AQ11" s="377">
        <f>'CF1'!AL35*1000000</f>
        <v>2095112900.9474244</v>
      </c>
      <c r="AR11" s="377">
        <f>'CF1'!AM35*1000000</f>
        <v>1814196140.5716138</v>
      </c>
      <c r="AS11" s="377">
        <f>'CF1'!AN35*1000000</f>
        <v>508140972.98031265</v>
      </c>
      <c r="AT11" s="377">
        <f>'CF1'!AO35*1000000</f>
        <v>0</v>
      </c>
      <c r="AU11" s="377">
        <f>'CF1'!AP35*1000000</f>
        <v>0</v>
      </c>
      <c r="AV11" s="377">
        <f>'CF1'!AQ35*1000000</f>
        <v>0</v>
      </c>
      <c r="AW11" s="377">
        <f>'CF1'!AR35*1000000</f>
        <v>0</v>
      </c>
      <c r="AX11" s="377">
        <f>'CF1'!AS35*1000000</f>
        <v>0</v>
      </c>
      <c r="AY11" s="377">
        <f>'CF1'!AT35*1000000</f>
        <v>0</v>
      </c>
      <c r="AZ11" s="377">
        <f>'CF1'!AU35*1000000</f>
        <v>0</v>
      </c>
      <c r="BA11" s="377">
        <f>'CF1'!AV35*1000000</f>
        <v>0</v>
      </c>
      <c r="BB11" s="377">
        <f>'CF1'!AW35*1000000</f>
        <v>0</v>
      </c>
      <c r="BC11" s="377">
        <f>'CF1'!AX35*1000000</f>
        <v>0</v>
      </c>
      <c r="BD11" s="377">
        <f>'CF1'!AY35*1000000</f>
        <v>0</v>
      </c>
      <c r="BE11" s="377">
        <f>'CF1'!AZ35*1000000</f>
        <v>0</v>
      </c>
      <c r="BF11" s="377">
        <f>'CF1'!BA35*1000000</f>
        <v>0</v>
      </c>
      <c r="BG11" s="377">
        <f>'CF1'!BB35*1000000</f>
        <v>0</v>
      </c>
      <c r="BH11" s="377">
        <f>'CF1'!BC35*1000000</f>
        <v>0</v>
      </c>
      <c r="BI11" s="377">
        <f>'CF1'!BD35*1000000</f>
        <v>0</v>
      </c>
      <c r="BJ11" s="377">
        <f>'CF1'!BE35*1000000</f>
        <v>0</v>
      </c>
      <c r="BK11" s="377">
        <f>'CF1'!BF35*1000000</f>
        <v>0</v>
      </c>
      <c r="BL11" s="377">
        <f>'CF1'!BG35*1000000</f>
        <v>0</v>
      </c>
      <c r="BM11" s="377">
        <f>'CF1'!BH35*1000000</f>
        <v>0</v>
      </c>
      <c r="BN11" s="377">
        <f>'CF1'!BI35*1000000</f>
        <v>0</v>
      </c>
      <c r="BO11" s="377">
        <f>'CF1'!BJ35*1000000</f>
        <v>0</v>
      </c>
      <c r="BP11" s="377">
        <f>'CF1'!BK35*1000000</f>
        <v>0</v>
      </c>
      <c r="BQ11" s="377">
        <f>'CF1'!BL35*1000000</f>
        <v>0</v>
      </c>
      <c r="BR11" s="377">
        <f>'CF1'!BM35*1000000</f>
        <v>0</v>
      </c>
    </row>
    <row r="12" spans="1:70" outlineLevel="1">
      <c r="A12" s="374">
        <f t="shared" si="1"/>
        <v>0</v>
      </c>
      <c r="B12" s="359">
        <v>2205</v>
      </c>
      <c r="C12" s="359">
        <v>1</v>
      </c>
      <c r="D12" s="360" t="s">
        <v>437</v>
      </c>
      <c r="E12" s="360"/>
      <c r="F12" s="366" t="s">
        <v>448</v>
      </c>
      <c r="G12" s="360"/>
      <c r="H12" s="377"/>
      <c r="I12" s="540">
        <f t="shared" si="8"/>
        <v>2462147100</v>
      </c>
      <c r="J12" s="546"/>
      <c r="K12" s="383"/>
      <c r="L12" s="383">
        <f>('CF1'!G29*'DB1'!$N$11+SUM('CF1'!$F29:F29)-SUM('CF1'!$F44:F44))*1000000</f>
        <v>0</v>
      </c>
      <c r="M12" s="383">
        <f>('CF1'!H29*'DB1'!$N$11+SUM('CF1'!$F29:G29)-SUM('CF1'!$F44:G44))*1000000</f>
        <v>0</v>
      </c>
      <c r="N12" s="383">
        <f>('CF1'!I29*'DB1'!$N$11+SUM('CF1'!$F29:H29)-SUM('CF1'!$F44:H44))*1000000</f>
        <v>0</v>
      </c>
      <c r="O12" s="383">
        <f>('CF1'!J29*'DB1'!$N$11+SUM('CF1'!$F29:I29)-SUM('CF1'!$F44:I44))*1000000</f>
        <v>0</v>
      </c>
      <c r="P12" s="383">
        <f>('CF1'!K29*'DB1'!$N$11+SUM('CF1'!$F29:J29)-SUM('CF1'!$F44:J44))*1000000</f>
        <v>0</v>
      </c>
      <c r="Q12" s="383">
        <f>('CF1'!L29*'DB1'!$N$11+SUM('CF1'!$F29:K29)-SUM('CF1'!$F44:K44))*1000000</f>
        <v>0</v>
      </c>
      <c r="R12" s="383">
        <f>('CF1'!M29*'DB1'!$N$11+SUM('CF1'!$F29:L29)-SUM('CF1'!$F44:L44))*1000000</f>
        <v>0</v>
      </c>
      <c r="S12" s="377">
        <f>('CF1'!N29*'DB1'!$N$11+SUM('CF1'!$F29:M29)-SUM('CF1'!$F44:M44))*1000000</f>
        <v>0</v>
      </c>
      <c r="T12" s="377">
        <f>('CF1'!O29*'DB1'!$N$11+SUM('CF1'!$F29:N29)-SUM('CF1'!$F44:N44))*1000000</f>
        <v>0</v>
      </c>
      <c r="U12" s="377">
        <f>('CF1'!P29*'DB1'!$N$11+SUM('CF1'!$F29:O29)-SUM('CF1'!$F44:O44))*1000000</f>
        <v>0</v>
      </c>
      <c r="V12" s="377">
        <f>('CF1'!Q29*'DB1'!$N$11+SUM('CF1'!$F29:P29)-SUM('CF1'!$F44:P44))*1000000</f>
        <v>0</v>
      </c>
      <c r="W12" s="377">
        <f>('CF1'!R29*'DB1'!$N$11+SUM('CF1'!$F29:Q29)-SUM('CF1'!$F44:Q44))*1000000</f>
        <v>0</v>
      </c>
      <c r="X12" s="377">
        <f>('CF1'!S29*'DB1'!$N$11+SUM('CF1'!$F29:R29)-SUM('CF1'!$F44:R44))*1000000</f>
        <v>0</v>
      </c>
      <c r="Y12" s="377">
        <f>('CF1'!T29*'DB1'!$N$11+SUM('CF1'!$F29:S29)-SUM('CF1'!$F44:S44))*1000000</f>
        <v>0</v>
      </c>
      <c r="Z12" s="377">
        <f>('CF1'!U29*'DB1'!$N$11+SUM('CF1'!$F29:T29)-SUM('CF1'!$F44:T44))*1000000</f>
        <v>0</v>
      </c>
      <c r="AA12" s="377">
        <f>('CF1'!V29*'DB1'!$N$11+SUM('CF1'!$F29:U29)-SUM('CF1'!$F44:U44))*1000000</f>
        <v>0</v>
      </c>
      <c r="AB12" s="377">
        <f>('CF1'!W29*'DB1'!$N$11+SUM('CF1'!$F29:V29)-SUM('CF1'!$F44:V44))*1000000</f>
        <v>0</v>
      </c>
      <c r="AC12" s="377">
        <f>('CF1'!X29*'DB1'!$N$11+SUM('CF1'!$F29:W29)-SUM('CF1'!$F44:W44))*1000000</f>
        <v>0</v>
      </c>
      <c r="AD12" s="377">
        <f>('CF1'!Y29*'DB1'!$N$11+SUM('CF1'!$F29:X29)-SUM('CF1'!$F44:X44))*1000000</f>
        <v>0</v>
      </c>
      <c r="AE12" s="377">
        <f>('CF1'!Z29*'DB1'!$N$11+SUM('CF1'!$F29:Y29)-SUM('CF1'!$F44:Y44))*1000000</f>
        <v>0</v>
      </c>
      <c r="AF12" s="377">
        <f>('CF1'!AA29*'DB1'!$N$11+SUM('CF1'!$F29:Z29)-SUM('CF1'!$F44:Z44))*1000000</f>
        <v>0</v>
      </c>
      <c r="AG12" s="377">
        <f>('CF1'!AB29*'DB1'!$N$11+SUM('CF1'!$F29:AA29)-SUM('CF1'!$F44:AA44))*1000000</f>
        <v>0</v>
      </c>
      <c r="AH12" s="377">
        <f>('CF1'!AC29*'DB1'!$N$11+SUM('CF1'!$F29:AB29)-SUM('CF1'!$F44:AB44))*1000000</f>
        <v>0</v>
      </c>
      <c r="AI12" s="377">
        <f>('CF1'!AD29*'DB1'!$N$11+SUM('CF1'!$F29:AC29)-SUM('CF1'!$F44:AC44))*1000000</f>
        <v>0</v>
      </c>
      <c r="AJ12" s="377">
        <f>('CF1'!AE29*'DB1'!$N$11+SUM('CF1'!$F29:AD29)-SUM('CF1'!$F44:AD44))*1000000</f>
        <v>0</v>
      </c>
      <c r="AK12" s="377">
        <f>('CF1'!AF29*'DB1'!$N$11+SUM('CF1'!$F29:AE29)-SUM('CF1'!$F44:AE44))*1000000</f>
        <v>0</v>
      </c>
      <c r="AL12" s="377">
        <f>('CF1'!AG29*'DB1'!$N$11+SUM('CF1'!$F29:AF29)-SUM('CF1'!$F44:AF44))*1000000</f>
        <v>1231073550</v>
      </c>
      <c r="AM12" s="377">
        <f>('CF1'!AH29*'DB1'!$N$11+SUM('CF1'!$F29:AG29)-SUM('CF1'!$F44:AG44))*1000000</f>
        <v>1231073550</v>
      </c>
      <c r="AN12" s="377">
        <f>('CF1'!AI29*'DB1'!$N$11+SUM('CF1'!$F29:AH29)-SUM('CF1'!$F44:AH44))*1000000</f>
        <v>0</v>
      </c>
      <c r="AO12" s="377">
        <f>('CF1'!AJ29*'DB1'!$N$11+SUM('CF1'!$F29:AI29)-SUM('CF1'!$F44:AI44))*1000000</f>
        <v>0</v>
      </c>
      <c r="AP12" s="377">
        <f>('CF1'!AK29*'DB1'!$N$11+SUM('CF1'!$F29:AJ29)-SUM('CF1'!$F44:AJ44))*1000000</f>
        <v>0</v>
      </c>
      <c r="AQ12" s="377">
        <f>('CF1'!AL29*'DB1'!$N$11+SUM('CF1'!$F29:AK29)-SUM('CF1'!$F44:AK44))*1000000</f>
        <v>0</v>
      </c>
      <c r="AR12" s="377">
        <f>('CF1'!AM29*'DB1'!$N$11+SUM('CF1'!$F29:AL29)-SUM('CF1'!$F44:AL44))*1000000</f>
        <v>0</v>
      </c>
      <c r="AS12" s="377">
        <f>('CF1'!AN29*'DB1'!$N$11+SUM('CF1'!$F29:AM29)-SUM('CF1'!$F44:AM44))*1000000</f>
        <v>0</v>
      </c>
      <c r="AT12" s="377">
        <f>('CF1'!AO29*'DB1'!$N$11+SUM('CF1'!$F29:AN29)-SUM('CF1'!$F44:AN44))*1000000</f>
        <v>0</v>
      </c>
      <c r="AU12" s="377">
        <f>('CF1'!AP29*'DB1'!$N$11+SUM('CF1'!$F29:AO29)-SUM('CF1'!$F44:AO44))*1000000</f>
        <v>0</v>
      </c>
      <c r="AV12" s="377">
        <f>('CF1'!AQ29*'DB1'!$N$11+SUM('CF1'!$F29:AP29)-SUM('CF1'!$F44:AP44))*1000000</f>
        <v>0</v>
      </c>
      <c r="AW12" s="377">
        <f>('CF1'!AR29*'DB1'!$N$11+SUM('CF1'!$F29:AQ29)-SUM('CF1'!$F44:AQ44))*1000000</f>
        <v>0</v>
      </c>
      <c r="AX12" s="377">
        <f>('CF1'!AS29*'DB1'!$N$11+SUM('CF1'!$F29:AR29)-SUM('CF1'!$F44:AR44))*1000000</f>
        <v>0</v>
      </c>
      <c r="AY12" s="377">
        <f>('CF1'!AT29*'DB1'!$N$11+SUM('CF1'!$F29:AS29)-SUM('CF1'!$F44:AS44))*1000000</f>
        <v>0</v>
      </c>
      <c r="AZ12" s="377">
        <f>('CF1'!AU29*'DB1'!$N$11+SUM('CF1'!$F29:AT29)-SUM('CF1'!$F44:AT44))*1000000</f>
        <v>0</v>
      </c>
      <c r="BA12" s="377">
        <f>('CF1'!AV29*'DB1'!$N$11+SUM('CF1'!$F29:AU29)-SUM('CF1'!$F44:AU44))*1000000</f>
        <v>0</v>
      </c>
      <c r="BB12" s="377">
        <f>('CF1'!AW29*'DB1'!$N$11+SUM('CF1'!$F29:AV29)-SUM('CF1'!$F44:AV44))*1000000</f>
        <v>0</v>
      </c>
      <c r="BC12" s="377">
        <f>('CF1'!AX29*'DB1'!$N$11+SUM('CF1'!$F29:AW29)-SUM('CF1'!$F44:AW44))*1000000</f>
        <v>0</v>
      </c>
      <c r="BD12" s="377">
        <f>('CF1'!AY29*'DB1'!$N$11+SUM('CF1'!$F29:AX29)-SUM('CF1'!$F44:AX44))*1000000</f>
        <v>0</v>
      </c>
      <c r="BE12" s="377">
        <f>('CF1'!AZ29*'DB1'!$N$11+SUM('CF1'!$F29:AY29)-SUM('CF1'!$F44:AY44))*1000000</f>
        <v>0</v>
      </c>
      <c r="BF12" s="377">
        <f>('CF1'!BA29*'DB1'!$N$11+SUM('CF1'!$F29:AZ29)-SUM('CF1'!$F44:AZ44))*1000000</f>
        <v>0</v>
      </c>
      <c r="BG12" s="377">
        <f>('CF1'!BB29*'DB1'!$N$11+SUM('CF1'!$F29:BA29)-SUM('CF1'!$F44:BA44))*1000000</f>
        <v>0</v>
      </c>
      <c r="BH12" s="377">
        <f>('CF1'!BC29*'DB1'!$N$11+SUM('CF1'!$F29:BB29)-SUM('CF1'!$F44:BB44))*1000000</f>
        <v>0</v>
      </c>
      <c r="BI12" s="377">
        <f>('CF1'!BD29*'DB1'!$N$11+SUM('CF1'!$F29:BC29)-SUM('CF1'!$F44:BC44))*1000000</f>
        <v>0</v>
      </c>
      <c r="BJ12" s="377">
        <f>('CF1'!BE29*'DB1'!$N$11+SUM('CF1'!$F29:BD29)-SUM('CF1'!$F44:BD44))*1000000</f>
        <v>0</v>
      </c>
      <c r="BK12" s="377">
        <f>('CF1'!BF29*'DB1'!$N$11+SUM('CF1'!$F29:BE29)-SUM('CF1'!$F44:BE44))*1000000</f>
        <v>0</v>
      </c>
      <c r="BL12" s="377">
        <f>('CF1'!BG29*'DB1'!$N$11+SUM('CF1'!$F29:BF29)-SUM('CF1'!$F44:BF44))*1000000</f>
        <v>0</v>
      </c>
      <c r="BM12" s="377">
        <f>('CF1'!BH29*'DB1'!$N$11+SUM('CF1'!$F29:BG29)-SUM('CF1'!$F44:BG44))*1000000</f>
        <v>0</v>
      </c>
      <c r="BN12" s="377">
        <f>('CF1'!BI29*'DB1'!$N$11+SUM('CF1'!$F29:BH29)-SUM('CF1'!$F44:BH44))*1000000</f>
        <v>0</v>
      </c>
      <c r="BO12" s="377">
        <f>('CF1'!BJ29*'DB1'!$N$11+SUM('CF1'!$F29:BI29)-SUM('CF1'!$F44:BI44))*1000000</f>
        <v>0</v>
      </c>
      <c r="BP12" s="377">
        <f>('CF1'!BK29*'DB1'!$N$11+SUM('CF1'!$F29:BJ29)-SUM('CF1'!$F44:BJ44))*1000000</f>
        <v>0</v>
      </c>
      <c r="BQ12" s="377">
        <f>('CF1'!BL29*'DB1'!$N$11+SUM('CF1'!$F29:BK29)-SUM('CF1'!$F44:BK44))*1000000</f>
        <v>0</v>
      </c>
      <c r="BR12" s="377">
        <f>('CF1'!BM29*'DB1'!$N$11+SUM('CF1'!$F29:BL29)-SUM('CF1'!$F44:BL44))*1000000</f>
        <v>0</v>
      </c>
    </row>
    <row r="13" spans="1:70" outlineLevel="1">
      <c r="A13" s="374">
        <f t="shared" si="1"/>
        <v>0</v>
      </c>
      <c r="B13" s="359">
        <v>2204</v>
      </c>
      <c r="C13" s="359">
        <v>1</v>
      </c>
      <c r="D13" s="360" t="s">
        <v>436</v>
      </c>
      <c r="E13" s="360"/>
      <c r="F13" s="366" t="s">
        <v>448</v>
      </c>
      <c r="G13" s="360"/>
      <c r="H13" s="377"/>
      <c r="I13" s="540">
        <f t="shared" si="8"/>
        <v>0</v>
      </c>
      <c r="J13" s="546"/>
      <c r="K13" s="383"/>
      <c r="L13" s="383"/>
      <c r="M13" s="383"/>
      <c r="N13" s="383"/>
      <c r="O13" s="383"/>
      <c r="P13" s="383"/>
      <c r="Q13" s="383"/>
      <c r="R13" s="383"/>
      <c r="S13" s="377"/>
      <c r="T13" s="377"/>
      <c r="U13" s="377"/>
      <c r="V13" s="377"/>
      <c r="W13" s="377"/>
      <c r="X13" s="377"/>
      <c r="Y13" s="377"/>
      <c r="Z13" s="377"/>
      <c r="AA13" s="377"/>
      <c r="AB13" s="377"/>
      <c r="AC13" s="377"/>
      <c r="AD13" s="377"/>
      <c r="AE13" s="377"/>
      <c r="AF13" s="377"/>
      <c r="AG13" s="377"/>
      <c r="AH13" s="377"/>
      <c r="AI13" s="377"/>
      <c r="AJ13" s="377"/>
      <c r="AK13" s="377"/>
      <c r="AL13" s="377"/>
      <c r="AM13" s="377"/>
      <c r="AN13" s="377"/>
      <c r="AO13" s="377"/>
      <c r="AP13" s="377"/>
      <c r="AQ13" s="377"/>
      <c r="AR13" s="377"/>
      <c r="AS13" s="377"/>
      <c r="AT13" s="377"/>
      <c r="AU13" s="377"/>
      <c r="AV13" s="377"/>
      <c r="AW13" s="377"/>
      <c r="AX13" s="377"/>
      <c r="AY13" s="377"/>
      <c r="AZ13" s="377"/>
      <c r="BA13" s="377"/>
      <c r="BB13" s="377"/>
      <c r="BC13" s="377"/>
      <c r="BD13" s="377"/>
      <c r="BE13" s="377"/>
      <c r="BF13" s="377"/>
      <c r="BG13" s="377"/>
      <c r="BH13" s="377"/>
      <c r="BI13" s="377"/>
      <c r="BJ13" s="377"/>
      <c r="BK13" s="377"/>
      <c r="BL13" s="377"/>
      <c r="BM13" s="377"/>
      <c r="BN13" s="377"/>
      <c r="BO13" s="377"/>
      <c r="BP13" s="377"/>
      <c r="BQ13" s="377"/>
      <c r="BR13" s="377"/>
    </row>
    <row r="14" spans="1:70" outlineLevel="1">
      <c r="A14" s="374">
        <f t="shared" si="1"/>
        <v>0</v>
      </c>
      <c r="B14" s="359">
        <v>2208</v>
      </c>
      <c r="C14" s="359">
        <v>1</v>
      </c>
      <c r="D14" s="360" t="s">
        <v>438</v>
      </c>
      <c r="E14" s="360"/>
      <c r="F14" s="366" t="s">
        <v>448</v>
      </c>
      <c r="G14" s="360"/>
      <c r="H14" s="377"/>
      <c r="I14" s="540">
        <f t="shared" si="8"/>
        <v>2695500000</v>
      </c>
      <c r="J14" s="546"/>
      <c r="K14" s="383"/>
      <c r="L14" s="383">
        <f>('CF1'!G31*'DB1'!$N$16+SUM('CF1'!$F31:F31)-SUM('CF1'!$F46:F46))*1000000</f>
        <v>0</v>
      </c>
      <c r="M14" s="383">
        <f>('CF1'!H31*'DB1'!$N$16+SUM('CF1'!$F31:G31)-SUM('CF1'!$F46:G46))*1000000</f>
        <v>0</v>
      </c>
      <c r="N14" s="383">
        <f>('CF1'!I31*'DB1'!$N$16+SUM('CF1'!$F31:H31)-SUM('CF1'!$F46:H46))*1000000</f>
        <v>0</v>
      </c>
      <c r="O14" s="383">
        <f>('CF1'!J31*'DB1'!$N$16+SUM('CF1'!$F31:I31)-SUM('CF1'!$F46:I46))*1000000</f>
        <v>0</v>
      </c>
      <c r="P14" s="383">
        <f>('CF1'!K31*'DB1'!$N$16+SUM('CF1'!$F31:J31)-SUM('CF1'!$F46:J46))*1000000</f>
        <v>0</v>
      </c>
      <c r="Q14" s="383">
        <f>('CF1'!L31*'DB1'!$N$16+SUM('CF1'!$F31:K31)-SUM('CF1'!$F46:K46))*1000000</f>
        <v>0</v>
      </c>
      <c r="R14" s="383">
        <f>('CF1'!M31*'DB1'!$N$16+SUM('CF1'!$F31:L31)-SUM('CF1'!$F46:L46))*1000000</f>
        <v>0</v>
      </c>
      <c r="S14" s="377">
        <f>('CF1'!N31*'DB1'!$N$16+SUM('CF1'!$F31:M31)-SUM('CF1'!$F46:M46))*1000000</f>
        <v>0</v>
      </c>
      <c r="T14" s="377">
        <f>('CF1'!O31*'DB1'!$N$16+SUM('CF1'!$F31:N31)-SUM('CF1'!$F46:N46))*1000000</f>
        <v>0</v>
      </c>
      <c r="U14" s="377">
        <f>('CF1'!P31*'DB1'!$N$16+SUM('CF1'!$F31:O31)-SUM('CF1'!$F46:O46))*1000000</f>
        <v>0</v>
      </c>
      <c r="V14" s="377">
        <f>('CF1'!Q31*'DB1'!$N$16+SUM('CF1'!$F31:P31)-SUM('CF1'!$F46:P46))*1000000</f>
        <v>0</v>
      </c>
      <c r="W14" s="377">
        <f>('CF1'!R31*'DB1'!$N$16+SUM('CF1'!$F31:Q31)-SUM('CF1'!$F46:Q46))*1000000</f>
        <v>0</v>
      </c>
      <c r="X14" s="377">
        <f>('CF1'!S31*'DB1'!$N$16+SUM('CF1'!$F31:R31)-SUM('CF1'!$F46:R46))*1000000</f>
        <v>0</v>
      </c>
      <c r="Y14" s="377">
        <f>('CF1'!T31*'DB1'!$N$16+SUM('CF1'!$F31:S31)-SUM('CF1'!$F46:S46))*1000000</f>
        <v>94500000</v>
      </c>
      <c r="Z14" s="377">
        <f>('CF1'!U31*'DB1'!$N$16+SUM('CF1'!$F31:T31)-SUM('CF1'!$F46:T46))*1000000</f>
        <v>135000000</v>
      </c>
      <c r="AA14" s="377">
        <f>('CF1'!V31*'DB1'!$N$16+SUM('CF1'!$F31:U31)-SUM('CF1'!$F46:U46))*1000000</f>
        <v>135000000</v>
      </c>
      <c r="AB14" s="377">
        <f>('CF1'!W31*'DB1'!$N$16+SUM('CF1'!$F31:V31)-SUM('CF1'!$F46:V46))*1000000</f>
        <v>135000000</v>
      </c>
      <c r="AC14" s="377">
        <f>('CF1'!X31*'DB1'!$N$16+SUM('CF1'!$F31:W31)-SUM('CF1'!$F46:W46))*1000000</f>
        <v>135000000</v>
      </c>
      <c r="AD14" s="377">
        <f>('CF1'!Y31*'DB1'!$N$16+SUM('CF1'!$F31:X31)-SUM('CF1'!$F46:X46))*1000000</f>
        <v>135000000</v>
      </c>
      <c r="AE14" s="377">
        <f>('CF1'!Z31*'DB1'!$N$16+SUM('CF1'!$F31:Y31)-SUM('CF1'!$F46:Y46))*1000000</f>
        <v>135000000</v>
      </c>
      <c r="AF14" s="377">
        <f>('CF1'!AA31*'DB1'!$N$16+SUM('CF1'!$F31:Z31)-SUM('CF1'!$F46:Z46))*1000000</f>
        <v>135000000</v>
      </c>
      <c r="AG14" s="377">
        <f>('CF1'!AB31*'DB1'!$N$16+SUM('CF1'!$F31:AA31)-SUM('CF1'!$F46:AA46))*1000000</f>
        <v>135000000</v>
      </c>
      <c r="AH14" s="377">
        <f>('CF1'!AC31*'DB1'!$N$16+SUM('CF1'!$F31:AB31)-SUM('CF1'!$F46:AB46))*1000000</f>
        <v>135000000</v>
      </c>
      <c r="AI14" s="377">
        <f>('CF1'!AD31*'DB1'!$N$16+SUM('CF1'!$F31:AC31)-SUM('CF1'!$F46:AC46))*1000000</f>
        <v>135000000</v>
      </c>
      <c r="AJ14" s="377">
        <f>('CF1'!AE31*'DB1'!$N$16+SUM('CF1'!$F31:AD31)-SUM('CF1'!$F46:AD46))*1000000</f>
        <v>135000000</v>
      </c>
      <c r="AK14" s="377">
        <f>('CF1'!AF31*'DB1'!$N$16+SUM('CF1'!$F31:AE31)-SUM('CF1'!$F46:AE46))*1000000</f>
        <v>135000000</v>
      </c>
      <c r="AL14" s="377">
        <f>('CF1'!AG31*'DB1'!$N$16+SUM('CF1'!$F31:AF31)-SUM('CF1'!$F46:AF46))*1000000</f>
        <v>135000000</v>
      </c>
      <c r="AM14" s="377">
        <f>('CF1'!AH31*'DB1'!$N$16+SUM('CF1'!$F31:AG31)-SUM('CF1'!$F46:AG46))*1000000</f>
        <v>135000000</v>
      </c>
      <c r="AN14" s="377">
        <f>('CF1'!AI31*'DB1'!$N$16+SUM('CF1'!$F31:AH31)-SUM('CF1'!$F46:AH46))*1000000</f>
        <v>135000000</v>
      </c>
      <c r="AO14" s="377">
        <f>('CF1'!AJ31*'DB1'!$N$16+SUM('CF1'!$F31:AI31)-SUM('CF1'!$F46:AI46))*1000000</f>
        <v>135000000</v>
      </c>
      <c r="AP14" s="377">
        <f>('CF1'!AK31*'DB1'!$N$16+SUM('CF1'!$F31:AJ31)-SUM('CF1'!$F46:AJ46))*1000000</f>
        <v>135000000</v>
      </c>
      <c r="AQ14" s="377">
        <f>('CF1'!AL31*'DB1'!$N$16+SUM('CF1'!$F31:AK31)-SUM('CF1'!$F46:AK46))*1000000</f>
        <v>135000000</v>
      </c>
      <c r="AR14" s="377">
        <f>('CF1'!AM31*'DB1'!$N$16+SUM('CF1'!$F31:AL31)-SUM('CF1'!$F46:AL46))*1000000</f>
        <v>131849999.99999991</v>
      </c>
      <c r="AS14" s="377">
        <f>('CF1'!AN31*'DB1'!$N$16+SUM('CF1'!$F31:AM31)-SUM('CF1'!$F46:AM46))*1000000</f>
        <v>39150000.000000089</v>
      </c>
      <c r="AT14" s="377">
        <f>('CF1'!AO31*'DB1'!$N$16+SUM('CF1'!$F31:AN31)-SUM('CF1'!$F46:AN46))*1000000</f>
        <v>0</v>
      </c>
      <c r="AU14" s="377">
        <f>('CF1'!AP31*'DB1'!$N$16+SUM('CF1'!$F31:AO31)-SUM('CF1'!$F46:AO46))*1000000</f>
        <v>0</v>
      </c>
      <c r="AV14" s="377">
        <f>('CF1'!AQ31*'DB1'!$N$16+SUM('CF1'!$F31:AP31)-SUM('CF1'!$F46:AP46))*1000000</f>
        <v>0</v>
      </c>
      <c r="AW14" s="377">
        <f>('CF1'!AR31*'DB1'!$N$16+SUM('CF1'!$F31:AQ31)-SUM('CF1'!$F46:AQ46))*1000000</f>
        <v>0</v>
      </c>
      <c r="AX14" s="377">
        <f>('CF1'!AS31*'DB1'!$N$16+SUM('CF1'!$F31:AR31)-SUM('CF1'!$F46:AR46))*1000000</f>
        <v>0</v>
      </c>
      <c r="AY14" s="377">
        <f>('CF1'!AT31*'DB1'!$N$16+SUM('CF1'!$F31:AS31)-SUM('CF1'!$F46:AS46))*1000000</f>
        <v>0</v>
      </c>
      <c r="AZ14" s="377">
        <f>('CF1'!AU31*'DB1'!$N$16+SUM('CF1'!$F31:AT31)-SUM('CF1'!$F46:AT46))*1000000</f>
        <v>0</v>
      </c>
      <c r="BA14" s="377">
        <f>('CF1'!AV31*'DB1'!$N$16+SUM('CF1'!$F31:AU31)-SUM('CF1'!$F46:AU46))*1000000</f>
        <v>0</v>
      </c>
      <c r="BB14" s="377">
        <f>('CF1'!AW31*'DB1'!$N$16+SUM('CF1'!$F31:AV31)-SUM('CF1'!$F46:AV46))*1000000</f>
        <v>0</v>
      </c>
      <c r="BC14" s="377">
        <f>('CF1'!AX31*'DB1'!$N$16+SUM('CF1'!$F31:AW31)-SUM('CF1'!$F46:AW46))*1000000</f>
        <v>0</v>
      </c>
      <c r="BD14" s="377">
        <f>('CF1'!AY31*'DB1'!$N$16+SUM('CF1'!$F31:AX31)-SUM('CF1'!$F46:AX46))*1000000</f>
        <v>0</v>
      </c>
      <c r="BE14" s="377">
        <f>('CF1'!AZ31*'DB1'!$N$16+SUM('CF1'!$F31:AY31)-SUM('CF1'!$F46:AY46))*1000000</f>
        <v>0</v>
      </c>
      <c r="BF14" s="377">
        <f>('CF1'!BA31*'DB1'!$N$16+SUM('CF1'!$F31:AZ31)-SUM('CF1'!$F46:AZ46))*1000000</f>
        <v>0</v>
      </c>
      <c r="BG14" s="377">
        <f>('CF1'!BB31*'DB1'!$N$16+SUM('CF1'!$F31:BA31)-SUM('CF1'!$F46:BA46))*1000000</f>
        <v>0</v>
      </c>
      <c r="BH14" s="377">
        <f>('CF1'!BC31*'DB1'!$N$16+SUM('CF1'!$F31:BB31)-SUM('CF1'!$F46:BB46))*1000000</f>
        <v>0</v>
      </c>
      <c r="BI14" s="377">
        <f>('CF1'!BD31*'DB1'!$N$16+SUM('CF1'!$F31:BC31)-SUM('CF1'!$F46:BC46))*1000000</f>
        <v>0</v>
      </c>
      <c r="BJ14" s="377">
        <f>('CF1'!BE31*'DB1'!$N$16+SUM('CF1'!$F31:BD31)-SUM('CF1'!$F46:BD46))*1000000</f>
        <v>0</v>
      </c>
      <c r="BK14" s="377">
        <f>('CF1'!BF31*'DB1'!$N$16+SUM('CF1'!$F31:BE31)-SUM('CF1'!$F46:BE46))*1000000</f>
        <v>0</v>
      </c>
      <c r="BL14" s="377">
        <f>('CF1'!BG31*'DB1'!$N$16+SUM('CF1'!$F31:BF31)-SUM('CF1'!$F46:BF46))*1000000</f>
        <v>0</v>
      </c>
      <c r="BM14" s="377">
        <f>('CF1'!BH31*'DB1'!$N$16+SUM('CF1'!$F31:BG31)-SUM('CF1'!$F46:BG46))*1000000</f>
        <v>0</v>
      </c>
      <c r="BN14" s="377">
        <f>('CF1'!BI31*'DB1'!$N$16+SUM('CF1'!$F31:BH31)-SUM('CF1'!$F46:BH46))*1000000</f>
        <v>0</v>
      </c>
      <c r="BO14" s="377">
        <f>('CF1'!BJ31*'DB1'!$N$16+SUM('CF1'!$F31:BI31)-SUM('CF1'!$F46:BI46))*1000000</f>
        <v>0</v>
      </c>
      <c r="BP14" s="377">
        <f>('CF1'!BK31*'DB1'!$N$16+SUM('CF1'!$F31:BJ31)-SUM('CF1'!$F46:BJ46))*1000000</f>
        <v>0</v>
      </c>
      <c r="BQ14" s="377">
        <f>('CF1'!BL31*'DB1'!$N$16+SUM('CF1'!$F31:BK31)-SUM('CF1'!$F46:BK46))*1000000</f>
        <v>0</v>
      </c>
      <c r="BR14" s="377">
        <f>('CF1'!BM31*'DB1'!$N$16+SUM('CF1'!$F31:BL31)-SUM('CF1'!$F46:BL46))*1000000</f>
        <v>0</v>
      </c>
    </row>
    <row r="15" spans="1:70" outlineLevel="1">
      <c r="A15" s="374">
        <f t="shared" si="1"/>
        <v>0</v>
      </c>
      <c r="B15" s="359"/>
      <c r="C15" s="359"/>
      <c r="D15" s="360"/>
      <c r="E15" s="360"/>
      <c r="F15" s="373"/>
      <c r="G15" s="360"/>
      <c r="H15" s="377"/>
      <c r="I15" s="537">
        <f t="shared" si="8"/>
        <v>0</v>
      </c>
      <c r="J15" s="546"/>
      <c r="K15" s="383"/>
      <c r="L15" s="383"/>
      <c r="M15" s="383"/>
      <c r="N15" s="383"/>
      <c r="O15" s="383"/>
      <c r="P15" s="383"/>
      <c r="Q15" s="383"/>
      <c r="R15" s="383"/>
      <c r="S15" s="377"/>
      <c r="T15" s="377"/>
      <c r="U15" s="377"/>
      <c r="V15" s="377"/>
      <c r="W15" s="377"/>
      <c r="X15" s="377"/>
      <c r="Y15" s="377"/>
      <c r="Z15" s="377"/>
      <c r="AA15" s="377"/>
      <c r="AB15" s="377"/>
      <c r="AC15" s="377"/>
      <c r="AD15" s="377"/>
      <c r="AE15" s="377"/>
      <c r="AF15" s="377"/>
      <c r="AG15" s="377"/>
      <c r="AH15" s="377"/>
      <c r="AI15" s="377"/>
      <c r="AJ15" s="377"/>
      <c r="AK15" s="377"/>
      <c r="AL15" s="377"/>
      <c r="AM15" s="377"/>
      <c r="AN15" s="377"/>
      <c r="AO15" s="377"/>
      <c r="AP15" s="377"/>
      <c r="AQ15" s="377"/>
      <c r="AR15" s="377"/>
      <c r="AS15" s="377"/>
      <c r="AT15" s="377"/>
      <c r="AU15" s="377"/>
      <c r="AV15" s="377"/>
      <c r="AW15" s="377"/>
      <c r="AX15" s="377"/>
      <c r="AY15" s="377"/>
      <c r="AZ15" s="377"/>
      <c r="BA15" s="377"/>
      <c r="BB15" s="377"/>
      <c r="BC15" s="377"/>
      <c r="BD15" s="377"/>
      <c r="BE15" s="377"/>
      <c r="BF15" s="377"/>
      <c r="BG15" s="377"/>
      <c r="BH15" s="377"/>
      <c r="BI15" s="377"/>
      <c r="BJ15" s="377"/>
      <c r="BK15" s="377"/>
      <c r="BL15" s="377"/>
      <c r="BM15" s="377"/>
      <c r="BN15" s="377"/>
      <c r="BO15" s="377"/>
      <c r="BP15" s="377"/>
      <c r="BQ15" s="377"/>
      <c r="BR15" s="377"/>
    </row>
    <row r="16" spans="1:70" outlineLevel="1">
      <c r="A16" s="374">
        <f t="shared" ref="A16:A19" si="9">I16-SUM(K16:BR16)</f>
        <v>0</v>
      </c>
      <c r="B16" s="359">
        <v>2201</v>
      </c>
      <c r="C16" s="359">
        <v>2</v>
      </c>
      <c r="D16" s="360" t="s">
        <v>435</v>
      </c>
      <c r="E16" s="360"/>
      <c r="F16" s="366" t="s">
        <v>448</v>
      </c>
      <c r="G16" s="360"/>
      <c r="H16" s="377"/>
      <c r="I16" s="540">
        <f t="shared" ref="I16:I19" si="10">SUM(K16:BR16)</f>
        <v>32052725838.000027</v>
      </c>
      <c r="J16" s="546"/>
      <c r="K16" s="383"/>
      <c r="L16" s="383">
        <f>('CF2'!G26*'DB2'!$N$8+SUM('CF2'!$F26:F26)-SUM('CF2'!$F35:F35))*1000000</f>
        <v>0</v>
      </c>
      <c r="M16" s="383">
        <f>('CF2'!H26*'DB2'!$N$8+SUM('CF2'!$F26:G26)-SUM('CF2'!$F35:G35))*1000000</f>
        <v>0</v>
      </c>
      <c r="N16" s="383">
        <f>('CF2'!I26*'DB2'!$N$8+SUM('CF2'!$F26:H26)-SUM('CF2'!$F35:H35))*1000000</f>
        <v>0</v>
      </c>
      <c r="O16" s="383">
        <f>('CF2'!J26*'DB2'!$N$8+SUM('CF2'!$F26:I26)-SUM('CF2'!$F35:I35))*1000000</f>
        <v>0</v>
      </c>
      <c r="P16" s="383">
        <f>('CF2'!K26*'DB2'!$N$8+SUM('CF2'!$F26:J26)-SUM('CF2'!$F35:J35))*1000000</f>
        <v>0</v>
      </c>
      <c r="Q16" s="383">
        <f>('CF2'!L26*'DB2'!$N$8+SUM('CF2'!$F26:K26)-SUM('CF2'!$F35:K35))*1000000</f>
        <v>0</v>
      </c>
      <c r="R16" s="383">
        <f>('CF2'!M26*'DB2'!$N$8+SUM('CF2'!$F26:L26)-SUM('CF2'!$F35:L35))*1000000</f>
        <v>0</v>
      </c>
      <c r="S16" s="377">
        <f>'CF2'!N35*1000000</f>
        <v>0</v>
      </c>
      <c r="T16" s="377">
        <f>'CF2'!O35*1000000</f>
        <v>0</v>
      </c>
      <c r="U16" s="377">
        <f>'CF2'!P35*1000000</f>
        <v>0</v>
      </c>
      <c r="V16" s="377">
        <f>'CF2'!Q35*1000000</f>
        <v>0</v>
      </c>
      <c r="W16" s="377">
        <f>'CF2'!R35*1000000</f>
        <v>0</v>
      </c>
      <c r="X16" s="377">
        <f>'CF2'!S35*1000000</f>
        <v>0</v>
      </c>
      <c r="Y16" s="377">
        <f>'CF2'!T35*1000000</f>
        <v>0</v>
      </c>
      <c r="Z16" s="377">
        <f>'CF2'!U35*1000000</f>
        <v>0</v>
      </c>
      <c r="AA16" s="377">
        <f>'CF2'!V35*1000000</f>
        <v>0</v>
      </c>
      <c r="AB16" s="377">
        <f>'CF2'!W35*1000000</f>
        <v>0</v>
      </c>
      <c r="AC16" s="377">
        <f>'CF2'!X35*1000000</f>
        <v>1169394545.4545455</v>
      </c>
      <c r="AD16" s="377">
        <f>'CF2'!Y35*1000000</f>
        <v>1344796748.2643213</v>
      </c>
      <c r="AE16" s="377">
        <f>'CF2'!Z35*1000000</f>
        <v>1415083579.7696805</v>
      </c>
      <c r="AF16" s="377">
        <f>'CF2'!AA35*1000000</f>
        <v>1491237447.1445177</v>
      </c>
      <c r="AG16" s="377">
        <f>'CF2'!AB35*1000000</f>
        <v>1574934646.3515415</v>
      </c>
      <c r="AH16" s="377">
        <f>'CF2'!AC35*1000000</f>
        <v>1771939492.8755269</v>
      </c>
      <c r="AI16" s="377">
        <f>'CF2'!AD35*1000000</f>
        <v>1857249920.1115935</v>
      </c>
      <c r="AJ16" s="377">
        <f>'CF2'!AE35*1000000</f>
        <v>1956641233.4344077</v>
      </c>
      <c r="AK16" s="377">
        <f>'CF2'!AF35*1000000</f>
        <v>2079500690.235136</v>
      </c>
      <c r="AL16" s="377">
        <f>'CF2'!AG35*1000000</f>
        <v>2384468956.5196309</v>
      </c>
      <c r="AM16" s="377">
        <f>'CF2'!AH35*1000000</f>
        <v>2424728516.0877886</v>
      </c>
      <c r="AN16" s="377">
        <f>'CF2'!AI35*1000000</f>
        <v>2011555155.2497382</v>
      </c>
      <c r="AO16" s="377">
        <f>'CF2'!AJ35*1000000</f>
        <v>2131669987.8582335</v>
      </c>
      <c r="AP16" s="377">
        <f>'CF2'!AK35*1000000</f>
        <v>2131669987.8582335</v>
      </c>
      <c r="AQ16" s="377">
        <f>'CF2'!AL35*1000000</f>
        <v>2131669987.8582335</v>
      </c>
      <c r="AR16" s="377">
        <f>'CF2'!AM35*1000000</f>
        <v>2131669987.8582335</v>
      </c>
      <c r="AS16" s="377">
        <f>'CF2'!AN35*1000000</f>
        <v>2044514955.0686615</v>
      </c>
      <c r="AT16" s="377">
        <f>'CF2'!AO35*1000000</f>
        <v>0</v>
      </c>
      <c r="AU16" s="377">
        <f>'CF2'!AP35*1000000</f>
        <v>0</v>
      </c>
      <c r="AV16" s="377">
        <f>'CF2'!AQ35*1000000</f>
        <v>0</v>
      </c>
      <c r="AW16" s="377">
        <f>'CF2'!AR35*1000000</f>
        <v>0</v>
      </c>
      <c r="AX16" s="377">
        <f>'CF2'!AS35*1000000</f>
        <v>0</v>
      </c>
      <c r="AY16" s="377">
        <f>'CF2'!AT35*1000000</f>
        <v>0</v>
      </c>
      <c r="AZ16" s="377">
        <f>'CF2'!AU35*1000000</f>
        <v>0</v>
      </c>
      <c r="BA16" s="377">
        <f>'CF2'!AV35*1000000</f>
        <v>0</v>
      </c>
      <c r="BB16" s="377">
        <f>'CF2'!AW35*1000000</f>
        <v>0</v>
      </c>
      <c r="BC16" s="377">
        <f>'CF2'!AX35*1000000</f>
        <v>0</v>
      </c>
      <c r="BD16" s="377">
        <f>'CF2'!AY35*1000000</f>
        <v>0</v>
      </c>
      <c r="BE16" s="377">
        <f>'CF2'!AZ35*1000000</f>
        <v>0</v>
      </c>
      <c r="BF16" s="377">
        <f>'CF2'!BA35*1000000</f>
        <v>0</v>
      </c>
      <c r="BG16" s="377">
        <f>'CF2'!BB35*1000000</f>
        <v>0</v>
      </c>
      <c r="BH16" s="377">
        <f>'CF2'!BC35*1000000</f>
        <v>0</v>
      </c>
      <c r="BI16" s="377">
        <f>'CF2'!BD35*1000000</f>
        <v>0</v>
      </c>
      <c r="BJ16" s="377">
        <f>'CF2'!BE35*1000000</f>
        <v>0</v>
      </c>
      <c r="BK16" s="377">
        <f>'CF2'!BF35*1000000</f>
        <v>0</v>
      </c>
      <c r="BL16" s="377">
        <f>'CF2'!BG35*1000000</f>
        <v>0</v>
      </c>
      <c r="BM16" s="377">
        <f>'CF2'!BH35*1000000</f>
        <v>0</v>
      </c>
      <c r="BN16" s="377">
        <f>'CF2'!BI35*1000000</f>
        <v>0</v>
      </c>
      <c r="BO16" s="377">
        <f>'CF2'!BJ35*1000000</f>
        <v>0</v>
      </c>
      <c r="BP16" s="377">
        <f>'CF2'!BK35*1000000</f>
        <v>0</v>
      </c>
      <c r="BQ16" s="377">
        <f>'CF2'!BL35*1000000</f>
        <v>0</v>
      </c>
      <c r="BR16" s="377">
        <f>'CF2'!BM35*1000000</f>
        <v>0</v>
      </c>
    </row>
    <row r="17" spans="1:70" outlineLevel="1">
      <c r="A17" s="374">
        <f t="shared" si="9"/>
        <v>0</v>
      </c>
      <c r="B17" s="359">
        <v>2205</v>
      </c>
      <c r="C17" s="359">
        <v>2</v>
      </c>
      <c r="D17" s="360" t="s">
        <v>437</v>
      </c>
      <c r="E17" s="360"/>
      <c r="F17" s="366" t="s">
        <v>448</v>
      </c>
      <c r="G17" s="360"/>
      <c r="H17" s="377"/>
      <c r="I17" s="540">
        <f t="shared" si="10"/>
        <v>1789240949.9999998</v>
      </c>
      <c r="J17" s="546"/>
      <c r="K17" s="383"/>
      <c r="L17" s="383">
        <f>('CF2'!G29*'DB2'!$N$11+SUM('CF2'!$F29:F29)-SUM('CF2'!$F44:F44))*1000000</f>
        <v>0</v>
      </c>
      <c r="M17" s="383">
        <f>('CF2'!H29*'DB2'!$N$11+SUM('CF2'!$F29:G29)-SUM('CF2'!$F44:G44))*1000000</f>
        <v>0</v>
      </c>
      <c r="N17" s="383">
        <f>('CF2'!I29*'DB2'!$N$11+SUM('CF2'!$F29:H29)-SUM('CF2'!$F44:H44))*1000000</f>
        <v>0</v>
      </c>
      <c r="O17" s="383">
        <f>('CF2'!J29*'DB2'!$N$11+SUM('CF2'!$F29:I29)-SUM('CF2'!$F44:I44))*1000000</f>
        <v>0</v>
      </c>
      <c r="P17" s="383">
        <f>('CF2'!K29*'DB2'!$N$11+SUM('CF2'!$F29:J29)-SUM('CF2'!$F44:J44))*1000000</f>
        <v>0</v>
      </c>
      <c r="Q17" s="383">
        <f>('CF2'!L29*'DB2'!$N$11+SUM('CF2'!$F29:K29)-SUM('CF2'!$F44:K44))*1000000</f>
        <v>0</v>
      </c>
      <c r="R17" s="383">
        <f>('CF2'!M29*'DB2'!$N$11+SUM('CF2'!$F29:L29)-SUM('CF2'!$F44:L44))*1000000</f>
        <v>0</v>
      </c>
      <c r="S17" s="377">
        <f>('CF2'!N29*'DB2'!$N$11+SUM('CF2'!$F29:M29)-SUM('CF2'!$F44:M44))*1000000</f>
        <v>0</v>
      </c>
      <c r="T17" s="377">
        <f>('CF2'!O29*'DB2'!$N$11+SUM('CF2'!$F29:N29)-SUM('CF2'!$F44:N44))*1000000</f>
        <v>0</v>
      </c>
      <c r="U17" s="377">
        <f>('CF2'!P29*'DB2'!$N$11+SUM('CF2'!$F29:O29)-SUM('CF2'!$F44:O44))*1000000</f>
        <v>0</v>
      </c>
      <c r="V17" s="377">
        <f>('CF2'!Q29*'DB2'!$N$11+SUM('CF2'!$F29:P29)-SUM('CF2'!$F44:P44))*1000000</f>
        <v>0</v>
      </c>
      <c r="W17" s="377">
        <f>('CF2'!R29*'DB2'!$N$11+SUM('CF2'!$F29:Q29)-SUM('CF2'!$F44:Q44))*1000000</f>
        <v>0</v>
      </c>
      <c r="X17" s="377">
        <f>('CF2'!S29*'DB2'!$N$11+SUM('CF2'!$F29:R29)-SUM('CF2'!$F44:R44))*1000000</f>
        <v>0</v>
      </c>
      <c r="Y17" s="377">
        <f>('CF2'!T29*'DB2'!$N$11+SUM('CF2'!$F29:S29)-SUM('CF2'!$F44:S44))*1000000</f>
        <v>0</v>
      </c>
      <c r="Z17" s="377">
        <f>('CF2'!U29*'DB2'!$N$11+SUM('CF2'!$F29:T29)-SUM('CF2'!$F44:T44))*1000000</f>
        <v>0</v>
      </c>
      <c r="AA17" s="377">
        <f>('CF2'!V29*'DB2'!$N$11+SUM('CF2'!$F29:U29)-SUM('CF2'!$F44:U44))*1000000</f>
        <v>0</v>
      </c>
      <c r="AB17" s="377">
        <f>('CF2'!W29*'DB2'!$N$11+SUM('CF2'!$F29:V29)-SUM('CF2'!$F44:V44))*1000000</f>
        <v>0</v>
      </c>
      <c r="AC17" s="377">
        <f>('CF2'!X29*'DB2'!$N$11+SUM('CF2'!$F29:W29)-SUM('CF2'!$F44:W44))*1000000</f>
        <v>0</v>
      </c>
      <c r="AD17" s="377">
        <f>('CF2'!Y29*'DB2'!$N$11+SUM('CF2'!$F29:X29)-SUM('CF2'!$F44:X44))*1000000</f>
        <v>0</v>
      </c>
      <c r="AE17" s="377">
        <f>('CF2'!Z29*'DB2'!$N$11+SUM('CF2'!$F29:Y29)-SUM('CF2'!$F44:Y44))*1000000</f>
        <v>0</v>
      </c>
      <c r="AF17" s="377">
        <f>('CF2'!AA29*'DB2'!$N$11+SUM('CF2'!$F29:Z29)-SUM('CF2'!$F44:Z44))*1000000</f>
        <v>0</v>
      </c>
      <c r="AG17" s="377">
        <f>('CF2'!AB29*'DB2'!$N$11+SUM('CF2'!$F29:AA29)-SUM('CF2'!$F44:AA44))*1000000</f>
        <v>0</v>
      </c>
      <c r="AH17" s="377">
        <f>('CF2'!AC29*'DB2'!$N$11+SUM('CF2'!$F29:AB29)-SUM('CF2'!$F44:AB44))*1000000</f>
        <v>0</v>
      </c>
      <c r="AI17" s="377">
        <f>('CF2'!AD29*'DB2'!$N$11+SUM('CF2'!$F29:AC29)-SUM('CF2'!$F44:AC44))*1000000</f>
        <v>0</v>
      </c>
      <c r="AJ17" s="377">
        <f>('CF2'!AE29*'DB2'!$N$11+SUM('CF2'!$F29:AD29)-SUM('CF2'!$F44:AD44))*1000000</f>
        <v>0</v>
      </c>
      <c r="AK17" s="377">
        <f>('CF2'!AF29*'DB2'!$N$11+SUM('CF2'!$F29:AE29)-SUM('CF2'!$F44:AE44))*1000000</f>
        <v>0</v>
      </c>
      <c r="AL17" s="377">
        <f>('CF2'!AG29*'DB2'!$N$11+SUM('CF2'!$F29:AF29)-SUM('CF2'!$F44:AF44))*1000000</f>
        <v>0</v>
      </c>
      <c r="AM17" s="377">
        <f>('CF2'!AH29*'DB2'!$N$11+SUM('CF2'!$F29:AG29)-SUM('CF2'!$F44:AG44))*1000000</f>
        <v>0</v>
      </c>
      <c r="AN17" s="377">
        <f>('CF2'!AI29*'DB2'!$N$11+SUM('CF2'!$F29:AH29)-SUM('CF2'!$F44:AH44))*1000000</f>
        <v>0</v>
      </c>
      <c r="AO17" s="377">
        <f>('CF2'!AJ29*'DB2'!$N$11+SUM('CF2'!$F29:AI29)-SUM('CF2'!$F44:AI44))*1000000</f>
        <v>0</v>
      </c>
      <c r="AP17" s="377">
        <f>('CF2'!AK29*'DB2'!$N$11+SUM('CF2'!$F29:AJ29)-SUM('CF2'!$F44:AJ44))*1000000</f>
        <v>894620474.99999988</v>
      </c>
      <c r="AQ17" s="377">
        <f>('CF2'!AL29*'DB2'!$N$11+SUM('CF2'!$F29:AK29)-SUM('CF2'!$F44:AK44))*1000000</f>
        <v>894620474.99999988</v>
      </c>
      <c r="AR17" s="377">
        <f>('CF2'!AM29*'DB2'!$N$11+SUM('CF2'!$F29:AL29)-SUM('CF2'!$F44:AL44))*1000000</f>
        <v>0</v>
      </c>
      <c r="AS17" s="377">
        <f>('CF2'!AN29*'DB2'!$N$11+SUM('CF2'!$F29:AM29)-SUM('CF2'!$F44:AM44))*1000000</f>
        <v>0</v>
      </c>
      <c r="AT17" s="377">
        <f>('CF2'!AO29*'DB2'!$N$11+SUM('CF2'!$F29:AN29)-SUM('CF2'!$F44:AN44))*1000000</f>
        <v>0</v>
      </c>
      <c r="AU17" s="377">
        <f>('CF2'!AP29*'DB2'!$N$11+SUM('CF2'!$F29:AO29)-SUM('CF2'!$F44:AO44))*1000000</f>
        <v>0</v>
      </c>
      <c r="AV17" s="377">
        <f>('CF2'!AQ29*'DB2'!$N$11+SUM('CF2'!$F29:AP29)-SUM('CF2'!$F44:AP44))*1000000</f>
        <v>0</v>
      </c>
      <c r="AW17" s="377">
        <f>('CF2'!AR29*'DB2'!$N$11+SUM('CF2'!$F29:AQ29)-SUM('CF2'!$F44:AQ44))*1000000</f>
        <v>0</v>
      </c>
      <c r="AX17" s="377">
        <f>('CF2'!AS29*'DB2'!$N$11+SUM('CF2'!$F29:AR29)-SUM('CF2'!$F44:AR44))*1000000</f>
        <v>0</v>
      </c>
      <c r="AY17" s="377">
        <f>('CF2'!AT29*'DB2'!$N$11+SUM('CF2'!$F29:AS29)-SUM('CF2'!$F44:AS44))*1000000</f>
        <v>0</v>
      </c>
      <c r="AZ17" s="377">
        <f>('CF2'!AU29*'DB2'!$N$11+SUM('CF2'!$F29:AT29)-SUM('CF2'!$F44:AT44))*1000000</f>
        <v>0</v>
      </c>
      <c r="BA17" s="377">
        <f>('CF2'!AV29*'DB2'!$N$11+SUM('CF2'!$F29:AU29)-SUM('CF2'!$F44:AU44))*1000000</f>
        <v>0</v>
      </c>
      <c r="BB17" s="377">
        <f>('CF2'!AW29*'DB2'!$N$11+SUM('CF2'!$F29:AV29)-SUM('CF2'!$F44:AV44))*1000000</f>
        <v>0</v>
      </c>
      <c r="BC17" s="377">
        <f>('CF2'!AX29*'DB2'!$N$11+SUM('CF2'!$F29:AW29)-SUM('CF2'!$F44:AW44))*1000000</f>
        <v>0</v>
      </c>
      <c r="BD17" s="377">
        <f>('CF2'!AY29*'DB2'!$N$11+SUM('CF2'!$F29:AX29)-SUM('CF2'!$F44:AX44))*1000000</f>
        <v>0</v>
      </c>
      <c r="BE17" s="377">
        <f>('CF2'!AZ29*'DB2'!$N$11+SUM('CF2'!$F29:AY29)-SUM('CF2'!$F44:AY44))*1000000</f>
        <v>0</v>
      </c>
      <c r="BF17" s="377">
        <f>('CF2'!BA29*'DB2'!$N$11+SUM('CF2'!$F29:AZ29)-SUM('CF2'!$F44:AZ44))*1000000</f>
        <v>0</v>
      </c>
      <c r="BG17" s="377">
        <f>('CF2'!BB29*'DB2'!$N$11+SUM('CF2'!$F29:BA29)-SUM('CF2'!$F44:BA44))*1000000</f>
        <v>0</v>
      </c>
      <c r="BH17" s="377">
        <f>('CF2'!BC29*'DB2'!$N$11+SUM('CF2'!$F29:BB29)-SUM('CF2'!$F44:BB44))*1000000</f>
        <v>0</v>
      </c>
      <c r="BI17" s="377">
        <f>('CF2'!BD29*'DB2'!$N$11+SUM('CF2'!$F29:BC29)-SUM('CF2'!$F44:BC44))*1000000</f>
        <v>0</v>
      </c>
      <c r="BJ17" s="377">
        <f>('CF2'!BE29*'DB2'!$N$11+SUM('CF2'!$F29:BD29)-SUM('CF2'!$F44:BD44))*1000000</f>
        <v>0</v>
      </c>
      <c r="BK17" s="377">
        <f>('CF2'!BF29*'DB2'!$N$11+SUM('CF2'!$F29:BE29)-SUM('CF2'!$F44:BE44))*1000000</f>
        <v>0</v>
      </c>
      <c r="BL17" s="377">
        <f>('CF2'!BG29*'DB2'!$N$11+SUM('CF2'!$F29:BF29)-SUM('CF2'!$F44:BF44))*1000000</f>
        <v>0</v>
      </c>
      <c r="BM17" s="377">
        <f>('CF2'!BH29*'DB2'!$N$11+SUM('CF2'!$F29:BG29)-SUM('CF2'!$F44:BG44))*1000000</f>
        <v>0</v>
      </c>
      <c r="BN17" s="377">
        <f>('CF2'!BI29*'DB2'!$N$11+SUM('CF2'!$F29:BH29)-SUM('CF2'!$F44:BH44))*1000000</f>
        <v>0</v>
      </c>
      <c r="BO17" s="377">
        <f>('CF2'!BJ29*'DB2'!$N$11+SUM('CF2'!$F29:BI29)-SUM('CF2'!$F44:BI44))*1000000</f>
        <v>0</v>
      </c>
      <c r="BP17" s="377">
        <f>('CF2'!BK29*'DB2'!$N$11+SUM('CF2'!$F29:BJ29)-SUM('CF2'!$F44:BJ44))*1000000</f>
        <v>0</v>
      </c>
      <c r="BQ17" s="377">
        <f>('CF2'!BL29*'DB2'!$N$11+SUM('CF2'!$F29:BK29)-SUM('CF2'!$F44:BK44))*1000000</f>
        <v>0</v>
      </c>
      <c r="BR17" s="377">
        <f>('CF2'!BM29*'DB2'!$N$11+SUM('CF2'!$F29:BL29)-SUM('CF2'!$F44:BL44))*1000000</f>
        <v>0</v>
      </c>
    </row>
    <row r="18" spans="1:70" outlineLevel="1">
      <c r="A18" s="374">
        <f t="shared" si="9"/>
        <v>0</v>
      </c>
      <c r="B18" s="359">
        <v>2204</v>
      </c>
      <c r="C18" s="359">
        <v>2</v>
      </c>
      <c r="D18" s="360" t="s">
        <v>436</v>
      </c>
      <c r="E18" s="360"/>
      <c r="F18" s="366" t="s">
        <v>448</v>
      </c>
      <c r="G18" s="360"/>
      <c r="H18" s="377"/>
      <c r="I18" s="540">
        <f t="shared" si="10"/>
        <v>0</v>
      </c>
      <c r="J18" s="546"/>
      <c r="K18" s="383"/>
      <c r="L18" s="383"/>
      <c r="M18" s="383"/>
      <c r="N18" s="383"/>
      <c r="O18" s="383"/>
      <c r="P18" s="383"/>
      <c r="Q18" s="383"/>
      <c r="R18" s="383"/>
      <c r="S18" s="377"/>
      <c r="T18" s="377"/>
      <c r="U18" s="377"/>
      <c r="V18" s="377"/>
      <c r="W18" s="377"/>
      <c r="X18" s="377"/>
      <c r="Y18" s="377"/>
      <c r="Z18" s="377"/>
      <c r="AA18" s="377"/>
      <c r="AB18" s="377"/>
      <c r="AC18" s="377"/>
      <c r="AD18" s="377"/>
      <c r="AE18" s="377"/>
      <c r="AF18" s="377"/>
      <c r="AG18" s="377"/>
      <c r="AH18" s="377"/>
      <c r="AI18" s="377"/>
      <c r="AJ18" s="377"/>
      <c r="AK18" s="377"/>
      <c r="AL18" s="377"/>
      <c r="AM18" s="377"/>
      <c r="AN18" s="377"/>
      <c r="AO18" s="377"/>
      <c r="AP18" s="377"/>
      <c r="AQ18" s="377"/>
      <c r="AR18" s="377"/>
      <c r="AS18" s="377"/>
      <c r="AT18" s="377"/>
      <c r="AU18" s="377"/>
      <c r="AV18" s="377"/>
      <c r="AW18" s="377"/>
      <c r="AX18" s="377"/>
      <c r="AY18" s="377"/>
      <c r="AZ18" s="377"/>
      <c r="BA18" s="377"/>
      <c r="BB18" s="377"/>
      <c r="BC18" s="377"/>
      <c r="BD18" s="377"/>
      <c r="BE18" s="377"/>
      <c r="BF18" s="377"/>
      <c r="BG18" s="377"/>
      <c r="BH18" s="377"/>
      <c r="BI18" s="377"/>
      <c r="BJ18" s="377"/>
      <c r="BK18" s="377"/>
      <c r="BL18" s="377"/>
      <c r="BM18" s="377"/>
      <c r="BN18" s="377"/>
      <c r="BO18" s="377"/>
      <c r="BP18" s="377"/>
      <c r="BQ18" s="377"/>
      <c r="BR18" s="377"/>
    </row>
    <row r="19" spans="1:70" outlineLevel="1">
      <c r="A19" s="374">
        <f t="shared" si="9"/>
        <v>0</v>
      </c>
      <c r="B19" s="359">
        <v>2208</v>
      </c>
      <c r="C19" s="359">
        <v>2</v>
      </c>
      <c r="D19" s="360" t="s">
        <v>438</v>
      </c>
      <c r="E19" s="360"/>
      <c r="F19" s="366" t="s">
        <v>448</v>
      </c>
      <c r="G19" s="360"/>
      <c r="H19" s="377"/>
      <c r="I19" s="540">
        <f t="shared" si="10"/>
        <v>2308500000</v>
      </c>
      <c r="J19" s="546"/>
      <c r="K19" s="383"/>
      <c r="L19" s="383">
        <f>('CF2'!G31*'DB2'!$N$16+SUM('CF2'!$F31:F31)-SUM('CF2'!$F46:F46))*1000000</f>
        <v>0</v>
      </c>
      <c r="M19" s="383">
        <f>('CF2'!H31*'DB2'!$N$16+SUM('CF2'!$F31:G31)-SUM('CF2'!$F46:G46))*1000000</f>
        <v>0</v>
      </c>
      <c r="N19" s="383">
        <f>('CF2'!I31*'DB2'!$N$16+SUM('CF2'!$F31:H31)-SUM('CF2'!$F46:H46))*1000000</f>
        <v>0</v>
      </c>
      <c r="O19" s="383">
        <f>('CF2'!J31*'DB2'!$N$16+SUM('CF2'!$F31:I31)-SUM('CF2'!$F46:I46))*1000000</f>
        <v>0</v>
      </c>
      <c r="P19" s="383">
        <f>('CF2'!K31*'DB2'!$N$16+SUM('CF2'!$F31:J31)-SUM('CF2'!$F46:J46))*1000000</f>
        <v>0</v>
      </c>
      <c r="Q19" s="383">
        <f>('CF2'!L31*'DB2'!$N$16+SUM('CF2'!$F31:K31)-SUM('CF2'!$F46:K46))*1000000</f>
        <v>0</v>
      </c>
      <c r="R19" s="383">
        <f>('CF2'!M31*'DB2'!$N$16+SUM('CF2'!$F31:L31)-SUM('CF2'!$F46:L46))*1000000</f>
        <v>0</v>
      </c>
      <c r="S19" s="377">
        <f>('CF2'!N31*'DB2'!$N$16+SUM('CF2'!$F31:M31)-SUM('CF2'!$F46:M46))*1000000</f>
        <v>0</v>
      </c>
      <c r="T19" s="377">
        <f>('CF2'!O31*'DB2'!$N$16+SUM('CF2'!$F31:N31)-SUM('CF2'!$F46:N46))*1000000</f>
        <v>0</v>
      </c>
      <c r="U19" s="377">
        <f>('CF2'!P31*'DB2'!$N$16+SUM('CF2'!$F31:O31)-SUM('CF2'!$F46:O46))*1000000</f>
        <v>0</v>
      </c>
      <c r="V19" s="377">
        <f>('CF2'!Q31*'DB2'!$N$16+SUM('CF2'!$F31:P31)-SUM('CF2'!$F46:P46))*1000000</f>
        <v>0</v>
      </c>
      <c r="W19" s="377">
        <f>('CF2'!R31*'DB2'!$N$16+SUM('CF2'!$F31:Q31)-SUM('CF2'!$F46:Q46))*1000000</f>
        <v>0</v>
      </c>
      <c r="X19" s="377">
        <f>('CF2'!S31*'DB2'!$N$16+SUM('CF2'!$F31:R31)-SUM('CF2'!$F46:R46))*1000000</f>
        <v>0</v>
      </c>
      <c r="Y19" s="377">
        <f>('CF2'!T31*'DB2'!$N$16+SUM('CF2'!$F31:S31)-SUM('CF2'!$F46:S46))*1000000</f>
        <v>0</v>
      </c>
      <c r="Z19" s="377">
        <f>('CF2'!U31*'DB2'!$N$16+SUM('CF2'!$F31:T31)-SUM('CF2'!$F46:T46))*1000000</f>
        <v>0</v>
      </c>
      <c r="AA19" s="377">
        <f>('CF2'!V31*'DB2'!$N$16+SUM('CF2'!$F31:U31)-SUM('CF2'!$F46:U46))*1000000</f>
        <v>0</v>
      </c>
      <c r="AB19" s="377">
        <f>('CF2'!W31*'DB2'!$N$16+SUM('CF2'!$F31:V31)-SUM('CF2'!$F46:V46))*1000000</f>
        <v>0</v>
      </c>
      <c r="AC19" s="377">
        <f>('CF2'!X31*'DB2'!$N$16+SUM('CF2'!$F31:W31)-SUM('CF2'!$F46:W46))*1000000</f>
        <v>94500000</v>
      </c>
      <c r="AD19" s="377">
        <f>('CF2'!Y31*'DB2'!$N$16+SUM('CF2'!$F31:X31)-SUM('CF2'!$F46:X46))*1000000</f>
        <v>135000000</v>
      </c>
      <c r="AE19" s="377">
        <f>('CF2'!Z31*'DB2'!$N$16+SUM('CF2'!$F31:Y31)-SUM('CF2'!$F46:Y46))*1000000</f>
        <v>135000000</v>
      </c>
      <c r="AF19" s="377">
        <f>('CF2'!AA31*'DB2'!$N$16+SUM('CF2'!$F31:Z31)-SUM('CF2'!$F46:Z46))*1000000</f>
        <v>135000000</v>
      </c>
      <c r="AG19" s="377">
        <f>('CF2'!AB31*'DB2'!$N$16+SUM('CF2'!$F31:AA31)-SUM('CF2'!$F46:AA46))*1000000</f>
        <v>135000000</v>
      </c>
      <c r="AH19" s="377">
        <f>('CF2'!AC31*'DB2'!$N$16+SUM('CF2'!$F31:AB31)-SUM('CF2'!$F46:AB46))*1000000</f>
        <v>135000000</v>
      </c>
      <c r="AI19" s="377">
        <f>('CF2'!AD31*'DB2'!$N$16+SUM('CF2'!$F31:AC31)-SUM('CF2'!$F46:AC46))*1000000</f>
        <v>135000000</v>
      </c>
      <c r="AJ19" s="377">
        <f>('CF2'!AE31*'DB2'!$N$16+SUM('CF2'!$F31:AD31)-SUM('CF2'!$F46:AD46))*1000000</f>
        <v>135000000</v>
      </c>
      <c r="AK19" s="377">
        <f>('CF2'!AF31*'DB2'!$N$16+SUM('CF2'!$F31:AE31)-SUM('CF2'!$F46:AE46))*1000000</f>
        <v>135000000</v>
      </c>
      <c r="AL19" s="377">
        <f>('CF2'!AG31*'DB2'!$N$16+SUM('CF2'!$F31:AF31)-SUM('CF2'!$F46:AF46))*1000000</f>
        <v>135000000</v>
      </c>
      <c r="AM19" s="377">
        <f>('CF2'!AH31*'DB2'!$N$16+SUM('CF2'!$F31:AG31)-SUM('CF2'!$F46:AG46))*1000000</f>
        <v>135000000</v>
      </c>
      <c r="AN19" s="377">
        <f>('CF2'!AI31*'DB2'!$N$16+SUM('CF2'!$F31:AH31)-SUM('CF2'!$F46:AH46))*1000000</f>
        <v>135000000</v>
      </c>
      <c r="AO19" s="377">
        <f>('CF2'!AJ31*'DB2'!$N$16+SUM('CF2'!$F31:AI31)-SUM('CF2'!$F46:AI46))*1000000</f>
        <v>135000000</v>
      </c>
      <c r="AP19" s="377">
        <f>('CF2'!AK31*'DB2'!$N$16+SUM('CF2'!$F31:AJ31)-SUM('CF2'!$F46:AJ46))*1000000</f>
        <v>135000000</v>
      </c>
      <c r="AQ19" s="377">
        <f>('CF2'!AL31*'DB2'!$N$16+SUM('CF2'!$F31:AK31)-SUM('CF2'!$F46:AK46))*1000000</f>
        <v>135000000</v>
      </c>
      <c r="AR19" s="377">
        <f>('CF2'!AM31*'DB2'!$N$16+SUM('CF2'!$F31:AL31)-SUM('CF2'!$F46:AL46))*1000000</f>
        <v>135000000</v>
      </c>
      <c r="AS19" s="377">
        <f>('CF2'!AN31*'DB2'!$N$16+SUM('CF2'!$F31:AM31)-SUM('CF2'!$F46:AM46))*1000000</f>
        <v>144449999.99999982</v>
      </c>
      <c r="AT19" s="377">
        <f>('CF2'!AO31*'DB2'!$N$16+SUM('CF2'!$F31:AN31)-SUM('CF2'!$F46:AN46))*1000000</f>
        <v>44550000.000000179</v>
      </c>
      <c r="AU19" s="377">
        <f>('CF2'!AP31*'DB2'!$N$16+SUM('CF2'!$F31:AO31)-SUM('CF2'!$F46:AO46))*1000000</f>
        <v>0</v>
      </c>
      <c r="AV19" s="377">
        <f>('CF2'!AQ31*'DB2'!$N$16+SUM('CF2'!$F31:AP31)-SUM('CF2'!$F46:AP46))*1000000</f>
        <v>0</v>
      </c>
      <c r="AW19" s="377">
        <f>('CF2'!AR31*'DB2'!$N$16+SUM('CF2'!$F31:AQ31)-SUM('CF2'!$F46:AQ46))*1000000</f>
        <v>0</v>
      </c>
      <c r="AX19" s="377">
        <f>('CF2'!AS31*'DB2'!$N$16+SUM('CF2'!$F31:AR31)-SUM('CF2'!$F46:AR46))*1000000</f>
        <v>0</v>
      </c>
      <c r="AY19" s="377">
        <f>('CF2'!AT31*'DB2'!$N$16+SUM('CF2'!$F31:AS31)-SUM('CF2'!$F46:AS46))*1000000</f>
        <v>0</v>
      </c>
      <c r="AZ19" s="377">
        <f>('CF2'!AU31*'DB2'!$N$16+SUM('CF2'!$F31:AT31)-SUM('CF2'!$F46:AT46))*1000000</f>
        <v>0</v>
      </c>
      <c r="BA19" s="377">
        <f>('CF2'!AV31*'DB2'!$N$16+SUM('CF2'!$F31:AU31)-SUM('CF2'!$F46:AU46))*1000000</f>
        <v>0</v>
      </c>
      <c r="BB19" s="377">
        <f>('CF2'!AW31*'DB2'!$N$16+SUM('CF2'!$F31:AV31)-SUM('CF2'!$F46:AV46))*1000000</f>
        <v>0</v>
      </c>
      <c r="BC19" s="377">
        <f>('CF2'!AX31*'DB2'!$N$16+SUM('CF2'!$F31:AW31)-SUM('CF2'!$F46:AW46))*1000000</f>
        <v>0</v>
      </c>
      <c r="BD19" s="377">
        <f>('CF2'!AY31*'DB2'!$N$16+SUM('CF2'!$F31:AX31)-SUM('CF2'!$F46:AX46))*1000000</f>
        <v>0</v>
      </c>
      <c r="BE19" s="377">
        <f>('CF2'!AZ31*'DB2'!$N$16+SUM('CF2'!$F31:AY31)-SUM('CF2'!$F46:AY46))*1000000</f>
        <v>0</v>
      </c>
      <c r="BF19" s="377">
        <f>('CF2'!BA31*'DB2'!$N$16+SUM('CF2'!$F31:AZ31)-SUM('CF2'!$F46:AZ46))*1000000</f>
        <v>0</v>
      </c>
      <c r="BG19" s="377">
        <f>('CF2'!BB31*'DB2'!$N$16+SUM('CF2'!$F31:BA31)-SUM('CF2'!$F46:BA46))*1000000</f>
        <v>0</v>
      </c>
      <c r="BH19" s="377">
        <f>('CF2'!BC31*'DB2'!$N$16+SUM('CF2'!$F31:BB31)-SUM('CF2'!$F46:BB46))*1000000</f>
        <v>0</v>
      </c>
      <c r="BI19" s="377">
        <f>('CF2'!BD31*'DB2'!$N$16+SUM('CF2'!$F31:BC31)-SUM('CF2'!$F46:BC46))*1000000</f>
        <v>0</v>
      </c>
      <c r="BJ19" s="377">
        <f>('CF2'!BE31*'DB2'!$N$16+SUM('CF2'!$F31:BD31)-SUM('CF2'!$F46:BD46))*1000000</f>
        <v>0</v>
      </c>
      <c r="BK19" s="377">
        <f>('CF2'!BF31*'DB2'!$N$16+SUM('CF2'!$F31:BE31)-SUM('CF2'!$F46:BE46))*1000000</f>
        <v>0</v>
      </c>
      <c r="BL19" s="377">
        <f>('CF2'!BG31*'DB2'!$N$16+SUM('CF2'!$F31:BF31)-SUM('CF2'!$F46:BF46))*1000000</f>
        <v>0</v>
      </c>
      <c r="BM19" s="377">
        <f>('CF2'!BH31*'DB2'!$N$16+SUM('CF2'!$F31:BG31)-SUM('CF2'!$F46:BG46))*1000000</f>
        <v>0</v>
      </c>
      <c r="BN19" s="377">
        <f>('CF2'!BI31*'DB2'!$N$16+SUM('CF2'!$F31:BH31)-SUM('CF2'!$F46:BH46))*1000000</f>
        <v>0</v>
      </c>
      <c r="BO19" s="377">
        <f>('CF2'!BJ31*'DB2'!$N$16+SUM('CF2'!$F31:BI31)-SUM('CF2'!$F46:BI46))*1000000</f>
        <v>0</v>
      </c>
      <c r="BP19" s="377">
        <f>('CF2'!BK31*'DB2'!$N$16+SUM('CF2'!$F31:BJ31)-SUM('CF2'!$F46:BJ46))*1000000</f>
        <v>0</v>
      </c>
      <c r="BQ19" s="377">
        <f>('CF2'!BL31*'DB2'!$N$16+SUM('CF2'!$F31:BK31)-SUM('CF2'!$F46:BK46))*1000000</f>
        <v>0</v>
      </c>
      <c r="BR19" s="377">
        <f>('CF2'!BM31*'DB2'!$N$16+SUM('CF2'!$F31:BL31)-SUM('CF2'!$F46:BL46))*1000000</f>
        <v>0</v>
      </c>
    </row>
    <row r="20" spans="1:70" outlineLevel="1">
      <c r="A20" s="374"/>
      <c r="B20" s="359"/>
      <c r="C20" s="359"/>
      <c r="D20" s="360"/>
      <c r="E20" s="360"/>
      <c r="F20" s="373"/>
      <c r="G20" s="360"/>
      <c r="H20" s="377"/>
      <c r="I20" s="537"/>
      <c r="J20" s="546"/>
      <c r="K20" s="383"/>
      <c r="L20" s="383"/>
      <c r="M20" s="383"/>
      <c r="N20" s="383"/>
      <c r="O20" s="383"/>
      <c r="P20" s="383"/>
      <c r="Q20" s="383"/>
      <c r="R20" s="383"/>
      <c r="S20" s="377"/>
      <c r="T20" s="377"/>
      <c r="U20" s="377"/>
      <c r="V20" s="377"/>
      <c r="W20" s="377"/>
      <c r="X20" s="377"/>
      <c r="Y20" s="377"/>
      <c r="Z20" s="377"/>
      <c r="AA20" s="377"/>
      <c r="AB20" s="377"/>
      <c r="AC20" s="377"/>
      <c r="AD20" s="377"/>
      <c r="AE20" s="377"/>
      <c r="AF20" s="377"/>
      <c r="AG20" s="377"/>
      <c r="AH20" s="377"/>
      <c r="AI20" s="377"/>
      <c r="AJ20" s="377"/>
      <c r="AK20" s="377"/>
      <c r="AL20" s="377"/>
      <c r="AM20" s="377"/>
      <c r="AN20" s="377"/>
      <c r="AO20" s="377"/>
      <c r="AP20" s="377"/>
      <c r="AQ20" s="377"/>
      <c r="AR20" s="377"/>
      <c r="AS20" s="377"/>
      <c r="AT20" s="377"/>
      <c r="AU20" s="377"/>
      <c r="AV20" s="377"/>
      <c r="AW20" s="377"/>
      <c r="AX20" s="377"/>
      <c r="AY20" s="377"/>
      <c r="AZ20" s="377"/>
      <c r="BA20" s="377"/>
      <c r="BB20" s="377"/>
      <c r="BC20" s="377"/>
      <c r="BD20" s="377"/>
      <c r="BE20" s="377"/>
      <c r="BF20" s="377"/>
      <c r="BG20" s="377"/>
      <c r="BH20" s="377"/>
      <c r="BI20" s="377"/>
      <c r="BJ20" s="377"/>
      <c r="BK20" s="377"/>
      <c r="BL20" s="377"/>
      <c r="BM20" s="377"/>
      <c r="BN20" s="377"/>
      <c r="BO20" s="377"/>
      <c r="BP20" s="377"/>
      <c r="BQ20" s="377"/>
      <c r="BR20" s="377"/>
    </row>
    <row r="21" spans="1:70" outlineLevel="1">
      <c r="A21" s="374"/>
      <c r="B21" s="359"/>
      <c r="C21" s="359"/>
      <c r="D21" s="360"/>
      <c r="E21" s="360"/>
      <c r="F21" s="373"/>
      <c r="G21" s="360"/>
      <c r="H21" s="377"/>
      <c r="I21" s="537"/>
      <c r="J21" s="546"/>
      <c r="K21" s="383"/>
      <c r="L21" s="383"/>
      <c r="M21" s="383"/>
      <c r="N21" s="383"/>
      <c r="O21" s="383"/>
      <c r="P21" s="383"/>
      <c r="Q21" s="383"/>
      <c r="R21" s="383"/>
      <c r="S21" s="377"/>
      <c r="T21" s="377"/>
      <c r="U21" s="377"/>
      <c r="V21" s="377"/>
      <c r="W21" s="377"/>
      <c r="X21" s="377"/>
      <c r="Y21" s="377"/>
      <c r="Z21" s="377"/>
      <c r="AA21" s="377"/>
      <c r="AB21" s="377"/>
      <c r="AC21" s="377"/>
      <c r="AD21" s="377"/>
      <c r="AE21" s="377"/>
      <c r="AF21" s="377"/>
      <c r="AG21" s="377"/>
      <c r="AH21" s="377"/>
      <c r="AI21" s="377"/>
      <c r="AJ21" s="377"/>
      <c r="AK21" s="377"/>
      <c r="AL21" s="377"/>
      <c r="AM21" s="377"/>
      <c r="AN21" s="377"/>
      <c r="AO21" s="377"/>
      <c r="AP21" s="377"/>
      <c r="AQ21" s="377"/>
      <c r="AR21" s="377"/>
      <c r="AS21" s="377"/>
      <c r="AT21" s="377"/>
      <c r="AU21" s="377"/>
      <c r="AV21" s="377"/>
      <c r="AW21" s="377"/>
      <c r="AX21" s="377"/>
      <c r="AY21" s="377"/>
      <c r="AZ21" s="377"/>
      <c r="BA21" s="377"/>
      <c r="BB21" s="377"/>
      <c r="BC21" s="377"/>
      <c r="BD21" s="377"/>
      <c r="BE21" s="377"/>
      <c r="BF21" s="377"/>
      <c r="BG21" s="377"/>
      <c r="BH21" s="377"/>
      <c r="BI21" s="377"/>
      <c r="BJ21" s="377"/>
      <c r="BK21" s="377"/>
      <c r="BL21" s="377"/>
      <c r="BM21" s="377"/>
      <c r="BN21" s="377"/>
      <c r="BO21" s="377"/>
      <c r="BP21" s="377"/>
      <c r="BQ21" s="377"/>
      <c r="BR21" s="377"/>
    </row>
    <row r="22" spans="1:70" outlineLevel="1">
      <c r="A22" s="374">
        <f t="shared" si="1"/>
        <v>0</v>
      </c>
      <c r="B22" s="359"/>
      <c r="C22" s="359"/>
      <c r="D22" s="360"/>
      <c r="E22" s="360"/>
      <c r="F22" s="373"/>
      <c r="G22" s="360"/>
      <c r="H22" s="377"/>
      <c r="I22" s="537">
        <f t="shared" si="8"/>
        <v>0</v>
      </c>
      <c r="J22" s="546"/>
      <c r="K22" s="383"/>
      <c r="L22" s="383"/>
      <c r="M22" s="383"/>
      <c r="N22" s="383"/>
      <c r="O22" s="383"/>
      <c r="P22" s="383"/>
      <c r="Q22" s="383"/>
      <c r="R22" s="383"/>
      <c r="S22" s="377"/>
      <c r="T22" s="377"/>
      <c r="U22" s="377"/>
      <c r="V22" s="377"/>
      <c r="W22" s="377"/>
      <c r="X22" s="377"/>
      <c r="Y22" s="377"/>
      <c r="Z22" s="377"/>
      <c r="AA22" s="377"/>
      <c r="AB22" s="377"/>
      <c r="AC22" s="377"/>
      <c r="AD22" s="377"/>
      <c r="AE22" s="377"/>
      <c r="AF22" s="377"/>
      <c r="AG22" s="377"/>
      <c r="AH22" s="377"/>
      <c r="AI22" s="377"/>
      <c r="AJ22" s="377"/>
      <c r="AK22" s="377"/>
      <c r="AL22" s="377"/>
      <c r="AM22" s="377"/>
      <c r="AN22" s="377"/>
      <c r="AO22" s="377"/>
      <c r="AP22" s="377"/>
      <c r="AQ22" s="377"/>
      <c r="AR22" s="377"/>
      <c r="AS22" s="377"/>
      <c r="AT22" s="377"/>
      <c r="AU22" s="377"/>
      <c r="AV22" s="377"/>
      <c r="AW22" s="377"/>
      <c r="AX22" s="377"/>
      <c r="AY22" s="377"/>
      <c r="AZ22" s="377"/>
      <c r="BA22" s="377"/>
      <c r="BB22" s="377"/>
      <c r="BC22" s="377"/>
      <c r="BD22" s="377"/>
      <c r="BE22" s="377"/>
      <c r="BF22" s="377"/>
      <c r="BG22" s="377"/>
      <c r="BH22" s="377"/>
      <c r="BI22" s="377"/>
      <c r="BJ22" s="377"/>
      <c r="BK22" s="377"/>
      <c r="BL22" s="377"/>
      <c r="BM22" s="377"/>
      <c r="BN22" s="377"/>
      <c r="BO22" s="377"/>
      <c r="BP22" s="377"/>
      <c r="BQ22" s="377"/>
      <c r="BR22" s="377"/>
    </row>
    <row r="23" spans="1:70" outlineLevel="1">
      <c r="A23" s="374">
        <f t="shared" si="1"/>
        <v>0</v>
      </c>
      <c r="B23" s="359"/>
      <c r="C23" s="359"/>
      <c r="D23" s="360"/>
      <c r="E23" s="360"/>
      <c r="F23" s="373"/>
      <c r="G23" s="360"/>
      <c r="H23" s="377"/>
      <c r="I23" s="537">
        <f t="shared" si="8"/>
        <v>0</v>
      </c>
      <c r="J23" s="546"/>
      <c r="K23" s="383"/>
      <c r="L23" s="383"/>
      <c r="M23" s="383"/>
      <c r="N23" s="383"/>
      <c r="O23" s="383"/>
      <c r="P23" s="383"/>
      <c r="Q23" s="383"/>
      <c r="R23" s="383"/>
      <c r="S23" s="377"/>
      <c r="T23" s="377"/>
      <c r="U23" s="377"/>
      <c r="V23" s="377"/>
      <c r="W23" s="377"/>
      <c r="X23" s="377"/>
      <c r="Y23" s="377"/>
      <c r="Z23" s="377"/>
      <c r="AA23" s="377"/>
      <c r="AB23" s="377"/>
      <c r="AC23" s="377"/>
      <c r="AD23" s="377"/>
      <c r="AE23" s="377"/>
      <c r="AF23" s="377"/>
      <c r="AG23" s="377"/>
      <c r="AH23" s="377"/>
      <c r="AI23" s="377"/>
      <c r="AJ23" s="377"/>
      <c r="AK23" s="377"/>
      <c r="AL23" s="377"/>
      <c r="AM23" s="377"/>
      <c r="AN23" s="377"/>
      <c r="AO23" s="377"/>
      <c r="AP23" s="377"/>
      <c r="AQ23" s="377"/>
      <c r="AR23" s="377"/>
      <c r="AS23" s="377"/>
      <c r="AT23" s="377"/>
      <c r="AU23" s="377"/>
      <c r="AV23" s="377"/>
      <c r="AW23" s="377"/>
      <c r="AX23" s="377"/>
      <c r="AY23" s="377"/>
      <c r="AZ23" s="377"/>
      <c r="BA23" s="377"/>
      <c r="BB23" s="377"/>
      <c r="BC23" s="377"/>
      <c r="BD23" s="377"/>
      <c r="BE23" s="377"/>
      <c r="BF23" s="377"/>
      <c r="BG23" s="377"/>
      <c r="BH23" s="377"/>
      <c r="BI23" s="377"/>
      <c r="BJ23" s="377"/>
      <c r="BK23" s="377"/>
      <c r="BL23" s="377"/>
      <c r="BM23" s="377"/>
      <c r="BN23" s="377"/>
      <c r="BO23" s="377"/>
      <c r="BP23" s="377"/>
      <c r="BQ23" s="377"/>
      <c r="BR23" s="377"/>
    </row>
    <row r="24" spans="1:70" outlineLevel="1">
      <c r="A24" s="374">
        <f t="shared" si="1"/>
        <v>0</v>
      </c>
      <c r="B24" s="359"/>
      <c r="C24" s="359"/>
      <c r="D24" s="360"/>
      <c r="E24" s="360"/>
      <c r="F24" s="373"/>
      <c r="G24" s="360"/>
      <c r="H24" s="377"/>
      <c r="I24" s="537">
        <f t="shared" si="8"/>
        <v>0</v>
      </c>
      <c r="J24" s="546"/>
      <c r="K24" s="383"/>
      <c r="L24" s="383"/>
      <c r="M24" s="383"/>
      <c r="N24" s="383"/>
      <c r="O24" s="383"/>
      <c r="P24" s="383"/>
      <c r="Q24" s="383"/>
      <c r="R24" s="383"/>
      <c r="S24" s="377"/>
      <c r="T24" s="377"/>
      <c r="U24" s="377"/>
      <c r="V24" s="377"/>
      <c r="W24" s="377"/>
      <c r="X24" s="377"/>
      <c r="Y24" s="377"/>
      <c r="Z24" s="377"/>
      <c r="AA24" s="377"/>
      <c r="AB24" s="377"/>
      <c r="AC24" s="377"/>
      <c r="AD24" s="377"/>
      <c r="AE24" s="377"/>
      <c r="AF24" s="377"/>
      <c r="AG24" s="377"/>
      <c r="AH24" s="377"/>
      <c r="AI24" s="377"/>
      <c r="AJ24" s="377"/>
      <c r="AK24" s="377"/>
      <c r="AL24" s="377"/>
      <c r="AM24" s="377"/>
      <c r="AN24" s="377"/>
      <c r="AO24" s="377"/>
      <c r="AP24" s="377"/>
      <c r="AQ24" s="377"/>
      <c r="AR24" s="377"/>
      <c r="AS24" s="377"/>
      <c r="AT24" s="377"/>
      <c r="AU24" s="377"/>
      <c r="AV24" s="377"/>
      <c r="AW24" s="377"/>
      <c r="AX24" s="377"/>
      <c r="AY24" s="377"/>
      <c r="AZ24" s="377"/>
      <c r="BA24" s="377"/>
      <c r="BB24" s="377"/>
      <c r="BC24" s="377"/>
      <c r="BD24" s="377"/>
      <c r="BE24" s="377"/>
      <c r="BF24" s="377"/>
      <c r="BG24" s="377"/>
      <c r="BH24" s="377"/>
      <c r="BI24" s="377"/>
      <c r="BJ24" s="377"/>
      <c r="BK24" s="377"/>
      <c r="BL24" s="377"/>
      <c r="BM24" s="377"/>
      <c r="BN24" s="377"/>
      <c r="BO24" s="377"/>
      <c r="BP24" s="377"/>
      <c r="BQ24" s="377"/>
      <c r="BR24" s="377"/>
    </row>
    <row r="25" spans="1:70" s="353" customFormat="1">
      <c r="A25" s="374">
        <f t="shared" si="1"/>
        <v>0</v>
      </c>
      <c r="B25" s="357">
        <v>3000</v>
      </c>
      <c r="C25" s="357"/>
      <c r="D25" s="358" t="s">
        <v>447</v>
      </c>
      <c r="E25" s="358"/>
      <c r="F25" s="358"/>
      <c r="G25" s="358"/>
      <c r="H25" s="375">
        <f t="shared" ref="H25:AM25" si="11">H26+H30+H37+H41</f>
        <v>0</v>
      </c>
      <c r="I25" s="536">
        <f t="shared" si="11"/>
        <v>4170000</v>
      </c>
      <c r="J25" s="545">
        <f t="shared" si="11"/>
        <v>0</v>
      </c>
      <c r="K25" s="375">
        <f t="shared" si="11"/>
        <v>200000</v>
      </c>
      <c r="L25" s="375">
        <f t="shared" si="11"/>
        <v>600000</v>
      </c>
      <c r="M25" s="375">
        <f t="shared" si="11"/>
        <v>600000</v>
      </c>
      <c r="N25" s="375">
        <f t="shared" si="11"/>
        <v>300000</v>
      </c>
      <c r="O25" s="375">
        <f t="shared" si="11"/>
        <v>0</v>
      </c>
      <c r="P25" s="375">
        <f t="shared" si="11"/>
        <v>800000</v>
      </c>
      <c r="Q25" s="375">
        <f t="shared" si="11"/>
        <v>600000</v>
      </c>
      <c r="R25" s="375">
        <f t="shared" si="11"/>
        <v>1070000</v>
      </c>
      <c r="S25" s="375">
        <f t="shared" si="11"/>
        <v>0</v>
      </c>
      <c r="T25" s="375">
        <f t="shared" si="11"/>
        <v>0</v>
      </c>
      <c r="U25" s="375">
        <f t="shared" si="11"/>
        <v>0</v>
      </c>
      <c r="V25" s="375">
        <f t="shared" si="11"/>
        <v>0</v>
      </c>
      <c r="W25" s="375">
        <f t="shared" si="11"/>
        <v>0</v>
      </c>
      <c r="X25" s="375">
        <f t="shared" si="11"/>
        <v>0</v>
      </c>
      <c r="Y25" s="375">
        <f t="shared" si="11"/>
        <v>0</v>
      </c>
      <c r="Z25" s="375">
        <f t="shared" si="11"/>
        <v>0</v>
      </c>
      <c r="AA25" s="375">
        <f t="shared" si="11"/>
        <v>0</v>
      </c>
      <c r="AB25" s="375">
        <f t="shared" si="11"/>
        <v>0</v>
      </c>
      <c r="AC25" s="375">
        <f t="shared" si="11"/>
        <v>0</v>
      </c>
      <c r="AD25" s="375">
        <f t="shared" si="11"/>
        <v>0</v>
      </c>
      <c r="AE25" s="375">
        <f t="shared" si="11"/>
        <v>0</v>
      </c>
      <c r="AF25" s="375">
        <f t="shared" si="11"/>
        <v>0</v>
      </c>
      <c r="AG25" s="375">
        <f t="shared" si="11"/>
        <v>0</v>
      </c>
      <c r="AH25" s="375">
        <f t="shared" si="11"/>
        <v>0</v>
      </c>
      <c r="AI25" s="375">
        <f t="shared" si="11"/>
        <v>0</v>
      </c>
      <c r="AJ25" s="375">
        <f t="shared" si="11"/>
        <v>0</v>
      </c>
      <c r="AK25" s="375">
        <f t="shared" si="11"/>
        <v>0</v>
      </c>
      <c r="AL25" s="375">
        <f t="shared" si="11"/>
        <v>0</v>
      </c>
      <c r="AM25" s="375">
        <f t="shared" si="11"/>
        <v>0</v>
      </c>
      <c r="AN25" s="375">
        <f t="shared" ref="AN25:BR25" si="12">AN26+AN30+AN37+AN41</f>
        <v>0</v>
      </c>
      <c r="AO25" s="375">
        <f t="shared" si="12"/>
        <v>0</v>
      </c>
      <c r="AP25" s="375">
        <f t="shared" si="12"/>
        <v>0</v>
      </c>
      <c r="AQ25" s="375">
        <f t="shared" si="12"/>
        <v>0</v>
      </c>
      <c r="AR25" s="375">
        <f t="shared" si="12"/>
        <v>0</v>
      </c>
      <c r="AS25" s="375">
        <f t="shared" si="12"/>
        <v>0</v>
      </c>
      <c r="AT25" s="375">
        <f t="shared" si="12"/>
        <v>0</v>
      </c>
      <c r="AU25" s="375">
        <f t="shared" si="12"/>
        <v>0</v>
      </c>
      <c r="AV25" s="375">
        <f t="shared" si="12"/>
        <v>0</v>
      </c>
      <c r="AW25" s="375">
        <f t="shared" si="12"/>
        <v>0</v>
      </c>
      <c r="AX25" s="375">
        <f t="shared" si="12"/>
        <v>0</v>
      </c>
      <c r="AY25" s="375">
        <f t="shared" si="12"/>
        <v>0</v>
      </c>
      <c r="AZ25" s="375">
        <f t="shared" si="12"/>
        <v>0</v>
      </c>
      <c r="BA25" s="375">
        <f t="shared" si="12"/>
        <v>0</v>
      </c>
      <c r="BB25" s="375">
        <f t="shared" si="12"/>
        <v>0</v>
      </c>
      <c r="BC25" s="375">
        <f t="shared" si="12"/>
        <v>0</v>
      </c>
      <c r="BD25" s="375">
        <f t="shared" si="12"/>
        <v>0</v>
      </c>
      <c r="BE25" s="375">
        <f t="shared" si="12"/>
        <v>0</v>
      </c>
      <c r="BF25" s="375">
        <f t="shared" si="12"/>
        <v>0</v>
      </c>
      <c r="BG25" s="375">
        <f t="shared" si="12"/>
        <v>0</v>
      </c>
      <c r="BH25" s="375">
        <f t="shared" si="12"/>
        <v>0</v>
      </c>
      <c r="BI25" s="375">
        <f t="shared" si="12"/>
        <v>0</v>
      </c>
      <c r="BJ25" s="375">
        <f t="shared" si="12"/>
        <v>0</v>
      </c>
      <c r="BK25" s="375">
        <f t="shared" si="12"/>
        <v>0</v>
      </c>
      <c r="BL25" s="375">
        <f t="shared" si="12"/>
        <v>0</v>
      </c>
      <c r="BM25" s="375">
        <f t="shared" si="12"/>
        <v>0</v>
      </c>
      <c r="BN25" s="375">
        <f t="shared" si="12"/>
        <v>0</v>
      </c>
      <c r="BO25" s="375">
        <f t="shared" si="12"/>
        <v>0</v>
      </c>
      <c r="BP25" s="375">
        <f t="shared" si="12"/>
        <v>0</v>
      </c>
      <c r="BQ25" s="375">
        <f t="shared" si="12"/>
        <v>0</v>
      </c>
      <c r="BR25" s="375">
        <f t="shared" si="12"/>
        <v>0</v>
      </c>
    </row>
    <row r="26" spans="1:70" s="353" customFormat="1" outlineLevel="1">
      <c r="A26" s="374">
        <f t="shared" si="1"/>
        <v>0</v>
      </c>
      <c r="B26" s="363">
        <v>3200</v>
      </c>
      <c r="C26" s="363"/>
      <c r="D26" s="364" t="s">
        <v>439</v>
      </c>
      <c r="E26" s="364"/>
      <c r="F26" s="364"/>
      <c r="G26" s="364"/>
      <c r="H26" s="378">
        <f>SUM(H27:H29)</f>
        <v>0</v>
      </c>
      <c r="I26" s="538">
        <f t="shared" ref="I26:BR26" si="13">SUM(I27:I29)</f>
        <v>2450000</v>
      </c>
      <c r="J26" s="547">
        <f t="shared" si="13"/>
        <v>0</v>
      </c>
      <c r="K26" s="378">
        <f t="shared" si="13"/>
        <v>0</v>
      </c>
      <c r="L26" s="378">
        <f t="shared" si="13"/>
        <v>600000</v>
      </c>
      <c r="M26" s="378">
        <f t="shared" si="13"/>
        <v>600000</v>
      </c>
      <c r="N26" s="378">
        <f t="shared" si="13"/>
        <v>300000</v>
      </c>
      <c r="O26" s="378">
        <f t="shared" si="13"/>
        <v>0</v>
      </c>
      <c r="P26" s="378">
        <f t="shared" si="13"/>
        <v>300000</v>
      </c>
      <c r="Q26" s="378">
        <f t="shared" si="13"/>
        <v>150000</v>
      </c>
      <c r="R26" s="378">
        <f t="shared" si="13"/>
        <v>500000</v>
      </c>
      <c r="S26" s="378">
        <f t="shared" si="13"/>
        <v>0</v>
      </c>
      <c r="T26" s="378">
        <f t="shared" si="13"/>
        <v>0</v>
      </c>
      <c r="U26" s="378">
        <f t="shared" si="13"/>
        <v>0</v>
      </c>
      <c r="V26" s="378">
        <f t="shared" si="13"/>
        <v>0</v>
      </c>
      <c r="W26" s="378">
        <f t="shared" si="13"/>
        <v>0</v>
      </c>
      <c r="X26" s="378">
        <f t="shared" si="13"/>
        <v>0</v>
      </c>
      <c r="Y26" s="378">
        <f t="shared" si="13"/>
        <v>0</v>
      </c>
      <c r="Z26" s="378">
        <f t="shared" si="13"/>
        <v>0</v>
      </c>
      <c r="AA26" s="378">
        <f t="shared" si="13"/>
        <v>0</v>
      </c>
      <c r="AB26" s="378">
        <f t="shared" si="13"/>
        <v>0</v>
      </c>
      <c r="AC26" s="378">
        <f t="shared" si="13"/>
        <v>0</v>
      </c>
      <c r="AD26" s="378">
        <f t="shared" si="13"/>
        <v>0</v>
      </c>
      <c r="AE26" s="378">
        <f t="shared" si="13"/>
        <v>0</v>
      </c>
      <c r="AF26" s="378">
        <f t="shared" si="13"/>
        <v>0</v>
      </c>
      <c r="AG26" s="378">
        <f t="shared" si="13"/>
        <v>0</v>
      </c>
      <c r="AH26" s="378">
        <f t="shared" si="13"/>
        <v>0</v>
      </c>
      <c r="AI26" s="378">
        <f t="shared" si="13"/>
        <v>0</v>
      </c>
      <c r="AJ26" s="378">
        <f t="shared" si="13"/>
        <v>0</v>
      </c>
      <c r="AK26" s="378">
        <f t="shared" si="13"/>
        <v>0</v>
      </c>
      <c r="AL26" s="378">
        <f t="shared" si="13"/>
        <v>0</v>
      </c>
      <c r="AM26" s="378">
        <f t="shared" si="13"/>
        <v>0</v>
      </c>
      <c r="AN26" s="378">
        <f t="shared" si="13"/>
        <v>0</v>
      </c>
      <c r="AO26" s="378">
        <f t="shared" si="13"/>
        <v>0</v>
      </c>
      <c r="AP26" s="378">
        <f t="shared" si="13"/>
        <v>0</v>
      </c>
      <c r="AQ26" s="378">
        <f t="shared" si="13"/>
        <v>0</v>
      </c>
      <c r="AR26" s="378">
        <f t="shared" si="13"/>
        <v>0</v>
      </c>
      <c r="AS26" s="378">
        <f t="shared" si="13"/>
        <v>0</v>
      </c>
      <c r="AT26" s="378">
        <f t="shared" si="13"/>
        <v>0</v>
      </c>
      <c r="AU26" s="378">
        <f t="shared" si="13"/>
        <v>0</v>
      </c>
      <c r="AV26" s="378">
        <f t="shared" si="13"/>
        <v>0</v>
      </c>
      <c r="AW26" s="378">
        <f t="shared" si="13"/>
        <v>0</v>
      </c>
      <c r="AX26" s="378">
        <f t="shared" si="13"/>
        <v>0</v>
      </c>
      <c r="AY26" s="378">
        <f t="shared" si="13"/>
        <v>0</v>
      </c>
      <c r="AZ26" s="378">
        <f t="shared" si="13"/>
        <v>0</v>
      </c>
      <c r="BA26" s="378">
        <f t="shared" si="13"/>
        <v>0</v>
      </c>
      <c r="BB26" s="378">
        <f t="shared" si="13"/>
        <v>0</v>
      </c>
      <c r="BC26" s="378">
        <f t="shared" si="13"/>
        <v>0</v>
      </c>
      <c r="BD26" s="378">
        <f t="shared" si="13"/>
        <v>0</v>
      </c>
      <c r="BE26" s="378">
        <f t="shared" si="13"/>
        <v>0</v>
      </c>
      <c r="BF26" s="378">
        <f t="shared" si="13"/>
        <v>0</v>
      </c>
      <c r="BG26" s="378">
        <f t="shared" si="13"/>
        <v>0</v>
      </c>
      <c r="BH26" s="378">
        <f t="shared" si="13"/>
        <v>0</v>
      </c>
      <c r="BI26" s="378">
        <f t="shared" si="13"/>
        <v>0</v>
      </c>
      <c r="BJ26" s="378">
        <f t="shared" si="13"/>
        <v>0</v>
      </c>
      <c r="BK26" s="378">
        <f t="shared" si="13"/>
        <v>0</v>
      </c>
      <c r="BL26" s="378">
        <f t="shared" si="13"/>
        <v>0</v>
      </c>
      <c r="BM26" s="378">
        <f t="shared" si="13"/>
        <v>0</v>
      </c>
      <c r="BN26" s="378">
        <f t="shared" si="13"/>
        <v>0</v>
      </c>
      <c r="BO26" s="378">
        <f t="shared" si="13"/>
        <v>0</v>
      </c>
      <c r="BP26" s="378">
        <f t="shared" si="13"/>
        <v>0</v>
      </c>
      <c r="BQ26" s="378">
        <f t="shared" si="13"/>
        <v>0</v>
      </c>
      <c r="BR26" s="378">
        <f t="shared" si="13"/>
        <v>0</v>
      </c>
    </row>
    <row r="27" spans="1:70" outlineLevel="1">
      <c r="A27" s="374">
        <f t="shared" si="1"/>
        <v>0</v>
      </c>
      <c r="B27" s="359">
        <v>3203</v>
      </c>
      <c r="C27" s="359">
        <v>1</v>
      </c>
      <c r="D27" s="360"/>
      <c r="E27" s="360" t="s">
        <v>492</v>
      </c>
      <c r="F27" s="373" t="s">
        <v>562</v>
      </c>
      <c r="G27" s="360" t="s">
        <v>563</v>
      </c>
      <c r="H27" s="377"/>
      <c r="I27" s="537">
        <f t="shared" ref="I27" si="14">SUM(K27:BR27)</f>
        <v>2450000</v>
      </c>
      <c r="J27" s="546"/>
      <c r="K27" s="383">
        <f>SUMIFS(FACT!$B:$B,FACT!$A:$A,DETAILS!$B27,FACT!$I:$I,DETAILS!$F27,FACT!$J:$J,DETAILS!$G27,FACT!$C:$C,DETAILS!K$4,FACT!$D:$D,DETAILS!$C27)</f>
        <v>0</v>
      </c>
      <c r="L27" s="383">
        <f>SUMIFS(FACT!$B:$B,FACT!$A:$A,DETAILS!$B27,FACT!$I:$I,DETAILS!$F27,FACT!$J:$J,DETAILS!$G27,FACT!$C:$C,DETAILS!L$4,FACT!$D:$D,DETAILS!$C27)</f>
        <v>600000</v>
      </c>
      <c r="M27" s="383">
        <f>SUMIFS(FACT!$B:$B,FACT!$A:$A,DETAILS!$B27,FACT!$I:$I,DETAILS!$F27,FACT!$J:$J,DETAILS!$G27,FACT!$C:$C,DETAILS!M$4,FACT!$D:$D,DETAILS!$C27)</f>
        <v>600000</v>
      </c>
      <c r="N27" s="383">
        <f>SUMIFS(FACT!$B:$B,FACT!$A:$A,DETAILS!$B27,FACT!$I:$I,DETAILS!$F27,FACT!$J:$J,DETAILS!$G27,FACT!$C:$C,DETAILS!N$4,FACT!$D:$D,DETAILS!$C27)</f>
        <v>300000</v>
      </c>
      <c r="O27" s="383">
        <f>SUMIFS(FACT!$B:$B,FACT!$A:$A,DETAILS!$B27,FACT!$I:$I,DETAILS!$F27,FACT!$J:$J,DETAILS!$G27,FACT!$C:$C,DETAILS!O$4,FACT!$D:$D,DETAILS!$C27)</f>
        <v>0</v>
      </c>
      <c r="P27" s="383">
        <f>SUMIFS(FACT!$B:$B,FACT!$A:$A,DETAILS!$B27,FACT!$I:$I,DETAILS!$F27,FACT!$J:$J,DETAILS!$G27,FACT!$C:$C,DETAILS!P$4,FACT!$D:$D,DETAILS!$C27)</f>
        <v>300000</v>
      </c>
      <c r="Q27" s="383">
        <f>SUMIFS(FACT!$B:$B,FACT!$A:$A,DETAILS!$B27,FACT!$I:$I,DETAILS!$F27,FACT!$J:$J,DETAILS!$G27,FACT!$C:$C,DETAILS!Q$4,FACT!$D:$D,DETAILS!$C27)</f>
        <v>150000</v>
      </c>
      <c r="R27" s="383">
        <f>SUMIFS(FACT!$B:$B,FACT!$A:$A,DETAILS!$B27,FACT!$I:$I,DETAILS!$F27,FACT!$J:$J,DETAILS!$G27,FACT!$C:$C,DETAILS!R$4,FACT!$D:$D,DETAILS!$C27)</f>
        <v>500000</v>
      </c>
      <c r="S27" s="377"/>
      <c r="T27" s="377"/>
      <c r="U27" s="377"/>
      <c r="V27" s="377"/>
      <c r="W27" s="377"/>
      <c r="X27" s="377"/>
      <c r="Y27" s="377"/>
      <c r="Z27" s="377"/>
      <c r="AA27" s="377"/>
      <c r="AB27" s="377"/>
      <c r="AC27" s="377"/>
      <c r="AD27" s="377"/>
      <c r="AE27" s="377"/>
      <c r="AF27" s="377"/>
      <c r="AG27" s="377"/>
      <c r="AH27" s="377"/>
      <c r="AI27" s="377"/>
      <c r="AJ27" s="377"/>
      <c r="AK27" s="377"/>
      <c r="AL27" s="377"/>
      <c r="AM27" s="377"/>
      <c r="AN27" s="377"/>
      <c r="AO27" s="377"/>
      <c r="AP27" s="377"/>
      <c r="AQ27" s="377"/>
      <c r="AR27" s="377"/>
      <c r="AS27" s="377"/>
      <c r="AT27" s="377"/>
      <c r="AU27" s="377"/>
      <c r="AV27" s="377"/>
      <c r="AW27" s="377"/>
      <c r="AX27" s="377"/>
      <c r="AY27" s="377"/>
      <c r="AZ27" s="377"/>
      <c r="BA27" s="377"/>
      <c r="BB27" s="377"/>
      <c r="BC27" s="377"/>
      <c r="BD27" s="377"/>
      <c r="BE27" s="377"/>
      <c r="BF27" s="377"/>
      <c r="BG27" s="377"/>
      <c r="BH27" s="377"/>
      <c r="BI27" s="377"/>
      <c r="BJ27" s="377"/>
      <c r="BK27" s="377"/>
      <c r="BL27" s="377"/>
      <c r="BM27" s="377"/>
      <c r="BN27" s="377"/>
      <c r="BO27" s="377"/>
      <c r="BP27" s="377"/>
      <c r="BQ27" s="377"/>
      <c r="BR27" s="377"/>
    </row>
    <row r="28" spans="1:70" ht="15" outlineLevel="1">
      <c r="A28" s="374">
        <f t="shared" si="1"/>
        <v>0</v>
      </c>
      <c r="B28" s="359"/>
      <c r="C28" s="359"/>
      <c r="D28" s="360"/>
      <c r="E28" s="360"/>
      <c r="F28" s="373"/>
      <c r="G28" s="360"/>
      <c r="H28" s="377"/>
      <c r="I28" s="537"/>
      <c r="J28" s="546"/>
      <c r="K28" s="383">
        <f>SUMIFS(FACT!$B:$B,FACT!$A:$A,DETAILS!$B28,FACT!$I:$I,DETAILS!$F28,FACT!$J:$J,DETAILS!$G28,FACT!$C:$C,DETAILS!K$4,FACT!$D:$D,DETAILS!$C28)</f>
        <v>0</v>
      </c>
      <c r="L28" s="383">
        <f>SUMIFS(FACT!$B:$B,FACT!$A:$A,DETAILS!$B28,FACT!$I:$I,DETAILS!$F28,FACT!$J:$J,DETAILS!$G28,FACT!$C:$C,DETAILS!L$4,FACT!$D:$D,DETAILS!$C28)</f>
        <v>0</v>
      </c>
      <c r="M28" s="383">
        <f>SUMIFS(FACT!$B:$B,FACT!$A:$A,DETAILS!$B28,FACT!$I:$I,DETAILS!$F28,FACT!$J:$J,DETAILS!$G28,FACT!$C:$C,DETAILS!M$4,FACT!$D:$D,DETAILS!$C28)</f>
        <v>0</v>
      </c>
      <c r="N28" s="383">
        <f>SUMIFS(FACT!$B:$B,FACT!$A:$A,DETAILS!$B28,FACT!$I:$I,DETAILS!$F28,FACT!$J:$J,DETAILS!$G28,FACT!$C:$C,DETAILS!N$4,FACT!$D:$D,DETAILS!$C28)</f>
        <v>0</v>
      </c>
      <c r="O28" s="383">
        <f>SUMIFS(FACT!$B:$B,FACT!$A:$A,DETAILS!$B28,FACT!$I:$I,DETAILS!$F28,FACT!$J:$J,DETAILS!$G28,FACT!$C:$C,DETAILS!O$4,FACT!$D:$D,DETAILS!$C28)</f>
        <v>0</v>
      </c>
      <c r="P28" s="383">
        <f>SUMIFS(FACT!$B:$B,FACT!$A:$A,DETAILS!$B28,FACT!$I:$I,DETAILS!$F28,FACT!$J:$J,DETAILS!$G28,FACT!$C:$C,DETAILS!P$4,FACT!$D:$D,DETAILS!$C28)</f>
        <v>0</v>
      </c>
      <c r="Q28" s="383">
        <f>SUMIFS(FACT!$B:$B,FACT!$A:$A,DETAILS!$B28,FACT!$I:$I,DETAILS!$F28,FACT!$J:$J,DETAILS!$G28,FACT!$C:$C,DETAILS!Q$4,FACT!$D:$D,DETAILS!$C28)</f>
        <v>0</v>
      </c>
      <c r="R28" s="383">
        <f>SUMIFS(FACT!$B:$B,FACT!$A:$A,DETAILS!$B28,FACT!$I:$I,DETAILS!$F28,FACT!$J:$J,DETAILS!$G28,FACT!$C:$C,DETAILS!R$4,FACT!$D:$D,DETAILS!$C28)</f>
        <v>0</v>
      </c>
      <c r="S28" s="377"/>
      <c r="T28" s="377"/>
      <c r="U28" s="377"/>
      <c r="V28" s="377"/>
      <c r="W28" s="377"/>
      <c r="X28" s="377"/>
      <c r="Y28" s="377"/>
      <c r="Z28" s="377"/>
      <c r="AA28" s="377"/>
      <c r="AB28" s="377"/>
      <c r="AC28" s="377"/>
      <c r="AD28" s="377"/>
      <c r="AE28" s="377"/>
      <c r="AF28" s="1400"/>
      <c r="AG28" s="377"/>
      <c r="AH28" s="377"/>
      <c r="AI28" s="377"/>
      <c r="AJ28" s="377"/>
      <c r="AK28" s="377"/>
      <c r="AL28" s="377"/>
      <c r="AM28" s="377"/>
      <c r="AN28" s="377"/>
      <c r="AO28" s="377"/>
      <c r="AP28" s="377"/>
      <c r="AQ28" s="377"/>
      <c r="AR28" s="377"/>
      <c r="AS28" s="377"/>
      <c r="AT28" s="377"/>
      <c r="AU28" s="377"/>
      <c r="AV28" s="377"/>
      <c r="AW28" s="377"/>
      <c r="AX28" s="377"/>
      <c r="AY28" s="377"/>
      <c r="AZ28" s="377"/>
      <c r="BA28" s="377"/>
      <c r="BB28" s="377"/>
      <c r="BC28" s="377"/>
      <c r="BD28" s="377"/>
      <c r="BE28" s="377"/>
      <c r="BF28" s="377"/>
      <c r="BG28" s="377"/>
      <c r="BH28" s="377"/>
      <c r="BI28" s="377"/>
      <c r="BJ28" s="377"/>
      <c r="BK28" s="377"/>
      <c r="BL28" s="377"/>
      <c r="BM28" s="377"/>
      <c r="BN28" s="377"/>
      <c r="BO28" s="377"/>
      <c r="BP28" s="377"/>
      <c r="BQ28" s="377"/>
      <c r="BR28" s="377"/>
    </row>
    <row r="29" spans="1:70" outlineLevel="1">
      <c r="A29" s="374">
        <f t="shared" si="1"/>
        <v>0</v>
      </c>
      <c r="B29" s="359"/>
      <c r="C29" s="359"/>
      <c r="D29" s="360"/>
      <c r="E29" s="360"/>
      <c r="F29" s="373"/>
      <c r="G29" s="360"/>
      <c r="H29" s="377"/>
      <c r="I29" s="537"/>
      <c r="J29" s="546"/>
      <c r="K29" s="383">
        <f>SUMIFS(FACT!$B:$B,FACT!$A:$A,DETAILS!$B29,FACT!$I:$I,DETAILS!$F29,FACT!$J:$J,DETAILS!$G29,FACT!$C:$C,DETAILS!K$4,FACT!$D:$D,DETAILS!$C29)</f>
        <v>0</v>
      </c>
      <c r="L29" s="383">
        <f>SUMIFS(FACT!$B:$B,FACT!$A:$A,DETAILS!$B29,FACT!$I:$I,DETAILS!$F29,FACT!$J:$J,DETAILS!$G29,FACT!$C:$C,DETAILS!L$4,FACT!$D:$D,DETAILS!$C29)</f>
        <v>0</v>
      </c>
      <c r="M29" s="383">
        <f>SUMIFS(FACT!$B:$B,FACT!$A:$A,DETAILS!$B29,FACT!$I:$I,DETAILS!$F29,FACT!$J:$J,DETAILS!$G29,FACT!$C:$C,DETAILS!M$4,FACT!$D:$D,DETAILS!$C29)</f>
        <v>0</v>
      </c>
      <c r="N29" s="383">
        <f>SUMIFS(FACT!$B:$B,FACT!$A:$A,DETAILS!$B29,FACT!$I:$I,DETAILS!$F29,FACT!$J:$J,DETAILS!$G29,FACT!$C:$C,DETAILS!N$4,FACT!$D:$D,DETAILS!$C29)</f>
        <v>0</v>
      </c>
      <c r="O29" s="383">
        <f>SUMIFS(FACT!$B:$B,FACT!$A:$A,DETAILS!$B29,FACT!$I:$I,DETAILS!$F29,FACT!$J:$J,DETAILS!$G29,FACT!$C:$C,DETAILS!O$4,FACT!$D:$D,DETAILS!$C29)</f>
        <v>0</v>
      </c>
      <c r="P29" s="383">
        <f>SUMIFS(FACT!$B:$B,FACT!$A:$A,DETAILS!$B29,FACT!$I:$I,DETAILS!$F29,FACT!$J:$J,DETAILS!$G29,FACT!$C:$C,DETAILS!P$4,FACT!$D:$D,DETAILS!$C29)</f>
        <v>0</v>
      </c>
      <c r="Q29" s="383">
        <f>SUMIFS(FACT!$B:$B,FACT!$A:$A,DETAILS!$B29,FACT!$I:$I,DETAILS!$F29,FACT!$J:$J,DETAILS!$G29,FACT!$C:$C,DETAILS!Q$4,FACT!$D:$D,DETAILS!$C29)</f>
        <v>0</v>
      </c>
      <c r="R29" s="383">
        <f>SUMIFS(FACT!$B:$B,FACT!$A:$A,DETAILS!$B29,FACT!$I:$I,DETAILS!$F29,FACT!$J:$J,DETAILS!$G29,FACT!$C:$C,DETAILS!R$4,FACT!$D:$D,DETAILS!$C29)</f>
        <v>0</v>
      </c>
      <c r="S29" s="377"/>
      <c r="T29" s="377"/>
      <c r="U29" s="377"/>
      <c r="V29" s="377"/>
      <c r="W29" s="377"/>
      <c r="X29" s="377"/>
      <c r="Y29" s="377"/>
      <c r="Z29" s="377"/>
      <c r="AA29" s="377"/>
      <c r="AB29" s="377"/>
      <c r="AC29" s="377"/>
      <c r="AD29" s="377"/>
      <c r="AE29" s="377"/>
      <c r="AF29" s="377"/>
      <c r="AG29" s="377"/>
      <c r="AH29" s="377"/>
      <c r="AI29" s="377"/>
      <c r="AJ29" s="377"/>
      <c r="AK29" s="377"/>
      <c r="AL29" s="377"/>
      <c r="AM29" s="377"/>
      <c r="AN29" s="377"/>
      <c r="AO29" s="377"/>
      <c r="AP29" s="377"/>
      <c r="AQ29" s="377"/>
      <c r="AR29" s="377"/>
      <c r="AS29" s="377"/>
      <c r="AT29" s="377"/>
      <c r="AU29" s="377"/>
      <c r="AV29" s="377"/>
      <c r="AW29" s="377"/>
      <c r="AX29" s="377"/>
      <c r="AY29" s="377"/>
      <c r="AZ29" s="377"/>
      <c r="BA29" s="377"/>
      <c r="BB29" s="377"/>
      <c r="BC29" s="377"/>
      <c r="BD29" s="377"/>
      <c r="BE29" s="377"/>
      <c r="BF29" s="377"/>
      <c r="BG29" s="377"/>
      <c r="BH29" s="377"/>
      <c r="BI29" s="377"/>
      <c r="BJ29" s="377"/>
      <c r="BK29" s="377"/>
      <c r="BL29" s="377"/>
      <c r="BM29" s="377"/>
      <c r="BN29" s="377"/>
      <c r="BO29" s="377"/>
      <c r="BP29" s="377"/>
      <c r="BQ29" s="377"/>
      <c r="BR29" s="377"/>
    </row>
    <row r="30" spans="1:70" s="353" customFormat="1" outlineLevel="1">
      <c r="A30" s="374">
        <f t="shared" si="1"/>
        <v>0</v>
      </c>
      <c r="B30" s="363">
        <v>3500</v>
      </c>
      <c r="C30" s="363"/>
      <c r="D30" s="364" t="s">
        <v>440</v>
      </c>
      <c r="E30" s="364"/>
      <c r="F30" s="364"/>
      <c r="G30" s="364"/>
      <c r="H30" s="378">
        <f>SUM(H31:H36)</f>
        <v>0</v>
      </c>
      <c r="I30" s="538">
        <f t="shared" ref="I30:BR30" si="15">SUM(I31:I36)</f>
        <v>1720000</v>
      </c>
      <c r="J30" s="547">
        <f t="shared" si="15"/>
        <v>0</v>
      </c>
      <c r="K30" s="378">
        <f t="shared" si="15"/>
        <v>200000</v>
      </c>
      <c r="L30" s="378">
        <f t="shared" si="15"/>
        <v>0</v>
      </c>
      <c r="M30" s="378">
        <f t="shared" si="15"/>
        <v>0</v>
      </c>
      <c r="N30" s="378">
        <f t="shared" ref="N30:R30" si="16">SUM(N31:N36)</f>
        <v>0</v>
      </c>
      <c r="O30" s="378">
        <f t="shared" si="16"/>
        <v>0</v>
      </c>
      <c r="P30" s="378">
        <f t="shared" si="16"/>
        <v>500000</v>
      </c>
      <c r="Q30" s="378">
        <f t="shared" si="16"/>
        <v>450000</v>
      </c>
      <c r="R30" s="378">
        <f t="shared" si="16"/>
        <v>570000</v>
      </c>
      <c r="S30" s="378">
        <f t="shared" si="15"/>
        <v>0</v>
      </c>
      <c r="T30" s="378">
        <f t="shared" si="15"/>
        <v>0</v>
      </c>
      <c r="U30" s="378">
        <f t="shared" si="15"/>
        <v>0</v>
      </c>
      <c r="V30" s="378">
        <f t="shared" si="15"/>
        <v>0</v>
      </c>
      <c r="W30" s="378">
        <f t="shared" si="15"/>
        <v>0</v>
      </c>
      <c r="X30" s="378">
        <f t="shared" si="15"/>
        <v>0</v>
      </c>
      <c r="Y30" s="378">
        <f t="shared" si="15"/>
        <v>0</v>
      </c>
      <c r="Z30" s="378">
        <f t="shared" si="15"/>
        <v>0</v>
      </c>
      <c r="AA30" s="378">
        <f t="shared" si="15"/>
        <v>0</v>
      </c>
      <c r="AB30" s="378">
        <f t="shared" si="15"/>
        <v>0</v>
      </c>
      <c r="AC30" s="378">
        <f t="shared" si="15"/>
        <v>0</v>
      </c>
      <c r="AD30" s="378">
        <f t="shared" si="15"/>
        <v>0</v>
      </c>
      <c r="AE30" s="378">
        <f t="shared" si="15"/>
        <v>0</v>
      </c>
      <c r="AF30" s="378">
        <f t="shared" si="15"/>
        <v>0</v>
      </c>
      <c r="AG30" s="378">
        <f t="shared" si="15"/>
        <v>0</v>
      </c>
      <c r="AH30" s="378">
        <f t="shared" si="15"/>
        <v>0</v>
      </c>
      <c r="AI30" s="378">
        <f t="shared" si="15"/>
        <v>0</v>
      </c>
      <c r="AJ30" s="378">
        <f t="shared" si="15"/>
        <v>0</v>
      </c>
      <c r="AK30" s="378">
        <f t="shared" si="15"/>
        <v>0</v>
      </c>
      <c r="AL30" s="378">
        <f t="shared" si="15"/>
        <v>0</v>
      </c>
      <c r="AM30" s="378">
        <f t="shared" si="15"/>
        <v>0</v>
      </c>
      <c r="AN30" s="378">
        <f t="shared" si="15"/>
        <v>0</v>
      </c>
      <c r="AO30" s="378">
        <f t="shared" si="15"/>
        <v>0</v>
      </c>
      <c r="AP30" s="378">
        <f t="shared" si="15"/>
        <v>0</v>
      </c>
      <c r="AQ30" s="378">
        <f t="shared" si="15"/>
        <v>0</v>
      </c>
      <c r="AR30" s="378">
        <f t="shared" si="15"/>
        <v>0</v>
      </c>
      <c r="AS30" s="378">
        <f t="shared" si="15"/>
        <v>0</v>
      </c>
      <c r="AT30" s="378">
        <f t="shared" si="15"/>
        <v>0</v>
      </c>
      <c r="AU30" s="378">
        <f t="shared" si="15"/>
        <v>0</v>
      </c>
      <c r="AV30" s="378">
        <f t="shared" si="15"/>
        <v>0</v>
      </c>
      <c r="AW30" s="378">
        <f t="shared" si="15"/>
        <v>0</v>
      </c>
      <c r="AX30" s="378">
        <f t="shared" si="15"/>
        <v>0</v>
      </c>
      <c r="AY30" s="378">
        <f t="shared" si="15"/>
        <v>0</v>
      </c>
      <c r="AZ30" s="378">
        <f t="shared" si="15"/>
        <v>0</v>
      </c>
      <c r="BA30" s="378">
        <f t="shared" si="15"/>
        <v>0</v>
      </c>
      <c r="BB30" s="378">
        <f t="shared" si="15"/>
        <v>0</v>
      </c>
      <c r="BC30" s="378">
        <f t="shared" si="15"/>
        <v>0</v>
      </c>
      <c r="BD30" s="378">
        <f t="shared" si="15"/>
        <v>0</v>
      </c>
      <c r="BE30" s="378">
        <f t="shared" si="15"/>
        <v>0</v>
      </c>
      <c r="BF30" s="378">
        <f t="shared" si="15"/>
        <v>0</v>
      </c>
      <c r="BG30" s="378">
        <f t="shared" si="15"/>
        <v>0</v>
      </c>
      <c r="BH30" s="378">
        <f t="shared" si="15"/>
        <v>0</v>
      </c>
      <c r="BI30" s="378">
        <f t="shared" si="15"/>
        <v>0</v>
      </c>
      <c r="BJ30" s="378">
        <f t="shared" si="15"/>
        <v>0</v>
      </c>
      <c r="BK30" s="378">
        <f t="shared" si="15"/>
        <v>0</v>
      </c>
      <c r="BL30" s="378">
        <f t="shared" si="15"/>
        <v>0</v>
      </c>
      <c r="BM30" s="378">
        <f t="shared" si="15"/>
        <v>0</v>
      </c>
      <c r="BN30" s="378">
        <f t="shared" si="15"/>
        <v>0</v>
      </c>
      <c r="BO30" s="378">
        <f t="shared" si="15"/>
        <v>0</v>
      </c>
      <c r="BP30" s="378">
        <f t="shared" si="15"/>
        <v>0</v>
      </c>
      <c r="BQ30" s="378">
        <f t="shared" si="15"/>
        <v>0</v>
      </c>
      <c r="BR30" s="378">
        <f t="shared" si="15"/>
        <v>0</v>
      </c>
    </row>
    <row r="31" spans="1:70" outlineLevel="1">
      <c r="A31" s="374">
        <f t="shared" si="1"/>
        <v>0</v>
      </c>
      <c r="B31" s="359">
        <v>3202</v>
      </c>
      <c r="C31" s="359">
        <v>1</v>
      </c>
      <c r="D31" s="360"/>
      <c r="E31" s="360" t="s">
        <v>671</v>
      </c>
      <c r="F31" s="373" t="s">
        <v>402</v>
      </c>
      <c r="G31" s="360" t="s">
        <v>689</v>
      </c>
      <c r="H31" s="377"/>
      <c r="I31" s="537">
        <f t="shared" ref="I31" si="17">SUM(K31:BR31)</f>
        <v>740000</v>
      </c>
      <c r="J31" s="546"/>
      <c r="K31" s="383">
        <f>SUMIFS(FACT!$B:$B,FACT!$A:$A,DETAILS!$B31,FACT!$I:$I,DETAILS!$F31,FACT!$J:$J,DETAILS!$G31,FACT!$C:$C,DETAILS!K$4,FACT!$D:$D,DETAILS!$C31)</f>
        <v>0</v>
      </c>
      <c r="L31" s="383">
        <f>SUMIFS(FACT!$B:$B,FACT!$A:$A,DETAILS!$B31,FACT!$I:$I,DETAILS!$F31,FACT!$J:$J,DETAILS!$G31,FACT!$C:$C,DETAILS!L$4,FACT!$D:$D,DETAILS!$C31)</f>
        <v>0</v>
      </c>
      <c r="M31" s="383">
        <f>SUMIFS(FACT!$B:$B,FACT!$A:$A,DETAILS!$B31,FACT!$I:$I,DETAILS!$F31,FACT!$J:$J,DETAILS!$G31,FACT!$C:$C,DETAILS!M$4,FACT!$D:$D,DETAILS!$C31)</f>
        <v>0</v>
      </c>
      <c r="N31" s="383">
        <f>SUMIFS(FACT!$B:$B,FACT!$A:$A,DETAILS!$B31,FACT!$I:$I,DETAILS!$F31,FACT!$J:$J,DETAILS!$G31,FACT!$C:$C,DETAILS!N$4,FACT!$D:$D,DETAILS!$C31)</f>
        <v>0</v>
      </c>
      <c r="O31" s="383">
        <f>SUMIFS(FACT!$B:$B,FACT!$A:$A,DETAILS!$B31,FACT!$I:$I,DETAILS!$F31,FACT!$J:$J,DETAILS!$G31,FACT!$C:$C,DETAILS!O$4,FACT!$D:$D,DETAILS!$C31)</f>
        <v>0</v>
      </c>
      <c r="P31" s="383">
        <f>SUMIFS(FACT!$B:$B,FACT!$A:$A,DETAILS!$B31,FACT!$I:$I,DETAILS!$F31,FACT!$J:$J,DETAILS!$G31,FACT!$C:$C,DETAILS!P$4,FACT!$D:$D,DETAILS!$C31)</f>
        <v>100000</v>
      </c>
      <c r="Q31" s="383">
        <f>SUMIFS(FACT!$B:$B,FACT!$A:$A,DETAILS!$B31,FACT!$I:$I,DETAILS!$F31,FACT!$J:$J,DETAILS!$G31,FACT!$C:$C,DETAILS!Q$4,FACT!$D:$D,DETAILS!$C31)</f>
        <v>450000</v>
      </c>
      <c r="R31" s="383">
        <f>SUMIFS(FACT!$B:$B,FACT!$A:$A,DETAILS!$B31,FACT!$I:$I,DETAILS!$F31,FACT!$J:$J,DETAILS!$G31,FACT!$C:$C,DETAILS!R$4,FACT!$D:$D,DETAILS!$C31)</f>
        <v>190000</v>
      </c>
      <c r="S31" s="377"/>
      <c r="T31" s="377"/>
      <c r="U31" s="377"/>
      <c r="V31" s="377"/>
      <c r="W31" s="377"/>
      <c r="X31" s="377"/>
      <c r="Y31" s="377"/>
      <c r="Z31" s="377"/>
      <c r="AA31" s="377"/>
      <c r="AB31" s="377"/>
      <c r="AC31" s="377"/>
      <c r="AD31" s="377"/>
      <c r="AE31" s="377"/>
      <c r="AF31" s="377"/>
      <c r="AG31" s="377"/>
      <c r="AH31" s="377"/>
      <c r="AI31" s="377"/>
      <c r="AJ31" s="377"/>
      <c r="AK31" s="377"/>
      <c r="AL31" s="377"/>
      <c r="AM31" s="377"/>
      <c r="AN31" s="377"/>
      <c r="AO31" s="377"/>
      <c r="AP31" s="377"/>
      <c r="AQ31" s="377"/>
      <c r="AR31" s="377"/>
      <c r="AS31" s="377"/>
      <c r="AT31" s="377"/>
      <c r="AU31" s="377"/>
      <c r="AV31" s="377"/>
      <c r="AW31" s="377"/>
      <c r="AX31" s="377"/>
      <c r="AY31" s="377"/>
      <c r="AZ31" s="377"/>
      <c r="BA31" s="377"/>
      <c r="BB31" s="377"/>
      <c r="BC31" s="377"/>
      <c r="BD31" s="377"/>
      <c r="BE31" s="377"/>
      <c r="BF31" s="377"/>
      <c r="BG31" s="377"/>
      <c r="BH31" s="377"/>
      <c r="BI31" s="377"/>
      <c r="BJ31" s="377"/>
      <c r="BK31" s="377"/>
      <c r="BL31" s="377"/>
      <c r="BM31" s="377"/>
      <c r="BN31" s="377"/>
      <c r="BO31" s="377"/>
      <c r="BP31" s="377"/>
      <c r="BQ31" s="377"/>
      <c r="BR31" s="377"/>
    </row>
    <row r="32" spans="1:70" outlineLevel="1">
      <c r="A32" s="374"/>
      <c r="B32" s="359">
        <v>3202</v>
      </c>
      <c r="C32" s="359">
        <v>1</v>
      </c>
      <c r="D32" s="360"/>
      <c r="E32" s="360" t="s">
        <v>671</v>
      </c>
      <c r="F32" s="373" t="s">
        <v>402</v>
      </c>
      <c r="G32" s="360" t="s">
        <v>806</v>
      </c>
      <c r="H32" s="377"/>
      <c r="I32" s="537">
        <f t="shared" ref="I32:I34" si="18">SUM(K32:BR32)</f>
        <v>380000</v>
      </c>
      <c r="J32" s="546"/>
      <c r="K32" s="383">
        <f>SUMIFS(FACT!$B:$B,FACT!$A:$A,DETAILS!$B32,FACT!$I:$I,DETAILS!$F32,FACT!$J:$J,DETAILS!$G32,FACT!$C:$C,DETAILS!K$4,FACT!$D:$D,DETAILS!$C32)</f>
        <v>0</v>
      </c>
      <c r="L32" s="383">
        <f>SUMIFS(FACT!$B:$B,FACT!$A:$A,DETAILS!$B32,FACT!$I:$I,DETAILS!$F32,FACT!$J:$J,DETAILS!$G32,FACT!$C:$C,DETAILS!L$4,FACT!$D:$D,DETAILS!$C32)</f>
        <v>0</v>
      </c>
      <c r="M32" s="383">
        <f>SUMIFS(FACT!$B:$B,FACT!$A:$A,DETAILS!$B32,FACT!$I:$I,DETAILS!$F32,FACT!$J:$J,DETAILS!$G32,FACT!$C:$C,DETAILS!M$4,FACT!$D:$D,DETAILS!$C32)</f>
        <v>0</v>
      </c>
      <c r="N32" s="383">
        <f>SUMIFS(FACT!$B:$B,FACT!$A:$A,DETAILS!$B32,FACT!$I:$I,DETAILS!$F32,FACT!$J:$J,DETAILS!$G32,FACT!$C:$C,DETAILS!N$4,FACT!$D:$D,DETAILS!$C32)</f>
        <v>0</v>
      </c>
      <c r="O32" s="383">
        <f>SUMIFS(FACT!$B:$B,FACT!$A:$A,DETAILS!$B32,FACT!$I:$I,DETAILS!$F32,FACT!$J:$J,DETAILS!$G32,FACT!$C:$C,DETAILS!O$4,FACT!$D:$D,DETAILS!$C32)</f>
        <v>0</v>
      </c>
      <c r="P32" s="383">
        <f>SUMIFS(FACT!$B:$B,FACT!$A:$A,DETAILS!$B32,FACT!$I:$I,DETAILS!$F32,FACT!$J:$J,DETAILS!$G32,FACT!$C:$C,DETAILS!P$4,FACT!$D:$D,DETAILS!$C32)</f>
        <v>0</v>
      </c>
      <c r="Q32" s="383">
        <f>SUMIFS(FACT!$B:$B,FACT!$A:$A,DETAILS!$B32,FACT!$I:$I,DETAILS!$F32,FACT!$J:$J,DETAILS!$G32,FACT!$C:$C,DETAILS!Q$4,FACT!$D:$D,DETAILS!$C32)</f>
        <v>0</v>
      </c>
      <c r="R32" s="383">
        <f>SUMIFS(FACT!$B:$B,FACT!$A:$A,DETAILS!$B32,FACT!$I:$I,DETAILS!$F32,FACT!$J:$J,DETAILS!$G32,FACT!$C:$C,DETAILS!R$4,FACT!$D:$D,DETAILS!$C32)</f>
        <v>380000</v>
      </c>
      <c r="S32" s="377"/>
      <c r="T32" s="377"/>
      <c r="U32" s="377"/>
      <c r="V32" s="377"/>
      <c r="W32" s="377"/>
      <c r="X32" s="377"/>
      <c r="Y32" s="377"/>
      <c r="Z32" s="377"/>
      <c r="AA32" s="377"/>
      <c r="AB32" s="377"/>
      <c r="AC32" s="377"/>
      <c r="AD32" s="377"/>
      <c r="AE32" s="377"/>
      <c r="AF32" s="377"/>
      <c r="AG32" s="377"/>
      <c r="AH32" s="377"/>
      <c r="AI32" s="377"/>
      <c r="AJ32" s="377"/>
      <c r="AK32" s="377"/>
      <c r="AL32" s="377"/>
      <c r="AM32" s="377"/>
      <c r="AN32" s="377"/>
      <c r="AO32" s="377"/>
      <c r="AP32" s="377"/>
      <c r="AQ32" s="377"/>
      <c r="AR32" s="377"/>
      <c r="AS32" s="377"/>
      <c r="AT32" s="377"/>
      <c r="AU32" s="377"/>
      <c r="AV32" s="377"/>
      <c r="AW32" s="377"/>
      <c r="AX32" s="377"/>
      <c r="AY32" s="377"/>
      <c r="AZ32" s="377"/>
      <c r="BA32" s="377"/>
      <c r="BB32" s="377"/>
      <c r="BC32" s="377"/>
      <c r="BD32" s="377"/>
      <c r="BE32" s="377"/>
      <c r="BF32" s="377"/>
      <c r="BG32" s="377"/>
      <c r="BH32" s="377"/>
      <c r="BI32" s="377"/>
      <c r="BJ32" s="377"/>
      <c r="BK32" s="377"/>
      <c r="BL32" s="377"/>
      <c r="BM32" s="377"/>
      <c r="BN32" s="377"/>
      <c r="BO32" s="377"/>
      <c r="BP32" s="377"/>
      <c r="BQ32" s="377"/>
      <c r="BR32" s="377"/>
    </row>
    <row r="33" spans="1:70" outlineLevel="1">
      <c r="A33" s="374"/>
      <c r="B33" s="359">
        <v>3511</v>
      </c>
      <c r="C33" s="359">
        <v>1</v>
      </c>
      <c r="D33" s="360"/>
      <c r="E33" s="360" t="s">
        <v>492</v>
      </c>
      <c r="F33" s="373"/>
      <c r="G33" s="360"/>
      <c r="H33" s="377"/>
      <c r="I33" s="537">
        <f t="shared" si="18"/>
        <v>200000</v>
      </c>
      <c r="J33" s="546"/>
      <c r="K33" s="383">
        <f>SUMIFS(FACT!$B:$B,FACT!$A:$A,DETAILS!$B33,FACT!$C:$C,DETAILS!K$4,FACT!$D:$D,DETAILS!$C33,FACT!$H:$H,DETAILS!$E33)</f>
        <v>200000</v>
      </c>
      <c r="L33" s="383">
        <f>SUMIFS(FACT!$B:$B,FACT!$A:$A,DETAILS!$B33,FACT!$C:$C,DETAILS!L$4,FACT!$D:$D,DETAILS!$C33,FACT!$H:$H,DETAILS!$E33)</f>
        <v>0</v>
      </c>
      <c r="M33" s="383">
        <f>SUMIFS(FACT!$B:$B,FACT!$A:$A,DETAILS!$B33,FACT!$C:$C,DETAILS!M$4,FACT!$D:$D,DETAILS!$C33,FACT!$H:$H,DETAILS!$E33)</f>
        <v>0</v>
      </c>
      <c r="N33" s="383">
        <f>SUMIFS(FACT!$B:$B,FACT!$A:$A,DETAILS!$B33,FACT!$C:$C,DETAILS!N$4,FACT!$D:$D,DETAILS!$C33,FACT!$H:$H,DETAILS!$E33)</f>
        <v>0</v>
      </c>
      <c r="O33" s="383">
        <f>SUMIFS(FACT!$B:$B,FACT!$A:$A,DETAILS!$B33,FACT!$C:$C,DETAILS!O$4,FACT!$D:$D,DETAILS!$C33,FACT!$H:$H,DETAILS!$E33)</f>
        <v>0</v>
      </c>
      <c r="P33" s="383">
        <f>SUMIFS(FACT!$B:$B,FACT!$A:$A,DETAILS!$B33,FACT!$C:$C,DETAILS!P$4,FACT!$D:$D,DETAILS!$C33,FACT!$H:$H,DETAILS!$E33)</f>
        <v>0</v>
      </c>
      <c r="Q33" s="383">
        <f>SUMIFS(FACT!$B:$B,FACT!$A:$A,DETAILS!$B33,FACT!$C:$C,DETAILS!Q$4,FACT!$D:$D,DETAILS!$C33,FACT!$H:$H,DETAILS!$E33)</f>
        <v>0</v>
      </c>
      <c r="R33" s="383">
        <f>SUMIFS(FACT!$B:$B,FACT!$A:$A,DETAILS!$B33,FACT!$C:$C,DETAILS!R$4,FACT!$D:$D,DETAILS!$C33,FACT!$H:$H,DETAILS!$E33)</f>
        <v>0</v>
      </c>
      <c r="S33" s="377"/>
      <c r="T33" s="377"/>
      <c r="U33" s="377"/>
      <c r="V33" s="377"/>
      <c r="W33" s="377"/>
      <c r="X33" s="377"/>
      <c r="Y33" s="377"/>
      <c r="Z33" s="377"/>
      <c r="AA33" s="377"/>
      <c r="AB33" s="377"/>
      <c r="AC33" s="377"/>
      <c r="AD33" s="377"/>
      <c r="AE33" s="377"/>
      <c r="AF33" s="377"/>
      <c r="AG33" s="377"/>
      <c r="AH33" s="377"/>
      <c r="AI33" s="377"/>
      <c r="AJ33" s="377"/>
      <c r="AK33" s="377"/>
      <c r="AL33" s="377"/>
      <c r="AM33" s="377"/>
      <c r="AN33" s="377"/>
      <c r="AO33" s="377"/>
      <c r="AP33" s="377"/>
      <c r="AQ33" s="377"/>
      <c r="AR33" s="377"/>
      <c r="AS33" s="377"/>
      <c r="AT33" s="377"/>
      <c r="AU33" s="377"/>
      <c r="AV33" s="377"/>
      <c r="AW33" s="377"/>
      <c r="AX33" s="377"/>
      <c r="AY33" s="377"/>
      <c r="AZ33" s="377"/>
      <c r="BA33" s="377"/>
      <c r="BB33" s="377"/>
      <c r="BC33" s="377"/>
      <c r="BD33" s="377"/>
      <c r="BE33" s="377"/>
      <c r="BF33" s="377"/>
      <c r="BG33" s="377"/>
      <c r="BH33" s="377"/>
      <c r="BI33" s="377"/>
      <c r="BJ33" s="377"/>
      <c r="BK33" s="377"/>
      <c r="BL33" s="377"/>
      <c r="BM33" s="377"/>
      <c r="BN33" s="377"/>
      <c r="BO33" s="377"/>
      <c r="BP33" s="377"/>
      <c r="BQ33" s="377"/>
      <c r="BR33" s="377"/>
    </row>
    <row r="34" spans="1:70" outlineLevel="1">
      <c r="A34" s="374"/>
      <c r="B34" s="359">
        <v>3511</v>
      </c>
      <c r="C34" s="359">
        <v>1</v>
      </c>
      <c r="D34" s="360"/>
      <c r="E34" s="360" t="s">
        <v>671</v>
      </c>
      <c r="F34" s="373"/>
      <c r="G34" s="360"/>
      <c r="H34" s="377"/>
      <c r="I34" s="537">
        <f t="shared" si="18"/>
        <v>400000</v>
      </c>
      <c r="J34" s="546"/>
      <c r="K34" s="383">
        <f>SUMIFS(FACT!$B:$B,FACT!$A:$A,DETAILS!$B34,FACT!$C:$C,DETAILS!K$4,FACT!$D:$D,DETAILS!$C34,FACT!$H:$H,DETAILS!$E34)</f>
        <v>0</v>
      </c>
      <c r="L34" s="383">
        <f>SUMIFS(FACT!$B:$B,FACT!$A:$A,DETAILS!$B34,FACT!$C:$C,DETAILS!L$4,FACT!$D:$D,DETAILS!$C34,FACT!$H:$H,DETAILS!$E34)</f>
        <v>0</v>
      </c>
      <c r="M34" s="383">
        <f>SUMIFS(FACT!$B:$B,FACT!$A:$A,DETAILS!$B34,FACT!$C:$C,DETAILS!M$4,FACT!$D:$D,DETAILS!$C34,FACT!$H:$H,DETAILS!$E34)</f>
        <v>0</v>
      </c>
      <c r="N34" s="383">
        <f>SUMIFS(FACT!$B:$B,FACT!$A:$A,DETAILS!$B34,FACT!$C:$C,DETAILS!N$4,FACT!$D:$D,DETAILS!$C34,FACT!$H:$H,DETAILS!$E34)</f>
        <v>0</v>
      </c>
      <c r="O34" s="383">
        <f>SUMIFS(FACT!$B:$B,FACT!$A:$A,DETAILS!$B34,FACT!$C:$C,DETAILS!O$4,FACT!$D:$D,DETAILS!$C34,FACT!$H:$H,DETAILS!$E34)</f>
        <v>0</v>
      </c>
      <c r="P34" s="383">
        <f>SUMIFS(FACT!$B:$B,FACT!$A:$A,DETAILS!$B34,FACT!$C:$C,DETAILS!P$4,FACT!$D:$D,DETAILS!$C34,FACT!$H:$H,DETAILS!$E34)</f>
        <v>400000</v>
      </c>
      <c r="Q34" s="383">
        <f>SUMIFS(FACT!$B:$B,FACT!$A:$A,DETAILS!$B34,FACT!$C:$C,DETAILS!Q$4,FACT!$D:$D,DETAILS!$C34,FACT!$H:$H,DETAILS!$E34)</f>
        <v>0</v>
      </c>
      <c r="R34" s="383">
        <f>SUMIFS(FACT!$B:$B,FACT!$A:$A,DETAILS!$B34,FACT!$C:$C,DETAILS!R$4,FACT!$D:$D,DETAILS!$C34,FACT!$H:$H,DETAILS!$E34)</f>
        <v>0</v>
      </c>
      <c r="S34" s="377"/>
      <c r="T34" s="377"/>
      <c r="U34" s="377"/>
      <c r="V34" s="377"/>
      <c r="W34" s="377"/>
      <c r="X34" s="377"/>
      <c r="Y34" s="377"/>
      <c r="Z34" s="377"/>
      <c r="AA34" s="377"/>
      <c r="AB34" s="377"/>
      <c r="AC34" s="377"/>
      <c r="AD34" s="377"/>
      <c r="AE34" s="377"/>
      <c r="AF34" s="377"/>
      <c r="AG34" s="377"/>
      <c r="AH34" s="377"/>
      <c r="AI34" s="377"/>
      <c r="AJ34" s="377"/>
      <c r="AK34" s="377"/>
      <c r="AL34" s="377"/>
      <c r="AM34" s="377"/>
      <c r="AN34" s="377"/>
      <c r="AO34" s="377"/>
      <c r="AP34" s="377"/>
      <c r="AQ34" s="377"/>
      <c r="AR34" s="377"/>
      <c r="AS34" s="377"/>
      <c r="AT34" s="377"/>
      <c r="AU34" s="377"/>
      <c r="AV34" s="377"/>
      <c r="AW34" s="377"/>
      <c r="AX34" s="377"/>
      <c r="AY34" s="377"/>
      <c r="AZ34" s="377"/>
      <c r="BA34" s="377"/>
      <c r="BB34" s="377"/>
      <c r="BC34" s="377"/>
      <c r="BD34" s="377"/>
      <c r="BE34" s="377"/>
      <c r="BF34" s="377"/>
      <c r="BG34" s="377"/>
      <c r="BH34" s="377"/>
      <c r="BI34" s="377"/>
      <c r="BJ34" s="377"/>
      <c r="BK34" s="377"/>
      <c r="BL34" s="377"/>
      <c r="BM34" s="377"/>
      <c r="BN34" s="377"/>
      <c r="BO34" s="377"/>
      <c r="BP34" s="377"/>
      <c r="BQ34" s="377"/>
      <c r="BR34" s="377"/>
    </row>
    <row r="35" spans="1:70" outlineLevel="1">
      <c r="A35" s="374">
        <f t="shared" si="1"/>
        <v>0</v>
      </c>
      <c r="B35" s="359"/>
      <c r="C35" s="359"/>
      <c r="D35" s="360"/>
      <c r="E35" s="360"/>
      <c r="F35" s="373"/>
      <c r="G35" s="360"/>
      <c r="H35" s="377"/>
      <c r="I35" s="537"/>
      <c r="J35" s="546"/>
      <c r="K35" s="383">
        <f>SUMIFS(FACT!$B:$B,FACT!$A:$A,DETAILS!$B35,FACT!$I:$I,DETAILS!$F35,FACT!$J:$J,DETAILS!$G35,FACT!$C:$C,DETAILS!K$4,FACT!$D:$D,DETAILS!$C35)</f>
        <v>0</v>
      </c>
      <c r="L35" s="383">
        <f>SUMIFS(FACT!$B:$B,FACT!$A:$A,DETAILS!$B35,FACT!$I:$I,DETAILS!$F35,FACT!$J:$J,DETAILS!$G35,FACT!$C:$C,DETAILS!L$4,FACT!$D:$D,DETAILS!$C35)</f>
        <v>0</v>
      </c>
      <c r="M35" s="383">
        <f>SUMIFS(FACT!$B:$B,FACT!$A:$A,DETAILS!$B35,FACT!$I:$I,DETAILS!$F35,FACT!$J:$J,DETAILS!$G35,FACT!$C:$C,DETAILS!M$4,FACT!$D:$D,DETAILS!$C35)</f>
        <v>0</v>
      </c>
      <c r="N35" s="383">
        <f>SUMIFS(FACT!$B:$B,FACT!$A:$A,DETAILS!$B35,FACT!$I:$I,DETAILS!$F35,FACT!$J:$J,DETAILS!$G35,FACT!$C:$C,DETAILS!N$4,FACT!$D:$D,DETAILS!$C35)</f>
        <v>0</v>
      </c>
      <c r="O35" s="383">
        <f>SUMIFS(FACT!$B:$B,FACT!$A:$A,DETAILS!$B35,FACT!$I:$I,DETAILS!$F35,FACT!$J:$J,DETAILS!$G35,FACT!$C:$C,DETAILS!O$4,FACT!$D:$D,DETAILS!$C35)</f>
        <v>0</v>
      </c>
      <c r="P35" s="383">
        <f>SUMIFS(FACT!$B:$B,FACT!$A:$A,DETAILS!$B35,FACT!$I:$I,DETAILS!$F35,FACT!$J:$J,DETAILS!$G35,FACT!$C:$C,DETAILS!P$4,FACT!$D:$D,DETAILS!$C35)</f>
        <v>0</v>
      </c>
      <c r="Q35" s="383">
        <f>SUMIFS(FACT!$B:$B,FACT!$A:$A,DETAILS!$B35,FACT!$I:$I,DETAILS!$F35,FACT!$J:$J,DETAILS!$G35,FACT!$C:$C,DETAILS!Q$4,FACT!$D:$D,DETAILS!$C35)</f>
        <v>0</v>
      </c>
      <c r="R35" s="383">
        <f>SUMIFS(FACT!$B:$B,FACT!$A:$A,DETAILS!$B35,FACT!$I:$I,DETAILS!$F35,FACT!$J:$J,DETAILS!$G35,FACT!$C:$C,DETAILS!R$4,FACT!$D:$D,DETAILS!$C35)</f>
        <v>0</v>
      </c>
      <c r="S35" s="377"/>
      <c r="T35" s="377"/>
      <c r="U35" s="377"/>
      <c r="V35" s="377"/>
      <c r="W35" s="377"/>
      <c r="X35" s="377"/>
      <c r="Y35" s="377"/>
      <c r="Z35" s="377"/>
      <c r="AA35" s="377"/>
      <c r="AB35" s="377"/>
      <c r="AC35" s="377"/>
      <c r="AD35" s="377"/>
      <c r="AE35" s="377"/>
      <c r="AF35" s="377"/>
      <c r="AG35" s="377"/>
      <c r="AH35" s="377"/>
      <c r="AI35" s="377"/>
      <c r="AJ35" s="377"/>
      <c r="AK35" s="377"/>
      <c r="AL35" s="377"/>
      <c r="AM35" s="377"/>
      <c r="AN35" s="377"/>
      <c r="AO35" s="377"/>
      <c r="AP35" s="377"/>
      <c r="AQ35" s="377"/>
      <c r="AR35" s="377"/>
      <c r="AS35" s="377"/>
      <c r="AT35" s="377"/>
      <c r="AU35" s="377"/>
      <c r="AV35" s="377"/>
      <c r="AW35" s="377"/>
      <c r="AX35" s="377"/>
      <c r="AY35" s="377"/>
      <c r="AZ35" s="377"/>
      <c r="BA35" s="377"/>
      <c r="BB35" s="377"/>
      <c r="BC35" s="377"/>
      <c r="BD35" s="377"/>
      <c r="BE35" s="377"/>
      <c r="BF35" s="377"/>
      <c r="BG35" s="377"/>
      <c r="BH35" s="377"/>
      <c r="BI35" s="377"/>
      <c r="BJ35" s="377"/>
      <c r="BK35" s="377"/>
      <c r="BL35" s="377"/>
      <c r="BM35" s="377"/>
      <c r="BN35" s="377"/>
      <c r="BO35" s="377"/>
      <c r="BP35" s="377"/>
      <c r="BQ35" s="377"/>
      <c r="BR35" s="377"/>
    </row>
    <row r="36" spans="1:70" outlineLevel="1">
      <c r="A36" s="374">
        <f t="shared" si="1"/>
        <v>0</v>
      </c>
      <c r="B36" s="359"/>
      <c r="C36" s="359"/>
      <c r="D36" s="360"/>
      <c r="E36" s="360"/>
      <c r="F36" s="373"/>
      <c r="G36" s="360"/>
      <c r="H36" s="377"/>
      <c r="I36" s="537"/>
      <c r="J36" s="546"/>
      <c r="K36" s="383">
        <f>SUMIFS(FACT!$B:$B,FACT!$A:$A,DETAILS!$B36,FACT!$I:$I,DETAILS!$F36,FACT!$J:$J,DETAILS!$G36,FACT!$C:$C,DETAILS!K$4,FACT!$D:$D,DETAILS!$C36)</f>
        <v>0</v>
      </c>
      <c r="L36" s="383">
        <f>SUMIFS(FACT!$B:$B,FACT!$A:$A,DETAILS!$B36,FACT!$I:$I,DETAILS!$F36,FACT!$J:$J,DETAILS!$G36,FACT!$C:$C,DETAILS!L$4,FACT!$D:$D,DETAILS!$C36)</f>
        <v>0</v>
      </c>
      <c r="M36" s="383">
        <f>SUMIFS(FACT!$B:$B,FACT!$A:$A,DETAILS!$B36,FACT!$I:$I,DETAILS!$F36,FACT!$J:$J,DETAILS!$G36,FACT!$C:$C,DETAILS!M$4,FACT!$D:$D,DETAILS!$C36)</f>
        <v>0</v>
      </c>
      <c r="N36" s="383">
        <f>SUMIFS(FACT!$B:$B,FACT!$A:$A,DETAILS!$B36,FACT!$I:$I,DETAILS!$F36,FACT!$J:$J,DETAILS!$G36,FACT!$C:$C,DETAILS!N$4,FACT!$D:$D,DETAILS!$C36)</f>
        <v>0</v>
      </c>
      <c r="O36" s="383">
        <f>SUMIFS(FACT!$B:$B,FACT!$A:$A,DETAILS!$B36,FACT!$I:$I,DETAILS!$F36,FACT!$J:$J,DETAILS!$G36,FACT!$C:$C,DETAILS!O$4,FACT!$D:$D,DETAILS!$C36)</f>
        <v>0</v>
      </c>
      <c r="P36" s="383">
        <f>SUMIFS(FACT!$B:$B,FACT!$A:$A,DETAILS!$B36,FACT!$I:$I,DETAILS!$F36,FACT!$J:$J,DETAILS!$G36,FACT!$C:$C,DETAILS!P$4,FACT!$D:$D,DETAILS!$C36)</f>
        <v>0</v>
      </c>
      <c r="Q36" s="383">
        <f>SUMIFS(FACT!$B:$B,FACT!$A:$A,DETAILS!$B36,FACT!$I:$I,DETAILS!$F36,FACT!$J:$J,DETAILS!$G36,FACT!$C:$C,DETAILS!Q$4,FACT!$D:$D,DETAILS!$C36)</f>
        <v>0</v>
      </c>
      <c r="R36" s="383">
        <f>SUMIFS(FACT!$B:$B,FACT!$A:$A,DETAILS!$B36,FACT!$I:$I,DETAILS!$F36,FACT!$J:$J,DETAILS!$G36,FACT!$C:$C,DETAILS!R$4,FACT!$D:$D,DETAILS!$C36)</f>
        <v>0</v>
      </c>
      <c r="S36" s="377"/>
      <c r="T36" s="377"/>
      <c r="U36" s="377"/>
      <c r="V36" s="377"/>
      <c r="W36" s="377"/>
      <c r="X36" s="377"/>
      <c r="Y36" s="377"/>
      <c r="Z36" s="377"/>
      <c r="AA36" s="377"/>
      <c r="AB36" s="377"/>
      <c r="AC36" s="377"/>
      <c r="AD36" s="377"/>
      <c r="AE36" s="377"/>
      <c r="AF36" s="377"/>
      <c r="AG36" s="377"/>
      <c r="AH36" s="377"/>
      <c r="AI36" s="377"/>
      <c r="AJ36" s="377"/>
      <c r="AK36" s="377"/>
      <c r="AL36" s="377"/>
      <c r="AM36" s="377"/>
      <c r="AN36" s="377"/>
      <c r="AO36" s="377"/>
      <c r="AP36" s="377"/>
      <c r="AQ36" s="377"/>
      <c r="AR36" s="377"/>
      <c r="AS36" s="377"/>
      <c r="AT36" s="377"/>
      <c r="AU36" s="377"/>
      <c r="AV36" s="377"/>
      <c r="AW36" s="377"/>
      <c r="AX36" s="377"/>
      <c r="AY36" s="377"/>
      <c r="AZ36" s="377"/>
      <c r="BA36" s="377"/>
      <c r="BB36" s="377"/>
      <c r="BC36" s="377"/>
      <c r="BD36" s="377"/>
      <c r="BE36" s="377"/>
      <c r="BF36" s="377"/>
      <c r="BG36" s="377"/>
      <c r="BH36" s="377"/>
      <c r="BI36" s="377"/>
      <c r="BJ36" s="377"/>
      <c r="BK36" s="377"/>
      <c r="BL36" s="377"/>
      <c r="BM36" s="377"/>
      <c r="BN36" s="377"/>
      <c r="BO36" s="377"/>
      <c r="BP36" s="377"/>
      <c r="BQ36" s="377"/>
      <c r="BR36" s="377"/>
    </row>
    <row r="37" spans="1:70" s="353" customFormat="1" outlineLevel="1">
      <c r="A37" s="374">
        <f t="shared" si="1"/>
        <v>0</v>
      </c>
      <c r="B37" s="363">
        <v>3600</v>
      </c>
      <c r="C37" s="363"/>
      <c r="D37" s="364" t="s">
        <v>441</v>
      </c>
      <c r="E37" s="364"/>
      <c r="F37" s="364"/>
      <c r="G37" s="364"/>
      <c r="H37" s="378">
        <f>SUM(H38:H40)</f>
        <v>0</v>
      </c>
      <c r="I37" s="538">
        <f t="shared" ref="I37:BR37" si="19">SUM(I38:I40)</f>
        <v>0</v>
      </c>
      <c r="J37" s="547">
        <f t="shared" si="19"/>
        <v>0</v>
      </c>
      <c r="K37" s="378">
        <f t="shared" si="19"/>
        <v>0</v>
      </c>
      <c r="L37" s="378">
        <f t="shared" si="19"/>
        <v>0</v>
      </c>
      <c r="M37" s="378">
        <f t="shared" si="19"/>
        <v>0</v>
      </c>
      <c r="N37" s="378">
        <f t="shared" ref="N37:R37" si="20">SUM(N38:N40)</f>
        <v>0</v>
      </c>
      <c r="O37" s="378">
        <f t="shared" si="20"/>
        <v>0</v>
      </c>
      <c r="P37" s="378">
        <f t="shared" si="20"/>
        <v>0</v>
      </c>
      <c r="Q37" s="378">
        <f t="shared" si="20"/>
        <v>0</v>
      </c>
      <c r="R37" s="378">
        <f t="shared" si="20"/>
        <v>0</v>
      </c>
      <c r="S37" s="378">
        <f t="shared" si="19"/>
        <v>0</v>
      </c>
      <c r="T37" s="378">
        <f t="shared" si="19"/>
        <v>0</v>
      </c>
      <c r="U37" s="378">
        <f t="shared" si="19"/>
        <v>0</v>
      </c>
      <c r="V37" s="378">
        <f t="shared" si="19"/>
        <v>0</v>
      </c>
      <c r="W37" s="378">
        <f t="shared" si="19"/>
        <v>0</v>
      </c>
      <c r="X37" s="378">
        <f t="shared" si="19"/>
        <v>0</v>
      </c>
      <c r="Y37" s="378">
        <f t="shared" si="19"/>
        <v>0</v>
      </c>
      <c r="Z37" s="378">
        <f t="shared" si="19"/>
        <v>0</v>
      </c>
      <c r="AA37" s="378">
        <f t="shared" si="19"/>
        <v>0</v>
      </c>
      <c r="AB37" s="378">
        <f t="shared" si="19"/>
        <v>0</v>
      </c>
      <c r="AC37" s="378">
        <f t="shared" si="19"/>
        <v>0</v>
      </c>
      <c r="AD37" s="378">
        <f t="shared" si="19"/>
        <v>0</v>
      </c>
      <c r="AE37" s="378">
        <f t="shared" si="19"/>
        <v>0</v>
      </c>
      <c r="AF37" s="378">
        <f t="shared" si="19"/>
        <v>0</v>
      </c>
      <c r="AG37" s="378">
        <f t="shared" si="19"/>
        <v>0</v>
      </c>
      <c r="AH37" s="378">
        <f t="shared" si="19"/>
        <v>0</v>
      </c>
      <c r="AI37" s="378">
        <f t="shared" si="19"/>
        <v>0</v>
      </c>
      <c r="AJ37" s="378">
        <f t="shared" si="19"/>
        <v>0</v>
      </c>
      <c r="AK37" s="378">
        <f t="shared" si="19"/>
        <v>0</v>
      </c>
      <c r="AL37" s="378">
        <f t="shared" si="19"/>
        <v>0</v>
      </c>
      <c r="AM37" s="378">
        <f t="shared" si="19"/>
        <v>0</v>
      </c>
      <c r="AN37" s="378">
        <f t="shared" si="19"/>
        <v>0</v>
      </c>
      <c r="AO37" s="378">
        <f t="shared" si="19"/>
        <v>0</v>
      </c>
      <c r="AP37" s="378">
        <f t="shared" si="19"/>
        <v>0</v>
      </c>
      <c r="AQ37" s="378">
        <f t="shared" si="19"/>
        <v>0</v>
      </c>
      <c r="AR37" s="378">
        <f t="shared" si="19"/>
        <v>0</v>
      </c>
      <c r="AS37" s="378">
        <f t="shared" si="19"/>
        <v>0</v>
      </c>
      <c r="AT37" s="378">
        <f t="shared" si="19"/>
        <v>0</v>
      </c>
      <c r="AU37" s="378">
        <f t="shared" si="19"/>
        <v>0</v>
      </c>
      <c r="AV37" s="378">
        <f t="shared" si="19"/>
        <v>0</v>
      </c>
      <c r="AW37" s="378">
        <f t="shared" si="19"/>
        <v>0</v>
      </c>
      <c r="AX37" s="378">
        <f t="shared" si="19"/>
        <v>0</v>
      </c>
      <c r="AY37" s="378">
        <f t="shared" si="19"/>
        <v>0</v>
      </c>
      <c r="AZ37" s="378">
        <f t="shared" si="19"/>
        <v>0</v>
      </c>
      <c r="BA37" s="378">
        <f t="shared" si="19"/>
        <v>0</v>
      </c>
      <c r="BB37" s="378">
        <f t="shared" si="19"/>
        <v>0</v>
      </c>
      <c r="BC37" s="378">
        <f t="shared" si="19"/>
        <v>0</v>
      </c>
      <c r="BD37" s="378">
        <f t="shared" si="19"/>
        <v>0</v>
      </c>
      <c r="BE37" s="378">
        <f t="shared" si="19"/>
        <v>0</v>
      </c>
      <c r="BF37" s="378">
        <f t="shared" si="19"/>
        <v>0</v>
      </c>
      <c r="BG37" s="378">
        <f t="shared" si="19"/>
        <v>0</v>
      </c>
      <c r="BH37" s="378">
        <f t="shared" si="19"/>
        <v>0</v>
      </c>
      <c r="BI37" s="378">
        <f t="shared" si="19"/>
        <v>0</v>
      </c>
      <c r="BJ37" s="378">
        <f t="shared" si="19"/>
        <v>0</v>
      </c>
      <c r="BK37" s="378">
        <f t="shared" si="19"/>
        <v>0</v>
      </c>
      <c r="BL37" s="378">
        <f t="shared" si="19"/>
        <v>0</v>
      </c>
      <c r="BM37" s="378">
        <f t="shared" si="19"/>
        <v>0</v>
      </c>
      <c r="BN37" s="378">
        <f t="shared" si="19"/>
        <v>0</v>
      </c>
      <c r="BO37" s="378">
        <f t="shared" si="19"/>
        <v>0</v>
      </c>
      <c r="BP37" s="378">
        <f t="shared" si="19"/>
        <v>0</v>
      </c>
      <c r="BQ37" s="378">
        <f t="shared" si="19"/>
        <v>0</v>
      </c>
      <c r="BR37" s="378">
        <f t="shared" si="19"/>
        <v>0</v>
      </c>
    </row>
    <row r="38" spans="1:70" outlineLevel="1">
      <c r="A38" s="374">
        <f t="shared" si="1"/>
        <v>0</v>
      </c>
      <c r="B38" s="359"/>
      <c r="C38" s="359"/>
      <c r="D38" s="360"/>
      <c r="E38" s="360"/>
      <c r="F38" s="373"/>
      <c r="G38" s="360"/>
      <c r="H38" s="377"/>
      <c r="I38" s="537"/>
      <c r="J38" s="546"/>
      <c r="K38" s="383"/>
      <c r="L38" s="383"/>
      <c r="M38" s="383"/>
      <c r="N38" s="383"/>
      <c r="O38" s="383"/>
      <c r="P38" s="383"/>
      <c r="Q38" s="383"/>
      <c r="R38" s="383"/>
      <c r="S38" s="377"/>
      <c r="T38" s="377"/>
      <c r="U38" s="377"/>
      <c r="V38" s="377"/>
      <c r="W38" s="377"/>
      <c r="X38" s="377"/>
      <c r="Y38" s="377"/>
      <c r="Z38" s="377"/>
      <c r="AA38" s="377"/>
      <c r="AB38" s="377"/>
      <c r="AC38" s="377"/>
      <c r="AD38" s="377"/>
      <c r="AE38" s="377"/>
      <c r="AF38" s="377"/>
      <c r="AG38" s="377"/>
      <c r="AH38" s="377"/>
      <c r="AI38" s="377"/>
      <c r="AJ38" s="377"/>
      <c r="AK38" s="377"/>
      <c r="AL38" s="377"/>
      <c r="AM38" s="377"/>
      <c r="AN38" s="377"/>
      <c r="AO38" s="377"/>
      <c r="AP38" s="377"/>
      <c r="AQ38" s="377"/>
      <c r="AR38" s="377"/>
      <c r="AS38" s="377"/>
      <c r="AT38" s="377"/>
      <c r="AU38" s="377"/>
      <c r="AV38" s="377"/>
      <c r="AW38" s="377"/>
      <c r="AX38" s="377"/>
      <c r="AY38" s="377"/>
      <c r="AZ38" s="377"/>
      <c r="BA38" s="377"/>
      <c r="BB38" s="377"/>
      <c r="BC38" s="377"/>
      <c r="BD38" s="377"/>
      <c r="BE38" s="377"/>
      <c r="BF38" s="377"/>
      <c r="BG38" s="377"/>
      <c r="BH38" s="377"/>
      <c r="BI38" s="377"/>
      <c r="BJ38" s="377"/>
      <c r="BK38" s="377"/>
      <c r="BL38" s="377"/>
      <c r="BM38" s="377"/>
      <c r="BN38" s="377"/>
      <c r="BO38" s="377"/>
      <c r="BP38" s="377"/>
      <c r="BQ38" s="377"/>
      <c r="BR38" s="377"/>
    </row>
    <row r="39" spans="1:70" outlineLevel="1">
      <c r="A39" s="374">
        <f t="shared" si="1"/>
        <v>0</v>
      </c>
      <c r="B39" s="359"/>
      <c r="C39" s="359"/>
      <c r="D39" s="360"/>
      <c r="E39" s="360"/>
      <c r="F39" s="373"/>
      <c r="G39" s="360"/>
      <c r="H39" s="377"/>
      <c r="I39" s="537"/>
      <c r="J39" s="546"/>
      <c r="K39" s="383"/>
      <c r="L39" s="383"/>
      <c r="M39" s="383"/>
      <c r="N39" s="383"/>
      <c r="O39" s="383"/>
      <c r="P39" s="383"/>
      <c r="Q39" s="383"/>
      <c r="R39" s="383"/>
      <c r="S39" s="377"/>
      <c r="T39" s="377"/>
      <c r="U39" s="377"/>
      <c r="V39" s="377"/>
      <c r="W39" s="377"/>
      <c r="X39" s="377"/>
      <c r="Y39" s="377"/>
      <c r="Z39" s="377"/>
      <c r="AA39" s="377"/>
      <c r="AB39" s="377"/>
      <c r="AC39" s="377"/>
      <c r="AD39" s="377"/>
      <c r="AE39" s="377"/>
      <c r="AF39" s="377"/>
      <c r="AG39" s="377"/>
      <c r="AH39" s="377"/>
      <c r="AI39" s="377"/>
      <c r="AJ39" s="377"/>
      <c r="AK39" s="377"/>
      <c r="AL39" s="377"/>
      <c r="AM39" s="377"/>
      <c r="AN39" s="377"/>
      <c r="AO39" s="377"/>
      <c r="AP39" s="377"/>
      <c r="AQ39" s="377"/>
      <c r="AR39" s="377"/>
      <c r="AS39" s="377"/>
      <c r="AT39" s="377"/>
      <c r="AU39" s="377"/>
      <c r="AV39" s="377"/>
      <c r="AW39" s="377"/>
      <c r="AX39" s="377"/>
      <c r="AY39" s="377"/>
      <c r="AZ39" s="377"/>
      <c r="BA39" s="377"/>
      <c r="BB39" s="377"/>
      <c r="BC39" s="377"/>
      <c r="BD39" s="377"/>
      <c r="BE39" s="377"/>
      <c r="BF39" s="377"/>
      <c r="BG39" s="377"/>
      <c r="BH39" s="377"/>
      <c r="BI39" s="377"/>
      <c r="BJ39" s="377"/>
      <c r="BK39" s="377"/>
      <c r="BL39" s="377"/>
      <c r="BM39" s="377"/>
      <c r="BN39" s="377"/>
      <c r="BO39" s="377"/>
      <c r="BP39" s="377"/>
      <c r="BQ39" s="377"/>
      <c r="BR39" s="377"/>
    </row>
    <row r="40" spans="1:70" outlineLevel="1">
      <c r="A40" s="374">
        <f t="shared" si="1"/>
        <v>0</v>
      </c>
      <c r="B40" s="359"/>
      <c r="C40" s="359"/>
      <c r="D40" s="360"/>
      <c r="E40" s="360"/>
      <c r="F40" s="373"/>
      <c r="G40" s="360"/>
      <c r="H40" s="377"/>
      <c r="I40" s="537"/>
      <c r="J40" s="546"/>
      <c r="K40" s="383"/>
      <c r="L40" s="383"/>
      <c r="M40" s="383"/>
      <c r="N40" s="383"/>
      <c r="O40" s="383"/>
      <c r="P40" s="383"/>
      <c r="Q40" s="383"/>
      <c r="R40" s="383"/>
      <c r="S40" s="377"/>
      <c r="T40" s="377"/>
      <c r="U40" s="377"/>
      <c r="V40" s="377"/>
      <c r="W40" s="377"/>
      <c r="X40" s="377"/>
      <c r="Y40" s="377"/>
      <c r="Z40" s="377"/>
      <c r="AA40" s="377"/>
      <c r="AB40" s="377"/>
      <c r="AC40" s="377"/>
      <c r="AD40" s="377"/>
      <c r="AE40" s="377"/>
      <c r="AF40" s="377"/>
      <c r="AG40" s="377"/>
      <c r="AH40" s="377"/>
      <c r="AI40" s="377"/>
      <c r="AJ40" s="377"/>
      <c r="AK40" s="377"/>
      <c r="AL40" s="377"/>
      <c r="AM40" s="377"/>
      <c r="AN40" s="377"/>
      <c r="AO40" s="377"/>
      <c r="AP40" s="377"/>
      <c r="AQ40" s="377"/>
      <c r="AR40" s="377"/>
      <c r="AS40" s="377"/>
      <c r="AT40" s="377"/>
      <c r="AU40" s="377"/>
      <c r="AV40" s="377"/>
      <c r="AW40" s="377"/>
      <c r="AX40" s="377"/>
      <c r="AY40" s="377"/>
      <c r="AZ40" s="377"/>
      <c r="BA40" s="377"/>
      <c r="BB40" s="377"/>
      <c r="BC40" s="377"/>
      <c r="BD40" s="377"/>
      <c r="BE40" s="377"/>
      <c r="BF40" s="377"/>
      <c r="BG40" s="377"/>
      <c r="BH40" s="377"/>
      <c r="BI40" s="377"/>
      <c r="BJ40" s="377"/>
      <c r="BK40" s="377"/>
      <c r="BL40" s="377"/>
      <c r="BM40" s="377"/>
      <c r="BN40" s="377"/>
      <c r="BO40" s="377"/>
      <c r="BP40" s="377"/>
      <c r="BQ40" s="377"/>
      <c r="BR40" s="377"/>
    </row>
    <row r="41" spans="1:70" s="353" customFormat="1" outlineLevel="1">
      <c r="A41" s="374">
        <f t="shared" si="1"/>
        <v>0</v>
      </c>
      <c r="B41" s="363">
        <v>3700</v>
      </c>
      <c r="C41" s="363"/>
      <c r="D41" s="364" t="s">
        <v>442</v>
      </c>
      <c r="E41" s="364"/>
      <c r="F41" s="364"/>
      <c r="G41" s="364"/>
      <c r="H41" s="378">
        <f>SUM(H42:H44)</f>
        <v>0</v>
      </c>
      <c r="I41" s="538">
        <f t="shared" ref="I41:BR41" si="21">SUM(I42:I44)</f>
        <v>0</v>
      </c>
      <c r="J41" s="547">
        <f t="shared" si="21"/>
        <v>0</v>
      </c>
      <c r="K41" s="378">
        <f t="shared" si="21"/>
        <v>0</v>
      </c>
      <c r="L41" s="378">
        <f t="shared" si="21"/>
        <v>0</v>
      </c>
      <c r="M41" s="378">
        <f t="shared" si="21"/>
        <v>0</v>
      </c>
      <c r="N41" s="378">
        <f t="shared" ref="N41:R41" si="22">SUM(N42:N44)</f>
        <v>0</v>
      </c>
      <c r="O41" s="378">
        <f t="shared" si="22"/>
        <v>0</v>
      </c>
      <c r="P41" s="378">
        <f t="shared" si="22"/>
        <v>0</v>
      </c>
      <c r="Q41" s="378">
        <f t="shared" si="22"/>
        <v>0</v>
      </c>
      <c r="R41" s="378">
        <f t="shared" si="22"/>
        <v>0</v>
      </c>
      <c r="S41" s="378">
        <f t="shared" si="21"/>
        <v>0</v>
      </c>
      <c r="T41" s="378">
        <f t="shared" si="21"/>
        <v>0</v>
      </c>
      <c r="U41" s="378">
        <f t="shared" si="21"/>
        <v>0</v>
      </c>
      <c r="V41" s="378">
        <f t="shared" si="21"/>
        <v>0</v>
      </c>
      <c r="W41" s="378">
        <f t="shared" si="21"/>
        <v>0</v>
      </c>
      <c r="X41" s="378">
        <f t="shared" si="21"/>
        <v>0</v>
      </c>
      <c r="Y41" s="378">
        <f t="shared" si="21"/>
        <v>0</v>
      </c>
      <c r="Z41" s="378">
        <f t="shared" si="21"/>
        <v>0</v>
      </c>
      <c r="AA41" s="378">
        <f t="shared" si="21"/>
        <v>0</v>
      </c>
      <c r="AB41" s="378">
        <f t="shared" si="21"/>
        <v>0</v>
      </c>
      <c r="AC41" s="378">
        <f t="shared" si="21"/>
        <v>0</v>
      </c>
      <c r="AD41" s="378">
        <f t="shared" si="21"/>
        <v>0</v>
      </c>
      <c r="AE41" s="378">
        <f t="shared" si="21"/>
        <v>0</v>
      </c>
      <c r="AF41" s="378">
        <f t="shared" si="21"/>
        <v>0</v>
      </c>
      <c r="AG41" s="378">
        <f t="shared" si="21"/>
        <v>0</v>
      </c>
      <c r="AH41" s="378">
        <f t="shared" si="21"/>
        <v>0</v>
      </c>
      <c r="AI41" s="378">
        <f t="shared" si="21"/>
        <v>0</v>
      </c>
      <c r="AJ41" s="378">
        <f t="shared" si="21"/>
        <v>0</v>
      </c>
      <c r="AK41" s="378">
        <f t="shared" si="21"/>
        <v>0</v>
      </c>
      <c r="AL41" s="378">
        <f t="shared" si="21"/>
        <v>0</v>
      </c>
      <c r="AM41" s="378">
        <f t="shared" si="21"/>
        <v>0</v>
      </c>
      <c r="AN41" s="378">
        <f t="shared" si="21"/>
        <v>0</v>
      </c>
      <c r="AO41" s="378">
        <f t="shared" si="21"/>
        <v>0</v>
      </c>
      <c r="AP41" s="378">
        <f t="shared" si="21"/>
        <v>0</v>
      </c>
      <c r="AQ41" s="378">
        <f t="shared" si="21"/>
        <v>0</v>
      </c>
      <c r="AR41" s="378">
        <f t="shared" si="21"/>
        <v>0</v>
      </c>
      <c r="AS41" s="378">
        <f t="shared" si="21"/>
        <v>0</v>
      </c>
      <c r="AT41" s="378">
        <f t="shared" si="21"/>
        <v>0</v>
      </c>
      <c r="AU41" s="378">
        <f t="shared" si="21"/>
        <v>0</v>
      </c>
      <c r="AV41" s="378">
        <f t="shared" si="21"/>
        <v>0</v>
      </c>
      <c r="AW41" s="378">
        <f t="shared" si="21"/>
        <v>0</v>
      </c>
      <c r="AX41" s="378">
        <f t="shared" si="21"/>
        <v>0</v>
      </c>
      <c r="AY41" s="378">
        <f t="shared" si="21"/>
        <v>0</v>
      </c>
      <c r="AZ41" s="378">
        <f t="shared" si="21"/>
        <v>0</v>
      </c>
      <c r="BA41" s="378">
        <f t="shared" si="21"/>
        <v>0</v>
      </c>
      <c r="BB41" s="378">
        <f t="shared" si="21"/>
        <v>0</v>
      </c>
      <c r="BC41" s="378">
        <f t="shared" si="21"/>
        <v>0</v>
      </c>
      <c r="BD41" s="378">
        <f t="shared" si="21"/>
        <v>0</v>
      </c>
      <c r="BE41" s="378">
        <f t="shared" si="21"/>
        <v>0</v>
      </c>
      <c r="BF41" s="378">
        <f t="shared" si="21"/>
        <v>0</v>
      </c>
      <c r="BG41" s="378">
        <f t="shared" si="21"/>
        <v>0</v>
      </c>
      <c r="BH41" s="378">
        <f t="shared" si="21"/>
        <v>0</v>
      </c>
      <c r="BI41" s="378">
        <f t="shared" si="21"/>
        <v>0</v>
      </c>
      <c r="BJ41" s="378">
        <f t="shared" si="21"/>
        <v>0</v>
      </c>
      <c r="BK41" s="378">
        <f t="shared" si="21"/>
        <v>0</v>
      </c>
      <c r="BL41" s="378">
        <f t="shared" si="21"/>
        <v>0</v>
      </c>
      <c r="BM41" s="378">
        <f t="shared" si="21"/>
        <v>0</v>
      </c>
      <c r="BN41" s="378">
        <f t="shared" si="21"/>
        <v>0</v>
      </c>
      <c r="BO41" s="378">
        <f t="shared" si="21"/>
        <v>0</v>
      </c>
      <c r="BP41" s="378">
        <f t="shared" si="21"/>
        <v>0</v>
      </c>
      <c r="BQ41" s="378">
        <f t="shared" si="21"/>
        <v>0</v>
      </c>
      <c r="BR41" s="378">
        <f t="shared" si="21"/>
        <v>0</v>
      </c>
    </row>
    <row r="42" spans="1:70" outlineLevel="1">
      <c r="A42" s="374">
        <f t="shared" si="1"/>
        <v>0</v>
      </c>
      <c r="B42" s="359"/>
      <c r="C42" s="359"/>
      <c r="D42" s="360"/>
      <c r="E42" s="360"/>
      <c r="F42" s="373"/>
      <c r="G42" s="360"/>
      <c r="H42" s="377"/>
      <c r="I42" s="537"/>
      <c r="J42" s="546"/>
      <c r="K42" s="383"/>
      <c r="L42" s="383"/>
      <c r="M42" s="383"/>
      <c r="N42" s="383"/>
      <c r="O42" s="383"/>
      <c r="P42" s="383"/>
      <c r="Q42" s="383"/>
      <c r="R42" s="383"/>
      <c r="S42" s="377"/>
      <c r="T42" s="377"/>
      <c r="U42" s="377"/>
      <c r="V42" s="377"/>
      <c r="W42" s="377"/>
      <c r="X42" s="377"/>
      <c r="Y42" s="377"/>
      <c r="Z42" s="377"/>
      <c r="AA42" s="377"/>
      <c r="AB42" s="377"/>
      <c r="AC42" s="377"/>
      <c r="AD42" s="377"/>
      <c r="AE42" s="377"/>
      <c r="AF42" s="377"/>
      <c r="AG42" s="377"/>
      <c r="AH42" s="377"/>
      <c r="AI42" s="377"/>
      <c r="AJ42" s="377"/>
      <c r="AK42" s="377"/>
      <c r="AL42" s="377"/>
      <c r="AM42" s="377"/>
      <c r="AN42" s="377"/>
      <c r="AO42" s="377"/>
      <c r="AP42" s="377"/>
      <c r="AQ42" s="377"/>
      <c r="AR42" s="377"/>
      <c r="AS42" s="377"/>
      <c r="AT42" s="377"/>
      <c r="AU42" s="377"/>
      <c r="AV42" s="377"/>
      <c r="AW42" s="377"/>
      <c r="AX42" s="377"/>
      <c r="AY42" s="377"/>
      <c r="AZ42" s="377"/>
      <c r="BA42" s="377"/>
      <c r="BB42" s="377"/>
      <c r="BC42" s="377"/>
      <c r="BD42" s="377"/>
      <c r="BE42" s="377"/>
      <c r="BF42" s="377"/>
      <c r="BG42" s="377"/>
      <c r="BH42" s="377"/>
      <c r="BI42" s="377"/>
      <c r="BJ42" s="377"/>
      <c r="BK42" s="377"/>
      <c r="BL42" s="377"/>
      <c r="BM42" s="377"/>
      <c r="BN42" s="377"/>
      <c r="BO42" s="377"/>
      <c r="BP42" s="377"/>
      <c r="BQ42" s="377"/>
      <c r="BR42" s="377"/>
    </row>
    <row r="43" spans="1:70" outlineLevel="1">
      <c r="A43" s="374">
        <f t="shared" si="1"/>
        <v>0</v>
      </c>
      <c r="B43" s="359"/>
      <c r="C43" s="359"/>
      <c r="D43" s="360"/>
      <c r="E43" s="360"/>
      <c r="F43" s="373"/>
      <c r="G43" s="360"/>
      <c r="H43" s="377"/>
      <c r="I43" s="537"/>
      <c r="J43" s="546"/>
      <c r="K43" s="383"/>
      <c r="L43" s="383"/>
      <c r="M43" s="383"/>
      <c r="N43" s="383"/>
      <c r="O43" s="383"/>
      <c r="P43" s="383"/>
      <c r="Q43" s="383"/>
      <c r="R43" s="383"/>
      <c r="S43" s="377"/>
      <c r="T43" s="377"/>
      <c r="U43" s="377"/>
      <c r="V43" s="377"/>
      <c r="W43" s="377"/>
      <c r="X43" s="377"/>
      <c r="Y43" s="377"/>
      <c r="Z43" s="377"/>
      <c r="AA43" s="377"/>
      <c r="AB43" s="377"/>
      <c r="AC43" s="377"/>
      <c r="AD43" s="377"/>
      <c r="AE43" s="377"/>
      <c r="AF43" s="377"/>
      <c r="AG43" s="377"/>
      <c r="AH43" s="377"/>
      <c r="AI43" s="377"/>
      <c r="AJ43" s="377"/>
      <c r="AK43" s="377"/>
      <c r="AL43" s="377"/>
      <c r="AM43" s="377"/>
      <c r="AN43" s="377"/>
      <c r="AO43" s="377"/>
      <c r="AP43" s="377"/>
      <c r="AQ43" s="377"/>
      <c r="AR43" s="377"/>
      <c r="AS43" s="377"/>
      <c r="AT43" s="377"/>
      <c r="AU43" s="377"/>
      <c r="AV43" s="377"/>
      <c r="AW43" s="377"/>
      <c r="AX43" s="377"/>
      <c r="AY43" s="377"/>
      <c r="AZ43" s="377"/>
      <c r="BA43" s="377"/>
      <c r="BB43" s="377"/>
      <c r="BC43" s="377"/>
      <c r="BD43" s="377"/>
      <c r="BE43" s="377"/>
      <c r="BF43" s="377"/>
      <c r="BG43" s="377"/>
      <c r="BH43" s="377"/>
      <c r="BI43" s="377"/>
      <c r="BJ43" s="377"/>
      <c r="BK43" s="377"/>
      <c r="BL43" s="377"/>
      <c r="BM43" s="377"/>
      <c r="BN43" s="377"/>
      <c r="BO43" s="377"/>
      <c r="BP43" s="377"/>
      <c r="BQ43" s="377"/>
      <c r="BR43" s="377"/>
    </row>
    <row r="44" spans="1:70" outlineLevel="1">
      <c r="A44" s="374">
        <f t="shared" si="1"/>
        <v>0</v>
      </c>
      <c r="B44" s="359"/>
      <c r="C44" s="359"/>
      <c r="D44" s="360"/>
      <c r="E44" s="360"/>
      <c r="F44" s="373"/>
      <c r="G44" s="360"/>
      <c r="H44" s="377"/>
      <c r="I44" s="537"/>
      <c r="J44" s="546"/>
      <c r="K44" s="383"/>
      <c r="L44" s="383"/>
      <c r="M44" s="383"/>
      <c r="N44" s="383"/>
      <c r="O44" s="383"/>
      <c r="P44" s="383"/>
      <c r="Q44" s="383"/>
      <c r="R44" s="383"/>
      <c r="S44" s="377"/>
      <c r="T44" s="377"/>
      <c r="U44" s="377"/>
      <c r="V44" s="377"/>
      <c r="W44" s="377"/>
      <c r="X44" s="377"/>
      <c r="Y44" s="377"/>
      <c r="Z44" s="377"/>
      <c r="AA44" s="377"/>
      <c r="AB44" s="377"/>
      <c r="AC44" s="377"/>
      <c r="AD44" s="377"/>
      <c r="AE44" s="377"/>
      <c r="AF44" s="377"/>
      <c r="AG44" s="377"/>
      <c r="AH44" s="377"/>
      <c r="AI44" s="377"/>
      <c r="AJ44" s="377"/>
      <c r="AK44" s="377"/>
      <c r="AL44" s="377"/>
      <c r="AM44" s="377"/>
      <c r="AN44" s="377"/>
      <c r="AO44" s="377"/>
      <c r="AP44" s="377"/>
      <c r="AQ44" s="377"/>
      <c r="AR44" s="377"/>
      <c r="AS44" s="377"/>
      <c r="AT44" s="377"/>
      <c r="AU44" s="377"/>
      <c r="AV44" s="377"/>
      <c r="AW44" s="377"/>
      <c r="AX44" s="377"/>
      <c r="AY44" s="377"/>
      <c r="AZ44" s="377"/>
      <c r="BA44" s="377"/>
      <c r="BB44" s="377"/>
      <c r="BC44" s="377"/>
      <c r="BD44" s="377"/>
      <c r="BE44" s="377"/>
      <c r="BF44" s="377"/>
      <c r="BG44" s="377"/>
      <c r="BH44" s="377"/>
      <c r="BI44" s="377"/>
      <c r="BJ44" s="377"/>
      <c r="BK44" s="377"/>
      <c r="BL44" s="377"/>
      <c r="BM44" s="377"/>
      <c r="BN44" s="377"/>
      <c r="BO44" s="377"/>
      <c r="BP44" s="377"/>
      <c r="BQ44" s="377"/>
      <c r="BR44" s="377"/>
    </row>
    <row r="45" spans="1:70">
      <c r="A45" s="374">
        <f t="shared" si="1"/>
        <v>0</v>
      </c>
      <c r="B45" s="361">
        <v>4000</v>
      </c>
      <c r="C45" s="361"/>
      <c r="D45" s="362" t="s">
        <v>335</v>
      </c>
      <c r="E45" s="362"/>
      <c r="F45" s="362"/>
      <c r="G45" s="362"/>
      <c r="H45" s="376">
        <f>H46+H94+H106+H123+H128</f>
        <v>0</v>
      </c>
      <c r="I45" s="539">
        <f>I46+I94+I106+I123+I128</f>
        <v>-10845120346.129349</v>
      </c>
      <c r="J45" s="548">
        <f t="shared" ref="J45" si="23">J46+J94+J106+J123+J128</f>
        <v>0</v>
      </c>
      <c r="K45" s="376">
        <f t="shared" ref="K45:AP45" si="24">K46+K94+K106+K123+K128</f>
        <v>-181522.86</v>
      </c>
      <c r="L45" s="376">
        <f t="shared" si="24"/>
        <v>-558363.29</v>
      </c>
      <c r="M45" s="376">
        <f t="shared" si="24"/>
        <v>-283570</v>
      </c>
      <c r="N45" s="376">
        <f t="shared" si="24"/>
        <v>-290470</v>
      </c>
      <c r="O45" s="376">
        <f t="shared" si="24"/>
        <v>-335470</v>
      </c>
      <c r="P45" s="376">
        <f t="shared" si="24"/>
        <v>-344800</v>
      </c>
      <c r="Q45" s="376">
        <f t="shared" si="24"/>
        <v>-639335.62</v>
      </c>
      <c r="R45" s="376">
        <f t="shared" si="24"/>
        <v>-688480</v>
      </c>
      <c r="S45" s="376">
        <f t="shared" si="24"/>
        <v>-5578384.1626923084</v>
      </c>
      <c r="T45" s="376">
        <f t="shared" si="24"/>
        <v>-11078384.162692308</v>
      </c>
      <c r="U45" s="376">
        <f t="shared" si="24"/>
        <v>-10078384.162692308</v>
      </c>
      <c r="V45" s="376">
        <f t="shared" si="24"/>
        <v>-7078384.1626923084</v>
      </c>
      <c r="W45" s="376">
        <f t="shared" si="24"/>
        <v>-20578384.162692308</v>
      </c>
      <c r="X45" s="376">
        <f t="shared" si="24"/>
        <v>-14828384.162692308</v>
      </c>
      <c r="Y45" s="376">
        <f t="shared" si="24"/>
        <v>-82129936.244239479</v>
      </c>
      <c r="Z45" s="376">
        <f t="shared" si="24"/>
        <v>-118970799.88060312</v>
      </c>
      <c r="AA45" s="376">
        <f t="shared" si="24"/>
        <v>-128201466.06726687</v>
      </c>
      <c r="AB45" s="376">
        <f t="shared" si="24"/>
        <v>-131373217.84417014</v>
      </c>
      <c r="AC45" s="376">
        <f t="shared" si="24"/>
        <v>-201255603.70700824</v>
      </c>
      <c r="AD45" s="376">
        <f t="shared" si="24"/>
        <v>-258236822.36511534</v>
      </c>
      <c r="AE45" s="376">
        <f t="shared" si="24"/>
        <v>-276008452.93713176</v>
      </c>
      <c r="AF45" s="376">
        <f t="shared" si="24"/>
        <v>-283222283.79953283</v>
      </c>
      <c r="AG45" s="376">
        <f t="shared" si="24"/>
        <v>-291539994.78551036</v>
      </c>
      <c r="AH45" s="376">
        <f t="shared" si="24"/>
        <v>-608874932.0251044</v>
      </c>
      <c r="AI45" s="376">
        <f t="shared" si="24"/>
        <v>-633359075.16255927</v>
      </c>
      <c r="AJ45" s="376">
        <f t="shared" si="24"/>
        <v>-808512913.30568576</v>
      </c>
      <c r="AK45" s="376">
        <f t="shared" si="24"/>
        <v>-619414520.51858103</v>
      </c>
      <c r="AL45" s="376">
        <f t="shared" si="24"/>
        <v>-1895827181.4445324</v>
      </c>
      <c r="AM45" s="376">
        <f t="shared" si="24"/>
        <v>-929547736.10733032</v>
      </c>
      <c r="AN45" s="376">
        <f t="shared" si="24"/>
        <v>-1041515706.2221906</v>
      </c>
      <c r="AO45" s="376">
        <f t="shared" si="24"/>
        <v>-813566683.65834117</v>
      </c>
      <c r="AP45" s="376">
        <f t="shared" si="24"/>
        <v>-562387144.14880991</v>
      </c>
      <c r="AQ45" s="376">
        <f t="shared" ref="AQ45:BR45" si="25">AQ46+AQ94+AQ106+AQ123+AQ128</f>
        <v>-363115340.89721256</v>
      </c>
      <c r="AR45" s="376">
        <f t="shared" si="25"/>
        <v>-362376666.00900495</v>
      </c>
      <c r="AS45" s="376">
        <f t="shared" si="25"/>
        <v>-246347703.27520791</v>
      </c>
      <c r="AT45" s="376">
        <f t="shared" si="25"/>
        <v>-114922748.97805689</v>
      </c>
      <c r="AU45" s="376">
        <f t="shared" si="25"/>
        <v>-1871100.0000000075</v>
      </c>
      <c r="AV45" s="376">
        <f t="shared" si="25"/>
        <v>0</v>
      </c>
      <c r="AW45" s="376">
        <f t="shared" si="25"/>
        <v>0</v>
      </c>
      <c r="AX45" s="376">
        <f t="shared" si="25"/>
        <v>0</v>
      </c>
      <c r="AY45" s="376">
        <f t="shared" si="25"/>
        <v>0</v>
      </c>
      <c r="AZ45" s="376">
        <f t="shared" si="25"/>
        <v>0</v>
      </c>
      <c r="BA45" s="376">
        <f t="shared" si="25"/>
        <v>0</v>
      </c>
      <c r="BB45" s="376">
        <f t="shared" si="25"/>
        <v>0</v>
      </c>
      <c r="BC45" s="376">
        <f t="shared" si="25"/>
        <v>0</v>
      </c>
      <c r="BD45" s="376">
        <f t="shared" si="25"/>
        <v>0</v>
      </c>
      <c r="BE45" s="376">
        <f t="shared" si="25"/>
        <v>0</v>
      </c>
      <c r="BF45" s="376">
        <f t="shared" si="25"/>
        <v>0</v>
      </c>
      <c r="BG45" s="376">
        <f t="shared" si="25"/>
        <v>0</v>
      </c>
      <c r="BH45" s="376">
        <f t="shared" si="25"/>
        <v>0</v>
      </c>
      <c r="BI45" s="376">
        <f t="shared" si="25"/>
        <v>0</v>
      </c>
      <c r="BJ45" s="376">
        <f t="shared" si="25"/>
        <v>0</v>
      </c>
      <c r="BK45" s="376">
        <f t="shared" si="25"/>
        <v>0</v>
      </c>
      <c r="BL45" s="376">
        <f t="shared" si="25"/>
        <v>0</v>
      </c>
      <c r="BM45" s="376">
        <f t="shared" si="25"/>
        <v>0</v>
      </c>
      <c r="BN45" s="376">
        <f t="shared" si="25"/>
        <v>0</v>
      </c>
      <c r="BO45" s="376">
        <f t="shared" si="25"/>
        <v>0</v>
      </c>
      <c r="BP45" s="376">
        <f t="shared" si="25"/>
        <v>0</v>
      </c>
      <c r="BQ45" s="376">
        <f t="shared" si="25"/>
        <v>0</v>
      </c>
      <c r="BR45" s="376">
        <f t="shared" si="25"/>
        <v>0</v>
      </c>
    </row>
    <row r="46" spans="1:70" s="353" customFormat="1">
      <c r="A46" s="374">
        <f t="shared" si="1"/>
        <v>0</v>
      </c>
      <c r="B46" s="363"/>
      <c r="C46" s="363"/>
      <c r="D46" s="364" t="s">
        <v>6</v>
      </c>
      <c r="E46" s="364"/>
      <c r="F46" s="364"/>
      <c r="G46" s="364"/>
      <c r="H46" s="378">
        <f>H47+H50+H69+H74+H81+H89</f>
        <v>0</v>
      </c>
      <c r="I46" s="538">
        <f>I47+I50+I69+I74+I81+I89+I48+I49</f>
        <v>-159000000</v>
      </c>
      <c r="J46" s="547">
        <f t="shared" ref="J46" si="26">J47+J50+J69+J74+J81+J89+J48+J49</f>
        <v>0</v>
      </c>
      <c r="K46" s="378">
        <f>K47+K50+K69+K74+K81+K89+K48+K49</f>
        <v>-181522.86</v>
      </c>
      <c r="L46" s="378">
        <f t="shared" ref="L46:BR46" si="27">L47+L50+L69+L74+L81+L89+L48+L49</f>
        <v>-558363.29</v>
      </c>
      <c r="M46" s="378">
        <f t="shared" si="27"/>
        <v>-283570</v>
      </c>
      <c r="N46" s="378">
        <f t="shared" si="27"/>
        <v>-290470</v>
      </c>
      <c r="O46" s="378">
        <f t="shared" si="27"/>
        <v>-335470</v>
      </c>
      <c r="P46" s="378">
        <f t="shared" si="27"/>
        <v>-344800</v>
      </c>
      <c r="Q46" s="378">
        <f t="shared" si="27"/>
        <v>-639335.62</v>
      </c>
      <c r="R46" s="378">
        <f t="shared" si="27"/>
        <v>-688480</v>
      </c>
      <c r="S46" s="378">
        <f t="shared" si="27"/>
        <v>-5578384.1626923084</v>
      </c>
      <c r="T46" s="378">
        <f t="shared" si="27"/>
        <v>-9578384.1626923084</v>
      </c>
      <c r="U46" s="378">
        <f t="shared" si="27"/>
        <v>-9578384.1626923084</v>
      </c>
      <c r="V46" s="378">
        <f t="shared" si="27"/>
        <v>-5578384.1626923084</v>
      </c>
      <c r="W46" s="378">
        <f t="shared" si="27"/>
        <v>-5578384.1626923084</v>
      </c>
      <c r="X46" s="378">
        <f t="shared" si="27"/>
        <v>-5578384.1626923084</v>
      </c>
      <c r="Y46" s="378">
        <f t="shared" si="27"/>
        <v>-5578384.1626923084</v>
      </c>
      <c r="Z46" s="378">
        <f t="shared" si="27"/>
        <v>-5578384.1626923084</v>
      </c>
      <c r="AA46" s="378">
        <f t="shared" si="27"/>
        <v>-5578384.1626923084</v>
      </c>
      <c r="AB46" s="378">
        <f t="shared" si="27"/>
        <v>-5578384.1626923084</v>
      </c>
      <c r="AC46" s="378">
        <f t="shared" si="27"/>
        <v>-5578384.1626923084</v>
      </c>
      <c r="AD46" s="378">
        <f t="shared" si="27"/>
        <v>-5578384.1626923084</v>
      </c>
      <c r="AE46" s="378">
        <f t="shared" si="27"/>
        <v>-5578384.1626923084</v>
      </c>
      <c r="AF46" s="378">
        <f t="shared" si="27"/>
        <v>-5578384.1626923084</v>
      </c>
      <c r="AG46" s="378">
        <f t="shared" si="27"/>
        <v>-5578384.1626923084</v>
      </c>
      <c r="AH46" s="378">
        <f t="shared" si="27"/>
        <v>-5578384.1626923084</v>
      </c>
      <c r="AI46" s="378">
        <f t="shared" si="27"/>
        <v>-5578384.1626923084</v>
      </c>
      <c r="AJ46" s="378">
        <f t="shared" si="27"/>
        <v>-5578384.1626923084</v>
      </c>
      <c r="AK46" s="378">
        <f t="shared" si="27"/>
        <v>-5578384.1626923084</v>
      </c>
      <c r="AL46" s="378">
        <f t="shared" si="27"/>
        <v>-5578384.1626923084</v>
      </c>
      <c r="AM46" s="378">
        <f t="shared" si="27"/>
        <v>-5578384.1626923084</v>
      </c>
      <c r="AN46" s="378">
        <f t="shared" si="27"/>
        <v>-5578384.1626923084</v>
      </c>
      <c r="AO46" s="378">
        <f t="shared" si="27"/>
        <v>-5578384.1626923084</v>
      </c>
      <c r="AP46" s="378">
        <f t="shared" si="27"/>
        <v>-5578384.1626923084</v>
      </c>
      <c r="AQ46" s="378">
        <f t="shared" si="27"/>
        <v>-5398384.1626923084</v>
      </c>
      <c r="AR46" s="378">
        <f t="shared" si="27"/>
        <v>-5398384.1626923084</v>
      </c>
      <c r="AS46" s="378">
        <f t="shared" si="27"/>
        <v>-3000000</v>
      </c>
      <c r="AT46" s="378">
        <f t="shared" si="27"/>
        <v>0</v>
      </c>
      <c r="AU46" s="378">
        <f t="shared" si="27"/>
        <v>0</v>
      </c>
      <c r="AV46" s="378">
        <f t="shared" si="27"/>
        <v>0</v>
      </c>
      <c r="AW46" s="378">
        <f t="shared" si="27"/>
        <v>0</v>
      </c>
      <c r="AX46" s="378">
        <f t="shared" si="27"/>
        <v>0</v>
      </c>
      <c r="AY46" s="378">
        <f t="shared" si="27"/>
        <v>0</v>
      </c>
      <c r="AZ46" s="378">
        <f t="shared" si="27"/>
        <v>0</v>
      </c>
      <c r="BA46" s="378">
        <f t="shared" si="27"/>
        <v>0</v>
      </c>
      <c r="BB46" s="378">
        <f t="shared" si="27"/>
        <v>0</v>
      </c>
      <c r="BC46" s="378">
        <f t="shared" si="27"/>
        <v>0</v>
      </c>
      <c r="BD46" s="378">
        <f t="shared" si="27"/>
        <v>0</v>
      </c>
      <c r="BE46" s="378">
        <f t="shared" si="27"/>
        <v>0</v>
      </c>
      <c r="BF46" s="378">
        <f t="shared" si="27"/>
        <v>0</v>
      </c>
      <c r="BG46" s="378">
        <f t="shared" si="27"/>
        <v>0</v>
      </c>
      <c r="BH46" s="378">
        <f t="shared" si="27"/>
        <v>0</v>
      </c>
      <c r="BI46" s="378">
        <f t="shared" si="27"/>
        <v>0</v>
      </c>
      <c r="BJ46" s="378">
        <f t="shared" si="27"/>
        <v>0</v>
      </c>
      <c r="BK46" s="378">
        <f t="shared" si="27"/>
        <v>0</v>
      </c>
      <c r="BL46" s="378">
        <f t="shared" si="27"/>
        <v>0</v>
      </c>
      <c r="BM46" s="378">
        <f t="shared" si="27"/>
        <v>0</v>
      </c>
      <c r="BN46" s="378">
        <f t="shared" si="27"/>
        <v>0</v>
      </c>
      <c r="BO46" s="378">
        <f t="shared" si="27"/>
        <v>0</v>
      </c>
      <c r="BP46" s="378">
        <f t="shared" si="27"/>
        <v>0</v>
      </c>
      <c r="BQ46" s="378">
        <f t="shared" si="27"/>
        <v>0</v>
      </c>
      <c r="BR46" s="378">
        <f t="shared" si="27"/>
        <v>0</v>
      </c>
    </row>
    <row r="47" spans="1:70">
      <c r="A47" s="374">
        <f t="shared" si="1"/>
        <v>0</v>
      </c>
      <c r="B47" s="359">
        <v>4805</v>
      </c>
      <c r="C47" s="359">
        <v>1</v>
      </c>
      <c r="D47" s="360"/>
      <c r="E47" s="360"/>
      <c r="F47" s="366" t="s">
        <v>448</v>
      </c>
      <c r="G47" s="360"/>
      <c r="H47" s="377"/>
      <c r="I47" s="540">
        <f>'TS1'!$D$32*'DB1'!$F$47*-1000000-SUMIFS($I$51:$I$93,$C$51:$C$93,$C$47)</f>
        <v>-61577988.230000004</v>
      </c>
      <c r="J47" s="546"/>
      <c r="K47" s="383">
        <f>'TS1'!F32+'TS2'!F32</f>
        <v>0</v>
      </c>
      <c r="L47" s="383">
        <f>'TS1'!G32+'TS2'!G32</f>
        <v>0</v>
      </c>
      <c r="M47" s="383">
        <f>'TS1'!H32+'TS2'!H32</f>
        <v>0</v>
      </c>
      <c r="N47" s="383">
        <f>'TS1'!I32+'TS2'!I32</f>
        <v>0</v>
      </c>
      <c r="O47" s="383">
        <f>'TS1'!J32+'TS2'!J32</f>
        <v>0</v>
      </c>
      <c r="P47" s="383">
        <f>'TS1'!K32+'TS2'!K32</f>
        <v>0</v>
      </c>
      <c r="Q47" s="383">
        <f>'TS1'!L32+'TS2'!L32</f>
        <v>0</v>
      </c>
      <c r="R47" s="383">
        <f>'TS1'!M32+'TS2'!M32</f>
        <v>0</v>
      </c>
      <c r="S47" s="377">
        <f>$I$47/COUNTIF('TS1'!$M$32:$BM$32,"&gt;"&amp;0)*'TS1'!N32</f>
        <v>-2368384.162692308</v>
      </c>
      <c r="T47" s="377">
        <f>$I$47/COUNTIF('TS1'!$M$32:$BM$32,"&gt;"&amp;0)*'TS1'!O32</f>
        <v>-2368384.162692308</v>
      </c>
      <c r="U47" s="377">
        <f>$I$47/COUNTIF('TS1'!$M$32:$BM$32,"&gt;"&amp;0)*'TS1'!P32</f>
        <v>-2368384.162692308</v>
      </c>
      <c r="V47" s="377">
        <f>$I$47/COUNTIF('TS1'!$M$32:$BM$32,"&gt;"&amp;0)*'TS1'!Q32</f>
        <v>-2368384.162692308</v>
      </c>
      <c r="W47" s="377">
        <f>$I$47/COUNTIF('TS1'!$M$32:$BM$32,"&gt;"&amp;0)*'TS1'!R32</f>
        <v>-2368384.162692308</v>
      </c>
      <c r="X47" s="377">
        <f>$I$47/COUNTIF('TS1'!$M$32:$BM$32,"&gt;"&amp;0)*'TS1'!S32</f>
        <v>-2368384.162692308</v>
      </c>
      <c r="Y47" s="377">
        <f>$I$47/COUNTIF('TS1'!$M$32:$BM$32,"&gt;"&amp;0)*'TS1'!T32</f>
        <v>-2368384.162692308</v>
      </c>
      <c r="Z47" s="377">
        <f>$I$47/COUNTIF('TS1'!$M$32:$BM$32,"&gt;"&amp;0)*'TS1'!U32</f>
        <v>-2368384.162692308</v>
      </c>
      <c r="AA47" s="377">
        <f>$I$47/COUNTIF('TS1'!$M$32:$BM$32,"&gt;"&amp;0)*'TS1'!V32</f>
        <v>-2368384.162692308</v>
      </c>
      <c r="AB47" s="377">
        <f>$I$47/COUNTIF('TS1'!$M$32:$BM$32,"&gt;"&amp;0)*'TS1'!W32</f>
        <v>-2368384.162692308</v>
      </c>
      <c r="AC47" s="377">
        <f>$I$47/COUNTIF('TS1'!$M$32:$BM$32,"&gt;"&amp;0)*'TS1'!X32</f>
        <v>-2368384.162692308</v>
      </c>
      <c r="AD47" s="377">
        <f>$I$47/COUNTIF('TS1'!$M$32:$BM$32,"&gt;"&amp;0)*'TS1'!Y32</f>
        <v>-2368384.162692308</v>
      </c>
      <c r="AE47" s="377">
        <f>$I$47/COUNTIF('TS1'!$M$32:$BM$32,"&gt;"&amp;0)*'TS1'!Z32</f>
        <v>-2368384.162692308</v>
      </c>
      <c r="AF47" s="377">
        <f>$I$47/COUNTIF('TS1'!$M$32:$BM$32,"&gt;"&amp;0)*'TS1'!AA32</f>
        <v>-2368384.162692308</v>
      </c>
      <c r="AG47" s="377">
        <f>$I$47/COUNTIF('TS1'!$M$32:$BM$32,"&gt;"&amp;0)*'TS1'!AB32</f>
        <v>-2368384.162692308</v>
      </c>
      <c r="AH47" s="377">
        <f>$I$47/COUNTIF('TS1'!$M$32:$BM$32,"&gt;"&amp;0)*'TS1'!AC32</f>
        <v>-2368384.162692308</v>
      </c>
      <c r="AI47" s="377">
        <f>$I$47/COUNTIF('TS1'!$M$32:$BM$32,"&gt;"&amp;0)*'TS1'!AD32</f>
        <v>-2368384.162692308</v>
      </c>
      <c r="AJ47" s="377">
        <f>$I$47/COUNTIF('TS1'!$M$32:$BM$32,"&gt;"&amp;0)*'TS1'!AE32</f>
        <v>-2368384.162692308</v>
      </c>
      <c r="AK47" s="377">
        <f>$I$47/COUNTIF('TS1'!$M$32:$BM$32,"&gt;"&amp;0)*'TS1'!AF32</f>
        <v>-2368384.162692308</v>
      </c>
      <c r="AL47" s="377">
        <f>$I$47/COUNTIF('TS1'!$M$32:$BM$32,"&gt;"&amp;0)*'TS1'!AG32</f>
        <v>-2368384.162692308</v>
      </c>
      <c r="AM47" s="377">
        <f>$I$47/COUNTIF('TS1'!$M$32:$BM$32,"&gt;"&amp;0)*'TS1'!AH32</f>
        <v>-2368384.162692308</v>
      </c>
      <c r="AN47" s="377">
        <f>$I$47/COUNTIF('TS1'!$M$32:$BM$32,"&gt;"&amp;0)*'TS1'!AI32</f>
        <v>-2368384.162692308</v>
      </c>
      <c r="AO47" s="377">
        <f>$I$47/COUNTIF('TS1'!$M$32:$BM$32,"&gt;"&amp;0)*'TS1'!AJ32</f>
        <v>-2368384.162692308</v>
      </c>
      <c r="AP47" s="377">
        <f>$I$47/COUNTIF('TS1'!$M$32:$BM$32,"&gt;"&amp;0)*'TS1'!AK32</f>
        <v>-2368384.162692308</v>
      </c>
      <c r="AQ47" s="377">
        <f>$I$47/COUNTIF('TS1'!$M$32:$BM$32,"&gt;"&amp;0)*'TS1'!AL32</f>
        <v>-2368384.162692308</v>
      </c>
      <c r="AR47" s="377">
        <f>$I$47/COUNTIF('TS1'!$M$32:$BM$32,"&gt;"&amp;0)*'TS1'!AM32</f>
        <v>-2368384.162692308</v>
      </c>
      <c r="AS47" s="377">
        <f>$I$47/COUNTIF('TS1'!$M$32:$BM$32,"&gt;"&amp;0)*'TS1'!AN32</f>
        <v>0</v>
      </c>
      <c r="AT47" s="377">
        <f>$I$47/COUNTIF('TS1'!$M$32:$BM$32,"&gt;"&amp;0)*'TS1'!AO32</f>
        <v>0</v>
      </c>
      <c r="AU47" s="377">
        <f>$I$47/COUNTIF('TS1'!$M$32:$BM$32,"&gt;"&amp;0)*'TS1'!AP32</f>
        <v>0</v>
      </c>
      <c r="AV47" s="377">
        <f>$I$47/COUNTIF('TS1'!$M$32:$BM$32,"&gt;"&amp;0)*'TS1'!AQ32</f>
        <v>0</v>
      </c>
      <c r="AW47" s="377">
        <f>$I$47/COUNTIF('TS1'!$M$32:$BM$32,"&gt;"&amp;0)*'TS1'!AR32</f>
        <v>0</v>
      </c>
      <c r="AX47" s="377">
        <f>$I$47/COUNTIF('TS1'!$M$32:$BM$32,"&gt;"&amp;0)*'TS1'!AS32</f>
        <v>0</v>
      </c>
      <c r="AY47" s="377">
        <f>$I$47/COUNTIF('TS1'!$M$32:$BM$32,"&gt;"&amp;0)*'TS1'!AT32</f>
        <v>0</v>
      </c>
      <c r="AZ47" s="377">
        <f>$I$47/COUNTIF('TS1'!$M$32:$BM$32,"&gt;"&amp;0)*'TS1'!AU32</f>
        <v>0</v>
      </c>
      <c r="BA47" s="377">
        <f>$I$47/COUNTIF('TS1'!$M$32:$BM$32,"&gt;"&amp;0)*'TS1'!AV32</f>
        <v>0</v>
      </c>
      <c r="BB47" s="377">
        <f>$I$47/COUNTIF('TS1'!$M$32:$BM$32,"&gt;"&amp;0)*'TS1'!AW32</f>
        <v>0</v>
      </c>
      <c r="BC47" s="377">
        <f>$I$47/COUNTIF('TS1'!$M$32:$BM$32,"&gt;"&amp;0)*'TS1'!AX32</f>
        <v>0</v>
      </c>
      <c r="BD47" s="377">
        <f>$I$47/COUNTIF('TS1'!$M$32:$BM$32,"&gt;"&amp;0)*'TS1'!AY32</f>
        <v>0</v>
      </c>
      <c r="BE47" s="377">
        <f>$I$47/COUNTIF('TS1'!$M$32:$BM$32,"&gt;"&amp;0)*'TS1'!AZ32</f>
        <v>0</v>
      </c>
      <c r="BF47" s="377">
        <f>$I$47/COUNTIF('TS1'!$M$32:$BM$32,"&gt;"&amp;0)*'TS1'!BA32</f>
        <v>0</v>
      </c>
      <c r="BG47" s="377">
        <f>$I$47/COUNTIF('TS1'!$M$32:$BM$32,"&gt;"&amp;0)*'TS1'!BB32</f>
        <v>0</v>
      </c>
      <c r="BH47" s="377">
        <f>$I$47/COUNTIF('TS1'!$M$32:$BM$32,"&gt;"&amp;0)*'TS1'!BC32</f>
        <v>0</v>
      </c>
      <c r="BI47" s="377">
        <f>$I$47/COUNTIF('TS1'!$M$32:$BM$32,"&gt;"&amp;0)*'TS1'!BD32</f>
        <v>0</v>
      </c>
      <c r="BJ47" s="377">
        <f>$I$47/COUNTIF('TS1'!$M$32:$BM$32,"&gt;"&amp;0)*'TS1'!BE32</f>
        <v>0</v>
      </c>
      <c r="BK47" s="377">
        <f>$I$47/COUNTIF('TS1'!$M$32:$BM$32,"&gt;"&amp;0)*'TS1'!BF32</f>
        <v>0</v>
      </c>
      <c r="BL47" s="377">
        <f>$I$47/COUNTIF('TS1'!$M$32:$BM$32,"&gt;"&amp;0)*'TS1'!BG32</f>
        <v>0</v>
      </c>
      <c r="BM47" s="377">
        <f>$I$47/COUNTIF('TS1'!$M$32:$BM$32,"&gt;"&amp;0)*'TS1'!BH32</f>
        <v>0</v>
      </c>
      <c r="BN47" s="377">
        <f>$I$47/COUNTIF('TS1'!$M$32:$BM$32,"&gt;"&amp;0)*'TS1'!BI32</f>
        <v>0</v>
      </c>
      <c r="BO47" s="377">
        <f>$I$47/COUNTIF('TS1'!$M$32:$BM$32,"&gt;"&amp;0)*'TS1'!BJ32</f>
        <v>0</v>
      </c>
      <c r="BP47" s="377">
        <f>$I$47/COUNTIF('TS1'!$M$32:$BM$32,"&gt;"&amp;0)*'TS1'!BK32</f>
        <v>0</v>
      </c>
      <c r="BQ47" s="377">
        <f>$I$47/COUNTIF('TS1'!$M$32:$BM$32,"&gt;"&amp;0)*'TS1'!BL32</f>
        <v>0</v>
      </c>
      <c r="BR47" s="377">
        <f>$I$47/COUNTIF('TS1'!$M$32:$BM$32,"&gt;"&amp;0)*'TS1'!BM32</f>
        <v>0</v>
      </c>
    </row>
    <row r="48" spans="1:70">
      <c r="A48" s="374"/>
      <c r="B48" s="359"/>
      <c r="C48" s="359"/>
      <c r="D48" s="360"/>
      <c r="E48" s="360"/>
      <c r="F48" s="373"/>
      <c r="G48" s="360"/>
      <c r="H48" s="377"/>
      <c r="I48" s="537"/>
      <c r="J48" s="546"/>
      <c r="K48" s="383"/>
      <c r="L48" s="383"/>
      <c r="M48" s="383"/>
      <c r="N48" s="383"/>
      <c r="O48" s="383"/>
      <c r="P48" s="383"/>
      <c r="Q48" s="383"/>
      <c r="R48" s="383"/>
      <c r="S48" s="377"/>
      <c r="T48" s="377"/>
      <c r="U48" s="377"/>
      <c r="V48" s="377"/>
      <c r="W48" s="377"/>
      <c r="X48" s="377"/>
      <c r="Y48" s="377"/>
      <c r="Z48" s="377"/>
      <c r="AA48" s="377"/>
      <c r="AB48" s="377"/>
      <c r="AC48" s="377"/>
      <c r="AD48" s="377"/>
      <c r="AE48" s="377"/>
      <c r="AF48" s="377"/>
      <c r="AG48" s="377"/>
      <c r="AH48" s="377"/>
      <c r="AI48" s="377"/>
      <c r="AJ48" s="377"/>
      <c r="AK48" s="377"/>
      <c r="AL48" s="377"/>
      <c r="AM48" s="377"/>
      <c r="AN48" s="377"/>
      <c r="AO48" s="377"/>
      <c r="AP48" s="377"/>
      <c r="AQ48" s="377"/>
      <c r="AR48" s="377"/>
      <c r="AS48" s="377"/>
      <c r="AT48" s="377"/>
      <c r="AU48" s="377"/>
      <c r="AV48" s="377"/>
      <c r="AW48" s="377"/>
      <c r="AX48" s="377"/>
      <c r="AY48" s="377"/>
      <c r="AZ48" s="377"/>
      <c r="BA48" s="377"/>
      <c r="BB48" s="377"/>
      <c r="BC48" s="377"/>
      <c r="BD48" s="377"/>
      <c r="BE48" s="377"/>
      <c r="BF48" s="377"/>
      <c r="BG48" s="377"/>
      <c r="BH48" s="377"/>
      <c r="BI48" s="377"/>
      <c r="BJ48" s="377"/>
      <c r="BK48" s="377"/>
      <c r="BL48" s="377"/>
      <c r="BM48" s="377"/>
      <c r="BN48" s="377"/>
      <c r="BO48" s="377"/>
      <c r="BP48" s="377"/>
      <c r="BQ48" s="377"/>
      <c r="BR48" s="377"/>
    </row>
    <row r="49" spans="1:70">
      <c r="A49" s="374"/>
      <c r="B49" s="359">
        <v>4805</v>
      </c>
      <c r="C49" s="359">
        <v>2</v>
      </c>
      <c r="D49" s="360"/>
      <c r="E49" s="360"/>
      <c r="F49" s="366" t="s">
        <v>448</v>
      </c>
      <c r="G49" s="360"/>
      <c r="H49" s="377"/>
      <c r="I49" s="540">
        <f>'TS2'!$D$32*'DB2'!$F$47*-1000000-SUMIFS($I$51:$I$93,$C$51:$C$93,$C$49)</f>
        <v>-81000000</v>
      </c>
      <c r="J49" s="546"/>
      <c r="K49" s="383"/>
      <c r="L49" s="383"/>
      <c r="M49" s="383"/>
      <c r="N49" s="383"/>
      <c r="O49" s="383"/>
      <c r="P49" s="383"/>
      <c r="Q49" s="383"/>
      <c r="R49" s="383"/>
      <c r="S49" s="377">
        <f>$I$49/COUNTIF('TS2'!$M$32:$BM$32,"&gt;"&amp;0)*'TS2'!N32</f>
        <v>-3000000</v>
      </c>
      <c r="T49" s="377">
        <f>$I$49/COUNTIF('TS2'!$M$32:$BM$32,"&gt;"&amp;0)*'TS2'!O32</f>
        <v>-3000000</v>
      </c>
      <c r="U49" s="377">
        <f>$I$49/COUNTIF('TS2'!$M$32:$BM$32,"&gt;"&amp;0)*'TS2'!P32</f>
        <v>-3000000</v>
      </c>
      <c r="V49" s="377">
        <f>$I$49/COUNTIF('TS2'!$M$32:$BM$32,"&gt;"&amp;0)*'TS2'!Q32</f>
        <v>-3000000</v>
      </c>
      <c r="W49" s="377">
        <f>$I$49/COUNTIF('TS2'!$M$32:$BM$32,"&gt;"&amp;0)*'TS2'!R32</f>
        <v>-3000000</v>
      </c>
      <c r="X49" s="377">
        <f>$I$49/COUNTIF('TS2'!$M$32:$BM$32,"&gt;"&amp;0)*'TS2'!S32</f>
        <v>-3000000</v>
      </c>
      <c r="Y49" s="377">
        <f>$I$49/COUNTIF('TS2'!$M$32:$BM$32,"&gt;"&amp;0)*'TS2'!T32</f>
        <v>-3000000</v>
      </c>
      <c r="Z49" s="377">
        <f>$I$49/COUNTIF('TS2'!$M$32:$BM$32,"&gt;"&amp;0)*'TS2'!U32</f>
        <v>-3000000</v>
      </c>
      <c r="AA49" s="377">
        <f>$I$49/COUNTIF('TS2'!$M$32:$BM$32,"&gt;"&amp;0)*'TS2'!V32</f>
        <v>-3000000</v>
      </c>
      <c r="AB49" s="377">
        <f>$I$49/COUNTIF('TS2'!$M$32:$BM$32,"&gt;"&amp;0)*'TS2'!W32</f>
        <v>-3000000</v>
      </c>
      <c r="AC49" s="377">
        <f>$I$49/COUNTIF('TS2'!$M$32:$BM$32,"&gt;"&amp;0)*'TS2'!X32</f>
        <v>-3000000</v>
      </c>
      <c r="AD49" s="377">
        <f>$I$49/COUNTIF('TS2'!$M$32:$BM$32,"&gt;"&amp;0)*'TS2'!Y32</f>
        <v>-3000000</v>
      </c>
      <c r="AE49" s="377">
        <f>$I$49/COUNTIF('TS2'!$M$32:$BM$32,"&gt;"&amp;0)*'TS2'!Z32</f>
        <v>-3000000</v>
      </c>
      <c r="AF49" s="377">
        <f>$I$49/COUNTIF('TS2'!$M$32:$BM$32,"&gt;"&amp;0)*'TS2'!AA32</f>
        <v>-3000000</v>
      </c>
      <c r="AG49" s="377">
        <f>$I$49/COUNTIF('TS2'!$M$32:$BM$32,"&gt;"&amp;0)*'TS2'!AB32</f>
        <v>-3000000</v>
      </c>
      <c r="AH49" s="377">
        <f>$I$49/COUNTIF('TS2'!$M$32:$BM$32,"&gt;"&amp;0)*'TS2'!AC32</f>
        <v>-3000000</v>
      </c>
      <c r="AI49" s="377">
        <f>$I$49/COUNTIF('TS2'!$M$32:$BM$32,"&gt;"&amp;0)*'TS2'!AD32</f>
        <v>-3000000</v>
      </c>
      <c r="AJ49" s="377">
        <f>$I$49/COUNTIF('TS2'!$M$32:$BM$32,"&gt;"&amp;0)*'TS2'!AE32</f>
        <v>-3000000</v>
      </c>
      <c r="AK49" s="377">
        <f>$I$49/COUNTIF('TS2'!$M$32:$BM$32,"&gt;"&amp;0)*'TS2'!AF32</f>
        <v>-3000000</v>
      </c>
      <c r="AL49" s="377">
        <f>$I$49/COUNTIF('TS2'!$M$32:$BM$32,"&gt;"&amp;0)*'TS2'!AG32</f>
        <v>-3000000</v>
      </c>
      <c r="AM49" s="377">
        <f>$I$49/COUNTIF('TS2'!$M$32:$BM$32,"&gt;"&amp;0)*'TS2'!AH32</f>
        <v>-3000000</v>
      </c>
      <c r="AN49" s="377">
        <f>$I$49/COUNTIF('TS2'!$M$32:$BM$32,"&gt;"&amp;0)*'TS2'!AI32</f>
        <v>-3000000</v>
      </c>
      <c r="AO49" s="377">
        <f>$I$49/COUNTIF('TS2'!$M$32:$BM$32,"&gt;"&amp;0)*'TS2'!AJ32</f>
        <v>-3000000</v>
      </c>
      <c r="AP49" s="377">
        <f>$I$49/COUNTIF('TS2'!$M$32:$BM$32,"&gt;"&amp;0)*'TS2'!AK32</f>
        <v>-3000000</v>
      </c>
      <c r="AQ49" s="377">
        <f>$I$49/COUNTIF('TS2'!$M$32:$BM$32,"&gt;"&amp;0)*'TS2'!AL32</f>
        <v>-3000000</v>
      </c>
      <c r="AR49" s="377">
        <f>$I$49/COUNTIF('TS2'!$M$32:$BM$32,"&gt;"&amp;0)*'TS2'!AM32</f>
        <v>-3000000</v>
      </c>
      <c r="AS49" s="377">
        <f>$I$49/COUNTIF('TS2'!$M$32:$BM$32,"&gt;"&amp;0)*'TS2'!AN32</f>
        <v>-3000000</v>
      </c>
      <c r="AT49" s="377">
        <f>$I$49/COUNTIF('TS2'!$M$32:$BM$32,"&gt;"&amp;0)*'TS2'!AO32</f>
        <v>0</v>
      </c>
      <c r="AU49" s="377">
        <f>$I$49/COUNTIF('TS2'!$M$32:$BM$32,"&gt;"&amp;0)*'TS2'!AP32</f>
        <v>0</v>
      </c>
      <c r="AV49" s="377">
        <f>$I$49/COUNTIF('TS2'!$M$32:$BM$32,"&gt;"&amp;0)*'TS2'!AQ32</f>
        <v>0</v>
      </c>
      <c r="AW49" s="377">
        <f>$I$49/COUNTIF('TS2'!$M$32:$BM$32,"&gt;"&amp;0)*'TS2'!AR32</f>
        <v>0</v>
      </c>
      <c r="AX49" s="377">
        <f>$I$49/COUNTIF('TS2'!$M$32:$BM$32,"&gt;"&amp;0)*'TS2'!AS32</f>
        <v>0</v>
      </c>
      <c r="AY49" s="377">
        <f>$I$49/COUNTIF('TS2'!$M$32:$BM$32,"&gt;"&amp;0)*'TS2'!AT32</f>
        <v>0</v>
      </c>
      <c r="AZ49" s="377">
        <f>$I$49/COUNTIF('TS2'!$M$32:$BM$32,"&gt;"&amp;0)*'TS2'!AU32</f>
        <v>0</v>
      </c>
      <c r="BA49" s="377">
        <f>$I$49/COUNTIF('TS2'!$M$32:$BM$32,"&gt;"&amp;0)*'TS2'!AV32</f>
        <v>0</v>
      </c>
      <c r="BB49" s="377">
        <f>$I$49/COUNTIF('TS2'!$M$32:$BM$32,"&gt;"&amp;0)*'TS2'!AW32</f>
        <v>0</v>
      </c>
      <c r="BC49" s="377">
        <f>$I$49/COUNTIF('TS2'!$M$32:$BM$32,"&gt;"&amp;0)*'TS2'!AX32</f>
        <v>0</v>
      </c>
      <c r="BD49" s="377">
        <f>$I$49/COUNTIF('TS2'!$M$32:$BM$32,"&gt;"&amp;0)*'TS2'!AY32</f>
        <v>0</v>
      </c>
      <c r="BE49" s="377">
        <f>$I$49/COUNTIF('TS2'!$M$32:$BM$32,"&gt;"&amp;0)*'TS2'!AZ32</f>
        <v>0</v>
      </c>
      <c r="BF49" s="377">
        <f>$I$49/COUNTIF('TS2'!$M$32:$BM$32,"&gt;"&amp;0)*'TS2'!BA32</f>
        <v>0</v>
      </c>
      <c r="BG49" s="377">
        <f>$I$49/COUNTIF('TS2'!$M$32:$BM$32,"&gt;"&amp;0)*'TS2'!BB32</f>
        <v>0</v>
      </c>
      <c r="BH49" s="377">
        <f>$I$49/COUNTIF('TS2'!$M$32:$BM$32,"&gt;"&amp;0)*'TS2'!BC32</f>
        <v>0</v>
      </c>
      <c r="BI49" s="377">
        <f>$I$49/COUNTIF('TS2'!$M$32:$BM$32,"&gt;"&amp;0)*'TS2'!BD32</f>
        <v>0</v>
      </c>
      <c r="BJ49" s="377">
        <f>$I$49/COUNTIF('TS2'!$M$32:$BM$32,"&gt;"&amp;0)*'TS2'!BE32</f>
        <v>0</v>
      </c>
      <c r="BK49" s="377">
        <f>$I$49/COUNTIF('TS2'!$M$32:$BM$32,"&gt;"&amp;0)*'TS2'!BF32</f>
        <v>0</v>
      </c>
      <c r="BL49" s="377">
        <f>$I$49/COUNTIF('TS2'!$M$32:$BM$32,"&gt;"&amp;0)*'TS2'!BG32</f>
        <v>0</v>
      </c>
      <c r="BM49" s="377">
        <f>$I$49/COUNTIF('TS2'!$M$32:$BM$32,"&gt;"&amp;0)*'TS2'!BH32</f>
        <v>0</v>
      </c>
      <c r="BN49" s="377">
        <f>$I$49/COUNTIF('TS2'!$M$32:$BM$32,"&gt;"&amp;0)*'TS2'!BI32</f>
        <v>0</v>
      </c>
      <c r="BO49" s="377">
        <f>$I$49/COUNTIF('TS2'!$M$32:$BM$32,"&gt;"&amp;0)*'TS2'!BJ32</f>
        <v>0</v>
      </c>
      <c r="BP49" s="377">
        <f>$I$49/COUNTIF('TS2'!$M$32:$BM$32,"&gt;"&amp;0)*'TS2'!BK32</f>
        <v>0</v>
      </c>
      <c r="BQ49" s="377">
        <f>$I$49/COUNTIF('TS2'!$M$32:$BM$32,"&gt;"&amp;0)*'TS2'!BL32</f>
        <v>0</v>
      </c>
      <c r="BR49" s="377">
        <f>$I$49/COUNTIF('TS2'!$M$32:$BM$32,"&gt;"&amp;0)*'TS2'!BM32</f>
        <v>0</v>
      </c>
    </row>
    <row r="50" spans="1:70" s="353" customFormat="1">
      <c r="A50" s="374">
        <f t="shared" si="1"/>
        <v>0</v>
      </c>
      <c r="B50" s="365">
        <v>4100</v>
      </c>
      <c r="C50" s="365"/>
      <c r="D50" s="366" t="s">
        <v>425</v>
      </c>
      <c r="E50" s="366"/>
      <c r="F50" s="366"/>
      <c r="G50" s="366"/>
      <c r="H50" s="379">
        <f t="shared" ref="H50:AM50" si="28">SUM(H51:H68)</f>
        <v>0</v>
      </c>
      <c r="I50" s="540">
        <f t="shared" si="28"/>
        <v>-7532881.7699999986</v>
      </c>
      <c r="J50" s="549">
        <f t="shared" si="28"/>
        <v>0</v>
      </c>
      <c r="K50" s="379">
        <f t="shared" si="28"/>
        <v>-180242.86</v>
      </c>
      <c r="L50" s="379">
        <f t="shared" si="28"/>
        <v>-548393.29</v>
      </c>
      <c r="M50" s="379">
        <f t="shared" si="28"/>
        <v>-282000</v>
      </c>
      <c r="N50" s="379">
        <f t="shared" si="28"/>
        <v>-289000</v>
      </c>
      <c r="O50" s="379">
        <f t="shared" si="28"/>
        <v>-334000</v>
      </c>
      <c r="P50" s="379">
        <f t="shared" si="28"/>
        <v>-298260</v>
      </c>
      <c r="Q50" s="379">
        <f t="shared" si="28"/>
        <v>-612235.62</v>
      </c>
      <c r="R50" s="379">
        <f t="shared" si="28"/>
        <v>-668750</v>
      </c>
      <c r="S50" s="379">
        <f t="shared" si="28"/>
        <v>-180000</v>
      </c>
      <c r="T50" s="379">
        <f t="shared" si="28"/>
        <v>-180000</v>
      </c>
      <c r="U50" s="379">
        <f t="shared" si="28"/>
        <v>-180000</v>
      </c>
      <c r="V50" s="379">
        <f t="shared" si="28"/>
        <v>-180000</v>
      </c>
      <c r="W50" s="379">
        <f t="shared" si="28"/>
        <v>-180000</v>
      </c>
      <c r="X50" s="379">
        <f t="shared" si="28"/>
        <v>-180000</v>
      </c>
      <c r="Y50" s="379">
        <f t="shared" si="28"/>
        <v>-180000</v>
      </c>
      <c r="Z50" s="379">
        <f t="shared" si="28"/>
        <v>-180000</v>
      </c>
      <c r="AA50" s="379">
        <f t="shared" si="28"/>
        <v>-180000</v>
      </c>
      <c r="AB50" s="379">
        <f t="shared" si="28"/>
        <v>-180000</v>
      </c>
      <c r="AC50" s="379">
        <f t="shared" si="28"/>
        <v>-180000</v>
      </c>
      <c r="AD50" s="379">
        <f t="shared" si="28"/>
        <v>-180000</v>
      </c>
      <c r="AE50" s="379">
        <f t="shared" si="28"/>
        <v>-180000</v>
      </c>
      <c r="AF50" s="379">
        <f t="shared" si="28"/>
        <v>-180000</v>
      </c>
      <c r="AG50" s="379">
        <f t="shared" si="28"/>
        <v>-180000</v>
      </c>
      <c r="AH50" s="379">
        <f t="shared" si="28"/>
        <v>-180000</v>
      </c>
      <c r="AI50" s="379">
        <f t="shared" si="28"/>
        <v>-180000</v>
      </c>
      <c r="AJ50" s="379">
        <f t="shared" si="28"/>
        <v>-180000</v>
      </c>
      <c r="AK50" s="379">
        <f t="shared" si="28"/>
        <v>-180000</v>
      </c>
      <c r="AL50" s="379">
        <f t="shared" si="28"/>
        <v>-180000</v>
      </c>
      <c r="AM50" s="379">
        <f t="shared" si="28"/>
        <v>-180000</v>
      </c>
      <c r="AN50" s="379">
        <f t="shared" ref="AN50:BR50" si="29">SUM(AN51:AN68)</f>
        <v>-180000</v>
      </c>
      <c r="AO50" s="379">
        <f t="shared" si="29"/>
        <v>-180000</v>
      </c>
      <c r="AP50" s="379">
        <f t="shared" si="29"/>
        <v>-180000</v>
      </c>
      <c r="AQ50" s="379">
        <f t="shared" si="29"/>
        <v>0</v>
      </c>
      <c r="AR50" s="379">
        <f t="shared" si="29"/>
        <v>0</v>
      </c>
      <c r="AS50" s="379">
        <f t="shared" si="29"/>
        <v>0</v>
      </c>
      <c r="AT50" s="379">
        <f t="shared" si="29"/>
        <v>0</v>
      </c>
      <c r="AU50" s="379">
        <f t="shared" si="29"/>
        <v>0</v>
      </c>
      <c r="AV50" s="379">
        <f t="shared" si="29"/>
        <v>0</v>
      </c>
      <c r="AW50" s="379">
        <f t="shared" si="29"/>
        <v>0</v>
      </c>
      <c r="AX50" s="379">
        <f t="shared" si="29"/>
        <v>0</v>
      </c>
      <c r="AY50" s="379">
        <f t="shared" si="29"/>
        <v>0</v>
      </c>
      <c r="AZ50" s="379">
        <f t="shared" si="29"/>
        <v>0</v>
      </c>
      <c r="BA50" s="379">
        <f t="shared" si="29"/>
        <v>0</v>
      </c>
      <c r="BB50" s="379">
        <f t="shared" si="29"/>
        <v>0</v>
      </c>
      <c r="BC50" s="379">
        <f t="shared" si="29"/>
        <v>0</v>
      </c>
      <c r="BD50" s="379">
        <f t="shared" si="29"/>
        <v>0</v>
      </c>
      <c r="BE50" s="379">
        <f t="shared" si="29"/>
        <v>0</v>
      </c>
      <c r="BF50" s="379">
        <f t="shared" si="29"/>
        <v>0</v>
      </c>
      <c r="BG50" s="379">
        <f t="shared" si="29"/>
        <v>0</v>
      </c>
      <c r="BH50" s="379">
        <f t="shared" si="29"/>
        <v>0</v>
      </c>
      <c r="BI50" s="379">
        <f t="shared" si="29"/>
        <v>0</v>
      </c>
      <c r="BJ50" s="379">
        <f t="shared" si="29"/>
        <v>0</v>
      </c>
      <c r="BK50" s="379">
        <f t="shared" si="29"/>
        <v>0</v>
      </c>
      <c r="BL50" s="379">
        <f t="shared" si="29"/>
        <v>0</v>
      </c>
      <c r="BM50" s="379">
        <f t="shared" si="29"/>
        <v>0</v>
      </c>
      <c r="BN50" s="379">
        <f t="shared" si="29"/>
        <v>0</v>
      </c>
      <c r="BO50" s="379">
        <f t="shared" si="29"/>
        <v>0</v>
      </c>
      <c r="BP50" s="379">
        <f t="shared" si="29"/>
        <v>0</v>
      </c>
      <c r="BQ50" s="379">
        <f t="shared" si="29"/>
        <v>0</v>
      </c>
      <c r="BR50" s="379">
        <f t="shared" si="29"/>
        <v>0</v>
      </c>
    </row>
    <row r="51" spans="1:70">
      <c r="A51" s="374">
        <f t="shared" si="1"/>
        <v>0</v>
      </c>
      <c r="B51" s="359" t="s">
        <v>850</v>
      </c>
      <c r="C51" s="359">
        <v>1</v>
      </c>
      <c r="D51" s="360"/>
      <c r="E51" s="360" t="s">
        <v>492</v>
      </c>
      <c r="F51" s="373" t="s">
        <v>414</v>
      </c>
      <c r="G51" s="360" t="s">
        <v>413</v>
      </c>
      <c r="H51" s="377"/>
      <c r="I51" s="537">
        <f>SUM(K51:BR51)</f>
        <v>-20600</v>
      </c>
      <c r="J51" s="546"/>
      <c r="K51" s="383">
        <f>SUMIFS(FACT!$B:$B,FACT!$A:$A,DETAILS!$B51,FACT!$I:$I,DETAILS!$F51,FACT!$J:$J,DETAILS!$G51,FACT!$C:$C,DETAILS!K$4,FACT!$H:$H,DETAILS!$E51)</f>
        <v>-2600</v>
      </c>
      <c r="L51" s="383">
        <f>SUMIFS(FACT!$B:$B,FACT!$A:$A,DETAILS!$B51,FACT!$I:$I,DETAILS!$F51,FACT!$J:$J,DETAILS!$G51,FACT!$C:$C,DETAILS!L$4,FACT!$H:$H,DETAILS!$E51)</f>
        <v>-18000</v>
      </c>
      <c r="M51" s="383">
        <f>SUMIFS(FACT!$B:$B,FACT!$A:$A,DETAILS!$B51,FACT!$I:$I,DETAILS!$F51,FACT!$J:$J,DETAILS!$G51,FACT!$C:$C,DETAILS!M$4,FACT!$H:$H,DETAILS!$E51)</f>
        <v>0</v>
      </c>
      <c r="N51" s="383">
        <f>SUMIFS(FACT!$B:$B,FACT!$A:$A,DETAILS!$B51,FACT!$I:$I,DETAILS!$F51,FACT!$J:$J,DETAILS!$G51,FACT!$C:$C,DETAILS!N$4,FACT!$H:$H,DETAILS!$E51)</f>
        <v>0</v>
      </c>
      <c r="O51" s="383">
        <f>SUMIFS(FACT!$B:$B,FACT!$A:$A,DETAILS!$B51,FACT!$I:$I,DETAILS!$F51,FACT!$J:$J,DETAILS!$G51,FACT!$C:$C,DETAILS!O$4,FACT!$H:$H,DETAILS!$E51)</f>
        <v>0</v>
      </c>
      <c r="P51" s="383">
        <f>SUMIFS(FACT!$B:$B,FACT!$A:$A,DETAILS!$B51,FACT!$I:$I,DETAILS!$F51,FACT!$J:$J,DETAILS!$G51,FACT!$C:$C,DETAILS!P$4,FACT!$H:$H,DETAILS!$E51)</f>
        <v>0</v>
      </c>
      <c r="Q51" s="383">
        <f>SUMIFS(FACT!$B:$B,FACT!$A:$A,DETAILS!$B51,FACT!$I:$I,DETAILS!$F51,FACT!$J:$J,DETAILS!$G51,FACT!$C:$C,DETAILS!Q$4,FACT!$H:$H,DETAILS!$E51)</f>
        <v>0</v>
      </c>
      <c r="R51" s="383">
        <f>SUMIFS(FACT!$B:$B,FACT!$A:$A,DETAILS!$B51,FACT!$I:$I,DETAILS!$F51,FACT!$J:$J,DETAILS!$G51,FACT!$C:$C,DETAILS!R$4,FACT!$H:$H,DETAILS!$E51)</f>
        <v>0</v>
      </c>
      <c r="S51" s="377"/>
      <c r="T51" s="377"/>
      <c r="U51" s="377"/>
      <c r="V51" s="377"/>
      <c r="W51" s="377"/>
      <c r="X51" s="377"/>
      <c r="Y51" s="377"/>
      <c r="Z51" s="377"/>
      <c r="AA51" s="377"/>
      <c r="AB51" s="377"/>
      <c r="AC51" s="377"/>
      <c r="AD51" s="377"/>
      <c r="AE51" s="377"/>
      <c r="AF51" s="377"/>
      <c r="AG51" s="377"/>
      <c r="AH51" s="377"/>
      <c r="AI51" s="377"/>
      <c r="AJ51" s="377"/>
      <c r="AK51" s="377"/>
      <c r="AL51" s="377"/>
      <c r="AM51" s="377"/>
      <c r="AN51" s="377"/>
      <c r="AO51" s="377"/>
      <c r="AP51" s="377"/>
      <c r="AQ51" s="377"/>
      <c r="AR51" s="377"/>
      <c r="AS51" s="377"/>
      <c r="AT51" s="377"/>
      <c r="AU51" s="377"/>
      <c r="AV51" s="377"/>
      <c r="AW51" s="377"/>
      <c r="AX51" s="377"/>
      <c r="AY51" s="377"/>
      <c r="AZ51" s="377"/>
      <c r="BA51" s="377"/>
      <c r="BB51" s="377"/>
      <c r="BC51" s="377"/>
      <c r="BD51" s="377"/>
      <c r="BE51" s="377"/>
      <c r="BF51" s="377"/>
      <c r="BG51" s="377"/>
      <c r="BH51" s="377"/>
      <c r="BI51" s="377"/>
      <c r="BJ51" s="377"/>
      <c r="BK51" s="377"/>
      <c r="BL51" s="377"/>
      <c r="BM51" s="377"/>
      <c r="BN51" s="377"/>
      <c r="BO51" s="377"/>
      <c r="BP51" s="377"/>
      <c r="BQ51" s="377"/>
      <c r="BR51" s="377"/>
    </row>
    <row r="52" spans="1:70">
      <c r="A52" s="374">
        <f t="shared" si="1"/>
        <v>0</v>
      </c>
      <c r="B52" s="359" t="s">
        <v>850</v>
      </c>
      <c r="C52" s="359">
        <v>1</v>
      </c>
      <c r="D52" s="360"/>
      <c r="E52" s="360" t="s">
        <v>492</v>
      </c>
      <c r="F52" s="373" t="s">
        <v>368</v>
      </c>
      <c r="G52" s="360" t="s">
        <v>506</v>
      </c>
      <c r="H52" s="377"/>
      <c r="I52" s="537">
        <f t="shared" ref="I52:I68" si="30">SUM(K52:BR52)</f>
        <v>-364500</v>
      </c>
      <c r="J52" s="546"/>
      <c r="K52" s="383">
        <f>SUMIFS(FACT!$B:$B,FACT!$A:$A,DETAILS!$B52,FACT!$I:$I,DETAILS!$F52,FACT!$J:$J,DETAILS!$G52,FACT!$C:$C,DETAILS!K$4,FACT!$H:$H,DETAILS!$E52)</f>
        <v>-40500</v>
      </c>
      <c r="L52" s="383">
        <f>SUMIFS(FACT!$B:$B,FACT!$A:$A,DETAILS!$B52,FACT!$I:$I,DETAILS!$F52,FACT!$J:$J,DETAILS!$G52,FACT!$C:$C,DETAILS!L$4,FACT!$H:$H,DETAILS!$E52)</f>
        <v>-90000</v>
      </c>
      <c r="M52" s="383">
        <f>SUMIFS(FACT!$B:$B,FACT!$A:$A,DETAILS!$B52,FACT!$I:$I,DETAILS!$F52,FACT!$J:$J,DETAILS!$G52,FACT!$C:$C,DETAILS!M$4,FACT!$H:$H,DETAILS!$E52)</f>
        <v>-54000</v>
      </c>
      <c r="N52" s="383">
        <f>SUMIFS(FACT!$B:$B,FACT!$A:$A,DETAILS!$B52,FACT!$I:$I,DETAILS!$F52,FACT!$J:$J,DETAILS!$G52,FACT!$C:$C,DETAILS!N$4,FACT!$H:$H,DETAILS!$E52)</f>
        <v>-54000</v>
      </c>
      <c r="O52" s="383">
        <f>SUMIFS(FACT!$B:$B,FACT!$A:$A,DETAILS!$B52,FACT!$I:$I,DETAILS!$F52,FACT!$J:$J,DETAILS!$G52,FACT!$C:$C,DETAILS!O$4,FACT!$H:$H,DETAILS!$E52)</f>
        <v>-54000</v>
      </c>
      <c r="P52" s="383">
        <f>SUMIFS(FACT!$B:$B,FACT!$A:$A,DETAILS!$B52,FACT!$I:$I,DETAILS!$F52,FACT!$J:$J,DETAILS!$G52,FACT!$C:$C,DETAILS!P$4,FACT!$H:$H,DETAILS!$E52)</f>
        <v>-54000</v>
      </c>
      <c r="Q52" s="383">
        <f>SUMIFS(FACT!$B:$B,FACT!$A:$A,DETAILS!$B52,FACT!$I:$I,DETAILS!$F52,FACT!$J:$J,DETAILS!$G52,FACT!$C:$C,DETAILS!Q$4,FACT!$H:$H,DETAILS!$E52)</f>
        <v>-18000</v>
      </c>
      <c r="R52" s="383">
        <f>SUMIFS(FACT!$B:$B,FACT!$A:$A,DETAILS!$B52,FACT!$I:$I,DETAILS!$F52,FACT!$J:$J,DETAILS!$G52,FACT!$C:$C,DETAILS!R$4,FACT!$H:$H,DETAILS!$E52)</f>
        <v>0</v>
      </c>
      <c r="S52" s="377"/>
      <c r="T52" s="377"/>
      <c r="U52" s="377"/>
      <c r="V52" s="377"/>
      <c r="W52" s="377"/>
      <c r="X52" s="377"/>
      <c r="Y52" s="377"/>
      <c r="Z52" s="377"/>
      <c r="AA52" s="377"/>
      <c r="AB52" s="377"/>
      <c r="AC52" s="377"/>
      <c r="AD52" s="377"/>
      <c r="AE52" s="377"/>
      <c r="AF52" s="377"/>
      <c r="AG52" s="377"/>
      <c r="AH52" s="377"/>
      <c r="AI52" s="377"/>
      <c r="AJ52" s="377"/>
      <c r="AK52" s="377"/>
      <c r="AL52" s="377"/>
      <c r="AM52" s="377"/>
      <c r="AN52" s="377"/>
      <c r="AO52" s="377"/>
      <c r="AP52" s="377"/>
      <c r="AQ52" s="377"/>
      <c r="AR52" s="377"/>
      <c r="AS52" s="377"/>
      <c r="AT52" s="377"/>
      <c r="AU52" s="377"/>
      <c r="AV52" s="377"/>
      <c r="AW52" s="377"/>
      <c r="AX52" s="377"/>
      <c r="AY52" s="377"/>
      <c r="AZ52" s="377"/>
      <c r="BA52" s="377"/>
      <c r="BB52" s="377"/>
      <c r="BC52" s="377"/>
      <c r="BD52" s="377"/>
      <c r="BE52" s="377"/>
      <c r="BF52" s="377"/>
      <c r="BG52" s="377"/>
      <c r="BH52" s="377"/>
      <c r="BI52" s="377"/>
      <c r="BJ52" s="377"/>
      <c r="BK52" s="377"/>
      <c r="BL52" s="377"/>
      <c r="BM52" s="377"/>
      <c r="BN52" s="377"/>
      <c r="BO52" s="377"/>
      <c r="BP52" s="377"/>
      <c r="BQ52" s="377"/>
      <c r="BR52" s="377"/>
    </row>
    <row r="53" spans="1:70">
      <c r="A53" s="374">
        <f t="shared" si="1"/>
        <v>0</v>
      </c>
      <c r="B53" s="359" t="s">
        <v>850</v>
      </c>
      <c r="C53" s="359">
        <v>1</v>
      </c>
      <c r="D53" s="360"/>
      <c r="E53" s="360" t="s">
        <v>492</v>
      </c>
      <c r="F53" s="373" t="s">
        <v>368</v>
      </c>
      <c r="G53" s="360" t="s">
        <v>510</v>
      </c>
      <c r="H53" s="377"/>
      <c r="I53" s="537">
        <f t="shared" si="30"/>
        <v>-5846142.8599999994</v>
      </c>
      <c r="J53" s="546"/>
      <c r="K53" s="383">
        <f>SUMIFS(FACT!$B:$B,FACT!$A:$A,DETAILS!$B53,FACT!$I:$I,DETAILS!$F53,FACT!$J:$J,DETAILS!$G53,FACT!$C:$C,DETAILS!K$4,FACT!$H:$H,DETAILS!$E53)</f>
        <v>-137142.85999999999</v>
      </c>
      <c r="L53" s="383">
        <f>SUMIFS(FACT!$B:$B,FACT!$A:$A,DETAILS!$B53,FACT!$I:$I,DETAILS!$F53,FACT!$J:$J,DETAILS!$G53,FACT!$C:$C,DETAILS!L$4,FACT!$H:$H,DETAILS!$E53)</f>
        <v>-300000</v>
      </c>
      <c r="M53" s="383">
        <f>SUMIFS(FACT!$B:$B,FACT!$A:$A,DETAILS!$B53,FACT!$I:$I,DETAILS!$F53,FACT!$J:$J,DETAILS!$G53,FACT!$C:$C,DETAILS!M$4,FACT!$H:$H,DETAILS!$E53)</f>
        <v>-180000</v>
      </c>
      <c r="N53" s="383">
        <f>SUMIFS(FACT!$B:$B,FACT!$A:$A,DETAILS!$B53,FACT!$I:$I,DETAILS!$F53,FACT!$J:$J,DETAILS!$G53,FACT!$C:$C,DETAILS!N$4,FACT!$H:$H,DETAILS!$E53)</f>
        <v>-180000</v>
      </c>
      <c r="O53" s="383">
        <f>SUMIFS(FACT!$B:$B,FACT!$A:$A,DETAILS!$B53,FACT!$I:$I,DETAILS!$F53,FACT!$J:$J,DETAILS!$G53,FACT!$C:$C,DETAILS!O$4,FACT!$H:$H,DETAILS!$E53)</f>
        <v>-180000</v>
      </c>
      <c r="P53" s="383">
        <f>SUMIFS(FACT!$B:$B,FACT!$A:$A,DETAILS!$B53,FACT!$I:$I,DETAILS!$F53,FACT!$J:$J,DETAILS!$G53,FACT!$C:$C,DETAILS!P$4,FACT!$H:$H,DETAILS!$E53)</f>
        <v>-180000</v>
      </c>
      <c r="Q53" s="383">
        <f>SUMIFS(FACT!$B:$B,FACT!$A:$A,DETAILS!$B53,FACT!$I:$I,DETAILS!$F53,FACT!$J:$J,DETAILS!$G53,FACT!$C:$C,DETAILS!Q$4,FACT!$H:$H,DETAILS!$E53)</f>
        <v>-60000</v>
      </c>
      <c r="R53" s="383">
        <f>SUMIFS(FACT!$B:$B,FACT!$A:$A,DETAILS!$B53,FACT!$I:$I,DETAILS!$F53,FACT!$J:$J,DETAILS!$G53,FACT!$C:$C,DETAILS!R$4,FACT!$H:$H,DETAILS!$E53)</f>
        <v>-309000</v>
      </c>
      <c r="S53" s="377">
        <v>-180000</v>
      </c>
      <c r="T53" s="377">
        <v>-180000</v>
      </c>
      <c r="U53" s="377">
        <v>-180000</v>
      </c>
      <c r="V53" s="377">
        <v>-180000</v>
      </c>
      <c r="W53" s="377">
        <v>-180000</v>
      </c>
      <c r="X53" s="377">
        <v>-180000</v>
      </c>
      <c r="Y53" s="377">
        <v>-180000</v>
      </c>
      <c r="Z53" s="377">
        <v>-180000</v>
      </c>
      <c r="AA53" s="377">
        <v>-180000</v>
      </c>
      <c r="AB53" s="377">
        <v>-180000</v>
      </c>
      <c r="AC53" s="377">
        <v>-180000</v>
      </c>
      <c r="AD53" s="377">
        <v>-180000</v>
      </c>
      <c r="AE53" s="377">
        <v>-180000</v>
      </c>
      <c r="AF53" s="377">
        <v>-180000</v>
      </c>
      <c r="AG53" s="377">
        <v>-180000</v>
      </c>
      <c r="AH53" s="377">
        <v>-180000</v>
      </c>
      <c r="AI53" s="377">
        <v>-180000</v>
      </c>
      <c r="AJ53" s="377">
        <v>-180000</v>
      </c>
      <c r="AK53" s="377">
        <v>-180000</v>
      </c>
      <c r="AL53" s="377">
        <v>-180000</v>
      </c>
      <c r="AM53" s="377">
        <v>-180000</v>
      </c>
      <c r="AN53" s="377">
        <v>-180000</v>
      </c>
      <c r="AO53" s="377">
        <v>-180000</v>
      </c>
      <c r="AP53" s="377">
        <v>-180000</v>
      </c>
      <c r="AQ53" s="377"/>
      <c r="AR53" s="377"/>
      <c r="AS53" s="377"/>
      <c r="AT53" s="377"/>
      <c r="AU53" s="377"/>
      <c r="AV53" s="377"/>
      <c r="AW53" s="377"/>
      <c r="AX53" s="377"/>
      <c r="AY53" s="377"/>
      <c r="AZ53" s="377"/>
      <c r="BA53" s="377"/>
      <c r="BB53" s="377"/>
      <c r="BC53" s="377"/>
      <c r="BD53" s="377"/>
      <c r="BE53" s="377"/>
      <c r="BF53" s="377"/>
      <c r="BG53" s="377"/>
      <c r="BH53" s="377"/>
      <c r="BI53" s="377"/>
      <c r="BJ53" s="377"/>
      <c r="BK53" s="377"/>
      <c r="BL53" s="377"/>
      <c r="BM53" s="377"/>
      <c r="BN53" s="377"/>
      <c r="BO53" s="377"/>
      <c r="BP53" s="377"/>
      <c r="BQ53" s="377"/>
      <c r="BR53" s="377"/>
    </row>
    <row r="54" spans="1:70">
      <c r="A54" s="374">
        <f t="shared" si="1"/>
        <v>0</v>
      </c>
      <c r="B54" s="359" t="s">
        <v>850</v>
      </c>
      <c r="C54" s="359">
        <v>1</v>
      </c>
      <c r="D54" s="360"/>
      <c r="E54" s="360" t="s">
        <v>492</v>
      </c>
      <c r="F54" s="373" t="s">
        <v>368</v>
      </c>
      <c r="G54" s="360" t="s">
        <v>533</v>
      </c>
      <c r="H54" s="377"/>
      <c r="I54" s="537">
        <f t="shared" si="30"/>
        <v>-73968</v>
      </c>
      <c r="J54" s="546"/>
      <c r="K54" s="383">
        <f>SUMIFS(FACT!$B:$B,FACT!$A:$A,DETAILS!$B54,FACT!$I:$I,DETAILS!$F54,FACT!$J:$J,DETAILS!$G54,FACT!$C:$C,DETAILS!K$4,FACT!$H:$H,DETAILS!$E54)</f>
        <v>0</v>
      </c>
      <c r="L54" s="383">
        <f>SUMIFS(FACT!$B:$B,FACT!$A:$A,DETAILS!$B54,FACT!$I:$I,DETAILS!$F54,FACT!$J:$J,DETAILS!$G54,FACT!$C:$C,DETAILS!L$4,FACT!$H:$H,DETAILS!$E54)</f>
        <v>-40000</v>
      </c>
      <c r="M54" s="383">
        <f>SUMIFS(FACT!$B:$B,FACT!$A:$A,DETAILS!$B54,FACT!$I:$I,DETAILS!$F54,FACT!$J:$J,DETAILS!$G54,FACT!$C:$C,DETAILS!M$4,FACT!$H:$H,DETAILS!$E54)</f>
        <v>0</v>
      </c>
      <c r="N54" s="383">
        <f>SUMIFS(FACT!$B:$B,FACT!$A:$A,DETAILS!$B54,FACT!$I:$I,DETAILS!$F54,FACT!$J:$J,DETAILS!$G54,FACT!$C:$C,DETAILS!N$4,FACT!$H:$H,DETAILS!$E54)</f>
        <v>0</v>
      </c>
      <c r="O54" s="383">
        <f>SUMIFS(FACT!$B:$B,FACT!$A:$A,DETAILS!$B54,FACT!$I:$I,DETAILS!$F54,FACT!$J:$J,DETAILS!$G54,FACT!$C:$C,DETAILS!O$4,FACT!$H:$H,DETAILS!$E54)</f>
        <v>-10000</v>
      </c>
      <c r="P54" s="383">
        <f>SUMIFS(FACT!$B:$B,FACT!$A:$A,DETAILS!$B54,FACT!$I:$I,DETAILS!$F54,FACT!$J:$J,DETAILS!$G54,FACT!$C:$C,DETAILS!P$4,FACT!$H:$H,DETAILS!$E54)</f>
        <v>-19260</v>
      </c>
      <c r="Q54" s="383">
        <f>SUMIFS(FACT!$B:$B,FACT!$A:$A,DETAILS!$B54,FACT!$I:$I,DETAILS!$F54,FACT!$J:$J,DETAILS!$G54,FACT!$C:$C,DETAILS!Q$4,FACT!$H:$H,DETAILS!$E54)</f>
        <v>-4708</v>
      </c>
      <c r="R54" s="383">
        <f>SUMIFS(FACT!$B:$B,FACT!$A:$A,DETAILS!$B54,FACT!$I:$I,DETAILS!$F54,FACT!$J:$J,DETAILS!$G54,FACT!$C:$C,DETAILS!R$4,FACT!$H:$H,DETAILS!$E54)</f>
        <v>0</v>
      </c>
      <c r="S54" s="377"/>
      <c r="T54" s="377"/>
      <c r="U54" s="377"/>
      <c r="V54" s="377"/>
      <c r="W54" s="377"/>
      <c r="X54" s="377"/>
      <c r="Y54" s="377"/>
      <c r="Z54" s="377"/>
      <c r="AA54" s="377"/>
      <c r="AB54" s="377"/>
      <c r="AC54" s="377"/>
      <c r="AD54" s="377"/>
      <c r="AE54" s="377"/>
      <c r="AF54" s="377"/>
      <c r="AG54" s="377"/>
      <c r="AH54" s="377"/>
      <c r="AI54" s="377"/>
      <c r="AJ54" s="377"/>
      <c r="AK54" s="377"/>
      <c r="AL54" s="377"/>
      <c r="AM54" s="377"/>
      <c r="AN54" s="377"/>
      <c r="AO54" s="377"/>
      <c r="AP54" s="377"/>
      <c r="AQ54" s="377"/>
      <c r="AR54" s="377"/>
      <c r="AS54" s="377"/>
      <c r="AT54" s="377"/>
      <c r="AU54" s="377"/>
      <c r="AV54" s="377"/>
      <c r="AW54" s="377"/>
      <c r="AX54" s="377"/>
      <c r="AY54" s="377"/>
      <c r="AZ54" s="377"/>
      <c r="BA54" s="377"/>
      <c r="BB54" s="377"/>
      <c r="BC54" s="377"/>
      <c r="BD54" s="377"/>
      <c r="BE54" s="377"/>
      <c r="BF54" s="377"/>
      <c r="BG54" s="377"/>
      <c r="BH54" s="377"/>
      <c r="BI54" s="377"/>
      <c r="BJ54" s="377"/>
      <c r="BK54" s="377"/>
      <c r="BL54" s="377"/>
      <c r="BM54" s="377"/>
      <c r="BN54" s="377"/>
      <c r="BO54" s="377"/>
      <c r="BP54" s="377"/>
      <c r="BQ54" s="377"/>
      <c r="BR54" s="377"/>
    </row>
    <row r="55" spans="1:70">
      <c r="A55" s="374">
        <f t="shared" si="1"/>
        <v>0</v>
      </c>
      <c r="B55" s="359" t="s">
        <v>850</v>
      </c>
      <c r="C55" s="359">
        <v>1</v>
      </c>
      <c r="D55" s="360"/>
      <c r="E55" s="360" t="s">
        <v>492</v>
      </c>
      <c r="F55" s="373" t="s">
        <v>648</v>
      </c>
      <c r="G55" s="360" t="s">
        <v>413</v>
      </c>
      <c r="H55" s="377"/>
      <c r="I55" s="537">
        <f t="shared" ref="I55" si="31">SUM(K55:BR55)</f>
        <v>-35000</v>
      </c>
      <c r="J55" s="546"/>
      <c r="K55" s="383">
        <f>SUMIFS(FACT!$B:$B,FACT!$A:$A,DETAILS!$B55,FACT!$I:$I,DETAILS!$F55,FACT!$J:$J,DETAILS!$G55,FACT!$C:$C,DETAILS!K$4,FACT!$H:$H,DETAILS!$E55)</f>
        <v>0</v>
      </c>
      <c r="L55" s="383">
        <f>SUMIFS(FACT!$B:$B,FACT!$A:$A,DETAILS!$B55,FACT!$I:$I,DETAILS!$F55,FACT!$J:$J,DETAILS!$G55,FACT!$C:$C,DETAILS!L$4,FACT!$H:$H,DETAILS!$E55)</f>
        <v>0</v>
      </c>
      <c r="M55" s="383">
        <f>SUMIFS(FACT!$B:$B,FACT!$A:$A,DETAILS!$B55,FACT!$I:$I,DETAILS!$F55,FACT!$J:$J,DETAILS!$G55,FACT!$C:$C,DETAILS!M$4,FACT!$H:$H,DETAILS!$E55)</f>
        <v>0</v>
      </c>
      <c r="N55" s="383">
        <f>SUMIFS(FACT!$B:$B,FACT!$A:$A,DETAILS!$B55,FACT!$I:$I,DETAILS!$F55,FACT!$J:$J,DETAILS!$G55,FACT!$C:$C,DETAILS!N$4,FACT!$H:$H,DETAILS!$E55)</f>
        <v>0</v>
      </c>
      <c r="O55" s="383">
        <f>SUMIFS(FACT!$B:$B,FACT!$A:$A,DETAILS!$B55,FACT!$I:$I,DETAILS!$F55,FACT!$J:$J,DETAILS!$G55,FACT!$C:$C,DETAILS!O$4,FACT!$H:$H,DETAILS!$E55)</f>
        <v>-35000</v>
      </c>
      <c r="P55" s="383">
        <f>SUMIFS(FACT!$B:$B,FACT!$A:$A,DETAILS!$B55,FACT!$I:$I,DETAILS!$F55,FACT!$J:$J,DETAILS!$G55,FACT!$C:$C,DETAILS!P$4,FACT!$H:$H,DETAILS!$E55)</f>
        <v>0</v>
      </c>
      <c r="Q55" s="383">
        <f>SUMIFS(FACT!$B:$B,FACT!$A:$A,DETAILS!$B55,FACT!$I:$I,DETAILS!$F55,FACT!$J:$J,DETAILS!$G55,FACT!$C:$C,DETAILS!Q$4,FACT!$H:$H,DETAILS!$E55)</f>
        <v>0</v>
      </c>
      <c r="R55" s="383">
        <f>SUMIFS(FACT!$B:$B,FACT!$A:$A,DETAILS!$B55,FACT!$I:$I,DETAILS!$F55,FACT!$J:$J,DETAILS!$G55,FACT!$C:$C,DETAILS!R$4,FACT!$H:$H,DETAILS!$E55)</f>
        <v>0</v>
      </c>
      <c r="S55" s="377"/>
      <c r="T55" s="377"/>
      <c r="U55" s="377"/>
      <c r="V55" s="377"/>
      <c r="W55" s="377"/>
      <c r="X55" s="377"/>
      <c r="Y55" s="377"/>
      <c r="Z55" s="377"/>
      <c r="AA55" s="377"/>
      <c r="AB55" s="377"/>
      <c r="AC55" s="377"/>
      <c r="AD55" s="377"/>
      <c r="AE55" s="377"/>
      <c r="AF55" s="377"/>
      <c r="AG55" s="377"/>
      <c r="AH55" s="377"/>
      <c r="AI55" s="377"/>
      <c r="AJ55" s="377"/>
      <c r="AK55" s="377"/>
      <c r="AL55" s="377"/>
      <c r="AM55" s="377"/>
      <c r="AN55" s="377"/>
      <c r="AO55" s="377"/>
      <c r="AP55" s="377"/>
      <c r="AQ55" s="377"/>
      <c r="AR55" s="377"/>
      <c r="AS55" s="377"/>
      <c r="AT55" s="377"/>
      <c r="AU55" s="377"/>
      <c r="AV55" s="377"/>
      <c r="AW55" s="377"/>
      <c r="AX55" s="377"/>
      <c r="AY55" s="377"/>
      <c r="AZ55" s="377"/>
      <c r="BA55" s="377"/>
      <c r="BB55" s="377"/>
      <c r="BC55" s="377"/>
      <c r="BD55" s="377"/>
      <c r="BE55" s="377"/>
      <c r="BF55" s="377"/>
      <c r="BG55" s="377"/>
      <c r="BH55" s="377"/>
      <c r="BI55" s="377"/>
      <c r="BJ55" s="377"/>
      <c r="BK55" s="377"/>
      <c r="BL55" s="377"/>
      <c r="BM55" s="377"/>
      <c r="BN55" s="377"/>
      <c r="BO55" s="377"/>
      <c r="BP55" s="377"/>
      <c r="BQ55" s="377"/>
      <c r="BR55" s="377"/>
    </row>
    <row r="56" spans="1:70">
      <c r="A56" s="374">
        <f t="shared" si="1"/>
        <v>0</v>
      </c>
      <c r="B56" s="359" t="s">
        <v>851</v>
      </c>
      <c r="C56" s="359">
        <v>1</v>
      </c>
      <c r="D56" s="360"/>
      <c r="E56" s="360" t="s">
        <v>492</v>
      </c>
      <c r="F56" s="373" t="s">
        <v>416</v>
      </c>
      <c r="G56" s="360" t="s">
        <v>537</v>
      </c>
      <c r="H56" s="377"/>
      <c r="I56" s="537">
        <f t="shared" si="30"/>
        <v>-395393.29000000004</v>
      </c>
      <c r="J56" s="546"/>
      <c r="K56" s="383">
        <f>SUMIFS(FACT!$B:$B,FACT!$A:$A,DETAILS!$B56,FACT!$I:$I,DETAILS!$F56,FACT!$J:$J,DETAILS!$G56,FACT!$C:$C,DETAILS!K$4,FACT!$H:$H,DETAILS!$E56)</f>
        <v>0</v>
      </c>
      <c r="L56" s="383">
        <f>SUMIFS(FACT!$B:$B,FACT!$A:$A,DETAILS!$B56,FACT!$I:$I,DETAILS!$F56,FACT!$J:$J,DETAILS!$G56,FACT!$C:$C,DETAILS!L$4,FACT!$H:$H,DETAILS!$E56)</f>
        <v>-100393.29000000001</v>
      </c>
      <c r="M56" s="383">
        <f>SUMIFS(FACT!$B:$B,FACT!$A:$A,DETAILS!$B56,FACT!$I:$I,DETAILS!$F56,FACT!$J:$J,DETAILS!$G56,FACT!$C:$C,DETAILS!M$4,FACT!$H:$H,DETAILS!$E56)</f>
        <v>-48000</v>
      </c>
      <c r="N56" s="383">
        <f>SUMIFS(FACT!$B:$B,FACT!$A:$A,DETAILS!$B56,FACT!$I:$I,DETAILS!$F56,FACT!$J:$J,DETAILS!$G56,FACT!$C:$C,DETAILS!N$4,FACT!$H:$H,DETAILS!$E56)</f>
        <v>-45000</v>
      </c>
      <c r="O56" s="383">
        <f>SUMIFS(FACT!$B:$B,FACT!$A:$A,DETAILS!$B56,FACT!$I:$I,DETAILS!$F56,FACT!$J:$J,DETAILS!$G56,FACT!$C:$C,DETAILS!O$4,FACT!$H:$H,DETAILS!$E56)</f>
        <v>-55000</v>
      </c>
      <c r="P56" s="383">
        <f>SUMIFS(FACT!$B:$B,FACT!$A:$A,DETAILS!$B56,FACT!$I:$I,DETAILS!$F56,FACT!$J:$J,DETAILS!$G56,FACT!$C:$C,DETAILS!P$4,FACT!$H:$H,DETAILS!$E56)</f>
        <v>-45000</v>
      </c>
      <c r="Q56" s="383">
        <f>SUMIFS(FACT!$B:$B,FACT!$A:$A,DETAILS!$B56,FACT!$I:$I,DETAILS!$F56,FACT!$J:$J,DETAILS!$G56,FACT!$C:$C,DETAILS!Q$4,FACT!$H:$H,DETAILS!$E56)</f>
        <v>-30000</v>
      </c>
      <c r="R56" s="383">
        <f>SUMIFS(FACT!$B:$B,FACT!$A:$A,DETAILS!$B56,FACT!$I:$I,DETAILS!$F56,FACT!$J:$J,DETAILS!$G56,FACT!$C:$C,DETAILS!R$4,FACT!$H:$H,DETAILS!$E56)</f>
        <v>-72000</v>
      </c>
      <c r="S56" s="377"/>
      <c r="T56" s="377"/>
      <c r="U56" s="377"/>
      <c r="V56" s="377"/>
      <c r="W56" s="377"/>
      <c r="X56" s="377"/>
      <c r="Y56" s="377"/>
      <c r="Z56" s="377"/>
      <c r="AA56" s="377"/>
      <c r="AB56" s="377"/>
      <c r="AC56" s="377"/>
      <c r="AD56" s="377"/>
      <c r="AE56" s="377"/>
      <c r="AF56" s="377"/>
      <c r="AG56" s="377"/>
      <c r="AH56" s="377"/>
      <c r="AI56" s="377"/>
      <c r="AJ56" s="377"/>
      <c r="AK56" s="377"/>
      <c r="AL56" s="377"/>
      <c r="AM56" s="377"/>
      <c r="AN56" s="377"/>
      <c r="AO56" s="377"/>
      <c r="AP56" s="377"/>
      <c r="AQ56" s="377"/>
      <c r="AR56" s="377"/>
      <c r="AS56" s="377"/>
      <c r="AT56" s="377"/>
      <c r="AU56" s="377"/>
      <c r="AV56" s="377"/>
      <c r="AW56" s="377"/>
      <c r="AX56" s="377"/>
      <c r="AY56" s="377"/>
      <c r="AZ56" s="377"/>
      <c r="BA56" s="377"/>
      <c r="BB56" s="377"/>
      <c r="BC56" s="377"/>
      <c r="BD56" s="377"/>
      <c r="BE56" s="377"/>
      <c r="BF56" s="377"/>
      <c r="BG56" s="377"/>
      <c r="BH56" s="377"/>
      <c r="BI56" s="377"/>
      <c r="BJ56" s="377"/>
      <c r="BK56" s="377"/>
      <c r="BL56" s="377"/>
      <c r="BM56" s="377"/>
      <c r="BN56" s="377"/>
      <c r="BO56" s="377"/>
      <c r="BP56" s="377"/>
      <c r="BQ56" s="377"/>
      <c r="BR56" s="377"/>
    </row>
    <row r="57" spans="1:70">
      <c r="A57" s="374">
        <f t="shared" si="1"/>
        <v>0</v>
      </c>
      <c r="B57" s="359" t="s">
        <v>853</v>
      </c>
      <c r="C57" s="359">
        <v>1</v>
      </c>
      <c r="D57" s="360"/>
      <c r="E57" s="360" t="s">
        <v>492</v>
      </c>
      <c r="F57" s="373" t="s">
        <v>417</v>
      </c>
      <c r="G57" s="360" t="s">
        <v>624</v>
      </c>
      <c r="H57" s="377"/>
      <c r="I57" s="537">
        <f t="shared" si="30"/>
        <v>0</v>
      </c>
      <c r="J57" s="546"/>
      <c r="K57" s="383">
        <f>SUMIFS(FACT!$B:$B,FACT!$A:$A,DETAILS!$B57,FACT!$I:$I,DETAILS!$F57,FACT!$J:$J,DETAILS!$G57,FACT!$C:$C,DETAILS!K$4,FACT!$H:$H,DETAILS!$E57)</f>
        <v>0</v>
      </c>
      <c r="L57" s="383">
        <f>SUMIFS(FACT!$B:$B,FACT!$A:$A,DETAILS!$B57,FACT!$I:$I,DETAILS!$F57,FACT!$J:$J,DETAILS!$G57,FACT!$C:$C,DETAILS!L$4,FACT!$H:$H,DETAILS!$E57)</f>
        <v>0</v>
      </c>
      <c r="M57" s="383">
        <f>SUMIFS(FACT!$B:$B,FACT!$A:$A,DETAILS!$B57,FACT!$I:$I,DETAILS!$F57,FACT!$J:$J,DETAILS!$G57,FACT!$C:$C,DETAILS!M$4,FACT!$H:$H,DETAILS!$E57)</f>
        <v>0</v>
      </c>
      <c r="N57" s="383">
        <f>SUMIFS(FACT!$B:$B,FACT!$A:$A,DETAILS!$B57,FACT!$I:$I,DETAILS!$F57,FACT!$J:$J,DETAILS!$G57,FACT!$C:$C,DETAILS!N$4,FACT!$H:$H,DETAILS!$E57)</f>
        <v>0</v>
      </c>
      <c r="O57" s="383">
        <f>SUMIFS(FACT!$B:$B,FACT!$A:$A,DETAILS!$B57,FACT!$I:$I,DETAILS!$F57,FACT!$J:$J,DETAILS!$G57,FACT!$C:$C,DETAILS!O$4,FACT!$H:$H,DETAILS!$E57)</f>
        <v>0</v>
      </c>
      <c r="P57" s="383">
        <f>SUMIFS(FACT!$B:$B,FACT!$A:$A,DETAILS!$B57,FACT!$I:$I,DETAILS!$F57,FACT!$J:$J,DETAILS!$G57,FACT!$C:$C,DETAILS!P$4,FACT!$H:$H,DETAILS!$E57)</f>
        <v>0</v>
      </c>
      <c r="Q57" s="383">
        <f>SUMIFS(FACT!$B:$B,FACT!$A:$A,DETAILS!$B57,FACT!$I:$I,DETAILS!$F57,FACT!$J:$J,DETAILS!$G57,FACT!$C:$C,DETAILS!Q$4,FACT!$H:$H,DETAILS!$E57)</f>
        <v>0</v>
      </c>
      <c r="R57" s="383">
        <f>SUMIFS(FACT!$B:$B,FACT!$A:$A,DETAILS!$B57,FACT!$I:$I,DETAILS!$F57,FACT!$J:$J,DETAILS!$G57,FACT!$C:$C,DETAILS!R$4,FACT!$H:$H,DETAILS!$E57)</f>
        <v>0</v>
      </c>
      <c r="S57" s="377"/>
      <c r="T57" s="377"/>
      <c r="U57" s="377"/>
      <c r="V57" s="377"/>
      <c r="W57" s="377"/>
      <c r="X57" s="377"/>
      <c r="Y57" s="377"/>
      <c r="Z57" s="377"/>
      <c r="AA57" s="377"/>
      <c r="AB57" s="377"/>
      <c r="AC57" s="377"/>
      <c r="AD57" s="377"/>
      <c r="AE57" s="377"/>
      <c r="AF57" s="377"/>
      <c r="AG57" s="377"/>
      <c r="AH57" s="377"/>
      <c r="AI57" s="377"/>
      <c r="AJ57" s="377"/>
      <c r="AK57" s="377"/>
      <c r="AL57" s="377"/>
      <c r="AM57" s="377"/>
      <c r="AN57" s="377"/>
      <c r="AO57" s="377"/>
      <c r="AP57" s="377"/>
      <c r="AQ57" s="377"/>
      <c r="AR57" s="377"/>
      <c r="AS57" s="377"/>
      <c r="AT57" s="377"/>
      <c r="AU57" s="377"/>
      <c r="AV57" s="377"/>
      <c r="AW57" s="377"/>
      <c r="AX57" s="377"/>
      <c r="AY57" s="377"/>
      <c r="AZ57" s="377"/>
      <c r="BA57" s="377"/>
      <c r="BB57" s="377"/>
      <c r="BC57" s="377"/>
      <c r="BD57" s="377"/>
      <c r="BE57" s="377"/>
      <c r="BF57" s="377"/>
      <c r="BG57" s="377"/>
      <c r="BH57" s="377"/>
      <c r="BI57" s="377"/>
      <c r="BJ57" s="377"/>
      <c r="BK57" s="377"/>
      <c r="BL57" s="377"/>
      <c r="BM57" s="377"/>
      <c r="BN57" s="377"/>
      <c r="BO57" s="377"/>
      <c r="BP57" s="377"/>
      <c r="BQ57" s="377"/>
      <c r="BR57" s="377"/>
    </row>
    <row r="58" spans="1:70">
      <c r="A58" s="374">
        <f t="shared" si="1"/>
        <v>0</v>
      </c>
      <c r="B58" s="359" t="s">
        <v>850</v>
      </c>
      <c r="C58" s="359">
        <v>1</v>
      </c>
      <c r="D58" s="360"/>
      <c r="E58" s="360" t="s">
        <v>492</v>
      </c>
      <c r="F58" s="373" t="s">
        <v>648</v>
      </c>
      <c r="G58" s="360"/>
      <c r="H58" s="377"/>
      <c r="I58" s="537">
        <f t="shared" si="30"/>
        <v>0</v>
      </c>
      <c r="J58" s="546"/>
      <c r="K58" s="383">
        <f>SUMIFS(FACT!$B:$B,FACT!$A:$A,DETAILS!$B58,FACT!$I:$I,DETAILS!$F58,FACT!$J:$J,DETAILS!$G58,FACT!$C:$C,DETAILS!K$4,FACT!$H:$H,DETAILS!$E58)</f>
        <v>0</v>
      </c>
      <c r="L58" s="383">
        <f>SUMIFS(FACT!$B:$B,FACT!$A:$A,DETAILS!$B58,FACT!$I:$I,DETAILS!$F58,FACT!$J:$J,DETAILS!$G58,FACT!$C:$C,DETAILS!L$4,FACT!$H:$H,DETAILS!$E58)</f>
        <v>0</v>
      </c>
      <c r="M58" s="383">
        <f>SUMIFS(FACT!$B:$B,FACT!$A:$A,DETAILS!$B58,FACT!$I:$I,DETAILS!$F58,FACT!$J:$J,DETAILS!$G58,FACT!$C:$C,DETAILS!M$4,FACT!$H:$H,DETAILS!$E58)</f>
        <v>0</v>
      </c>
      <c r="N58" s="383">
        <f>SUMIFS(FACT!$B:$B,FACT!$A:$A,DETAILS!$B58,FACT!$I:$I,DETAILS!$F58,FACT!$J:$J,DETAILS!$G58,FACT!$C:$C,DETAILS!N$4,FACT!$H:$H,DETAILS!$E58)</f>
        <v>0</v>
      </c>
      <c r="O58" s="383">
        <f>SUMIFS(FACT!$B:$B,FACT!$A:$A,DETAILS!$B58,FACT!$I:$I,DETAILS!$F58,FACT!$J:$J,DETAILS!$G58,FACT!$C:$C,DETAILS!O$4,FACT!$H:$H,DETAILS!$E58)</f>
        <v>0</v>
      </c>
      <c r="P58" s="383">
        <f>SUMIFS(FACT!$B:$B,FACT!$A:$A,DETAILS!$B58,FACT!$I:$I,DETAILS!$F58,FACT!$J:$J,DETAILS!$G58,FACT!$C:$C,DETAILS!P$4,FACT!$H:$H,DETAILS!$E58)</f>
        <v>0</v>
      </c>
      <c r="Q58" s="383">
        <f>SUMIFS(FACT!$B:$B,FACT!$A:$A,DETAILS!$B58,FACT!$I:$I,DETAILS!$F58,FACT!$J:$J,DETAILS!$G58,FACT!$C:$C,DETAILS!Q$4,FACT!$H:$H,DETAILS!$E58)</f>
        <v>0</v>
      </c>
      <c r="R58" s="383">
        <f>SUMIFS(FACT!$B:$B,FACT!$A:$A,DETAILS!$B58,FACT!$I:$I,DETAILS!$F58,FACT!$J:$J,DETAILS!$G58,FACT!$C:$C,DETAILS!R$4,FACT!$H:$H,DETAILS!$E58)</f>
        <v>0</v>
      </c>
      <c r="S58" s="377"/>
      <c r="T58" s="377"/>
      <c r="U58" s="377"/>
      <c r="V58" s="377"/>
      <c r="W58" s="377"/>
      <c r="X58" s="377"/>
      <c r="Y58" s="377"/>
      <c r="Z58" s="377"/>
      <c r="AA58" s="377"/>
      <c r="AB58" s="377"/>
      <c r="AC58" s="377"/>
      <c r="AD58" s="377"/>
      <c r="AE58" s="377"/>
      <c r="AF58" s="377"/>
      <c r="AG58" s="377"/>
      <c r="AH58" s="377"/>
      <c r="AI58" s="377"/>
      <c r="AJ58" s="377"/>
      <c r="AK58" s="377"/>
      <c r="AL58" s="377"/>
      <c r="AM58" s="377"/>
      <c r="AN58" s="377"/>
      <c r="AO58" s="377"/>
      <c r="AP58" s="377"/>
      <c r="AQ58" s="377"/>
      <c r="AR58" s="377"/>
      <c r="AS58" s="377"/>
      <c r="AT58" s="377"/>
      <c r="AU58" s="377"/>
      <c r="AV58" s="377"/>
      <c r="AW58" s="377"/>
      <c r="AX58" s="377"/>
      <c r="AY58" s="377"/>
      <c r="AZ58" s="377"/>
      <c r="BA58" s="377"/>
      <c r="BB58" s="377"/>
      <c r="BC58" s="377"/>
      <c r="BD58" s="377"/>
      <c r="BE58" s="377"/>
      <c r="BF58" s="377"/>
      <c r="BG58" s="377"/>
      <c r="BH58" s="377"/>
      <c r="BI58" s="377"/>
      <c r="BJ58" s="377"/>
      <c r="BK58" s="377"/>
      <c r="BL58" s="377"/>
      <c r="BM58" s="377"/>
      <c r="BN58" s="377"/>
      <c r="BO58" s="377"/>
      <c r="BP58" s="377"/>
      <c r="BQ58" s="377"/>
      <c r="BR58" s="377"/>
    </row>
    <row r="59" spans="1:70">
      <c r="A59" s="374">
        <f t="shared" si="1"/>
        <v>0</v>
      </c>
      <c r="B59" s="359" t="s">
        <v>854</v>
      </c>
      <c r="C59" s="359">
        <v>1</v>
      </c>
      <c r="D59" s="360"/>
      <c r="E59" s="360" t="s">
        <v>671</v>
      </c>
      <c r="F59" s="373" t="s">
        <v>368</v>
      </c>
      <c r="G59" s="360" t="s">
        <v>702</v>
      </c>
      <c r="H59" s="377"/>
      <c r="I59" s="537">
        <f t="shared" si="30"/>
        <v>-203598.39</v>
      </c>
      <c r="J59" s="546"/>
      <c r="K59" s="383">
        <f>SUMIFS(FACT!$B:$B,FACT!$A:$A,DETAILS!$B59,FACT!$I:$I,DETAILS!$F59,FACT!$J:$J,DETAILS!$G59,FACT!$C:$C,DETAILS!K$4,FACT!$H:$H,DETAILS!$E59)</f>
        <v>0</v>
      </c>
      <c r="L59" s="383">
        <f>SUMIFS(FACT!$B:$B,FACT!$A:$A,DETAILS!$B59,FACT!$I:$I,DETAILS!$F59,FACT!$J:$J,DETAILS!$G59,FACT!$C:$C,DETAILS!L$4,FACT!$H:$H,DETAILS!$E59)</f>
        <v>0</v>
      </c>
      <c r="M59" s="383">
        <f>SUMIFS(FACT!$B:$B,FACT!$A:$A,DETAILS!$B59,FACT!$I:$I,DETAILS!$F59,FACT!$J:$J,DETAILS!$G59,FACT!$C:$C,DETAILS!M$4,FACT!$H:$H,DETAILS!$E59)</f>
        <v>0</v>
      </c>
      <c r="N59" s="383">
        <f>SUMIFS(FACT!$B:$B,FACT!$A:$A,DETAILS!$B59,FACT!$I:$I,DETAILS!$F59,FACT!$J:$J,DETAILS!$G59,FACT!$C:$C,DETAILS!N$4,FACT!$H:$H,DETAILS!$E59)</f>
        <v>0</v>
      </c>
      <c r="O59" s="383">
        <f>SUMIFS(FACT!$B:$B,FACT!$A:$A,DETAILS!$B59,FACT!$I:$I,DETAILS!$F59,FACT!$J:$J,DETAILS!$G59,FACT!$C:$C,DETAILS!O$4,FACT!$H:$H,DETAILS!$E59)</f>
        <v>0</v>
      </c>
      <c r="P59" s="383">
        <f>SUMIFS(FACT!$B:$B,FACT!$A:$A,DETAILS!$B59,FACT!$I:$I,DETAILS!$F59,FACT!$J:$J,DETAILS!$G59,FACT!$C:$C,DETAILS!P$4,FACT!$H:$H,DETAILS!$E59)</f>
        <v>0</v>
      </c>
      <c r="Q59" s="383">
        <f>SUMIFS(FACT!$B:$B,FACT!$A:$A,DETAILS!$B59,FACT!$I:$I,DETAILS!$F59,FACT!$J:$J,DETAILS!$G59,FACT!$C:$C,DETAILS!Q$4,FACT!$H:$H,DETAILS!$E59)</f>
        <v>-118548.39</v>
      </c>
      <c r="R59" s="383">
        <f>SUMIFS(FACT!$B:$B,FACT!$A:$A,DETAILS!$B59,FACT!$I:$I,DETAILS!$F59,FACT!$J:$J,DETAILS!$G59,FACT!$C:$C,DETAILS!R$4,FACT!$H:$H,DETAILS!$E59)</f>
        <v>-85050</v>
      </c>
      <c r="S59" s="377"/>
      <c r="T59" s="377"/>
      <c r="U59" s="377"/>
      <c r="V59" s="377"/>
      <c r="W59" s="377"/>
      <c r="X59" s="377"/>
      <c r="Y59" s="377"/>
      <c r="Z59" s="377"/>
      <c r="AA59" s="377"/>
      <c r="AB59" s="377"/>
      <c r="AC59" s="377"/>
      <c r="AD59" s="377"/>
      <c r="AE59" s="377"/>
      <c r="AF59" s="377"/>
      <c r="AG59" s="377"/>
      <c r="AH59" s="377"/>
      <c r="AI59" s="377"/>
      <c r="AJ59" s="377"/>
      <c r="AK59" s="377"/>
      <c r="AL59" s="377"/>
      <c r="AM59" s="377"/>
      <c r="AN59" s="377"/>
      <c r="AO59" s="377"/>
      <c r="AP59" s="377"/>
      <c r="AQ59" s="377"/>
      <c r="AR59" s="377"/>
      <c r="AS59" s="377"/>
      <c r="AT59" s="377"/>
      <c r="AU59" s="377"/>
      <c r="AV59" s="377"/>
      <c r="AW59" s="377"/>
      <c r="AX59" s="377"/>
      <c r="AY59" s="377"/>
      <c r="AZ59" s="377"/>
      <c r="BA59" s="377"/>
      <c r="BB59" s="377"/>
      <c r="BC59" s="377"/>
      <c r="BD59" s="377"/>
      <c r="BE59" s="377"/>
      <c r="BF59" s="377"/>
      <c r="BG59" s="377"/>
      <c r="BH59" s="377"/>
      <c r="BI59" s="377"/>
      <c r="BJ59" s="377"/>
      <c r="BK59" s="377"/>
      <c r="BL59" s="377"/>
      <c r="BM59" s="377"/>
      <c r="BN59" s="377"/>
      <c r="BO59" s="377"/>
      <c r="BP59" s="377"/>
      <c r="BQ59" s="377"/>
      <c r="BR59" s="377"/>
    </row>
    <row r="60" spans="1:70">
      <c r="A60" s="374">
        <f t="shared" si="1"/>
        <v>0</v>
      </c>
      <c r="B60" s="359" t="s">
        <v>850</v>
      </c>
      <c r="C60" s="359">
        <v>1</v>
      </c>
      <c r="D60" s="360"/>
      <c r="E60" s="360" t="s">
        <v>671</v>
      </c>
      <c r="F60" s="373" t="s">
        <v>368</v>
      </c>
      <c r="G60" s="360" t="s">
        <v>724</v>
      </c>
      <c r="H60" s="377"/>
      <c r="I60" s="537">
        <f t="shared" si="30"/>
        <v>-414850.12999999995</v>
      </c>
      <c r="J60" s="546"/>
      <c r="K60" s="383">
        <f>SUMIFS(FACT!$B:$B,FACT!$A:$A,DETAILS!$B60,FACT!$I:$I,DETAILS!$F60,FACT!$J:$J,DETAILS!$G60,FACT!$C:$C,DETAILS!K$4,FACT!$H:$H,DETAILS!$E60)</f>
        <v>0</v>
      </c>
      <c r="L60" s="383">
        <f>SUMIFS(FACT!$B:$B,FACT!$A:$A,DETAILS!$B60,FACT!$I:$I,DETAILS!$F60,FACT!$J:$J,DETAILS!$G60,FACT!$C:$C,DETAILS!L$4,FACT!$H:$H,DETAILS!$E60)</f>
        <v>0</v>
      </c>
      <c r="M60" s="383">
        <f>SUMIFS(FACT!$B:$B,FACT!$A:$A,DETAILS!$B60,FACT!$I:$I,DETAILS!$F60,FACT!$J:$J,DETAILS!$G60,FACT!$C:$C,DETAILS!M$4,FACT!$H:$H,DETAILS!$E60)</f>
        <v>0</v>
      </c>
      <c r="N60" s="383">
        <f>SUMIFS(FACT!$B:$B,FACT!$A:$A,DETAILS!$B60,FACT!$I:$I,DETAILS!$F60,FACT!$J:$J,DETAILS!$G60,FACT!$C:$C,DETAILS!N$4,FACT!$H:$H,DETAILS!$E60)</f>
        <v>0</v>
      </c>
      <c r="O60" s="383">
        <f>SUMIFS(FACT!$B:$B,FACT!$A:$A,DETAILS!$B60,FACT!$I:$I,DETAILS!$F60,FACT!$J:$J,DETAILS!$G60,FACT!$C:$C,DETAILS!O$4,FACT!$H:$H,DETAILS!$E60)</f>
        <v>0</v>
      </c>
      <c r="P60" s="383">
        <f>SUMIFS(FACT!$B:$B,FACT!$A:$A,DETAILS!$B60,FACT!$I:$I,DETAILS!$F60,FACT!$J:$J,DETAILS!$G60,FACT!$C:$C,DETAILS!P$4,FACT!$H:$H,DETAILS!$E60)</f>
        <v>0</v>
      </c>
      <c r="Q60" s="383">
        <f>SUMIFS(FACT!$B:$B,FACT!$A:$A,DETAILS!$B60,FACT!$I:$I,DETAILS!$F60,FACT!$J:$J,DETAILS!$G60,FACT!$C:$C,DETAILS!Q$4,FACT!$H:$H,DETAILS!$E60)</f>
        <v>-288850.12999999995</v>
      </c>
      <c r="R60" s="383">
        <f>SUMIFS(FACT!$B:$B,FACT!$A:$A,DETAILS!$B60,FACT!$I:$I,DETAILS!$F60,FACT!$J:$J,DETAILS!$G60,FACT!$C:$C,DETAILS!R$4,FACT!$H:$H,DETAILS!$E60)</f>
        <v>-126000</v>
      </c>
      <c r="S60" s="377"/>
      <c r="T60" s="377"/>
      <c r="U60" s="377"/>
      <c r="V60" s="377"/>
      <c r="W60" s="377"/>
      <c r="X60" s="377"/>
      <c r="Y60" s="377"/>
      <c r="Z60" s="377"/>
      <c r="AA60" s="377"/>
      <c r="AB60" s="377"/>
      <c r="AC60" s="377"/>
      <c r="AD60" s="377"/>
      <c r="AE60" s="377"/>
      <c r="AF60" s="377"/>
      <c r="AG60" s="377"/>
      <c r="AH60" s="377"/>
      <c r="AI60" s="377"/>
      <c r="AJ60" s="377"/>
      <c r="AK60" s="377"/>
      <c r="AL60" s="377"/>
      <c r="AM60" s="377"/>
      <c r="AN60" s="377"/>
      <c r="AO60" s="377"/>
      <c r="AP60" s="377"/>
      <c r="AQ60" s="377"/>
      <c r="AR60" s="377"/>
      <c r="AS60" s="377"/>
      <c r="AT60" s="377"/>
      <c r="AU60" s="377"/>
      <c r="AV60" s="377"/>
      <c r="AW60" s="377"/>
      <c r="AX60" s="377"/>
      <c r="AY60" s="377"/>
      <c r="AZ60" s="377"/>
      <c r="BA60" s="377"/>
      <c r="BB60" s="377"/>
      <c r="BC60" s="377"/>
      <c r="BD60" s="377"/>
      <c r="BE60" s="377"/>
      <c r="BF60" s="377"/>
      <c r="BG60" s="377"/>
      <c r="BH60" s="377"/>
      <c r="BI60" s="377"/>
      <c r="BJ60" s="377"/>
      <c r="BK60" s="377"/>
      <c r="BL60" s="377"/>
      <c r="BM60" s="377"/>
      <c r="BN60" s="377"/>
      <c r="BO60" s="377"/>
      <c r="BP60" s="377"/>
      <c r="BQ60" s="377"/>
      <c r="BR60" s="377"/>
    </row>
    <row r="61" spans="1:70">
      <c r="A61" s="374">
        <f t="shared" si="1"/>
        <v>0</v>
      </c>
      <c r="B61" s="359" t="s">
        <v>854</v>
      </c>
      <c r="C61" s="359">
        <v>1</v>
      </c>
      <c r="D61" s="360"/>
      <c r="E61" s="360" t="s">
        <v>492</v>
      </c>
      <c r="F61" s="373" t="s">
        <v>368</v>
      </c>
      <c r="G61" s="360" t="s">
        <v>506</v>
      </c>
      <c r="H61" s="377"/>
      <c r="I61" s="537">
        <f t="shared" si="30"/>
        <v>-92700</v>
      </c>
      <c r="J61" s="546"/>
      <c r="K61" s="383">
        <f>SUMIFS(FACT!$B:$B,FACT!$A:$A,DETAILS!$B61,FACT!$I:$I,DETAILS!$F61,FACT!$J:$J,DETAILS!$G61,FACT!$C:$C,DETAILS!K$4,FACT!$H:$H,DETAILS!$E61)</f>
        <v>0</v>
      </c>
      <c r="L61" s="383">
        <f>SUMIFS(FACT!$B:$B,FACT!$A:$A,DETAILS!$B61,FACT!$I:$I,DETAILS!$F61,FACT!$J:$J,DETAILS!$G61,FACT!$C:$C,DETAILS!L$4,FACT!$H:$H,DETAILS!$E61)</f>
        <v>0</v>
      </c>
      <c r="M61" s="383">
        <f>SUMIFS(FACT!$B:$B,FACT!$A:$A,DETAILS!$B61,FACT!$I:$I,DETAILS!$F61,FACT!$J:$J,DETAILS!$G61,FACT!$C:$C,DETAILS!M$4,FACT!$H:$H,DETAILS!$E61)</f>
        <v>0</v>
      </c>
      <c r="N61" s="383">
        <f>SUMIFS(FACT!$B:$B,FACT!$A:$A,DETAILS!$B61,FACT!$I:$I,DETAILS!$F61,FACT!$J:$J,DETAILS!$G61,FACT!$C:$C,DETAILS!N$4,FACT!$H:$H,DETAILS!$E61)</f>
        <v>0</v>
      </c>
      <c r="O61" s="383">
        <f>SUMIFS(FACT!$B:$B,FACT!$A:$A,DETAILS!$B61,FACT!$I:$I,DETAILS!$F61,FACT!$J:$J,DETAILS!$G61,FACT!$C:$C,DETAILS!O$4,FACT!$H:$H,DETAILS!$E61)</f>
        <v>0</v>
      </c>
      <c r="P61" s="383">
        <f>SUMIFS(FACT!$B:$B,FACT!$A:$A,DETAILS!$B61,FACT!$I:$I,DETAILS!$F61,FACT!$J:$J,DETAILS!$G61,FACT!$C:$C,DETAILS!P$4,FACT!$H:$H,DETAILS!$E61)</f>
        <v>0</v>
      </c>
      <c r="Q61" s="383">
        <f>SUMIFS(FACT!$B:$B,FACT!$A:$A,DETAILS!$B61,FACT!$I:$I,DETAILS!$F61,FACT!$J:$J,DETAILS!$G61,FACT!$C:$C,DETAILS!Q$4,FACT!$H:$H,DETAILS!$E61)</f>
        <v>-36000</v>
      </c>
      <c r="R61" s="383">
        <f>SUMIFS(FACT!$B:$B,FACT!$A:$A,DETAILS!$B61,FACT!$I:$I,DETAILS!$F61,FACT!$J:$J,DETAILS!$G61,FACT!$C:$C,DETAILS!R$4,FACT!$H:$H,DETAILS!$E61)</f>
        <v>-56700</v>
      </c>
      <c r="S61" s="377"/>
      <c r="T61" s="377"/>
      <c r="U61" s="377"/>
      <c r="V61" s="377"/>
      <c r="W61" s="377"/>
      <c r="X61" s="377"/>
      <c r="Y61" s="377"/>
      <c r="Z61" s="377"/>
      <c r="AA61" s="377"/>
      <c r="AB61" s="377"/>
      <c r="AC61" s="377"/>
      <c r="AD61" s="377"/>
      <c r="AE61" s="377"/>
      <c r="AF61" s="377"/>
      <c r="AG61" s="377"/>
      <c r="AH61" s="377"/>
      <c r="AI61" s="377"/>
      <c r="AJ61" s="377"/>
      <c r="AK61" s="377"/>
      <c r="AL61" s="377"/>
      <c r="AM61" s="377"/>
      <c r="AN61" s="377"/>
      <c r="AO61" s="377"/>
      <c r="AP61" s="377"/>
      <c r="AQ61" s="377"/>
      <c r="AR61" s="377"/>
      <c r="AS61" s="377"/>
      <c r="AT61" s="377"/>
      <c r="AU61" s="377"/>
      <c r="AV61" s="377"/>
      <c r="AW61" s="377"/>
      <c r="AX61" s="377"/>
      <c r="AY61" s="377"/>
      <c r="AZ61" s="377"/>
      <c r="BA61" s="377"/>
      <c r="BB61" s="377"/>
      <c r="BC61" s="377"/>
      <c r="BD61" s="377"/>
      <c r="BE61" s="377"/>
      <c r="BF61" s="377"/>
      <c r="BG61" s="377"/>
      <c r="BH61" s="377"/>
      <c r="BI61" s="377"/>
      <c r="BJ61" s="377"/>
      <c r="BK61" s="377"/>
      <c r="BL61" s="377"/>
      <c r="BM61" s="377"/>
      <c r="BN61" s="377"/>
      <c r="BO61" s="377"/>
      <c r="BP61" s="377"/>
      <c r="BQ61" s="377"/>
      <c r="BR61" s="377"/>
    </row>
    <row r="62" spans="1:70">
      <c r="A62" s="374">
        <f t="shared" si="1"/>
        <v>0</v>
      </c>
      <c r="B62" s="359" t="s">
        <v>851</v>
      </c>
      <c r="C62" s="359">
        <v>1</v>
      </c>
      <c r="D62" s="360"/>
      <c r="E62" s="360" t="s">
        <v>671</v>
      </c>
      <c r="F62" s="373" t="s">
        <v>761</v>
      </c>
      <c r="G62" s="360" t="s">
        <v>762</v>
      </c>
      <c r="H62" s="377"/>
      <c r="I62" s="537">
        <f t="shared" si="30"/>
        <v>-56129.1</v>
      </c>
      <c r="J62" s="546"/>
      <c r="K62" s="383">
        <f>SUMIFS(FACT!$B:$B,FACT!$A:$A,DETAILS!$B62,FACT!$I:$I,DETAILS!$F62,FACT!$J:$J,DETAILS!$G62,FACT!$C:$C,DETAILS!K$4,FACT!$H:$H,DETAILS!$E62)</f>
        <v>0</v>
      </c>
      <c r="L62" s="383">
        <f>SUMIFS(FACT!$B:$B,FACT!$A:$A,DETAILS!$B62,FACT!$I:$I,DETAILS!$F62,FACT!$J:$J,DETAILS!$G62,FACT!$C:$C,DETAILS!L$4,FACT!$H:$H,DETAILS!$E62)</f>
        <v>0</v>
      </c>
      <c r="M62" s="383">
        <f>SUMIFS(FACT!$B:$B,FACT!$A:$A,DETAILS!$B62,FACT!$I:$I,DETAILS!$F62,FACT!$J:$J,DETAILS!$G62,FACT!$C:$C,DETAILS!M$4,FACT!$H:$H,DETAILS!$E62)</f>
        <v>0</v>
      </c>
      <c r="N62" s="383">
        <f>SUMIFS(FACT!$B:$B,FACT!$A:$A,DETAILS!$B62,FACT!$I:$I,DETAILS!$F62,FACT!$J:$J,DETAILS!$G62,FACT!$C:$C,DETAILS!N$4,FACT!$H:$H,DETAILS!$E62)</f>
        <v>0</v>
      </c>
      <c r="O62" s="383">
        <f>SUMIFS(FACT!$B:$B,FACT!$A:$A,DETAILS!$B62,FACT!$I:$I,DETAILS!$F62,FACT!$J:$J,DETAILS!$G62,FACT!$C:$C,DETAILS!O$4,FACT!$H:$H,DETAILS!$E62)</f>
        <v>0</v>
      </c>
      <c r="P62" s="383">
        <f>SUMIFS(FACT!$B:$B,FACT!$A:$A,DETAILS!$B62,FACT!$I:$I,DETAILS!$F62,FACT!$J:$J,DETAILS!$G62,FACT!$C:$C,DETAILS!P$4,FACT!$H:$H,DETAILS!$E62)</f>
        <v>0</v>
      </c>
      <c r="Q62" s="383">
        <f>SUMIFS(FACT!$B:$B,FACT!$A:$A,DETAILS!$B62,FACT!$I:$I,DETAILS!$F62,FACT!$J:$J,DETAILS!$G62,FACT!$C:$C,DETAILS!Q$4,FACT!$H:$H,DETAILS!$E62)</f>
        <v>-56129.1</v>
      </c>
      <c r="R62" s="383">
        <f>SUMIFS(FACT!$B:$B,FACT!$A:$A,DETAILS!$B62,FACT!$I:$I,DETAILS!$F62,FACT!$J:$J,DETAILS!$G62,FACT!$C:$C,DETAILS!R$4,FACT!$H:$H,DETAILS!$E62)</f>
        <v>0</v>
      </c>
      <c r="S62" s="377"/>
      <c r="T62" s="377"/>
      <c r="U62" s="377"/>
      <c r="V62" s="377"/>
      <c r="W62" s="377"/>
      <c r="X62" s="377"/>
      <c r="Y62" s="377"/>
      <c r="Z62" s="377"/>
      <c r="AA62" s="377"/>
      <c r="AB62" s="377"/>
      <c r="AC62" s="377"/>
      <c r="AD62" s="377"/>
      <c r="AE62" s="377"/>
      <c r="AF62" s="377"/>
      <c r="AG62" s="377"/>
      <c r="AH62" s="377"/>
      <c r="AI62" s="377"/>
      <c r="AJ62" s="377"/>
      <c r="AK62" s="377"/>
      <c r="AL62" s="377"/>
      <c r="AM62" s="377"/>
      <c r="AN62" s="377"/>
      <c r="AO62" s="377"/>
      <c r="AP62" s="377"/>
      <c r="AQ62" s="377"/>
      <c r="AR62" s="377"/>
      <c r="AS62" s="377"/>
      <c r="AT62" s="377"/>
      <c r="AU62" s="377"/>
      <c r="AV62" s="377"/>
      <c r="AW62" s="377"/>
      <c r="AX62" s="377"/>
      <c r="AY62" s="377"/>
      <c r="AZ62" s="377"/>
      <c r="BA62" s="377"/>
      <c r="BB62" s="377"/>
      <c r="BC62" s="377"/>
      <c r="BD62" s="377"/>
      <c r="BE62" s="377"/>
      <c r="BF62" s="377"/>
      <c r="BG62" s="377"/>
      <c r="BH62" s="377"/>
      <c r="BI62" s="377"/>
      <c r="BJ62" s="377"/>
      <c r="BK62" s="377"/>
      <c r="BL62" s="377"/>
      <c r="BM62" s="377"/>
      <c r="BN62" s="377"/>
      <c r="BO62" s="377"/>
      <c r="BP62" s="377"/>
      <c r="BQ62" s="377"/>
      <c r="BR62" s="377"/>
    </row>
    <row r="63" spans="1:70">
      <c r="A63" s="374">
        <f t="shared" si="1"/>
        <v>0</v>
      </c>
      <c r="B63" s="359" t="s">
        <v>855</v>
      </c>
      <c r="C63" s="359">
        <v>1</v>
      </c>
      <c r="D63" s="360"/>
      <c r="E63" s="360" t="s">
        <v>671</v>
      </c>
      <c r="F63" s="373" t="s">
        <v>417</v>
      </c>
      <c r="G63" s="360" t="s">
        <v>791</v>
      </c>
      <c r="H63" s="377"/>
      <c r="I63" s="537">
        <f t="shared" si="30"/>
        <v>-10000</v>
      </c>
      <c r="J63" s="546"/>
      <c r="K63" s="383">
        <f>SUMIFS(FACT!$B:$B,FACT!$A:$A,DETAILS!$B63,FACT!$I:$I,DETAILS!$F63,FACT!$J:$J,DETAILS!$G63,FACT!$C:$C,DETAILS!K$4,FACT!$H:$H,DETAILS!$E63)</f>
        <v>0</v>
      </c>
      <c r="L63" s="383">
        <f>SUMIFS(FACT!$B:$B,FACT!$A:$A,DETAILS!$B63,FACT!$I:$I,DETAILS!$F63,FACT!$J:$J,DETAILS!$G63,FACT!$C:$C,DETAILS!L$4,FACT!$H:$H,DETAILS!$E63)</f>
        <v>0</v>
      </c>
      <c r="M63" s="383">
        <f>SUMIFS(FACT!$B:$B,FACT!$A:$A,DETAILS!$B63,FACT!$I:$I,DETAILS!$F63,FACT!$J:$J,DETAILS!$G63,FACT!$C:$C,DETAILS!M$4,FACT!$H:$H,DETAILS!$E63)</f>
        <v>0</v>
      </c>
      <c r="N63" s="383">
        <f>SUMIFS(FACT!$B:$B,FACT!$A:$A,DETAILS!$B63,FACT!$I:$I,DETAILS!$F63,FACT!$J:$J,DETAILS!$G63,FACT!$C:$C,DETAILS!N$4,FACT!$H:$H,DETAILS!$E63)</f>
        <v>0</v>
      </c>
      <c r="O63" s="383">
        <f>SUMIFS(FACT!$B:$B,FACT!$A:$A,DETAILS!$B63,FACT!$I:$I,DETAILS!$F63,FACT!$J:$J,DETAILS!$G63,FACT!$C:$C,DETAILS!O$4,FACT!$H:$H,DETAILS!$E63)</f>
        <v>0</v>
      </c>
      <c r="P63" s="383">
        <f>SUMIFS(FACT!$B:$B,FACT!$A:$A,DETAILS!$B63,FACT!$I:$I,DETAILS!$F63,FACT!$J:$J,DETAILS!$G63,FACT!$C:$C,DETAILS!P$4,FACT!$H:$H,DETAILS!$E63)</f>
        <v>0</v>
      </c>
      <c r="Q63" s="383">
        <f>SUMIFS(FACT!$B:$B,FACT!$A:$A,DETAILS!$B63,FACT!$I:$I,DETAILS!$F63,FACT!$J:$J,DETAILS!$G63,FACT!$C:$C,DETAILS!Q$4,FACT!$H:$H,DETAILS!$E63)</f>
        <v>0</v>
      </c>
      <c r="R63" s="383">
        <f>SUMIFS(FACT!$B:$B,FACT!$A:$A,DETAILS!$B63,FACT!$I:$I,DETAILS!$F63,FACT!$J:$J,DETAILS!$G63,FACT!$C:$C,DETAILS!R$4,FACT!$H:$H,DETAILS!$E63)</f>
        <v>-10000</v>
      </c>
      <c r="S63" s="377"/>
      <c r="T63" s="377"/>
      <c r="U63" s="377"/>
      <c r="V63" s="377"/>
      <c r="W63" s="377"/>
      <c r="X63" s="377"/>
      <c r="Y63" s="377"/>
      <c r="Z63" s="377"/>
      <c r="AA63" s="377"/>
      <c r="AB63" s="377"/>
      <c r="AC63" s="377"/>
      <c r="AD63" s="377"/>
      <c r="AE63" s="377"/>
      <c r="AF63" s="377"/>
      <c r="AG63" s="377"/>
      <c r="AH63" s="377"/>
      <c r="AI63" s="377"/>
      <c r="AJ63" s="377"/>
      <c r="AK63" s="377"/>
      <c r="AL63" s="377"/>
      <c r="AM63" s="377"/>
      <c r="AN63" s="377"/>
      <c r="AO63" s="377"/>
      <c r="AP63" s="377"/>
      <c r="AQ63" s="377"/>
      <c r="AR63" s="377"/>
      <c r="AS63" s="377"/>
      <c r="AT63" s="377"/>
      <c r="AU63" s="377"/>
      <c r="AV63" s="377"/>
      <c r="AW63" s="377"/>
      <c r="AX63" s="377"/>
      <c r="AY63" s="377"/>
      <c r="AZ63" s="377"/>
      <c r="BA63" s="377"/>
      <c r="BB63" s="377"/>
      <c r="BC63" s="377"/>
      <c r="BD63" s="377"/>
      <c r="BE63" s="377"/>
      <c r="BF63" s="377"/>
      <c r="BG63" s="377"/>
      <c r="BH63" s="377"/>
      <c r="BI63" s="377"/>
      <c r="BJ63" s="377"/>
      <c r="BK63" s="377"/>
      <c r="BL63" s="377"/>
      <c r="BM63" s="377"/>
      <c r="BN63" s="377"/>
      <c r="BO63" s="377"/>
      <c r="BP63" s="377"/>
      <c r="BQ63" s="377"/>
      <c r="BR63" s="377"/>
    </row>
    <row r="64" spans="1:70">
      <c r="A64" s="374"/>
      <c r="B64" s="359">
        <v>4102</v>
      </c>
      <c r="C64" s="359">
        <v>1</v>
      </c>
      <c r="D64" s="360"/>
      <c r="E64" s="360" t="s">
        <v>492</v>
      </c>
      <c r="F64" s="373" t="s">
        <v>417</v>
      </c>
      <c r="G64" s="360" t="s">
        <v>624</v>
      </c>
      <c r="H64" s="377"/>
      <c r="I64" s="537">
        <f t="shared" si="30"/>
        <v>-20000</v>
      </c>
      <c r="J64" s="546"/>
      <c r="K64" s="383">
        <f>SUMIFS(FACT!$B:$B,FACT!$A:$A,DETAILS!$B64,FACT!$I:$I,DETAILS!$F64,FACT!$J:$J,DETAILS!$G64,FACT!$C:$C,DETAILS!K$4,FACT!$H:$H,DETAILS!$E64)</f>
        <v>0</v>
      </c>
      <c r="L64" s="383">
        <f>SUMIFS(FACT!$B:$B,FACT!$A:$A,DETAILS!$B64,FACT!$I:$I,DETAILS!$F64,FACT!$J:$J,DETAILS!$G64,FACT!$C:$C,DETAILS!L$4,FACT!$H:$H,DETAILS!$E64)</f>
        <v>0</v>
      </c>
      <c r="M64" s="383">
        <f>SUMIFS(FACT!$B:$B,FACT!$A:$A,DETAILS!$B64,FACT!$I:$I,DETAILS!$F64,FACT!$J:$J,DETAILS!$G64,FACT!$C:$C,DETAILS!M$4,FACT!$H:$H,DETAILS!$E64)</f>
        <v>0</v>
      </c>
      <c r="N64" s="383">
        <f>SUMIFS(FACT!$B:$B,FACT!$A:$A,DETAILS!$B64,FACT!$I:$I,DETAILS!$F64,FACT!$J:$J,DETAILS!$G64,FACT!$C:$C,DETAILS!N$4,FACT!$H:$H,DETAILS!$E64)</f>
        <v>-10000</v>
      </c>
      <c r="O64" s="383">
        <f>SUMIFS(FACT!$B:$B,FACT!$A:$A,DETAILS!$B64,FACT!$I:$I,DETAILS!$F64,FACT!$J:$J,DETAILS!$G64,FACT!$C:$C,DETAILS!O$4,FACT!$H:$H,DETAILS!$E64)</f>
        <v>0</v>
      </c>
      <c r="P64" s="383">
        <f>SUMIFS(FACT!$B:$B,FACT!$A:$A,DETAILS!$B64,FACT!$I:$I,DETAILS!$F64,FACT!$J:$J,DETAILS!$G64,FACT!$C:$C,DETAILS!P$4,FACT!$H:$H,DETAILS!$E64)</f>
        <v>0</v>
      </c>
      <c r="Q64" s="383">
        <f>SUMIFS(FACT!$B:$B,FACT!$A:$A,DETAILS!$B64,FACT!$I:$I,DETAILS!$F64,FACT!$J:$J,DETAILS!$G64,FACT!$C:$C,DETAILS!Q$4,FACT!$H:$H,DETAILS!$E64)</f>
        <v>0</v>
      </c>
      <c r="R64" s="383">
        <f>SUMIFS(FACT!$B:$B,FACT!$A:$A,DETAILS!$B64,FACT!$I:$I,DETAILS!$F64,FACT!$J:$J,DETAILS!$G64,FACT!$C:$C,DETAILS!R$4,FACT!$H:$H,DETAILS!$E64)</f>
        <v>-10000</v>
      </c>
      <c r="S64" s="377"/>
      <c r="T64" s="377"/>
      <c r="U64" s="377"/>
      <c r="V64" s="377"/>
      <c r="W64" s="377"/>
      <c r="X64" s="377"/>
      <c r="Y64" s="377"/>
      <c r="Z64" s="377"/>
      <c r="AA64" s="377"/>
      <c r="AB64" s="377"/>
      <c r="AC64" s="377"/>
      <c r="AD64" s="377"/>
      <c r="AE64" s="377"/>
      <c r="AF64" s="377"/>
      <c r="AG64" s="377"/>
      <c r="AH64" s="377"/>
      <c r="AI64" s="377"/>
      <c r="AJ64" s="377"/>
      <c r="AK64" s="377"/>
      <c r="AL64" s="377"/>
      <c r="AM64" s="377"/>
      <c r="AN64" s="377"/>
      <c r="AO64" s="377"/>
      <c r="AP64" s="377"/>
      <c r="AQ64" s="377"/>
      <c r="AR64" s="377"/>
      <c r="AS64" s="377"/>
      <c r="AT64" s="377"/>
      <c r="AU64" s="377"/>
      <c r="AV64" s="377"/>
      <c r="AW64" s="377"/>
      <c r="AX64" s="377"/>
      <c r="AY64" s="377"/>
      <c r="AZ64" s="377"/>
      <c r="BA64" s="377"/>
      <c r="BB64" s="377"/>
      <c r="BC64" s="377"/>
      <c r="BD64" s="377"/>
      <c r="BE64" s="377"/>
      <c r="BF64" s="377"/>
      <c r="BG64" s="377"/>
      <c r="BH64" s="377"/>
      <c r="BI64" s="377"/>
      <c r="BJ64" s="377"/>
      <c r="BK64" s="377"/>
      <c r="BL64" s="377"/>
      <c r="BM64" s="377"/>
      <c r="BN64" s="377"/>
      <c r="BO64" s="377"/>
      <c r="BP64" s="377"/>
      <c r="BQ64" s="377"/>
      <c r="BR64" s="377"/>
    </row>
    <row r="65" spans="1:70">
      <c r="A65" s="374"/>
      <c r="B65" s="359"/>
      <c r="C65" s="359"/>
      <c r="D65" s="360"/>
      <c r="E65" s="360"/>
      <c r="F65" s="373"/>
      <c r="G65" s="360"/>
      <c r="H65" s="377"/>
      <c r="I65" s="537">
        <f t="shared" si="30"/>
        <v>0</v>
      </c>
      <c r="J65" s="546"/>
      <c r="K65" s="383">
        <f>SUMIFS(FACT!$B:$B,FACT!$A:$A,DETAILS!$B65,FACT!$I:$I,DETAILS!$F65,FACT!$J:$J,DETAILS!$G65,FACT!$C:$C,DETAILS!K$4,FACT!$H:$H,DETAILS!$E65)</f>
        <v>0</v>
      </c>
      <c r="L65" s="383">
        <f>SUMIFS(FACT!$B:$B,FACT!$A:$A,DETAILS!$B65,FACT!$I:$I,DETAILS!$F65,FACT!$J:$J,DETAILS!$G65,FACT!$C:$C,DETAILS!L$4,FACT!$H:$H,DETAILS!$E65)</f>
        <v>0</v>
      </c>
      <c r="M65" s="383">
        <f>SUMIFS(FACT!$B:$B,FACT!$A:$A,DETAILS!$B65,FACT!$I:$I,DETAILS!$F65,FACT!$J:$J,DETAILS!$G65,FACT!$C:$C,DETAILS!M$4,FACT!$H:$H,DETAILS!$E65)</f>
        <v>0</v>
      </c>
      <c r="N65" s="383">
        <f>SUMIFS(FACT!$B:$B,FACT!$A:$A,DETAILS!$B65,FACT!$I:$I,DETAILS!$F65,FACT!$J:$J,DETAILS!$G65,FACT!$C:$C,DETAILS!N$4,FACT!$H:$H,DETAILS!$E65)</f>
        <v>0</v>
      </c>
      <c r="O65" s="383">
        <f>SUMIFS(FACT!$B:$B,FACT!$A:$A,DETAILS!$B65,FACT!$I:$I,DETAILS!$F65,FACT!$J:$J,DETAILS!$G65,FACT!$C:$C,DETAILS!O$4,FACT!$H:$H,DETAILS!$E65)</f>
        <v>0</v>
      </c>
      <c r="P65" s="383">
        <f>SUMIFS(FACT!$B:$B,FACT!$A:$A,DETAILS!$B65,FACT!$I:$I,DETAILS!$F65,FACT!$J:$J,DETAILS!$G65,FACT!$C:$C,DETAILS!P$4,FACT!$H:$H,DETAILS!$E65)</f>
        <v>0</v>
      </c>
      <c r="Q65" s="383">
        <f>SUMIFS(FACT!$B:$B,FACT!$A:$A,DETAILS!$B65,FACT!$I:$I,DETAILS!$F65,FACT!$J:$J,DETAILS!$G65,FACT!$C:$C,DETAILS!Q$4,FACT!$H:$H,DETAILS!$E65)</f>
        <v>0</v>
      </c>
      <c r="R65" s="383">
        <f>SUMIFS(FACT!$B:$B,FACT!$A:$A,DETAILS!$B65,FACT!$I:$I,DETAILS!$F65,FACT!$J:$J,DETAILS!$G65,FACT!$C:$C,DETAILS!R$4,FACT!$H:$H,DETAILS!$E65)</f>
        <v>0</v>
      </c>
      <c r="S65" s="377"/>
      <c r="T65" s="377"/>
      <c r="U65" s="377"/>
      <c r="V65" s="377"/>
      <c r="W65" s="377"/>
      <c r="X65" s="377"/>
      <c r="Y65" s="377"/>
      <c r="Z65" s="377"/>
      <c r="AA65" s="377"/>
      <c r="AB65" s="377"/>
      <c r="AC65" s="377"/>
      <c r="AD65" s="377"/>
      <c r="AE65" s="377"/>
      <c r="AF65" s="377"/>
      <c r="AG65" s="377"/>
      <c r="AH65" s="377"/>
      <c r="AI65" s="377"/>
      <c r="AJ65" s="377"/>
      <c r="AK65" s="377"/>
      <c r="AL65" s="377"/>
      <c r="AM65" s="377"/>
      <c r="AN65" s="377"/>
      <c r="AO65" s="377"/>
      <c r="AP65" s="377"/>
      <c r="AQ65" s="377"/>
      <c r="AR65" s="377"/>
      <c r="AS65" s="377"/>
      <c r="AT65" s="377"/>
      <c r="AU65" s="377"/>
      <c r="AV65" s="377"/>
      <c r="AW65" s="377"/>
      <c r="AX65" s="377"/>
      <c r="AY65" s="377"/>
      <c r="AZ65" s="377"/>
      <c r="BA65" s="377"/>
      <c r="BB65" s="377"/>
      <c r="BC65" s="377"/>
      <c r="BD65" s="377"/>
      <c r="BE65" s="377"/>
      <c r="BF65" s="377"/>
      <c r="BG65" s="377"/>
      <c r="BH65" s="377"/>
      <c r="BI65" s="377"/>
      <c r="BJ65" s="377"/>
      <c r="BK65" s="377"/>
      <c r="BL65" s="377"/>
      <c r="BM65" s="377"/>
      <c r="BN65" s="377"/>
      <c r="BO65" s="377"/>
      <c r="BP65" s="377"/>
      <c r="BQ65" s="377"/>
      <c r="BR65" s="377"/>
    </row>
    <row r="66" spans="1:70">
      <c r="A66" s="374"/>
      <c r="B66" s="359"/>
      <c r="C66" s="359"/>
      <c r="D66" s="360"/>
      <c r="E66" s="360"/>
      <c r="F66" s="373"/>
      <c r="G66" s="360"/>
      <c r="H66" s="377"/>
      <c r="I66" s="537">
        <f t="shared" si="30"/>
        <v>0</v>
      </c>
      <c r="J66" s="546"/>
      <c r="K66" s="383">
        <f>SUMIFS(FACT!$B:$B,FACT!$A:$A,DETAILS!$B66,FACT!$I:$I,DETAILS!$F66,FACT!$J:$J,DETAILS!$G66,FACT!$C:$C,DETAILS!K$4,FACT!$H:$H,DETAILS!$E66)</f>
        <v>0</v>
      </c>
      <c r="L66" s="383">
        <f>SUMIFS(FACT!$B:$B,FACT!$A:$A,DETAILS!$B66,FACT!$I:$I,DETAILS!$F66,FACT!$J:$J,DETAILS!$G66,FACT!$C:$C,DETAILS!L$4,FACT!$H:$H,DETAILS!$E66)</f>
        <v>0</v>
      </c>
      <c r="M66" s="383">
        <f>SUMIFS(FACT!$B:$B,FACT!$A:$A,DETAILS!$B66,FACT!$I:$I,DETAILS!$F66,FACT!$J:$J,DETAILS!$G66,FACT!$C:$C,DETAILS!M$4,FACT!$H:$H,DETAILS!$E66)</f>
        <v>0</v>
      </c>
      <c r="N66" s="383">
        <f>SUMIFS(FACT!$B:$B,FACT!$A:$A,DETAILS!$B66,FACT!$I:$I,DETAILS!$F66,FACT!$J:$J,DETAILS!$G66,FACT!$C:$C,DETAILS!N$4,FACT!$H:$H,DETAILS!$E66)</f>
        <v>0</v>
      </c>
      <c r="O66" s="383">
        <f>SUMIFS(FACT!$B:$B,FACT!$A:$A,DETAILS!$B66,FACT!$I:$I,DETAILS!$F66,FACT!$J:$J,DETAILS!$G66,FACT!$C:$C,DETAILS!O$4,FACT!$H:$H,DETAILS!$E66)</f>
        <v>0</v>
      </c>
      <c r="P66" s="383">
        <f>SUMIFS(FACT!$B:$B,FACT!$A:$A,DETAILS!$B66,FACT!$I:$I,DETAILS!$F66,FACT!$J:$J,DETAILS!$G66,FACT!$C:$C,DETAILS!P$4,FACT!$H:$H,DETAILS!$E66)</f>
        <v>0</v>
      </c>
      <c r="Q66" s="383">
        <f>SUMIFS(FACT!$B:$B,FACT!$A:$A,DETAILS!$B66,FACT!$I:$I,DETAILS!$F66,FACT!$J:$J,DETAILS!$G66,FACT!$C:$C,DETAILS!Q$4,FACT!$H:$H,DETAILS!$E66)</f>
        <v>0</v>
      </c>
      <c r="R66" s="383">
        <f>SUMIFS(FACT!$B:$B,FACT!$A:$A,DETAILS!$B66,FACT!$I:$I,DETAILS!$F66,FACT!$J:$J,DETAILS!$G66,FACT!$C:$C,DETAILS!R$4,FACT!$H:$H,DETAILS!$E66)</f>
        <v>0</v>
      </c>
      <c r="S66" s="377"/>
      <c r="T66" s="377"/>
      <c r="U66" s="377"/>
      <c r="V66" s="377"/>
      <c r="W66" s="377"/>
      <c r="X66" s="377"/>
      <c r="Y66" s="377"/>
      <c r="Z66" s="377"/>
      <c r="AA66" s="377"/>
      <c r="AB66" s="377"/>
      <c r="AC66" s="377"/>
      <c r="AD66" s="377"/>
      <c r="AE66" s="377"/>
      <c r="AF66" s="377"/>
      <c r="AG66" s="377"/>
      <c r="AH66" s="377"/>
      <c r="AI66" s="377"/>
      <c r="AJ66" s="377"/>
      <c r="AK66" s="377"/>
      <c r="AL66" s="377"/>
      <c r="AM66" s="377"/>
      <c r="AN66" s="377"/>
      <c r="AO66" s="377"/>
      <c r="AP66" s="377"/>
      <c r="AQ66" s="377"/>
      <c r="AR66" s="377"/>
      <c r="AS66" s="377"/>
      <c r="AT66" s="377"/>
      <c r="AU66" s="377"/>
      <c r="AV66" s="377"/>
      <c r="AW66" s="377"/>
      <c r="AX66" s="377"/>
      <c r="AY66" s="377"/>
      <c r="AZ66" s="377"/>
      <c r="BA66" s="377"/>
      <c r="BB66" s="377"/>
      <c r="BC66" s="377"/>
      <c r="BD66" s="377"/>
      <c r="BE66" s="377"/>
      <c r="BF66" s="377"/>
      <c r="BG66" s="377"/>
      <c r="BH66" s="377"/>
      <c r="BI66" s="377"/>
      <c r="BJ66" s="377"/>
      <c r="BK66" s="377"/>
      <c r="BL66" s="377"/>
      <c r="BM66" s="377"/>
      <c r="BN66" s="377"/>
      <c r="BO66" s="377"/>
      <c r="BP66" s="377"/>
      <c r="BQ66" s="377"/>
      <c r="BR66" s="377"/>
    </row>
    <row r="67" spans="1:70">
      <c r="A67" s="374"/>
      <c r="B67" s="359"/>
      <c r="C67" s="359"/>
      <c r="D67" s="360"/>
      <c r="E67" s="360"/>
      <c r="F67" s="373"/>
      <c r="G67" s="360"/>
      <c r="H67" s="377"/>
      <c r="I67" s="537">
        <f t="shared" si="30"/>
        <v>0</v>
      </c>
      <c r="J67" s="546"/>
      <c r="K67" s="383">
        <f>SUMIFS(FACT!$B:$B,FACT!$A:$A,DETAILS!$B67,FACT!$I:$I,DETAILS!$F67,FACT!$J:$J,DETAILS!$G67,FACT!$C:$C,DETAILS!K$4,FACT!$H:$H,DETAILS!$E67)</f>
        <v>0</v>
      </c>
      <c r="L67" s="383">
        <f>SUMIFS(FACT!$B:$B,FACT!$A:$A,DETAILS!$B67,FACT!$I:$I,DETAILS!$F67,FACT!$J:$J,DETAILS!$G67,FACT!$C:$C,DETAILS!L$4,FACT!$H:$H,DETAILS!$E67)</f>
        <v>0</v>
      </c>
      <c r="M67" s="383">
        <f>SUMIFS(FACT!$B:$B,FACT!$A:$A,DETAILS!$B67,FACT!$I:$I,DETAILS!$F67,FACT!$J:$J,DETAILS!$G67,FACT!$C:$C,DETAILS!M$4,FACT!$H:$H,DETAILS!$E67)</f>
        <v>0</v>
      </c>
      <c r="N67" s="383">
        <f>SUMIFS(FACT!$B:$B,FACT!$A:$A,DETAILS!$B67,FACT!$I:$I,DETAILS!$F67,FACT!$J:$J,DETAILS!$G67,FACT!$C:$C,DETAILS!N$4,FACT!$H:$H,DETAILS!$E67)</f>
        <v>0</v>
      </c>
      <c r="O67" s="383">
        <f>SUMIFS(FACT!$B:$B,FACT!$A:$A,DETAILS!$B67,FACT!$I:$I,DETAILS!$F67,FACT!$J:$J,DETAILS!$G67,FACT!$C:$C,DETAILS!O$4,FACT!$H:$H,DETAILS!$E67)</f>
        <v>0</v>
      </c>
      <c r="P67" s="383">
        <f>SUMIFS(FACT!$B:$B,FACT!$A:$A,DETAILS!$B67,FACT!$I:$I,DETAILS!$F67,FACT!$J:$J,DETAILS!$G67,FACT!$C:$C,DETAILS!P$4,FACT!$H:$H,DETAILS!$E67)</f>
        <v>0</v>
      </c>
      <c r="Q67" s="383">
        <f>SUMIFS(FACT!$B:$B,FACT!$A:$A,DETAILS!$B67,FACT!$I:$I,DETAILS!$F67,FACT!$J:$J,DETAILS!$G67,FACT!$C:$C,DETAILS!Q$4,FACT!$H:$H,DETAILS!$E67)</f>
        <v>0</v>
      </c>
      <c r="R67" s="383">
        <f>SUMIFS(FACT!$B:$B,FACT!$A:$A,DETAILS!$B67,FACT!$I:$I,DETAILS!$F67,FACT!$J:$J,DETAILS!$G67,FACT!$C:$C,DETAILS!R$4,FACT!$H:$H,DETAILS!$E67)</f>
        <v>0</v>
      </c>
      <c r="S67" s="377"/>
      <c r="T67" s="377"/>
      <c r="U67" s="377"/>
      <c r="V67" s="377"/>
      <c r="W67" s="377"/>
      <c r="X67" s="377"/>
      <c r="Y67" s="377"/>
      <c r="Z67" s="377"/>
      <c r="AA67" s="377"/>
      <c r="AB67" s="377"/>
      <c r="AC67" s="377"/>
      <c r="AD67" s="377"/>
      <c r="AE67" s="377"/>
      <c r="AF67" s="377"/>
      <c r="AG67" s="377"/>
      <c r="AH67" s="377"/>
      <c r="AI67" s="377"/>
      <c r="AJ67" s="377"/>
      <c r="AK67" s="377"/>
      <c r="AL67" s="377"/>
      <c r="AM67" s="377"/>
      <c r="AN67" s="377"/>
      <c r="AO67" s="377"/>
      <c r="AP67" s="377"/>
      <c r="AQ67" s="377"/>
      <c r="AR67" s="377"/>
      <c r="AS67" s="377"/>
      <c r="AT67" s="377"/>
      <c r="AU67" s="377"/>
      <c r="AV67" s="377"/>
      <c r="AW67" s="377"/>
      <c r="AX67" s="377"/>
      <c r="AY67" s="377"/>
      <c r="AZ67" s="377"/>
      <c r="BA67" s="377"/>
      <c r="BB67" s="377"/>
      <c r="BC67" s="377"/>
      <c r="BD67" s="377"/>
      <c r="BE67" s="377"/>
      <c r="BF67" s="377"/>
      <c r="BG67" s="377"/>
      <c r="BH67" s="377"/>
      <c r="BI67" s="377"/>
      <c r="BJ67" s="377"/>
      <c r="BK67" s="377"/>
      <c r="BL67" s="377"/>
      <c r="BM67" s="377"/>
      <c r="BN67" s="377"/>
      <c r="BO67" s="377"/>
      <c r="BP67" s="377"/>
      <c r="BQ67" s="377"/>
      <c r="BR67" s="377"/>
    </row>
    <row r="68" spans="1:70">
      <c r="A68" s="374">
        <f t="shared" si="1"/>
        <v>0</v>
      </c>
      <c r="B68" s="359"/>
      <c r="C68" s="359"/>
      <c r="D68" s="360"/>
      <c r="E68" s="360"/>
      <c r="F68" s="373"/>
      <c r="G68" s="360"/>
      <c r="H68" s="377"/>
      <c r="I68" s="537">
        <f t="shared" si="30"/>
        <v>0</v>
      </c>
      <c r="J68" s="546"/>
      <c r="K68" s="383">
        <f>SUMIFS(FACT!$B:$B,FACT!$A:$A,DETAILS!$B68,FACT!$I:$I,DETAILS!$F68,FACT!$J:$J,DETAILS!$G68,FACT!$C:$C,DETAILS!K$4,FACT!$H:$H,DETAILS!$E68)</f>
        <v>0</v>
      </c>
      <c r="L68" s="383">
        <f>SUMIFS(FACT!$B:$B,FACT!$A:$A,DETAILS!$B68,FACT!$I:$I,DETAILS!$F68,FACT!$J:$J,DETAILS!$G68,FACT!$C:$C,DETAILS!L$4,FACT!$H:$H,DETAILS!$E68)</f>
        <v>0</v>
      </c>
      <c r="M68" s="383">
        <f>SUMIFS(FACT!$B:$B,FACT!$A:$A,DETAILS!$B68,FACT!$I:$I,DETAILS!$F68,FACT!$J:$J,DETAILS!$G68,FACT!$C:$C,DETAILS!M$4,FACT!$H:$H,DETAILS!$E68)</f>
        <v>0</v>
      </c>
      <c r="N68" s="383">
        <f>SUMIFS(FACT!$B:$B,FACT!$A:$A,DETAILS!$B68,FACT!$I:$I,DETAILS!$F68,FACT!$J:$J,DETAILS!$G68,FACT!$C:$C,DETAILS!N$4,FACT!$H:$H,DETAILS!$E68)</f>
        <v>0</v>
      </c>
      <c r="O68" s="383">
        <f>SUMIFS(FACT!$B:$B,FACT!$A:$A,DETAILS!$B68,FACT!$I:$I,DETAILS!$F68,FACT!$J:$J,DETAILS!$G68,FACT!$C:$C,DETAILS!O$4,FACT!$H:$H,DETAILS!$E68)</f>
        <v>0</v>
      </c>
      <c r="P68" s="383">
        <f>SUMIFS(FACT!$B:$B,FACT!$A:$A,DETAILS!$B68,FACT!$I:$I,DETAILS!$F68,FACT!$J:$J,DETAILS!$G68,FACT!$C:$C,DETAILS!P$4,FACT!$H:$H,DETAILS!$E68)</f>
        <v>0</v>
      </c>
      <c r="Q68" s="383">
        <f>SUMIFS(FACT!$B:$B,FACT!$A:$A,DETAILS!$B68,FACT!$I:$I,DETAILS!$F68,FACT!$J:$J,DETAILS!$G68,FACT!$C:$C,DETAILS!Q$4,FACT!$H:$H,DETAILS!$E68)</f>
        <v>0</v>
      </c>
      <c r="R68" s="383">
        <f>SUMIFS(FACT!$B:$B,FACT!$A:$A,DETAILS!$B68,FACT!$I:$I,DETAILS!$F68,FACT!$J:$J,DETAILS!$G68,FACT!$C:$C,DETAILS!R$4,FACT!$H:$H,DETAILS!$E68)</f>
        <v>0</v>
      </c>
      <c r="S68" s="377"/>
      <c r="T68" s="377"/>
      <c r="U68" s="377"/>
      <c r="V68" s="377"/>
      <c r="W68" s="377"/>
      <c r="X68" s="377"/>
      <c r="Y68" s="377"/>
      <c r="Z68" s="377"/>
      <c r="AA68" s="377"/>
      <c r="AB68" s="377"/>
      <c r="AC68" s="377"/>
      <c r="AD68" s="377"/>
      <c r="AE68" s="377"/>
      <c r="AF68" s="377"/>
      <c r="AG68" s="377"/>
      <c r="AH68" s="377"/>
      <c r="AI68" s="377"/>
      <c r="AJ68" s="377"/>
      <c r="AK68" s="377"/>
      <c r="AL68" s="377"/>
      <c r="AM68" s="377"/>
      <c r="AN68" s="377"/>
      <c r="AO68" s="377"/>
      <c r="AP68" s="377"/>
      <c r="AQ68" s="377"/>
      <c r="AR68" s="377"/>
      <c r="AS68" s="377"/>
      <c r="AT68" s="377"/>
      <c r="AU68" s="377"/>
      <c r="AV68" s="377"/>
      <c r="AW68" s="377"/>
      <c r="AX68" s="377"/>
      <c r="AY68" s="377"/>
      <c r="AZ68" s="377"/>
      <c r="BA68" s="377"/>
      <c r="BB68" s="377"/>
      <c r="BC68" s="377"/>
      <c r="BD68" s="377"/>
      <c r="BE68" s="377"/>
      <c r="BF68" s="377"/>
      <c r="BG68" s="377"/>
      <c r="BH68" s="377"/>
      <c r="BI68" s="377"/>
      <c r="BJ68" s="377"/>
      <c r="BK68" s="377"/>
      <c r="BL68" s="377"/>
      <c r="BM68" s="377"/>
      <c r="BN68" s="377"/>
      <c r="BO68" s="377"/>
      <c r="BP68" s="377"/>
      <c r="BQ68" s="377"/>
      <c r="BR68" s="377"/>
    </row>
    <row r="69" spans="1:70" s="353" customFormat="1">
      <c r="A69" s="374">
        <f t="shared" si="1"/>
        <v>0</v>
      </c>
      <c r="B69" s="365">
        <v>4400</v>
      </c>
      <c r="C69" s="365"/>
      <c r="D69" s="366" t="s">
        <v>419</v>
      </c>
      <c r="E69" s="366"/>
      <c r="F69" s="366"/>
      <c r="G69" s="366"/>
      <c r="H69" s="379">
        <f t="shared" ref="H69:AM69" si="32">SUM(H70:H73)</f>
        <v>0</v>
      </c>
      <c r="I69" s="540">
        <f t="shared" si="32"/>
        <v>-39240</v>
      </c>
      <c r="J69" s="549">
        <f t="shared" si="32"/>
        <v>0</v>
      </c>
      <c r="K69" s="379">
        <f t="shared" si="32"/>
        <v>0</v>
      </c>
      <c r="L69" s="379">
        <f t="shared" si="32"/>
        <v>-7800</v>
      </c>
      <c r="M69" s="379">
        <f t="shared" si="32"/>
        <v>0</v>
      </c>
      <c r="N69" s="379">
        <f t="shared" si="32"/>
        <v>0</v>
      </c>
      <c r="O69" s="379">
        <f t="shared" si="32"/>
        <v>0</v>
      </c>
      <c r="P69" s="379">
        <f t="shared" si="32"/>
        <v>-24470</v>
      </c>
      <c r="Q69" s="379">
        <f t="shared" si="32"/>
        <v>-6970</v>
      </c>
      <c r="R69" s="379">
        <f t="shared" si="32"/>
        <v>0</v>
      </c>
      <c r="S69" s="379">
        <f t="shared" si="32"/>
        <v>0</v>
      </c>
      <c r="T69" s="379">
        <f t="shared" si="32"/>
        <v>0</v>
      </c>
      <c r="U69" s="379">
        <f t="shared" si="32"/>
        <v>0</v>
      </c>
      <c r="V69" s="379">
        <f t="shared" si="32"/>
        <v>0</v>
      </c>
      <c r="W69" s="379">
        <f t="shared" si="32"/>
        <v>0</v>
      </c>
      <c r="X69" s="379">
        <f t="shared" si="32"/>
        <v>0</v>
      </c>
      <c r="Y69" s="379">
        <f t="shared" si="32"/>
        <v>0</v>
      </c>
      <c r="Z69" s="379">
        <f t="shared" si="32"/>
        <v>0</v>
      </c>
      <c r="AA69" s="379">
        <f t="shared" si="32"/>
        <v>0</v>
      </c>
      <c r="AB69" s="379">
        <f t="shared" si="32"/>
        <v>0</v>
      </c>
      <c r="AC69" s="379">
        <f t="shared" si="32"/>
        <v>0</v>
      </c>
      <c r="AD69" s="379">
        <f t="shared" si="32"/>
        <v>0</v>
      </c>
      <c r="AE69" s="379">
        <f t="shared" si="32"/>
        <v>0</v>
      </c>
      <c r="AF69" s="379">
        <f t="shared" si="32"/>
        <v>0</v>
      </c>
      <c r="AG69" s="379">
        <f t="shared" si="32"/>
        <v>0</v>
      </c>
      <c r="AH69" s="379">
        <f t="shared" si="32"/>
        <v>0</v>
      </c>
      <c r="AI69" s="379">
        <f t="shared" si="32"/>
        <v>0</v>
      </c>
      <c r="AJ69" s="379">
        <f t="shared" si="32"/>
        <v>0</v>
      </c>
      <c r="AK69" s="379">
        <f t="shared" si="32"/>
        <v>0</v>
      </c>
      <c r="AL69" s="379">
        <f t="shared" si="32"/>
        <v>0</v>
      </c>
      <c r="AM69" s="379">
        <f t="shared" si="32"/>
        <v>0</v>
      </c>
      <c r="AN69" s="379">
        <f t="shared" ref="AN69:BR69" si="33">SUM(AN70:AN73)</f>
        <v>0</v>
      </c>
      <c r="AO69" s="379">
        <f t="shared" si="33"/>
        <v>0</v>
      </c>
      <c r="AP69" s="379">
        <f t="shared" si="33"/>
        <v>0</v>
      </c>
      <c r="AQ69" s="379">
        <f t="shared" si="33"/>
        <v>0</v>
      </c>
      <c r="AR69" s="379">
        <f t="shared" si="33"/>
        <v>0</v>
      </c>
      <c r="AS69" s="379">
        <f t="shared" si="33"/>
        <v>0</v>
      </c>
      <c r="AT69" s="379">
        <f t="shared" si="33"/>
        <v>0</v>
      </c>
      <c r="AU69" s="379">
        <f t="shared" si="33"/>
        <v>0</v>
      </c>
      <c r="AV69" s="379">
        <f t="shared" si="33"/>
        <v>0</v>
      </c>
      <c r="AW69" s="379">
        <f t="shared" si="33"/>
        <v>0</v>
      </c>
      <c r="AX69" s="379">
        <f t="shared" si="33"/>
        <v>0</v>
      </c>
      <c r="AY69" s="379">
        <f t="shared" si="33"/>
        <v>0</v>
      </c>
      <c r="AZ69" s="379">
        <f t="shared" si="33"/>
        <v>0</v>
      </c>
      <c r="BA69" s="379">
        <f t="shared" si="33"/>
        <v>0</v>
      </c>
      <c r="BB69" s="379">
        <f t="shared" si="33"/>
        <v>0</v>
      </c>
      <c r="BC69" s="379">
        <f t="shared" si="33"/>
        <v>0</v>
      </c>
      <c r="BD69" s="379">
        <f t="shared" si="33"/>
        <v>0</v>
      </c>
      <c r="BE69" s="379">
        <f t="shared" si="33"/>
        <v>0</v>
      </c>
      <c r="BF69" s="379">
        <f t="shared" si="33"/>
        <v>0</v>
      </c>
      <c r="BG69" s="379">
        <f t="shared" si="33"/>
        <v>0</v>
      </c>
      <c r="BH69" s="379">
        <f t="shared" si="33"/>
        <v>0</v>
      </c>
      <c r="BI69" s="379">
        <f t="shared" si="33"/>
        <v>0</v>
      </c>
      <c r="BJ69" s="379">
        <f t="shared" si="33"/>
        <v>0</v>
      </c>
      <c r="BK69" s="379">
        <f t="shared" si="33"/>
        <v>0</v>
      </c>
      <c r="BL69" s="379">
        <f t="shared" si="33"/>
        <v>0</v>
      </c>
      <c r="BM69" s="379">
        <f t="shared" si="33"/>
        <v>0</v>
      </c>
      <c r="BN69" s="379">
        <f t="shared" si="33"/>
        <v>0</v>
      </c>
      <c r="BO69" s="379">
        <f t="shared" si="33"/>
        <v>0</v>
      </c>
      <c r="BP69" s="379">
        <f t="shared" si="33"/>
        <v>0</v>
      </c>
      <c r="BQ69" s="379">
        <f t="shared" si="33"/>
        <v>0</v>
      </c>
      <c r="BR69" s="379">
        <f t="shared" si="33"/>
        <v>0</v>
      </c>
    </row>
    <row r="70" spans="1:70">
      <c r="A70" s="374">
        <f>I70-SUM(K70:BR70)</f>
        <v>0</v>
      </c>
      <c r="B70" s="359" t="s">
        <v>852</v>
      </c>
      <c r="C70" s="359">
        <v>1</v>
      </c>
      <c r="D70" s="360"/>
      <c r="E70" s="360" t="s">
        <v>492</v>
      </c>
      <c r="F70" s="373" t="s">
        <v>579</v>
      </c>
      <c r="G70" s="360" t="s">
        <v>413</v>
      </c>
      <c r="H70" s="377"/>
      <c r="I70" s="537">
        <f>SUM(K70:BR70)</f>
        <v>-32270</v>
      </c>
      <c r="J70" s="546"/>
      <c r="K70" s="383">
        <f>SUMIFS(FACT!$B:$B,FACT!$A:$A,DETAILS!$B70,FACT!$I:$I,DETAILS!$F70,FACT!$J:$J,DETAILS!$G70,FACT!$C:$C,DETAILS!K$4,FACT!$H:$H,DETAILS!$E70)</f>
        <v>0</v>
      </c>
      <c r="L70" s="383">
        <f>SUMIFS(FACT!$B:$B,FACT!$A:$A,DETAILS!$B70,FACT!$I:$I,DETAILS!$F70,FACT!$J:$J,DETAILS!$G70,FACT!$C:$C,DETAILS!L$4,FACT!$H:$H,DETAILS!$E70)</f>
        <v>-7800</v>
      </c>
      <c r="M70" s="383">
        <f>SUMIFS(FACT!$B:$B,FACT!$A:$A,DETAILS!$B70,FACT!$I:$I,DETAILS!$F70,FACT!$J:$J,DETAILS!$G70,FACT!$C:$C,DETAILS!M$4,FACT!$H:$H,DETAILS!$E70)</f>
        <v>0</v>
      </c>
      <c r="N70" s="383">
        <f>SUMIFS(FACT!$B:$B,FACT!$A:$A,DETAILS!$B70,FACT!$I:$I,DETAILS!$F70,FACT!$J:$J,DETAILS!$G70,FACT!$C:$C,DETAILS!N$4,FACT!$H:$H,DETAILS!$E70)</f>
        <v>0</v>
      </c>
      <c r="O70" s="383">
        <f>SUMIFS(FACT!$B:$B,FACT!$A:$A,DETAILS!$B70,FACT!$I:$I,DETAILS!$F70,FACT!$J:$J,DETAILS!$G70,FACT!$C:$C,DETAILS!O$4,FACT!$H:$H,DETAILS!$E70)</f>
        <v>0</v>
      </c>
      <c r="P70" s="383">
        <f>SUMIFS(FACT!$B:$B,FACT!$A:$A,DETAILS!$B70,FACT!$I:$I,DETAILS!$F70,FACT!$J:$J,DETAILS!$G70,FACT!$C:$C,DETAILS!P$4,FACT!$H:$H,DETAILS!$E70)</f>
        <v>-24470</v>
      </c>
      <c r="Q70" s="383">
        <f>SUMIFS(FACT!$B:$B,FACT!$A:$A,DETAILS!$B70,FACT!$I:$I,DETAILS!$F70,FACT!$J:$J,DETAILS!$G70,FACT!$C:$C,DETAILS!Q$4,FACT!$H:$H,DETAILS!$E70)</f>
        <v>0</v>
      </c>
      <c r="R70" s="383">
        <f>SUMIFS(FACT!$B:$B,FACT!$A:$A,DETAILS!$B70,FACT!$I:$I,DETAILS!$F70,FACT!$J:$J,DETAILS!$G70,FACT!$C:$C,DETAILS!R$4,FACT!$H:$H,DETAILS!$E70)</f>
        <v>0</v>
      </c>
      <c r="S70" s="377"/>
      <c r="T70" s="377"/>
      <c r="U70" s="377"/>
      <c r="V70" s="377"/>
      <c r="W70" s="377"/>
      <c r="X70" s="377"/>
      <c r="Y70" s="377"/>
      <c r="Z70" s="377"/>
      <c r="AA70" s="377"/>
      <c r="AB70" s="377"/>
      <c r="AC70" s="377"/>
      <c r="AD70" s="377"/>
      <c r="AE70" s="377"/>
      <c r="AF70" s="377"/>
      <c r="AG70" s="377"/>
      <c r="AH70" s="377"/>
      <c r="AI70" s="377"/>
      <c r="AJ70" s="377"/>
      <c r="AK70" s="377"/>
      <c r="AL70" s="377"/>
      <c r="AM70" s="377"/>
      <c r="AN70" s="377"/>
      <c r="AO70" s="377"/>
      <c r="AP70" s="377"/>
      <c r="AQ70" s="377"/>
      <c r="AR70" s="377"/>
      <c r="AS70" s="377"/>
      <c r="AT70" s="377"/>
      <c r="AU70" s="377"/>
      <c r="AV70" s="377"/>
      <c r="AW70" s="377"/>
      <c r="AX70" s="377"/>
      <c r="AY70" s="377"/>
      <c r="AZ70" s="377"/>
      <c r="BA70" s="377"/>
      <c r="BB70" s="377"/>
      <c r="BC70" s="377"/>
      <c r="BD70" s="377"/>
      <c r="BE70" s="377"/>
      <c r="BF70" s="377"/>
      <c r="BG70" s="377"/>
      <c r="BH70" s="377"/>
      <c r="BI70" s="377"/>
      <c r="BJ70" s="377"/>
      <c r="BK70" s="377"/>
      <c r="BL70" s="377"/>
      <c r="BM70" s="377"/>
      <c r="BN70" s="377"/>
      <c r="BO70" s="377"/>
      <c r="BP70" s="377"/>
      <c r="BQ70" s="377"/>
      <c r="BR70" s="377"/>
    </row>
    <row r="71" spans="1:70">
      <c r="A71" s="374"/>
      <c r="B71" s="359" t="s">
        <v>852</v>
      </c>
      <c r="C71" s="359">
        <v>1</v>
      </c>
      <c r="D71" s="360"/>
      <c r="E71" s="360" t="s">
        <v>671</v>
      </c>
      <c r="F71" s="373" t="s">
        <v>579</v>
      </c>
      <c r="G71" s="360" t="s">
        <v>413</v>
      </c>
      <c r="H71" s="377"/>
      <c r="I71" s="537">
        <f>SUM(K71:BR71)</f>
        <v>-6970</v>
      </c>
      <c r="J71" s="546"/>
      <c r="K71" s="383">
        <f>SUMIFS(FACT!$B:$B,FACT!$A:$A,DETAILS!$B71,FACT!$I:$I,DETAILS!$F71,FACT!$J:$J,DETAILS!$G71,FACT!$C:$C,DETAILS!K$4,FACT!$H:$H,DETAILS!$E71)</f>
        <v>0</v>
      </c>
      <c r="L71" s="383">
        <f>SUMIFS(FACT!$B:$B,FACT!$A:$A,DETAILS!$B71,FACT!$I:$I,DETAILS!$F71,FACT!$J:$J,DETAILS!$G71,FACT!$C:$C,DETAILS!L$4,FACT!$H:$H,DETAILS!$E71)</f>
        <v>0</v>
      </c>
      <c r="M71" s="383">
        <f>SUMIFS(FACT!$B:$B,FACT!$A:$A,DETAILS!$B71,FACT!$I:$I,DETAILS!$F71,FACT!$J:$J,DETAILS!$G71,FACT!$C:$C,DETAILS!M$4,FACT!$H:$H,DETAILS!$E71)</f>
        <v>0</v>
      </c>
      <c r="N71" s="383">
        <f>SUMIFS(FACT!$B:$B,FACT!$A:$A,DETAILS!$B71,FACT!$I:$I,DETAILS!$F71,FACT!$J:$J,DETAILS!$G71,FACT!$C:$C,DETAILS!N$4,FACT!$H:$H,DETAILS!$E71)</f>
        <v>0</v>
      </c>
      <c r="O71" s="383">
        <f>SUMIFS(FACT!$B:$B,FACT!$A:$A,DETAILS!$B71,FACT!$I:$I,DETAILS!$F71,FACT!$J:$J,DETAILS!$G71,FACT!$C:$C,DETAILS!O$4,FACT!$H:$H,DETAILS!$E71)</f>
        <v>0</v>
      </c>
      <c r="P71" s="383">
        <f>SUMIFS(FACT!$B:$B,FACT!$A:$A,DETAILS!$B71,FACT!$I:$I,DETAILS!$F71,FACT!$J:$J,DETAILS!$G71,FACT!$C:$C,DETAILS!P$4,FACT!$H:$H,DETAILS!$E71)</f>
        <v>0</v>
      </c>
      <c r="Q71" s="383">
        <f>SUMIFS(FACT!$B:$B,FACT!$A:$A,DETAILS!$B71,FACT!$I:$I,DETAILS!$F71,FACT!$J:$J,DETAILS!$G71,FACT!$C:$C,DETAILS!Q$4,FACT!$H:$H,DETAILS!$E71)</f>
        <v>-6970</v>
      </c>
      <c r="R71" s="383">
        <f>SUMIFS(FACT!$B:$B,FACT!$A:$A,DETAILS!$B71,FACT!$I:$I,DETAILS!$F71,FACT!$J:$J,DETAILS!$G71,FACT!$C:$C,DETAILS!R$4,FACT!$H:$H,DETAILS!$E71)</f>
        <v>0</v>
      </c>
      <c r="S71" s="377"/>
      <c r="T71" s="377"/>
      <c r="U71" s="377"/>
      <c r="V71" s="377"/>
      <c r="W71" s="377"/>
      <c r="X71" s="377"/>
      <c r="Y71" s="377"/>
      <c r="Z71" s="377"/>
      <c r="AA71" s="377"/>
      <c r="AB71" s="377"/>
      <c r="AC71" s="377"/>
      <c r="AD71" s="377"/>
      <c r="AE71" s="377"/>
      <c r="AF71" s="377"/>
      <c r="AG71" s="377"/>
      <c r="AH71" s="377"/>
      <c r="AI71" s="377"/>
      <c r="AJ71" s="377"/>
      <c r="AK71" s="377"/>
      <c r="AL71" s="377"/>
      <c r="AM71" s="377"/>
      <c r="AN71" s="377"/>
      <c r="AO71" s="377"/>
      <c r="AP71" s="377"/>
      <c r="AQ71" s="377"/>
      <c r="AR71" s="377"/>
      <c r="AS71" s="377"/>
      <c r="AT71" s="377"/>
      <c r="AU71" s="377"/>
      <c r="AV71" s="377"/>
      <c r="AW71" s="377"/>
      <c r="AX71" s="377"/>
      <c r="AY71" s="377"/>
      <c r="AZ71" s="377"/>
      <c r="BA71" s="377"/>
      <c r="BB71" s="377"/>
      <c r="BC71" s="377"/>
      <c r="BD71" s="377"/>
      <c r="BE71" s="377"/>
      <c r="BF71" s="377"/>
      <c r="BG71" s="377"/>
      <c r="BH71" s="377"/>
      <c r="BI71" s="377"/>
      <c r="BJ71" s="377"/>
      <c r="BK71" s="377"/>
      <c r="BL71" s="377"/>
      <c r="BM71" s="377"/>
      <c r="BN71" s="377"/>
      <c r="BO71" s="377"/>
      <c r="BP71" s="377"/>
      <c r="BQ71" s="377"/>
      <c r="BR71" s="377"/>
    </row>
    <row r="72" spans="1:70">
      <c r="A72" s="374">
        <f t="shared" ref="A72" si="34">I72-SUM(K72:BR72)</f>
        <v>0</v>
      </c>
      <c r="B72" s="359"/>
      <c r="C72" s="359"/>
      <c r="D72" s="360"/>
      <c r="E72" s="360"/>
      <c r="F72" s="373"/>
      <c r="G72" s="360"/>
      <c r="H72" s="377"/>
      <c r="I72" s="537">
        <f t="shared" ref="I72" si="35">SUM(K72:BR72)</f>
        <v>0</v>
      </c>
      <c r="J72" s="546"/>
      <c r="K72" s="383">
        <f>SUMIFS(FACT!$B:$B,FACT!$A:$A,DETAILS!$B72,FACT!$I:$I,DETAILS!$F72,FACT!$J:$J,DETAILS!$G72,FACT!$C:$C,DETAILS!K$4,FACT!$H:$H,DETAILS!$E72)</f>
        <v>0</v>
      </c>
      <c r="L72" s="383">
        <f>SUMIFS(FACT!$B:$B,FACT!$A:$A,DETAILS!$B72,FACT!$I:$I,DETAILS!$F72,FACT!$J:$J,DETAILS!$G72,FACT!$C:$C,DETAILS!L$4,FACT!$H:$H,DETAILS!$E72)</f>
        <v>0</v>
      </c>
      <c r="M72" s="383">
        <f>SUMIFS(FACT!$B:$B,FACT!$A:$A,DETAILS!$B72,FACT!$I:$I,DETAILS!$F72,FACT!$J:$J,DETAILS!$G72,FACT!$C:$C,DETAILS!M$4,FACT!$H:$H,DETAILS!$E72)</f>
        <v>0</v>
      </c>
      <c r="N72" s="383">
        <f>SUMIFS(FACT!$B:$B,FACT!$A:$A,DETAILS!$B72,FACT!$I:$I,DETAILS!$F72,FACT!$J:$J,DETAILS!$G72,FACT!$C:$C,DETAILS!N$4,FACT!$H:$H,DETAILS!$E72)</f>
        <v>0</v>
      </c>
      <c r="O72" s="383">
        <f>SUMIFS(FACT!$B:$B,FACT!$A:$A,DETAILS!$B72,FACT!$I:$I,DETAILS!$F72,FACT!$J:$J,DETAILS!$G72,FACT!$C:$C,DETAILS!O$4,FACT!$H:$H,DETAILS!$E72)</f>
        <v>0</v>
      </c>
      <c r="P72" s="383">
        <f>SUMIFS(FACT!$B:$B,FACT!$A:$A,DETAILS!$B72,FACT!$I:$I,DETAILS!$F72,FACT!$J:$J,DETAILS!$G72,FACT!$C:$C,DETAILS!P$4,FACT!$H:$H,DETAILS!$E72)</f>
        <v>0</v>
      </c>
      <c r="Q72" s="383">
        <f>SUMIFS(FACT!$B:$B,FACT!$A:$A,DETAILS!$B72,FACT!$I:$I,DETAILS!$F72,FACT!$J:$J,DETAILS!$G72,FACT!$C:$C,DETAILS!Q$4,FACT!$H:$H,DETAILS!$E72)</f>
        <v>0</v>
      </c>
      <c r="R72" s="383">
        <f>SUMIFS(FACT!$B:$B,FACT!$A:$A,DETAILS!$B72,FACT!$I:$I,DETAILS!$F72,FACT!$J:$J,DETAILS!$G72,FACT!$C:$C,DETAILS!R$4,FACT!$H:$H,DETAILS!$E72)</f>
        <v>0</v>
      </c>
      <c r="S72" s="377"/>
      <c r="T72" s="377"/>
      <c r="U72" s="377"/>
      <c r="V72" s="377"/>
      <c r="W72" s="377"/>
      <c r="X72" s="377"/>
      <c r="Y72" s="377"/>
      <c r="Z72" s="377"/>
      <c r="AA72" s="377"/>
      <c r="AB72" s="377"/>
      <c r="AC72" s="377"/>
      <c r="AD72" s="377"/>
      <c r="AE72" s="377"/>
      <c r="AF72" s="377"/>
      <c r="AG72" s="377"/>
      <c r="AH72" s="377"/>
      <c r="AI72" s="377"/>
      <c r="AJ72" s="377"/>
      <c r="AK72" s="377"/>
      <c r="AL72" s="377"/>
      <c r="AM72" s="377"/>
      <c r="AN72" s="377"/>
      <c r="AO72" s="377"/>
      <c r="AP72" s="377"/>
      <c r="AQ72" s="377"/>
      <c r="AR72" s="377"/>
      <c r="AS72" s="377"/>
      <c r="AT72" s="377"/>
      <c r="AU72" s="377"/>
      <c r="AV72" s="377"/>
      <c r="AW72" s="377"/>
      <c r="AX72" s="377"/>
      <c r="AY72" s="377"/>
      <c r="AZ72" s="377"/>
      <c r="BA72" s="377"/>
      <c r="BB72" s="377"/>
      <c r="BC72" s="377"/>
      <c r="BD72" s="377"/>
      <c r="BE72" s="377"/>
      <c r="BF72" s="377"/>
      <c r="BG72" s="377"/>
      <c r="BH72" s="377"/>
      <c r="BI72" s="377"/>
      <c r="BJ72" s="377"/>
      <c r="BK72" s="377"/>
      <c r="BL72" s="377"/>
      <c r="BM72" s="377"/>
      <c r="BN72" s="377"/>
      <c r="BO72" s="377"/>
      <c r="BP72" s="377"/>
      <c r="BQ72" s="377"/>
      <c r="BR72" s="377"/>
    </row>
    <row r="73" spans="1:70">
      <c r="A73" s="374">
        <f t="shared" si="1"/>
        <v>0</v>
      </c>
      <c r="B73" s="359"/>
      <c r="C73" s="359"/>
      <c r="D73" s="360"/>
      <c r="E73" s="360"/>
      <c r="F73" s="373"/>
      <c r="G73" s="360"/>
      <c r="H73" s="377"/>
      <c r="I73" s="537">
        <f t="shared" ref="I73" si="36">SUM(K73:BR73)</f>
        <v>0</v>
      </c>
      <c r="J73" s="546"/>
      <c r="K73" s="383">
        <f>SUMIFS(FACT!$B:$B,FACT!$A:$A,DETAILS!$B73,FACT!$I:$I,DETAILS!$F73,FACT!$J:$J,DETAILS!$G73,FACT!$C:$C,DETAILS!K$4,FACT!$H:$H,DETAILS!$E73)</f>
        <v>0</v>
      </c>
      <c r="L73" s="383">
        <f>SUMIFS(FACT!$B:$B,FACT!$A:$A,DETAILS!$B73,FACT!$I:$I,DETAILS!$F73,FACT!$J:$J,DETAILS!$G73,FACT!$C:$C,DETAILS!L$4,FACT!$H:$H,DETAILS!$E73)</f>
        <v>0</v>
      </c>
      <c r="M73" s="383">
        <f>SUMIFS(FACT!$B:$B,FACT!$A:$A,DETAILS!$B73,FACT!$I:$I,DETAILS!$F73,FACT!$J:$J,DETAILS!$G73,FACT!$C:$C,DETAILS!M$4,FACT!$H:$H,DETAILS!$E73)</f>
        <v>0</v>
      </c>
      <c r="N73" s="383">
        <f>SUMIFS(FACT!$B:$B,FACT!$A:$A,DETAILS!$B73,FACT!$I:$I,DETAILS!$F73,FACT!$J:$J,DETAILS!$G73,FACT!$C:$C,DETAILS!N$4,FACT!$H:$H,DETAILS!$E73)</f>
        <v>0</v>
      </c>
      <c r="O73" s="383">
        <f>SUMIFS(FACT!$B:$B,FACT!$A:$A,DETAILS!$B73,FACT!$I:$I,DETAILS!$F73,FACT!$J:$J,DETAILS!$G73,FACT!$C:$C,DETAILS!O$4,FACT!$H:$H,DETAILS!$E73)</f>
        <v>0</v>
      </c>
      <c r="P73" s="383">
        <f>SUMIFS(FACT!$B:$B,FACT!$A:$A,DETAILS!$B73,FACT!$I:$I,DETAILS!$F73,FACT!$J:$J,DETAILS!$G73,FACT!$C:$C,DETAILS!P$4,FACT!$H:$H,DETAILS!$E73)</f>
        <v>0</v>
      </c>
      <c r="Q73" s="383">
        <f>SUMIFS(FACT!$B:$B,FACT!$A:$A,DETAILS!$B73,FACT!$I:$I,DETAILS!$F73,FACT!$J:$J,DETAILS!$G73,FACT!$C:$C,DETAILS!Q$4,FACT!$H:$H,DETAILS!$E73)</f>
        <v>0</v>
      </c>
      <c r="R73" s="383">
        <f>SUMIFS(FACT!$B:$B,FACT!$A:$A,DETAILS!$B73,FACT!$I:$I,DETAILS!$F73,FACT!$J:$J,DETAILS!$G73,FACT!$C:$C,DETAILS!R$4,FACT!$H:$H,DETAILS!$E73)</f>
        <v>0</v>
      </c>
      <c r="S73" s="377"/>
      <c r="T73" s="377"/>
      <c r="U73" s="377"/>
      <c r="V73" s="377"/>
      <c r="W73" s="377"/>
      <c r="X73" s="377"/>
      <c r="Y73" s="377"/>
      <c r="Z73" s="377"/>
      <c r="AA73" s="377"/>
      <c r="AB73" s="377"/>
      <c r="AC73" s="377"/>
      <c r="AD73" s="377"/>
      <c r="AE73" s="377"/>
      <c r="AF73" s="377"/>
      <c r="AG73" s="377"/>
      <c r="AH73" s="377"/>
      <c r="AI73" s="377"/>
      <c r="AJ73" s="377"/>
      <c r="AK73" s="377"/>
      <c r="AL73" s="377"/>
      <c r="AM73" s="377"/>
      <c r="AN73" s="377"/>
      <c r="AO73" s="377"/>
      <c r="AP73" s="377"/>
      <c r="AQ73" s="377"/>
      <c r="AR73" s="377"/>
      <c r="AS73" s="377"/>
      <c r="AT73" s="377"/>
      <c r="AU73" s="377"/>
      <c r="AV73" s="377"/>
      <c r="AW73" s="377"/>
      <c r="AX73" s="377"/>
      <c r="AY73" s="377"/>
      <c r="AZ73" s="377"/>
      <c r="BA73" s="377"/>
      <c r="BB73" s="377"/>
      <c r="BC73" s="377"/>
      <c r="BD73" s="377"/>
      <c r="BE73" s="377"/>
      <c r="BF73" s="377"/>
      <c r="BG73" s="377"/>
      <c r="BH73" s="377"/>
      <c r="BI73" s="377"/>
      <c r="BJ73" s="377"/>
      <c r="BK73" s="377"/>
      <c r="BL73" s="377"/>
      <c r="BM73" s="377"/>
      <c r="BN73" s="377"/>
      <c r="BO73" s="377"/>
      <c r="BP73" s="377"/>
      <c r="BQ73" s="377"/>
      <c r="BR73" s="377"/>
    </row>
    <row r="74" spans="1:70" s="353" customFormat="1">
      <c r="A74" s="374">
        <f t="shared" si="1"/>
        <v>0</v>
      </c>
      <c r="B74" s="365">
        <v>4500</v>
      </c>
      <c r="C74" s="365"/>
      <c r="D74" s="366" t="s">
        <v>420</v>
      </c>
      <c r="E74" s="366"/>
      <c r="F74" s="366"/>
      <c r="G74" s="366"/>
      <c r="H74" s="379">
        <f>SUM(H75:H80)</f>
        <v>0</v>
      </c>
      <c r="I74" s="540">
        <f t="shared" ref="I74" si="37">SUM(I75:I80)</f>
        <v>0</v>
      </c>
      <c r="J74" s="549">
        <f t="shared" ref="J74" si="38">SUM(J75:J80)</f>
        <v>0</v>
      </c>
      <c r="K74" s="379">
        <f>SUM(K75:K80)</f>
        <v>0</v>
      </c>
      <c r="L74" s="379">
        <f t="shared" ref="L74:BR74" si="39">SUM(L75:L80)</f>
        <v>0</v>
      </c>
      <c r="M74" s="379">
        <f t="shared" si="39"/>
        <v>0</v>
      </c>
      <c r="N74" s="379">
        <f t="shared" ref="N74:R74" si="40">SUM(N75:N80)</f>
        <v>0</v>
      </c>
      <c r="O74" s="379">
        <f t="shared" si="40"/>
        <v>0</v>
      </c>
      <c r="P74" s="379">
        <f t="shared" si="40"/>
        <v>0</v>
      </c>
      <c r="Q74" s="379">
        <f t="shared" si="40"/>
        <v>0</v>
      </c>
      <c r="R74" s="379">
        <f t="shared" si="40"/>
        <v>0</v>
      </c>
      <c r="S74" s="379">
        <f t="shared" si="39"/>
        <v>0</v>
      </c>
      <c r="T74" s="379">
        <f t="shared" si="39"/>
        <v>0</v>
      </c>
      <c r="U74" s="379">
        <f t="shared" si="39"/>
        <v>0</v>
      </c>
      <c r="V74" s="379">
        <f t="shared" si="39"/>
        <v>0</v>
      </c>
      <c r="W74" s="379">
        <f t="shared" si="39"/>
        <v>0</v>
      </c>
      <c r="X74" s="379">
        <f t="shared" si="39"/>
        <v>0</v>
      </c>
      <c r="Y74" s="379">
        <f t="shared" si="39"/>
        <v>0</v>
      </c>
      <c r="Z74" s="379">
        <f t="shared" si="39"/>
        <v>0</v>
      </c>
      <c r="AA74" s="379">
        <f t="shared" si="39"/>
        <v>0</v>
      </c>
      <c r="AB74" s="379">
        <f t="shared" si="39"/>
        <v>0</v>
      </c>
      <c r="AC74" s="379">
        <f t="shared" si="39"/>
        <v>0</v>
      </c>
      <c r="AD74" s="379">
        <f t="shared" si="39"/>
        <v>0</v>
      </c>
      <c r="AE74" s="379">
        <f t="shared" si="39"/>
        <v>0</v>
      </c>
      <c r="AF74" s="379">
        <f t="shared" si="39"/>
        <v>0</v>
      </c>
      <c r="AG74" s="379">
        <f t="shared" si="39"/>
        <v>0</v>
      </c>
      <c r="AH74" s="379">
        <f t="shared" si="39"/>
        <v>0</v>
      </c>
      <c r="AI74" s="379">
        <f t="shared" si="39"/>
        <v>0</v>
      </c>
      <c r="AJ74" s="379">
        <f t="shared" si="39"/>
        <v>0</v>
      </c>
      <c r="AK74" s="379">
        <f t="shared" si="39"/>
        <v>0</v>
      </c>
      <c r="AL74" s="379">
        <f t="shared" si="39"/>
        <v>0</v>
      </c>
      <c r="AM74" s="379">
        <f t="shared" si="39"/>
        <v>0</v>
      </c>
      <c r="AN74" s="379">
        <f t="shared" si="39"/>
        <v>0</v>
      </c>
      <c r="AO74" s="379">
        <f t="shared" si="39"/>
        <v>0</v>
      </c>
      <c r="AP74" s="379">
        <f t="shared" si="39"/>
        <v>0</v>
      </c>
      <c r="AQ74" s="379">
        <f t="shared" si="39"/>
        <v>0</v>
      </c>
      <c r="AR74" s="379">
        <f t="shared" si="39"/>
        <v>0</v>
      </c>
      <c r="AS74" s="379">
        <f t="shared" si="39"/>
        <v>0</v>
      </c>
      <c r="AT74" s="379">
        <f t="shared" si="39"/>
        <v>0</v>
      </c>
      <c r="AU74" s="379">
        <f t="shared" si="39"/>
        <v>0</v>
      </c>
      <c r="AV74" s="379">
        <f t="shared" si="39"/>
        <v>0</v>
      </c>
      <c r="AW74" s="379">
        <f t="shared" si="39"/>
        <v>0</v>
      </c>
      <c r="AX74" s="379">
        <f t="shared" si="39"/>
        <v>0</v>
      </c>
      <c r="AY74" s="379">
        <f t="shared" si="39"/>
        <v>0</v>
      </c>
      <c r="AZ74" s="379">
        <f t="shared" si="39"/>
        <v>0</v>
      </c>
      <c r="BA74" s="379">
        <f t="shared" si="39"/>
        <v>0</v>
      </c>
      <c r="BB74" s="379">
        <f t="shared" si="39"/>
        <v>0</v>
      </c>
      <c r="BC74" s="379">
        <f t="shared" si="39"/>
        <v>0</v>
      </c>
      <c r="BD74" s="379">
        <f t="shared" si="39"/>
        <v>0</v>
      </c>
      <c r="BE74" s="379">
        <f t="shared" si="39"/>
        <v>0</v>
      </c>
      <c r="BF74" s="379">
        <f t="shared" si="39"/>
        <v>0</v>
      </c>
      <c r="BG74" s="379">
        <f t="shared" si="39"/>
        <v>0</v>
      </c>
      <c r="BH74" s="379">
        <f t="shared" si="39"/>
        <v>0</v>
      </c>
      <c r="BI74" s="379">
        <f t="shared" si="39"/>
        <v>0</v>
      </c>
      <c r="BJ74" s="379">
        <f t="shared" si="39"/>
        <v>0</v>
      </c>
      <c r="BK74" s="379">
        <f t="shared" si="39"/>
        <v>0</v>
      </c>
      <c r="BL74" s="379">
        <f t="shared" si="39"/>
        <v>0</v>
      </c>
      <c r="BM74" s="379">
        <f t="shared" si="39"/>
        <v>0</v>
      </c>
      <c r="BN74" s="379">
        <f t="shared" si="39"/>
        <v>0</v>
      </c>
      <c r="BO74" s="379">
        <f t="shared" si="39"/>
        <v>0</v>
      </c>
      <c r="BP74" s="379">
        <f t="shared" si="39"/>
        <v>0</v>
      </c>
      <c r="BQ74" s="379">
        <f t="shared" si="39"/>
        <v>0</v>
      </c>
      <c r="BR74" s="379">
        <f t="shared" si="39"/>
        <v>0</v>
      </c>
    </row>
    <row r="75" spans="1:70">
      <c r="A75" s="374"/>
      <c r="B75" s="359"/>
      <c r="C75" s="359"/>
      <c r="D75" s="360"/>
      <c r="E75" s="360"/>
      <c r="F75" s="373"/>
      <c r="G75" s="360"/>
      <c r="H75" s="377"/>
      <c r="I75" s="537">
        <f t="shared" ref="I75:I80" si="41">SUM(K75:BR75)</f>
        <v>0</v>
      </c>
      <c r="J75" s="546"/>
      <c r="K75" s="383">
        <f>SUMIFS(FACT!$B:$B,FACT!$A:$A,DETAILS!$B75,FACT!$C:$C,DETAILS!K$4,FACT!$H:$H,DETAILS!$E75)</f>
        <v>0</v>
      </c>
      <c r="L75" s="383">
        <f>SUMIFS(FACT!$B:$B,FACT!$A:$A,DETAILS!$B75,FACT!$C:$C,DETAILS!L$4,FACT!$H:$H,DETAILS!$E75)</f>
        <v>0</v>
      </c>
      <c r="M75" s="383">
        <f>SUMIFS(FACT!$B:$B,FACT!$A:$A,DETAILS!$B75,FACT!$C:$C,DETAILS!M$4,FACT!$H:$H,DETAILS!$E75)</f>
        <v>0</v>
      </c>
      <c r="N75" s="383">
        <f>SUMIFS(FACT!$B:$B,FACT!$A:$A,DETAILS!$B75,FACT!$C:$C,DETAILS!N$4,FACT!$H:$H,DETAILS!$E75)</f>
        <v>0</v>
      </c>
      <c r="O75" s="383">
        <f>SUMIFS(FACT!$B:$B,FACT!$A:$A,DETAILS!$B75,FACT!$C:$C,DETAILS!O$4,FACT!$H:$H,DETAILS!$E75)</f>
        <v>0</v>
      </c>
      <c r="P75" s="383">
        <f>SUMIFS(FACT!$B:$B,FACT!$A:$A,DETAILS!$B75,FACT!$C:$C,DETAILS!P$4,FACT!$H:$H,DETAILS!$E75)</f>
        <v>0</v>
      </c>
      <c r="Q75" s="383">
        <f>SUMIFS(FACT!$B:$B,FACT!$A:$A,DETAILS!$B75,FACT!$C:$C,DETAILS!Q$4,FACT!$H:$H,DETAILS!$E75)</f>
        <v>0</v>
      </c>
      <c r="R75" s="383">
        <f>SUMIFS(FACT!$B:$B,FACT!$A:$A,DETAILS!$B75,FACT!$C:$C,DETAILS!R$4,FACT!$H:$H,DETAILS!$E75)</f>
        <v>0</v>
      </c>
      <c r="S75" s="377"/>
      <c r="T75" s="377"/>
      <c r="U75" s="377"/>
      <c r="V75" s="377"/>
      <c r="W75" s="377"/>
      <c r="X75" s="377"/>
      <c r="Y75" s="377"/>
      <c r="Z75" s="377"/>
      <c r="AA75" s="377"/>
      <c r="AB75" s="377"/>
      <c r="AC75" s="377"/>
      <c r="AD75" s="377"/>
      <c r="AE75" s="377"/>
      <c r="AF75" s="377"/>
      <c r="AG75" s="377"/>
      <c r="AH75" s="377"/>
      <c r="AI75" s="377"/>
      <c r="AJ75" s="377"/>
      <c r="AK75" s="377"/>
      <c r="AL75" s="377"/>
      <c r="AM75" s="377"/>
      <c r="AN75" s="377"/>
      <c r="AO75" s="377"/>
      <c r="AP75" s="377"/>
      <c r="AQ75" s="377"/>
      <c r="AR75" s="377"/>
      <c r="AS75" s="377"/>
      <c r="AT75" s="377"/>
      <c r="AU75" s="377"/>
      <c r="AV75" s="377"/>
      <c r="AW75" s="377"/>
      <c r="AX75" s="377"/>
      <c r="AY75" s="377"/>
      <c r="AZ75" s="377"/>
      <c r="BA75" s="377"/>
      <c r="BB75" s="377"/>
      <c r="BC75" s="377"/>
      <c r="BD75" s="377"/>
      <c r="BE75" s="377"/>
      <c r="BF75" s="377"/>
      <c r="BG75" s="377"/>
      <c r="BH75" s="377"/>
      <c r="BI75" s="377"/>
      <c r="BJ75" s="377"/>
      <c r="BK75" s="377"/>
      <c r="BL75" s="377"/>
      <c r="BM75" s="377"/>
      <c r="BN75" s="377"/>
      <c r="BO75" s="377"/>
      <c r="BP75" s="377"/>
      <c r="BQ75" s="377"/>
      <c r="BR75" s="377"/>
    </row>
    <row r="76" spans="1:70">
      <c r="A76" s="374"/>
      <c r="B76" s="359"/>
      <c r="C76" s="359"/>
      <c r="D76" s="360"/>
      <c r="E76" s="360"/>
      <c r="F76" s="373"/>
      <c r="G76" s="360"/>
      <c r="H76" s="377"/>
      <c r="I76" s="537">
        <f t="shared" ref="I76" si="42">SUM(K76:BR76)</f>
        <v>0</v>
      </c>
      <c r="J76" s="546"/>
      <c r="K76" s="383">
        <f>SUMIFS(FACT!$B:$B,FACT!$A:$A,DETAILS!$B76,FACT!$C:$C,DETAILS!K$4,FACT!$H:$H,DETAILS!$E76)</f>
        <v>0</v>
      </c>
      <c r="L76" s="383">
        <f>SUMIFS(FACT!$B:$B,FACT!$A:$A,DETAILS!$B76,FACT!$C:$C,DETAILS!L$4,FACT!$H:$H,DETAILS!$E76)</f>
        <v>0</v>
      </c>
      <c r="M76" s="383">
        <f>SUMIFS(FACT!$B:$B,FACT!$A:$A,DETAILS!$B76,FACT!$C:$C,DETAILS!M$4,FACT!$H:$H,DETAILS!$E76)</f>
        <v>0</v>
      </c>
      <c r="N76" s="383">
        <f>SUMIFS(FACT!$B:$B,FACT!$A:$A,DETAILS!$B76,FACT!$C:$C,DETAILS!N$4,FACT!$H:$H,DETAILS!$E76)</f>
        <v>0</v>
      </c>
      <c r="O76" s="383">
        <f>SUMIFS(FACT!$B:$B,FACT!$A:$A,DETAILS!$B76,FACT!$C:$C,DETAILS!O$4,FACT!$H:$H,DETAILS!$E76)</f>
        <v>0</v>
      </c>
      <c r="P76" s="383">
        <f>SUMIFS(FACT!$B:$B,FACT!$A:$A,DETAILS!$B76,FACT!$C:$C,DETAILS!P$4,FACT!$H:$H,DETAILS!$E76)</f>
        <v>0</v>
      </c>
      <c r="Q76" s="383">
        <f>SUMIFS(FACT!$B:$B,FACT!$A:$A,DETAILS!$B76,FACT!$C:$C,DETAILS!Q$4,FACT!$H:$H,DETAILS!$E76)</f>
        <v>0</v>
      </c>
      <c r="R76" s="383">
        <f>SUMIFS(FACT!$B:$B,FACT!$A:$A,DETAILS!$B76,FACT!$C:$C,DETAILS!R$4,FACT!$H:$H,DETAILS!$E76)</f>
        <v>0</v>
      </c>
      <c r="S76" s="377"/>
      <c r="T76" s="377"/>
      <c r="U76" s="377"/>
      <c r="V76" s="377"/>
      <c r="W76" s="377"/>
      <c r="X76" s="377"/>
      <c r="Y76" s="377"/>
      <c r="Z76" s="377"/>
      <c r="AA76" s="377"/>
      <c r="AB76" s="377"/>
      <c r="AC76" s="377"/>
      <c r="AD76" s="377"/>
      <c r="AE76" s="377"/>
      <c r="AF76" s="377"/>
      <c r="AG76" s="377"/>
      <c r="AH76" s="377"/>
      <c r="AI76" s="377"/>
      <c r="AJ76" s="377"/>
      <c r="AK76" s="377"/>
      <c r="AL76" s="377"/>
      <c r="AM76" s="377"/>
      <c r="AN76" s="377"/>
      <c r="AO76" s="377"/>
      <c r="AP76" s="377"/>
      <c r="AQ76" s="377"/>
      <c r="AR76" s="377"/>
      <c r="AS76" s="377"/>
      <c r="AT76" s="377"/>
      <c r="AU76" s="377"/>
      <c r="AV76" s="377"/>
      <c r="AW76" s="377"/>
      <c r="AX76" s="377"/>
      <c r="AY76" s="377"/>
      <c r="AZ76" s="377"/>
      <c r="BA76" s="377"/>
      <c r="BB76" s="377"/>
      <c r="BC76" s="377"/>
      <c r="BD76" s="377"/>
      <c r="BE76" s="377"/>
      <c r="BF76" s="377"/>
      <c r="BG76" s="377"/>
      <c r="BH76" s="377"/>
      <c r="BI76" s="377"/>
      <c r="BJ76" s="377"/>
      <c r="BK76" s="377"/>
      <c r="BL76" s="377"/>
      <c r="BM76" s="377"/>
      <c r="BN76" s="377"/>
      <c r="BO76" s="377"/>
      <c r="BP76" s="377"/>
      <c r="BQ76" s="377"/>
      <c r="BR76" s="377"/>
    </row>
    <row r="77" spans="1:70">
      <c r="A77" s="374"/>
      <c r="B77" s="359"/>
      <c r="C77" s="359"/>
      <c r="D77" s="360"/>
      <c r="E77" s="360"/>
      <c r="F77" s="373"/>
      <c r="G77" s="360"/>
      <c r="H77" s="377"/>
      <c r="I77" s="537">
        <f t="shared" ref="I77" si="43">SUM(K77:BR77)</f>
        <v>0</v>
      </c>
      <c r="J77" s="546"/>
      <c r="K77" s="383">
        <f>SUMIFS(FACT!$B:$B,FACT!$A:$A,DETAILS!$B77,FACT!$C:$C,DETAILS!K$4,FACT!$H:$H,DETAILS!$E77)</f>
        <v>0</v>
      </c>
      <c r="L77" s="383">
        <f>SUMIFS(FACT!$B:$B,FACT!$A:$A,DETAILS!$B77,FACT!$C:$C,DETAILS!L$4,FACT!$H:$H,DETAILS!$E77)</f>
        <v>0</v>
      </c>
      <c r="M77" s="383">
        <f>SUMIFS(FACT!$B:$B,FACT!$A:$A,DETAILS!$B77,FACT!$C:$C,DETAILS!M$4,FACT!$H:$H,DETAILS!$E77)</f>
        <v>0</v>
      </c>
      <c r="N77" s="383">
        <f>SUMIFS(FACT!$B:$B,FACT!$A:$A,DETAILS!$B77,FACT!$C:$C,DETAILS!N$4,FACT!$H:$H,DETAILS!$E77)</f>
        <v>0</v>
      </c>
      <c r="O77" s="383">
        <f>SUMIFS(FACT!$B:$B,FACT!$A:$A,DETAILS!$B77,FACT!$C:$C,DETAILS!O$4,FACT!$H:$H,DETAILS!$E77)</f>
        <v>0</v>
      </c>
      <c r="P77" s="383">
        <f>SUMIFS(FACT!$B:$B,FACT!$A:$A,DETAILS!$B77,FACT!$C:$C,DETAILS!P$4,FACT!$H:$H,DETAILS!$E77)</f>
        <v>0</v>
      </c>
      <c r="Q77" s="383">
        <f>SUMIFS(FACT!$B:$B,FACT!$A:$A,DETAILS!$B77,FACT!$C:$C,DETAILS!Q$4,FACT!$H:$H,DETAILS!$E77)</f>
        <v>0</v>
      </c>
      <c r="R77" s="383">
        <f>SUMIFS(FACT!$B:$B,FACT!$A:$A,DETAILS!$B77,FACT!$C:$C,DETAILS!R$4,FACT!$H:$H,DETAILS!$E77)</f>
        <v>0</v>
      </c>
      <c r="S77" s="377"/>
      <c r="T77" s="377"/>
      <c r="U77" s="377"/>
      <c r="V77" s="377"/>
      <c r="W77" s="377"/>
      <c r="X77" s="377"/>
      <c r="Y77" s="377"/>
      <c r="Z77" s="377"/>
      <c r="AA77" s="377"/>
      <c r="AB77" s="377"/>
      <c r="AC77" s="377"/>
      <c r="AD77" s="377"/>
      <c r="AE77" s="377"/>
      <c r="AF77" s="377"/>
      <c r="AG77" s="377"/>
      <c r="AH77" s="377"/>
      <c r="AI77" s="377"/>
      <c r="AJ77" s="377"/>
      <c r="AK77" s="377"/>
      <c r="AL77" s="377"/>
      <c r="AM77" s="377"/>
      <c r="AN77" s="377"/>
      <c r="AO77" s="377"/>
      <c r="AP77" s="377"/>
      <c r="AQ77" s="377"/>
      <c r="AR77" s="377"/>
      <c r="AS77" s="377"/>
      <c r="AT77" s="377"/>
      <c r="AU77" s="377"/>
      <c r="AV77" s="377"/>
      <c r="AW77" s="377"/>
      <c r="AX77" s="377"/>
      <c r="AY77" s="377"/>
      <c r="AZ77" s="377"/>
      <c r="BA77" s="377"/>
      <c r="BB77" s="377"/>
      <c r="BC77" s="377"/>
      <c r="BD77" s="377"/>
      <c r="BE77" s="377"/>
      <c r="BF77" s="377"/>
      <c r="BG77" s="377"/>
      <c r="BH77" s="377"/>
      <c r="BI77" s="377"/>
      <c r="BJ77" s="377"/>
      <c r="BK77" s="377"/>
      <c r="BL77" s="377"/>
      <c r="BM77" s="377"/>
      <c r="BN77" s="377"/>
      <c r="BO77" s="377"/>
      <c r="BP77" s="377"/>
      <c r="BQ77" s="377"/>
      <c r="BR77" s="377"/>
    </row>
    <row r="78" spans="1:70">
      <c r="A78" s="374"/>
      <c r="B78" s="359"/>
      <c r="C78" s="359"/>
      <c r="D78" s="360"/>
      <c r="E78" s="360"/>
      <c r="F78" s="373"/>
      <c r="G78" s="360"/>
      <c r="H78" s="377"/>
      <c r="I78" s="537">
        <f t="shared" si="41"/>
        <v>0</v>
      </c>
      <c r="J78" s="546"/>
      <c r="K78" s="383"/>
      <c r="L78" s="383"/>
      <c r="M78" s="383"/>
      <c r="N78" s="383"/>
      <c r="O78" s="383"/>
      <c r="P78" s="383"/>
      <c r="Q78" s="383"/>
      <c r="R78" s="383"/>
      <c r="S78" s="377"/>
      <c r="T78" s="377"/>
      <c r="U78" s="377"/>
      <c r="V78" s="377"/>
      <c r="W78" s="377"/>
      <c r="X78" s="377"/>
      <c r="Y78" s="377"/>
      <c r="Z78" s="377"/>
      <c r="AA78" s="377"/>
      <c r="AB78" s="377"/>
      <c r="AC78" s="377"/>
      <c r="AD78" s="377"/>
      <c r="AE78" s="377"/>
      <c r="AF78" s="377"/>
      <c r="AG78" s="377"/>
      <c r="AH78" s="377"/>
      <c r="AI78" s="377"/>
      <c r="AJ78" s="377"/>
      <c r="AK78" s="377"/>
      <c r="AL78" s="377"/>
      <c r="AM78" s="377"/>
      <c r="AN78" s="377"/>
      <c r="AO78" s="377"/>
      <c r="AP78" s="377"/>
      <c r="AQ78" s="377"/>
      <c r="AR78" s="377"/>
      <c r="AS78" s="377"/>
      <c r="AT78" s="377"/>
      <c r="AU78" s="377"/>
      <c r="AV78" s="377"/>
      <c r="AW78" s="377"/>
      <c r="AX78" s="377"/>
      <c r="AY78" s="377"/>
      <c r="AZ78" s="377"/>
      <c r="BA78" s="377"/>
      <c r="BB78" s="377"/>
      <c r="BC78" s="377"/>
      <c r="BD78" s="377"/>
      <c r="BE78" s="377"/>
      <c r="BF78" s="377"/>
      <c r="BG78" s="377"/>
      <c r="BH78" s="377"/>
      <c r="BI78" s="377"/>
      <c r="BJ78" s="377"/>
      <c r="BK78" s="377"/>
      <c r="BL78" s="377"/>
      <c r="BM78" s="377"/>
      <c r="BN78" s="377"/>
      <c r="BO78" s="377"/>
      <c r="BP78" s="377"/>
      <c r="BQ78" s="377"/>
      <c r="BR78" s="377"/>
    </row>
    <row r="79" spans="1:70">
      <c r="A79" s="374">
        <f t="shared" si="1"/>
        <v>0</v>
      </c>
      <c r="B79" s="359"/>
      <c r="C79" s="359"/>
      <c r="D79" s="360"/>
      <c r="E79" s="360"/>
      <c r="F79" s="373"/>
      <c r="G79" s="360"/>
      <c r="H79" s="377"/>
      <c r="I79" s="537">
        <f t="shared" si="41"/>
        <v>0</v>
      </c>
      <c r="J79" s="546"/>
      <c r="K79" s="383"/>
      <c r="L79" s="383"/>
      <c r="M79" s="383"/>
      <c r="N79" s="383"/>
      <c r="O79" s="383"/>
      <c r="P79" s="383"/>
      <c r="Q79" s="383"/>
      <c r="R79" s="383"/>
      <c r="S79" s="377"/>
      <c r="T79" s="377"/>
      <c r="U79" s="377"/>
      <c r="V79" s="377"/>
      <c r="W79" s="377"/>
      <c r="X79" s="377"/>
      <c r="Y79" s="377"/>
      <c r="Z79" s="377"/>
      <c r="AA79" s="377"/>
      <c r="AB79" s="377"/>
      <c r="AC79" s="377"/>
      <c r="AD79" s="377"/>
      <c r="AE79" s="377"/>
      <c r="AF79" s="377"/>
      <c r="AG79" s="377"/>
      <c r="AH79" s="377"/>
      <c r="AI79" s="377"/>
      <c r="AJ79" s="377"/>
      <c r="AK79" s="377"/>
      <c r="AL79" s="377"/>
      <c r="AM79" s="377"/>
      <c r="AN79" s="377"/>
      <c r="AO79" s="377"/>
      <c r="AP79" s="377"/>
      <c r="AQ79" s="377"/>
      <c r="AR79" s="377"/>
      <c r="AS79" s="377"/>
      <c r="AT79" s="377"/>
      <c r="AU79" s="377"/>
      <c r="AV79" s="377"/>
      <c r="AW79" s="377"/>
      <c r="AX79" s="377"/>
      <c r="AY79" s="377"/>
      <c r="AZ79" s="377"/>
      <c r="BA79" s="377"/>
      <c r="BB79" s="377"/>
      <c r="BC79" s="377"/>
      <c r="BD79" s="377"/>
      <c r="BE79" s="377"/>
      <c r="BF79" s="377"/>
      <c r="BG79" s="377"/>
      <c r="BH79" s="377"/>
      <c r="BI79" s="377"/>
      <c r="BJ79" s="377"/>
      <c r="BK79" s="377"/>
      <c r="BL79" s="377"/>
      <c r="BM79" s="377"/>
      <c r="BN79" s="377"/>
      <c r="BO79" s="377"/>
      <c r="BP79" s="377"/>
      <c r="BQ79" s="377"/>
      <c r="BR79" s="377"/>
    </row>
    <row r="80" spans="1:70">
      <c r="A80" s="374">
        <f t="shared" si="1"/>
        <v>0</v>
      </c>
      <c r="B80" s="359"/>
      <c r="C80" s="359"/>
      <c r="D80" s="360"/>
      <c r="E80" s="360"/>
      <c r="F80" s="373"/>
      <c r="G80" s="360"/>
      <c r="H80" s="377"/>
      <c r="I80" s="537">
        <f t="shared" si="41"/>
        <v>0</v>
      </c>
      <c r="J80" s="546"/>
      <c r="K80" s="383"/>
      <c r="L80" s="383"/>
      <c r="M80" s="383"/>
      <c r="N80" s="383"/>
      <c r="O80" s="383"/>
      <c r="P80" s="383"/>
      <c r="Q80" s="383"/>
      <c r="R80" s="383"/>
      <c r="S80" s="377"/>
      <c r="T80" s="377"/>
      <c r="U80" s="377"/>
      <c r="V80" s="377"/>
      <c r="W80" s="377"/>
      <c r="X80" s="377"/>
      <c r="Y80" s="377"/>
      <c r="Z80" s="377"/>
      <c r="AA80" s="377"/>
      <c r="AB80" s="377"/>
      <c r="AC80" s="377"/>
      <c r="AD80" s="377"/>
      <c r="AE80" s="377"/>
      <c r="AF80" s="377"/>
      <c r="AG80" s="377"/>
      <c r="AH80" s="377"/>
      <c r="AI80" s="377"/>
      <c r="AJ80" s="377"/>
      <c r="AK80" s="377"/>
      <c r="AL80" s="377"/>
      <c r="AM80" s="377"/>
      <c r="AN80" s="377"/>
      <c r="AO80" s="377"/>
      <c r="AP80" s="377"/>
      <c r="AQ80" s="377"/>
      <c r="AR80" s="377"/>
      <c r="AS80" s="377"/>
      <c r="AT80" s="377"/>
      <c r="AU80" s="377"/>
      <c r="AV80" s="377"/>
      <c r="AW80" s="377"/>
      <c r="AX80" s="377"/>
      <c r="AY80" s="377"/>
      <c r="AZ80" s="377"/>
      <c r="BA80" s="377"/>
      <c r="BB80" s="377"/>
      <c r="BC80" s="377"/>
      <c r="BD80" s="377"/>
      <c r="BE80" s="377"/>
      <c r="BF80" s="377"/>
      <c r="BG80" s="377"/>
      <c r="BH80" s="377"/>
      <c r="BI80" s="377"/>
      <c r="BJ80" s="377"/>
      <c r="BK80" s="377"/>
      <c r="BL80" s="377"/>
      <c r="BM80" s="377"/>
      <c r="BN80" s="377"/>
      <c r="BO80" s="377"/>
      <c r="BP80" s="377"/>
      <c r="BQ80" s="377"/>
      <c r="BR80" s="377"/>
    </row>
    <row r="81" spans="1:70" s="353" customFormat="1">
      <c r="A81" s="374">
        <f t="shared" si="1"/>
        <v>0</v>
      </c>
      <c r="B81" s="365">
        <v>4600</v>
      </c>
      <c r="C81" s="365"/>
      <c r="D81" s="366" t="s">
        <v>421</v>
      </c>
      <c r="E81" s="366"/>
      <c r="F81" s="366"/>
      <c r="G81" s="366"/>
      <c r="H81" s="379">
        <f>SUM(H82:H88)</f>
        <v>0</v>
      </c>
      <c r="I81" s="540">
        <f t="shared" ref="I81:BR81" si="44">SUM(I82:I88)</f>
        <v>-8000000</v>
      </c>
      <c r="J81" s="549">
        <f t="shared" si="44"/>
        <v>0</v>
      </c>
      <c r="K81" s="379">
        <f>SUM(K82:K88)</f>
        <v>0</v>
      </c>
      <c r="L81" s="379">
        <f t="shared" si="44"/>
        <v>0</v>
      </c>
      <c r="M81" s="379">
        <f t="shared" si="44"/>
        <v>0</v>
      </c>
      <c r="N81" s="379">
        <f t="shared" ref="N81:R81" si="45">SUM(N82:N88)</f>
        <v>0</v>
      </c>
      <c r="O81" s="379">
        <f t="shared" si="45"/>
        <v>0</v>
      </c>
      <c r="P81" s="379">
        <f t="shared" si="45"/>
        <v>0</v>
      </c>
      <c r="Q81" s="379">
        <f t="shared" si="45"/>
        <v>0</v>
      </c>
      <c r="R81" s="379">
        <f t="shared" si="45"/>
        <v>0</v>
      </c>
      <c r="S81" s="379">
        <f t="shared" si="44"/>
        <v>0</v>
      </c>
      <c r="T81" s="379">
        <f t="shared" si="44"/>
        <v>-4000000</v>
      </c>
      <c r="U81" s="379">
        <f t="shared" si="44"/>
        <v>-4000000</v>
      </c>
      <c r="V81" s="379">
        <f t="shared" si="44"/>
        <v>0</v>
      </c>
      <c r="W81" s="379">
        <f t="shared" si="44"/>
        <v>0</v>
      </c>
      <c r="X81" s="379">
        <f t="shared" si="44"/>
        <v>0</v>
      </c>
      <c r="Y81" s="379">
        <f t="shared" si="44"/>
        <v>0</v>
      </c>
      <c r="Z81" s="379">
        <f t="shared" si="44"/>
        <v>0</v>
      </c>
      <c r="AA81" s="379">
        <f t="shared" si="44"/>
        <v>0</v>
      </c>
      <c r="AB81" s="379">
        <f t="shared" si="44"/>
        <v>0</v>
      </c>
      <c r="AC81" s="379">
        <f t="shared" si="44"/>
        <v>0</v>
      </c>
      <c r="AD81" s="379">
        <f t="shared" si="44"/>
        <v>0</v>
      </c>
      <c r="AE81" s="379">
        <f t="shared" si="44"/>
        <v>0</v>
      </c>
      <c r="AF81" s="379">
        <f t="shared" si="44"/>
        <v>0</v>
      </c>
      <c r="AG81" s="379">
        <f t="shared" si="44"/>
        <v>0</v>
      </c>
      <c r="AH81" s="379">
        <f t="shared" si="44"/>
        <v>0</v>
      </c>
      <c r="AI81" s="379">
        <f t="shared" si="44"/>
        <v>0</v>
      </c>
      <c r="AJ81" s="379">
        <f t="shared" si="44"/>
        <v>0</v>
      </c>
      <c r="AK81" s="379">
        <f t="shared" si="44"/>
        <v>0</v>
      </c>
      <c r="AL81" s="379">
        <f t="shared" si="44"/>
        <v>0</v>
      </c>
      <c r="AM81" s="379">
        <f t="shared" si="44"/>
        <v>0</v>
      </c>
      <c r="AN81" s="379">
        <f t="shared" si="44"/>
        <v>0</v>
      </c>
      <c r="AO81" s="379">
        <f t="shared" si="44"/>
        <v>0</v>
      </c>
      <c r="AP81" s="379">
        <f t="shared" si="44"/>
        <v>0</v>
      </c>
      <c r="AQ81" s="379">
        <f t="shared" si="44"/>
        <v>0</v>
      </c>
      <c r="AR81" s="379">
        <f t="shared" si="44"/>
        <v>0</v>
      </c>
      <c r="AS81" s="379">
        <f t="shared" si="44"/>
        <v>0</v>
      </c>
      <c r="AT81" s="379">
        <f t="shared" si="44"/>
        <v>0</v>
      </c>
      <c r="AU81" s="379">
        <f t="shared" si="44"/>
        <v>0</v>
      </c>
      <c r="AV81" s="379">
        <f t="shared" si="44"/>
        <v>0</v>
      </c>
      <c r="AW81" s="379">
        <f t="shared" si="44"/>
        <v>0</v>
      </c>
      <c r="AX81" s="379">
        <f t="shared" si="44"/>
        <v>0</v>
      </c>
      <c r="AY81" s="379">
        <f t="shared" si="44"/>
        <v>0</v>
      </c>
      <c r="AZ81" s="379">
        <f t="shared" si="44"/>
        <v>0</v>
      </c>
      <c r="BA81" s="379">
        <f t="shared" si="44"/>
        <v>0</v>
      </c>
      <c r="BB81" s="379">
        <f t="shared" si="44"/>
        <v>0</v>
      </c>
      <c r="BC81" s="379">
        <f t="shared" si="44"/>
        <v>0</v>
      </c>
      <c r="BD81" s="379">
        <f t="shared" si="44"/>
        <v>0</v>
      </c>
      <c r="BE81" s="379">
        <f t="shared" si="44"/>
        <v>0</v>
      </c>
      <c r="BF81" s="379">
        <f t="shared" si="44"/>
        <v>0</v>
      </c>
      <c r="BG81" s="379">
        <f t="shared" si="44"/>
        <v>0</v>
      </c>
      <c r="BH81" s="379">
        <f t="shared" si="44"/>
        <v>0</v>
      </c>
      <c r="BI81" s="379">
        <f t="shared" si="44"/>
        <v>0</v>
      </c>
      <c r="BJ81" s="379">
        <f t="shared" si="44"/>
        <v>0</v>
      </c>
      <c r="BK81" s="379">
        <f t="shared" si="44"/>
        <v>0</v>
      </c>
      <c r="BL81" s="379">
        <f t="shared" si="44"/>
        <v>0</v>
      </c>
      <c r="BM81" s="379">
        <f t="shared" si="44"/>
        <v>0</v>
      </c>
      <c r="BN81" s="379">
        <f t="shared" si="44"/>
        <v>0</v>
      </c>
      <c r="BO81" s="379">
        <f t="shared" si="44"/>
        <v>0</v>
      </c>
      <c r="BP81" s="379">
        <f t="shared" si="44"/>
        <v>0</v>
      </c>
      <c r="BQ81" s="379">
        <f t="shared" si="44"/>
        <v>0</v>
      </c>
      <c r="BR81" s="379">
        <f t="shared" si="44"/>
        <v>0</v>
      </c>
    </row>
    <row r="82" spans="1:70">
      <c r="A82" s="374">
        <f t="shared" si="1"/>
        <v>0</v>
      </c>
      <c r="B82" s="359"/>
      <c r="C82" s="359"/>
      <c r="D82" s="360"/>
      <c r="E82" s="360"/>
      <c r="F82" s="373"/>
      <c r="G82" s="360"/>
      <c r="H82" s="377"/>
      <c r="I82" s="537"/>
      <c r="J82" s="546"/>
      <c r="K82" s="383"/>
      <c r="L82" s="383"/>
      <c r="M82" s="383"/>
      <c r="N82" s="383"/>
      <c r="O82" s="383"/>
      <c r="P82" s="383"/>
      <c r="Q82" s="383"/>
      <c r="R82" s="383"/>
      <c r="S82" s="377"/>
      <c r="T82" s="377"/>
      <c r="U82" s="377"/>
      <c r="V82" s="377"/>
      <c r="W82" s="377"/>
      <c r="X82" s="377"/>
      <c r="Y82" s="377"/>
      <c r="Z82" s="377"/>
      <c r="AA82" s="377"/>
      <c r="AB82" s="377"/>
      <c r="AC82" s="377"/>
      <c r="AD82" s="377"/>
      <c r="AE82" s="377"/>
      <c r="AF82" s="377"/>
      <c r="AG82" s="377"/>
      <c r="AH82" s="377"/>
      <c r="AI82" s="377"/>
      <c r="AJ82" s="377"/>
      <c r="AK82" s="377"/>
      <c r="AL82" s="377"/>
      <c r="AM82" s="377"/>
      <c r="AN82" s="377"/>
      <c r="AO82" s="377"/>
      <c r="AP82" s="377"/>
      <c r="AQ82" s="377"/>
      <c r="AR82" s="377"/>
      <c r="AS82" s="377"/>
      <c r="AT82" s="377"/>
      <c r="AU82" s="377"/>
      <c r="AV82" s="377"/>
      <c r="AW82" s="377"/>
      <c r="AX82" s="377"/>
      <c r="AY82" s="377"/>
      <c r="AZ82" s="377"/>
      <c r="BA82" s="377"/>
      <c r="BB82" s="377"/>
      <c r="BC82" s="377"/>
      <c r="BD82" s="377"/>
      <c r="BE82" s="377"/>
      <c r="BF82" s="377"/>
      <c r="BG82" s="377"/>
      <c r="BH82" s="377"/>
      <c r="BI82" s="377"/>
      <c r="BJ82" s="377"/>
      <c r="BK82" s="377"/>
      <c r="BL82" s="377"/>
      <c r="BM82" s="377"/>
      <c r="BN82" s="377"/>
      <c r="BO82" s="377"/>
      <c r="BP82" s="377"/>
      <c r="BQ82" s="377"/>
      <c r="BR82" s="377"/>
    </row>
    <row r="83" spans="1:70">
      <c r="A83" s="374">
        <f t="shared" si="1"/>
        <v>0</v>
      </c>
      <c r="B83" s="359"/>
      <c r="C83" s="359">
        <v>1</v>
      </c>
      <c r="D83" s="360" t="s">
        <v>1097</v>
      </c>
      <c r="E83" s="360" t="s">
        <v>492</v>
      </c>
      <c r="F83" s="360" t="s">
        <v>454</v>
      </c>
      <c r="G83" s="360"/>
      <c r="H83" s="377"/>
      <c r="I83" s="537">
        <f>SUM(K83:BR83)</f>
        <v>-8000000</v>
      </c>
      <c r="J83" s="546"/>
      <c r="K83" s="383"/>
      <c r="L83" s="383"/>
      <c r="M83" s="383"/>
      <c r="N83" s="383"/>
      <c r="O83" s="383"/>
      <c r="P83" s="383"/>
      <c r="Q83" s="383"/>
      <c r="R83" s="383"/>
      <c r="S83" s="377"/>
      <c r="T83" s="377">
        <v>-4000000</v>
      </c>
      <c r="U83" s="377">
        <v>-4000000</v>
      </c>
      <c r="V83" s="377"/>
      <c r="W83" s="377"/>
      <c r="X83" s="377"/>
      <c r="Y83" s="377"/>
      <c r="Z83" s="377"/>
      <c r="AA83" s="377"/>
      <c r="AB83" s="377"/>
      <c r="AC83" s="377"/>
      <c r="AD83" s="377"/>
      <c r="AE83" s="377"/>
      <c r="AF83" s="377"/>
      <c r="AG83" s="377"/>
      <c r="AH83" s="377"/>
      <c r="AI83" s="377"/>
      <c r="AJ83" s="377"/>
      <c r="AK83" s="377"/>
      <c r="AL83" s="377"/>
      <c r="AM83" s="377"/>
      <c r="AN83" s="377"/>
      <c r="AO83" s="377"/>
      <c r="AP83" s="377"/>
      <c r="AQ83" s="377"/>
      <c r="AR83" s="377"/>
      <c r="AS83" s="377"/>
      <c r="AT83" s="377"/>
      <c r="AU83" s="377"/>
      <c r="AV83" s="377"/>
      <c r="AW83" s="377"/>
      <c r="AX83" s="377"/>
      <c r="AY83" s="377"/>
      <c r="AZ83" s="377"/>
      <c r="BA83" s="377"/>
      <c r="BB83" s="377"/>
      <c r="BC83" s="377"/>
      <c r="BD83" s="377"/>
      <c r="BE83" s="377"/>
      <c r="BF83" s="377"/>
      <c r="BG83" s="377"/>
      <c r="BH83" s="377"/>
      <c r="BI83" s="377"/>
      <c r="BJ83" s="377"/>
      <c r="BK83" s="377"/>
      <c r="BL83" s="377"/>
      <c r="BM83" s="377"/>
      <c r="BN83" s="377"/>
      <c r="BO83" s="377"/>
      <c r="BP83" s="377"/>
      <c r="BQ83" s="377"/>
      <c r="BR83" s="377"/>
    </row>
    <row r="84" spans="1:70">
      <c r="A84" s="374"/>
      <c r="B84" s="359"/>
      <c r="C84" s="359">
        <v>1</v>
      </c>
      <c r="D84" s="360" t="s">
        <v>1098</v>
      </c>
      <c r="E84" s="360" t="s">
        <v>492</v>
      </c>
      <c r="F84" s="373" t="s">
        <v>454</v>
      </c>
      <c r="G84" s="360">
        <v>-500</v>
      </c>
      <c r="H84" s="377"/>
      <c r="I84" s="537"/>
      <c r="J84" s="546"/>
      <c r="K84" s="383"/>
      <c r="L84" s="383"/>
      <c r="M84" s="383"/>
      <c r="N84" s="383"/>
      <c r="O84" s="383"/>
      <c r="P84" s="383"/>
      <c r="Q84" s="383"/>
      <c r="R84" s="383"/>
      <c r="S84" s="377"/>
      <c r="T84" s="377"/>
      <c r="U84" s="377"/>
      <c r="V84" s="377"/>
      <c r="W84" s="377"/>
      <c r="X84" s="377"/>
      <c r="Y84" s="377"/>
      <c r="Z84" s="377"/>
      <c r="AA84" s="377"/>
      <c r="AB84" s="377"/>
      <c r="AC84" s="377"/>
      <c r="AD84" s="377"/>
      <c r="AE84" s="377"/>
      <c r="AF84" s="377"/>
      <c r="AG84" s="377"/>
      <c r="AH84" s="377"/>
      <c r="AI84" s="377"/>
      <c r="AJ84" s="377"/>
      <c r="AK84" s="377"/>
      <c r="AL84" s="377"/>
      <c r="AM84" s="377"/>
      <c r="AN84" s="377"/>
      <c r="AO84" s="377"/>
      <c r="AP84" s="377"/>
      <c r="AQ84" s="377"/>
      <c r="AR84" s="377"/>
      <c r="AS84" s="377"/>
      <c r="AT84" s="377"/>
      <c r="AU84" s="377"/>
      <c r="AV84" s="377"/>
      <c r="AW84" s="377"/>
      <c r="AX84" s="377"/>
      <c r="AY84" s="377"/>
      <c r="AZ84" s="377"/>
      <c r="BA84" s="377"/>
      <c r="BB84" s="377"/>
      <c r="BC84" s="377"/>
      <c r="BD84" s="377"/>
      <c r="BE84" s="377"/>
      <c r="BF84" s="377"/>
      <c r="BG84" s="377"/>
      <c r="BH84" s="377"/>
      <c r="BI84" s="377"/>
      <c r="BJ84" s="377"/>
      <c r="BK84" s="377"/>
      <c r="BL84" s="377"/>
      <c r="BM84" s="377"/>
      <c r="BN84" s="377"/>
      <c r="BO84" s="377"/>
      <c r="BP84" s="377"/>
      <c r="BQ84" s="377"/>
      <c r="BR84" s="377"/>
    </row>
    <row r="85" spans="1:70">
      <c r="A85" s="374"/>
      <c r="B85" s="359"/>
      <c r="C85" s="359">
        <v>2</v>
      </c>
      <c r="D85" s="360" t="s">
        <v>1098</v>
      </c>
      <c r="E85" s="360" t="s">
        <v>492</v>
      </c>
      <c r="F85" s="373" t="s">
        <v>454</v>
      </c>
      <c r="G85" s="360">
        <v>-500</v>
      </c>
      <c r="H85" s="377"/>
      <c r="I85" s="537"/>
      <c r="J85" s="546"/>
      <c r="K85" s="383"/>
      <c r="L85" s="383"/>
      <c r="M85" s="383"/>
      <c r="N85" s="383"/>
      <c r="O85" s="383"/>
      <c r="P85" s="383"/>
      <c r="Q85" s="383"/>
      <c r="R85" s="383"/>
      <c r="S85" s="377"/>
      <c r="T85" s="377"/>
      <c r="U85" s="377"/>
      <c r="V85" s="377"/>
      <c r="W85" s="377"/>
      <c r="X85" s="377"/>
      <c r="Y85" s="377"/>
      <c r="Z85" s="377"/>
      <c r="AA85" s="377"/>
      <c r="AB85" s="377"/>
      <c r="AC85" s="377"/>
      <c r="AD85" s="377"/>
      <c r="AE85" s="377"/>
      <c r="AF85" s="377"/>
      <c r="AG85" s="377"/>
      <c r="AH85" s="377"/>
      <c r="AI85" s="377"/>
      <c r="AJ85" s="377"/>
      <c r="AK85" s="377"/>
      <c r="AL85" s="377"/>
      <c r="AM85" s="377"/>
      <c r="AN85" s="377"/>
      <c r="AO85" s="377"/>
      <c r="AP85" s="377"/>
      <c r="AQ85" s="377"/>
      <c r="AR85" s="377"/>
      <c r="AS85" s="377"/>
      <c r="AT85" s="377"/>
      <c r="AU85" s="377"/>
      <c r="AV85" s="377"/>
      <c r="AW85" s="377"/>
      <c r="AX85" s="377"/>
      <c r="AY85" s="377"/>
      <c r="AZ85" s="377"/>
      <c r="BA85" s="377"/>
      <c r="BB85" s="377"/>
      <c r="BC85" s="377"/>
      <c r="BD85" s="377"/>
      <c r="BE85" s="377"/>
      <c r="BF85" s="377"/>
      <c r="BG85" s="377"/>
      <c r="BH85" s="377"/>
      <c r="BI85" s="377"/>
      <c r="BJ85" s="377"/>
      <c r="BK85" s="377"/>
      <c r="BL85" s="377"/>
      <c r="BM85" s="377"/>
      <c r="BN85" s="377"/>
      <c r="BO85" s="377"/>
      <c r="BP85" s="377"/>
      <c r="BQ85" s="377"/>
      <c r="BR85" s="377"/>
    </row>
    <row r="86" spans="1:70">
      <c r="A86" s="374"/>
      <c r="B86" s="359"/>
      <c r="C86" s="359"/>
      <c r="D86" s="360"/>
      <c r="E86" s="360"/>
      <c r="F86" s="373"/>
      <c r="G86" s="360"/>
      <c r="H86" s="377"/>
      <c r="I86" s="537"/>
      <c r="J86" s="546"/>
      <c r="K86" s="383"/>
      <c r="L86" s="383"/>
      <c r="M86" s="383"/>
      <c r="N86" s="383"/>
      <c r="O86" s="383"/>
      <c r="P86" s="383"/>
      <c r="Q86" s="383"/>
      <c r="R86" s="383"/>
      <c r="S86" s="377"/>
      <c r="T86" s="377"/>
      <c r="U86" s="377"/>
      <c r="V86" s="377"/>
      <c r="W86" s="377"/>
      <c r="X86" s="377"/>
      <c r="Y86" s="377"/>
      <c r="Z86" s="377"/>
      <c r="AA86" s="377"/>
      <c r="AB86" s="377"/>
      <c r="AC86" s="377"/>
      <c r="AD86" s="377"/>
      <c r="AE86" s="377"/>
      <c r="AF86" s="377"/>
      <c r="AG86" s="377"/>
      <c r="AH86" s="377"/>
      <c r="AI86" s="377"/>
      <c r="AJ86" s="377"/>
      <c r="AK86" s="377"/>
      <c r="AL86" s="377"/>
      <c r="AM86" s="377"/>
      <c r="AN86" s="377"/>
      <c r="AO86" s="377"/>
      <c r="AP86" s="377"/>
      <c r="AQ86" s="377"/>
      <c r="AR86" s="377"/>
      <c r="AS86" s="377"/>
      <c r="AT86" s="377"/>
      <c r="AU86" s="377"/>
      <c r="AV86" s="377"/>
      <c r="AW86" s="377"/>
      <c r="AX86" s="377"/>
      <c r="AY86" s="377"/>
      <c r="AZ86" s="377"/>
      <c r="BA86" s="377"/>
      <c r="BB86" s="377"/>
      <c r="BC86" s="377"/>
      <c r="BD86" s="377"/>
      <c r="BE86" s="377"/>
      <c r="BF86" s="377"/>
      <c r="BG86" s="377"/>
      <c r="BH86" s="377"/>
      <c r="BI86" s="377"/>
      <c r="BJ86" s="377"/>
      <c r="BK86" s="377"/>
      <c r="BL86" s="377"/>
      <c r="BM86" s="377"/>
      <c r="BN86" s="377"/>
      <c r="BO86" s="377"/>
      <c r="BP86" s="377"/>
      <c r="BQ86" s="377"/>
      <c r="BR86" s="377"/>
    </row>
    <row r="87" spans="1:70">
      <c r="A87" s="374"/>
      <c r="B87" s="359"/>
      <c r="C87" s="359"/>
      <c r="D87" s="360"/>
      <c r="E87" s="360"/>
      <c r="F87" s="373"/>
      <c r="G87" s="360"/>
      <c r="H87" s="377"/>
      <c r="I87" s="537">
        <f t="shared" ref="I87:I88" si="46">SUM(K87:BR87)</f>
        <v>0</v>
      </c>
      <c r="J87" s="546"/>
      <c r="K87" s="383"/>
      <c r="L87" s="383"/>
      <c r="M87" s="383"/>
      <c r="N87" s="383"/>
      <c r="O87" s="383"/>
      <c r="P87" s="383"/>
      <c r="Q87" s="383"/>
      <c r="R87" s="383"/>
      <c r="S87" s="377"/>
      <c r="T87" s="377"/>
      <c r="U87" s="377"/>
      <c r="V87" s="377"/>
      <c r="W87" s="377"/>
      <c r="X87" s="377"/>
      <c r="Y87" s="377"/>
      <c r="Z87" s="377"/>
      <c r="AA87" s="377"/>
      <c r="AB87" s="377"/>
      <c r="AC87" s="377"/>
      <c r="AD87" s="377"/>
      <c r="AE87" s="377"/>
      <c r="AF87" s="377"/>
      <c r="AG87" s="377"/>
      <c r="AH87" s="377"/>
      <c r="AI87" s="377"/>
      <c r="AJ87" s="377"/>
      <c r="AK87" s="377"/>
      <c r="AL87" s="377"/>
      <c r="AM87" s="377"/>
      <c r="AN87" s="377"/>
      <c r="AO87" s="377"/>
      <c r="AP87" s="377"/>
      <c r="AQ87" s="377"/>
      <c r="AR87" s="377"/>
      <c r="AS87" s="377"/>
      <c r="AT87" s="377"/>
      <c r="AU87" s="377"/>
      <c r="AV87" s="377"/>
      <c r="AW87" s="377"/>
      <c r="AX87" s="377"/>
      <c r="AY87" s="377"/>
      <c r="AZ87" s="377"/>
      <c r="BA87" s="377"/>
      <c r="BB87" s="377"/>
      <c r="BC87" s="377"/>
      <c r="BD87" s="377"/>
      <c r="BE87" s="377"/>
      <c r="BF87" s="377"/>
      <c r="BG87" s="377"/>
      <c r="BH87" s="377"/>
      <c r="BI87" s="377"/>
      <c r="BJ87" s="377"/>
      <c r="BK87" s="377"/>
      <c r="BL87" s="377"/>
      <c r="BM87" s="377"/>
      <c r="BN87" s="377"/>
      <c r="BO87" s="377"/>
      <c r="BP87" s="377"/>
      <c r="BQ87" s="377"/>
      <c r="BR87" s="377"/>
    </row>
    <row r="88" spans="1:70">
      <c r="A88" s="374">
        <f t="shared" si="1"/>
        <v>0</v>
      </c>
      <c r="B88" s="359"/>
      <c r="C88" s="359"/>
      <c r="D88" s="360"/>
      <c r="E88" s="360"/>
      <c r="F88" s="373"/>
      <c r="G88" s="360"/>
      <c r="H88" s="377"/>
      <c r="I88" s="537">
        <f t="shared" si="46"/>
        <v>0</v>
      </c>
      <c r="J88" s="546"/>
      <c r="K88" s="383"/>
      <c r="L88" s="383"/>
      <c r="M88" s="383"/>
      <c r="N88" s="383"/>
      <c r="O88" s="383"/>
      <c r="P88" s="383"/>
      <c r="Q88" s="383"/>
      <c r="R88" s="383"/>
      <c r="S88" s="377"/>
      <c r="T88" s="377"/>
      <c r="U88" s="377"/>
      <c r="V88" s="377"/>
      <c r="W88" s="377"/>
      <c r="X88" s="377"/>
      <c r="Y88" s="377"/>
      <c r="Z88" s="377"/>
      <c r="AA88" s="377"/>
      <c r="AB88" s="377"/>
      <c r="AC88" s="377"/>
      <c r="AD88" s="377"/>
      <c r="AE88" s="377"/>
      <c r="AF88" s="377"/>
      <c r="AG88" s="377"/>
      <c r="AH88" s="377"/>
      <c r="AI88" s="377"/>
      <c r="AJ88" s="377"/>
      <c r="AK88" s="377"/>
      <c r="AL88" s="377"/>
      <c r="AM88" s="377"/>
      <c r="AN88" s="377"/>
      <c r="AO88" s="377"/>
      <c r="AP88" s="377"/>
      <c r="AQ88" s="377"/>
      <c r="AR88" s="377"/>
      <c r="AS88" s="377"/>
      <c r="AT88" s="377"/>
      <c r="AU88" s="377"/>
      <c r="AV88" s="377"/>
      <c r="AW88" s="377"/>
      <c r="AX88" s="377"/>
      <c r="AY88" s="377"/>
      <c r="AZ88" s="377"/>
      <c r="BA88" s="377"/>
      <c r="BB88" s="377"/>
      <c r="BC88" s="377"/>
      <c r="BD88" s="377"/>
      <c r="BE88" s="377"/>
      <c r="BF88" s="377"/>
      <c r="BG88" s="377"/>
      <c r="BH88" s="377"/>
      <c r="BI88" s="377"/>
      <c r="BJ88" s="377"/>
      <c r="BK88" s="377"/>
      <c r="BL88" s="377"/>
      <c r="BM88" s="377"/>
      <c r="BN88" s="377"/>
      <c r="BO88" s="377"/>
      <c r="BP88" s="377"/>
      <c r="BQ88" s="377"/>
      <c r="BR88" s="377"/>
    </row>
    <row r="89" spans="1:70" s="353" customFormat="1">
      <c r="A89" s="374">
        <f t="shared" si="1"/>
        <v>0</v>
      </c>
      <c r="B89" s="365">
        <v>4800</v>
      </c>
      <c r="C89" s="365"/>
      <c r="D89" s="366" t="s">
        <v>422</v>
      </c>
      <c r="E89" s="366"/>
      <c r="F89" s="366"/>
      <c r="G89" s="366"/>
      <c r="H89" s="379">
        <f t="shared" ref="H89:AM89" si="47">SUM(H90:H93)</f>
        <v>0</v>
      </c>
      <c r="I89" s="540">
        <f t="shared" si="47"/>
        <v>-849890</v>
      </c>
      <c r="J89" s="549">
        <f t="shared" si="47"/>
        <v>0</v>
      </c>
      <c r="K89" s="379">
        <f t="shared" si="47"/>
        <v>-1280</v>
      </c>
      <c r="L89" s="379">
        <f t="shared" si="47"/>
        <v>-2170</v>
      </c>
      <c r="M89" s="379">
        <f t="shared" si="47"/>
        <v>-1570</v>
      </c>
      <c r="N89" s="379">
        <f t="shared" si="47"/>
        <v>-1470</v>
      </c>
      <c r="O89" s="379">
        <f t="shared" si="47"/>
        <v>-1470</v>
      </c>
      <c r="P89" s="379">
        <f t="shared" si="47"/>
        <v>-22070</v>
      </c>
      <c r="Q89" s="379">
        <f t="shared" si="47"/>
        <v>-20130</v>
      </c>
      <c r="R89" s="379">
        <f t="shared" si="47"/>
        <v>-19730</v>
      </c>
      <c r="S89" s="379">
        <f t="shared" si="47"/>
        <v>-30000</v>
      </c>
      <c r="T89" s="379">
        <f t="shared" si="47"/>
        <v>-30000</v>
      </c>
      <c r="U89" s="379">
        <f t="shared" si="47"/>
        <v>-30000</v>
      </c>
      <c r="V89" s="379">
        <f t="shared" si="47"/>
        <v>-30000</v>
      </c>
      <c r="W89" s="379">
        <f t="shared" si="47"/>
        <v>-30000</v>
      </c>
      <c r="X89" s="379">
        <f t="shared" si="47"/>
        <v>-30000</v>
      </c>
      <c r="Y89" s="379">
        <f t="shared" si="47"/>
        <v>-30000</v>
      </c>
      <c r="Z89" s="379">
        <f t="shared" si="47"/>
        <v>-30000</v>
      </c>
      <c r="AA89" s="379">
        <f t="shared" si="47"/>
        <v>-30000</v>
      </c>
      <c r="AB89" s="379">
        <f t="shared" si="47"/>
        <v>-30000</v>
      </c>
      <c r="AC89" s="379">
        <f t="shared" si="47"/>
        <v>-30000</v>
      </c>
      <c r="AD89" s="379">
        <f t="shared" si="47"/>
        <v>-30000</v>
      </c>
      <c r="AE89" s="379">
        <f t="shared" si="47"/>
        <v>-30000</v>
      </c>
      <c r="AF89" s="379">
        <f t="shared" si="47"/>
        <v>-30000</v>
      </c>
      <c r="AG89" s="379">
        <f t="shared" si="47"/>
        <v>-30000</v>
      </c>
      <c r="AH89" s="379">
        <f t="shared" si="47"/>
        <v>-30000</v>
      </c>
      <c r="AI89" s="379">
        <f t="shared" si="47"/>
        <v>-30000</v>
      </c>
      <c r="AJ89" s="379">
        <f t="shared" si="47"/>
        <v>-30000</v>
      </c>
      <c r="AK89" s="379">
        <f t="shared" si="47"/>
        <v>-30000</v>
      </c>
      <c r="AL89" s="379">
        <f t="shared" si="47"/>
        <v>-30000</v>
      </c>
      <c r="AM89" s="379">
        <f t="shared" si="47"/>
        <v>-30000</v>
      </c>
      <c r="AN89" s="379">
        <f t="shared" ref="AN89:BR89" si="48">SUM(AN90:AN93)</f>
        <v>-30000</v>
      </c>
      <c r="AO89" s="379">
        <f t="shared" si="48"/>
        <v>-30000</v>
      </c>
      <c r="AP89" s="379">
        <f t="shared" si="48"/>
        <v>-30000</v>
      </c>
      <c r="AQ89" s="379">
        <f t="shared" si="48"/>
        <v>-30000</v>
      </c>
      <c r="AR89" s="379">
        <f t="shared" si="48"/>
        <v>-30000</v>
      </c>
      <c r="AS89" s="379">
        <f t="shared" si="48"/>
        <v>0</v>
      </c>
      <c r="AT89" s="379">
        <f t="shared" si="48"/>
        <v>0</v>
      </c>
      <c r="AU89" s="379">
        <f t="shared" si="48"/>
        <v>0</v>
      </c>
      <c r="AV89" s="379">
        <f t="shared" si="48"/>
        <v>0</v>
      </c>
      <c r="AW89" s="379">
        <f t="shared" si="48"/>
        <v>0</v>
      </c>
      <c r="AX89" s="379">
        <f t="shared" si="48"/>
        <v>0</v>
      </c>
      <c r="AY89" s="379">
        <f t="shared" si="48"/>
        <v>0</v>
      </c>
      <c r="AZ89" s="379">
        <f t="shared" si="48"/>
        <v>0</v>
      </c>
      <c r="BA89" s="379">
        <f t="shared" si="48"/>
        <v>0</v>
      </c>
      <c r="BB89" s="379">
        <f t="shared" si="48"/>
        <v>0</v>
      </c>
      <c r="BC89" s="379">
        <f t="shared" si="48"/>
        <v>0</v>
      </c>
      <c r="BD89" s="379">
        <f t="shared" si="48"/>
        <v>0</v>
      </c>
      <c r="BE89" s="379">
        <f t="shared" si="48"/>
        <v>0</v>
      </c>
      <c r="BF89" s="379">
        <f t="shared" si="48"/>
        <v>0</v>
      </c>
      <c r="BG89" s="379">
        <f t="shared" si="48"/>
        <v>0</v>
      </c>
      <c r="BH89" s="379">
        <f t="shared" si="48"/>
        <v>0</v>
      </c>
      <c r="BI89" s="379">
        <f t="shared" si="48"/>
        <v>0</v>
      </c>
      <c r="BJ89" s="379">
        <f t="shared" si="48"/>
        <v>0</v>
      </c>
      <c r="BK89" s="379">
        <f t="shared" si="48"/>
        <v>0</v>
      </c>
      <c r="BL89" s="379">
        <f t="shared" si="48"/>
        <v>0</v>
      </c>
      <c r="BM89" s="379">
        <f t="shared" si="48"/>
        <v>0</v>
      </c>
      <c r="BN89" s="379">
        <f t="shared" si="48"/>
        <v>0</v>
      </c>
      <c r="BO89" s="379">
        <f t="shared" si="48"/>
        <v>0</v>
      </c>
      <c r="BP89" s="379">
        <f t="shared" si="48"/>
        <v>0</v>
      </c>
      <c r="BQ89" s="379">
        <f t="shared" si="48"/>
        <v>0</v>
      </c>
      <c r="BR89" s="379">
        <f t="shared" si="48"/>
        <v>0</v>
      </c>
    </row>
    <row r="90" spans="1:70">
      <c r="A90" s="374">
        <f t="shared" si="1"/>
        <v>0</v>
      </c>
      <c r="B90" s="359">
        <v>4105</v>
      </c>
      <c r="C90" s="359">
        <v>1</v>
      </c>
      <c r="D90" s="360"/>
      <c r="E90" s="360" t="s">
        <v>492</v>
      </c>
      <c r="F90" s="373" t="s">
        <v>454</v>
      </c>
      <c r="G90" s="360"/>
      <c r="H90" s="377"/>
      <c r="I90" s="537">
        <f t="shared" ref="I90:I91" si="49">SUM(K90:BR90)</f>
        <v>-532470</v>
      </c>
      <c r="J90" s="546"/>
      <c r="K90" s="383">
        <f>SUMIFS(FACT!$B:$B,FACT!$A:$A,DETAILS!$B90,FACT!$C:$C,DETAILS!K$4,FACT!$H:$H,DETAILS!$E90)</f>
        <v>-1280</v>
      </c>
      <c r="L90" s="383">
        <f>SUMIFS(FACT!$B:$B,FACT!$A:$A,DETAILS!$B90,FACT!$C:$C,DETAILS!L$4,FACT!$H:$H,DETAILS!$E90)</f>
        <v>-2170</v>
      </c>
      <c r="M90" s="383">
        <f>SUMIFS(FACT!$B:$B,FACT!$A:$A,DETAILS!$B90,FACT!$C:$C,DETAILS!M$4,FACT!$H:$H,DETAILS!$E90)</f>
        <v>-1570</v>
      </c>
      <c r="N90" s="383">
        <f>SUMIFS(FACT!$B:$B,FACT!$A:$A,DETAILS!$B90,FACT!$C:$C,DETAILS!N$4,FACT!$H:$H,DETAILS!$E90)</f>
        <v>-1470</v>
      </c>
      <c r="O90" s="383">
        <f>SUMIFS(FACT!$B:$B,FACT!$A:$A,DETAILS!$B90,FACT!$C:$C,DETAILS!O$4,FACT!$H:$H,DETAILS!$E90)</f>
        <v>-1470</v>
      </c>
      <c r="P90" s="383">
        <f>SUMIFS(FACT!$B:$B,FACT!$A:$A,DETAILS!$B90,FACT!$C:$C,DETAILS!P$4,FACT!$H:$H,DETAILS!$E90)</f>
        <v>-1470</v>
      </c>
      <c r="Q90" s="383">
        <f>SUMIFS(FACT!$B:$B,FACT!$A:$A,DETAILS!$B90,FACT!$C:$C,DETAILS!Q$4,FACT!$H:$H,DETAILS!$E90)</f>
        <v>-1470</v>
      </c>
      <c r="R90" s="383">
        <f>SUMIFS(FACT!$B:$B,FACT!$A:$A,DETAILS!$B90,FACT!$C:$C,DETAILS!R$4,FACT!$H:$H,DETAILS!$E90)</f>
        <v>-1570</v>
      </c>
      <c r="S90" s="377">
        <v>-20000</v>
      </c>
      <c r="T90" s="377">
        <v>-20000</v>
      </c>
      <c r="U90" s="377">
        <v>-20000</v>
      </c>
      <c r="V90" s="377">
        <v>-20000</v>
      </c>
      <c r="W90" s="377">
        <v>-20000</v>
      </c>
      <c r="X90" s="377">
        <v>-20000</v>
      </c>
      <c r="Y90" s="377">
        <v>-20000</v>
      </c>
      <c r="Z90" s="377">
        <v>-20000</v>
      </c>
      <c r="AA90" s="377">
        <v>-20000</v>
      </c>
      <c r="AB90" s="377">
        <v>-20000</v>
      </c>
      <c r="AC90" s="377">
        <v>-20000</v>
      </c>
      <c r="AD90" s="377">
        <v>-20000</v>
      </c>
      <c r="AE90" s="377">
        <v>-20000</v>
      </c>
      <c r="AF90" s="377">
        <v>-20000</v>
      </c>
      <c r="AG90" s="377">
        <v>-20000</v>
      </c>
      <c r="AH90" s="377">
        <v>-20000</v>
      </c>
      <c r="AI90" s="377">
        <v>-20000</v>
      </c>
      <c r="AJ90" s="377">
        <v>-20000</v>
      </c>
      <c r="AK90" s="377">
        <v>-20000</v>
      </c>
      <c r="AL90" s="377">
        <v>-20000</v>
      </c>
      <c r="AM90" s="377">
        <v>-20000</v>
      </c>
      <c r="AN90" s="377">
        <v>-20000</v>
      </c>
      <c r="AO90" s="377">
        <v>-20000</v>
      </c>
      <c r="AP90" s="377">
        <v>-20000</v>
      </c>
      <c r="AQ90" s="377">
        <v>-20000</v>
      </c>
      <c r="AR90" s="377">
        <v>-20000</v>
      </c>
      <c r="AS90" s="377"/>
      <c r="AT90" s="377"/>
      <c r="AU90" s="377"/>
      <c r="AV90" s="377"/>
      <c r="AW90" s="377"/>
      <c r="AX90" s="377"/>
      <c r="AY90" s="377"/>
      <c r="AZ90" s="377"/>
      <c r="BA90" s="377"/>
      <c r="BB90" s="377"/>
      <c r="BC90" s="377"/>
      <c r="BD90" s="377"/>
      <c r="BE90" s="377"/>
      <c r="BF90" s="377"/>
      <c r="BG90" s="377"/>
      <c r="BH90" s="377"/>
      <c r="BI90" s="377"/>
      <c r="BJ90" s="377"/>
      <c r="BK90" s="377"/>
      <c r="BL90" s="377"/>
      <c r="BM90" s="377"/>
      <c r="BN90" s="377"/>
      <c r="BO90" s="377"/>
      <c r="BP90" s="377"/>
      <c r="BQ90" s="377"/>
      <c r="BR90" s="377"/>
    </row>
    <row r="91" spans="1:70">
      <c r="A91" s="374">
        <f t="shared" si="1"/>
        <v>0</v>
      </c>
      <c r="B91" s="359">
        <v>4105</v>
      </c>
      <c r="C91" s="359">
        <v>1</v>
      </c>
      <c r="D91" s="360"/>
      <c r="E91" s="360" t="s">
        <v>671</v>
      </c>
      <c r="F91" s="373" t="s">
        <v>454</v>
      </c>
      <c r="G91" s="360"/>
      <c r="H91" s="377"/>
      <c r="I91" s="537">
        <f t="shared" si="49"/>
        <v>-317420</v>
      </c>
      <c r="J91" s="546"/>
      <c r="K91" s="383">
        <f>SUMIFS(FACT!$B:$B,FACT!$A:$A,DETAILS!$B91,FACT!$C:$C,DETAILS!K$4,FACT!$H:$H,DETAILS!$E91)</f>
        <v>0</v>
      </c>
      <c r="L91" s="383">
        <f>SUMIFS(FACT!$B:$B,FACT!$A:$A,DETAILS!$B91,FACT!$C:$C,DETAILS!L$4,FACT!$H:$H,DETAILS!$E91)</f>
        <v>0</v>
      </c>
      <c r="M91" s="383">
        <f>SUMIFS(FACT!$B:$B,FACT!$A:$A,DETAILS!$B91,FACT!$C:$C,DETAILS!M$4,FACT!$H:$H,DETAILS!$E91)</f>
        <v>0</v>
      </c>
      <c r="N91" s="383">
        <f>SUMIFS(FACT!$B:$B,FACT!$A:$A,DETAILS!$B91,FACT!$C:$C,DETAILS!N$4,FACT!$H:$H,DETAILS!$E91)</f>
        <v>0</v>
      </c>
      <c r="O91" s="383">
        <f>SUMIFS(FACT!$B:$B,FACT!$A:$A,DETAILS!$B91,FACT!$C:$C,DETAILS!O$4,FACT!$H:$H,DETAILS!$E91)</f>
        <v>0</v>
      </c>
      <c r="P91" s="383">
        <f>SUMIFS(FACT!$B:$B,FACT!$A:$A,DETAILS!$B91,FACT!$C:$C,DETAILS!P$4,FACT!$H:$H,DETAILS!$E91)</f>
        <v>-20600</v>
      </c>
      <c r="Q91" s="383">
        <f>SUMIFS(FACT!$B:$B,FACT!$A:$A,DETAILS!$B91,FACT!$C:$C,DETAILS!Q$4,FACT!$H:$H,DETAILS!$E91)</f>
        <v>-18660</v>
      </c>
      <c r="R91" s="383">
        <f>SUMIFS(FACT!$B:$B,FACT!$A:$A,DETAILS!$B91,FACT!$C:$C,DETAILS!R$4,FACT!$H:$H,DETAILS!$E91)</f>
        <v>-18160</v>
      </c>
      <c r="S91" s="377">
        <v>-10000</v>
      </c>
      <c r="T91" s="377">
        <v>-10000</v>
      </c>
      <c r="U91" s="377">
        <v>-10000</v>
      </c>
      <c r="V91" s="377">
        <v>-10000</v>
      </c>
      <c r="W91" s="377">
        <v>-10000</v>
      </c>
      <c r="X91" s="377">
        <v>-10000</v>
      </c>
      <c r="Y91" s="377">
        <v>-10000</v>
      </c>
      <c r="Z91" s="377">
        <v>-10000</v>
      </c>
      <c r="AA91" s="377">
        <v>-10000</v>
      </c>
      <c r="AB91" s="377">
        <v>-10000</v>
      </c>
      <c r="AC91" s="377">
        <v>-10000</v>
      </c>
      <c r="AD91" s="377">
        <v>-10000</v>
      </c>
      <c r="AE91" s="377">
        <v>-10000</v>
      </c>
      <c r="AF91" s="377">
        <v>-10000</v>
      </c>
      <c r="AG91" s="377">
        <v>-10000</v>
      </c>
      <c r="AH91" s="377">
        <v>-10000</v>
      </c>
      <c r="AI91" s="377">
        <v>-10000</v>
      </c>
      <c r="AJ91" s="377">
        <v>-10000</v>
      </c>
      <c r="AK91" s="377">
        <v>-10000</v>
      </c>
      <c r="AL91" s="377">
        <v>-10000</v>
      </c>
      <c r="AM91" s="377">
        <v>-10000</v>
      </c>
      <c r="AN91" s="377">
        <v>-10000</v>
      </c>
      <c r="AO91" s="377">
        <v>-10000</v>
      </c>
      <c r="AP91" s="377">
        <v>-10000</v>
      </c>
      <c r="AQ91" s="377">
        <v>-10000</v>
      </c>
      <c r="AR91" s="377">
        <v>-10000</v>
      </c>
      <c r="AS91" s="377"/>
      <c r="AT91" s="377"/>
      <c r="AU91" s="377"/>
      <c r="AV91" s="377"/>
      <c r="AW91" s="377"/>
      <c r="AX91" s="377"/>
      <c r="AY91" s="377"/>
      <c r="AZ91" s="377"/>
      <c r="BA91" s="377"/>
      <c r="BB91" s="377"/>
      <c r="BC91" s="377"/>
      <c r="BD91" s="377"/>
      <c r="BE91" s="377"/>
      <c r="BF91" s="377"/>
      <c r="BG91" s="377"/>
      <c r="BH91" s="377"/>
      <c r="BI91" s="377"/>
      <c r="BJ91" s="377"/>
      <c r="BK91" s="377"/>
      <c r="BL91" s="377"/>
      <c r="BM91" s="377"/>
      <c r="BN91" s="377"/>
      <c r="BO91" s="377"/>
      <c r="BP91" s="377"/>
      <c r="BQ91" s="377"/>
      <c r="BR91" s="377"/>
    </row>
    <row r="92" spans="1:70">
      <c r="A92" s="374"/>
      <c r="B92" s="359"/>
      <c r="C92" s="359"/>
      <c r="D92" s="360"/>
      <c r="E92" s="360"/>
      <c r="F92" s="373"/>
      <c r="G92" s="360"/>
      <c r="H92" s="377"/>
      <c r="I92" s="537"/>
      <c r="J92" s="546"/>
      <c r="K92" s="383">
        <f>SUMIFS(FACT!$B:$B,FACT!$A:$A,DETAILS!$B92,FACT!$C:$C,DETAILS!K$4,FACT!$H:$H,DETAILS!$E92)</f>
        <v>0</v>
      </c>
      <c r="L92" s="383">
        <f>SUMIFS(FACT!$B:$B,FACT!$A:$A,DETAILS!$B92,FACT!$C:$C,DETAILS!L$4,FACT!$H:$H,DETAILS!$E92)</f>
        <v>0</v>
      </c>
      <c r="M92" s="383">
        <f>SUMIFS(FACT!$B:$B,FACT!$A:$A,DETAILS!$B92,FACT!$C:$C,DETAILS!M$4,FACT!$H:$H,DETAILS!$E92)</f>
        <v>0</v>
      </c>
      <c r="N92" s="383">
        <f>SUMIFS(FACT!$B:$B,FACT!$A:$A,DETAILS!$B92,FACT!$C:$C,DETAILS!N$4,FACT!$H:$H,DETAILS!$E92)</f>
        <v>0</v>
      </c>
      <c r="O92" s="383">
        <f>SUMIFS(FACT!$B:$B,FACT!$A:$A,DETAILS!$B92,FACT!$C:$C,DETAILS!O$4,FACT!$H:$H,DETAILS!$E92)</f>
        <v>0</v>
      </c>
      <c r="P92" s="383">
        <f>SUMIFS(FACT!$B:$B,FACT!$A:$A,DETAILS!$B92,FACT!$C:$C,DETAILS!P$4,FACT!$H:$H,DETAILS!$E92)</f>
        <v>0</v>
      </c>
      <c r="Q92" s="383">
        <f>SUMIFS(FACT!$B:$B,FACT!$A:$A,DETAILS!$B92,FACT!$C:$C,DETAILS!Q$4,FACT!$H:$H,DETAILS!$E92)</f>
        <v>0</v>
      </c>
      <c r="R92" s="383">
        <f>SUMIFS(FACT!$B:$B,FACT!$A:$A,DETAILS!$B92,FACT!$C:$C,DETAILS!R$4,FACT!$H:$H,DETAILS!$E92)</f>
        <v>0</v>
      </c>
      <c r="S92" s="377"/>
      <c r="T92" s="377"/>
      <c r="U92" s="377"/>
      <c r="V92" s="377"/>
      <c r="W92" s="377"/>
      <c r="X92" s="377"/>
      <c r="Y92" s="377"/>
      <c r="Z92" s="377"/>
      <c r="AA92" s="377"/>
      <c r="AB92" s="377"/>
      <c r="AC92" s="377"/>
      <c r="AD92" s="377"/>
      <c r="AE92" s="377"/>
      <c r="AF92" s="377"/>
      <c r="AG92" s="377"/>
      <c r="AH92" s="377"/>
      <c r="AI92" s="377"/>
      <c r="AJ92" s="377"/>
      <c r="AK92" s="377"/>
      <c r="AL92" s="377"/>
      <c r="AM92" s="377"/>
      <c r="AN92" s="377"/>
      <c r="AO92" s="377"/>
      <c r="AP92" s="377"/>
      <c r="AQ92" s="377"/>
      <c r="AR92" s="377"/>
      <c r="AS92" s="377"/>
      <c r="AT92" s="377"/>
      <c r="AU92" s="377"/>
      <c r="AV92" s="377"/>
      <c r="AW92" s="377"/>
      <c r="AX92" s="377"/>
      <c r="AY92" s="377"/>
      <c r="AZ92" s="377"/>
      <c r="BA92" s="377"/>
      <c r="BB92" s="377"/>
      <c r="BC92" s="377"/>
      <c r="BD92" s="377"/>
      <c r="BE92" s="377"/>
      <c r="BF92" s="377"/>
      <c r="BG92" s="377"/>
      <c r="BH92" s="377"/>
      <c r="BI92" s="377"/>
      <c r="BJ92" s="377"/>
      <c r="BK92" s="377"/>
      <c r="BL92" s="377"/>
      <c r="BM92" s="377"/>
      <c r="BN92" s="377"/>
      <c r="BO92" s="377"/>
      <c r="BP92" s="377"/>
      <c r="BQ92" s="377"/>
      <c r="BR92" s="377"/>
    </row>
    <row r="93" spans="1:70">
      <c r="A93" s="374"/>
      <c r="B93" s="359"/>
      <c r="C93" s="359"/>
      <c r="D93" s="360"/>
      <c r="E93" s="360"/>
      <c r="F93" s="373"/>
      <c r="G93" s="360"/>
      <c r="H93" s="377"/>
      <c r="I93" s="537"/>
      <c r="J93" s="546"/>
      <c r="K93" s="383">
        <f>SUMIFS(FACT!$B:$B,FACT!$A:$A,DETAILS!$B93,FACT!$C:$C,DETAILS!K$4,FACT!$H:$H,DETAILS!$E93)</f>
        <v>0</v>
      </c>
      <c r="L93" s="383">
        <f>SUMIFS(FACT!$B:$B,FACT!$A:$A,DETAILS!$B93,FACT!$C:$C,DETAILS!L$4,FACT!$H:$H,DETAILS!$E93)</f>
        <v>0</v>
      </c>
      <c r="M93" s="383">
        <f>SUMIFS(FACT!$B:$B,FACT!$A:$A,DETAILS!$B93,FACT!$C:$C,DETAILS!M$4,FACT!$H:$H,DETAILS!$E93)</f>
        <v>0</v>
      </c>
      <c r="N93" s="383">
        <f>SUMIFS(FACT!$B:$B,FACT!$A:$A,DETAILS!$B93,FACT!$C:$C,DETAILS!N$4,FACT!$H:$H,DETAILS!$E93)</f>
        <v>0</v>
      </c>
      <c r="O93" s="383">
        <f>SUMIFS(FACT!$B:$B,FACT!$A:$A,DETAILS!$B93,FACT!$C:$C,DETAILS!O$4,FACT!$H:$H,DETAILS!$E93)</f>
        <v>0</v>
      </c>
      <c r="P93" s="383">
        <f>SUMIFS(FACT!$B:$B,FACT!$A:$A,DETAILS!$B93,FACT!$C:$C,DETAILS!P$4,FACT!$H:$H,DETAILS!$E93)</f>
        <v>0</v>
      </c>
      <c r="Q93" s="383">
        <f>SUMIFS(FACT!$B:$B,FACT!$A:$A,DETAILS!$B93,FACT!$C:$C,DETAILS!Q$4,FACT!$H:$H,DETAILS!$E93)</f>
        <v>0</v>
      </c>
      <c r="R93" s="383">
        <f>SUMIFS(FACT!$B:$B,FACT!$A:$A,DETAILS!$B93,FACT!$C:$C,DETAILS!R$4,FACT!$H:$H,DETAILS!$E93)</f>
        <v>0</v>
      </c>
      <c r="S93" s="377"/>
      <c r="T93" s="377"/>
      <c r="U93" s="377"/>
      <c r="V93" s="377"/>
      <c r="W93" s="377"/>
      <c r="X93" s="377"/>
      <c r="Y93" s="377"/>
      <c r="Z93" s="377"/>
      <c r="AA93" s="377"/>
      <c r="AB93" s="377"/>
      <c r="AC93" s="377"/>
      <c r="AD93" s="377"/>
      <c r="AE93" s="377"/>
      <c r="AF93" s="377"/>
      <c r="AG93" s="377"/>
      <c r="AH93" s="377"/>
      <c r="AI93" s="377"/>
      <c r="AJ93" s="377"/>
      <c r="AK93" s="377"/>
      <c r="AL93" s="377"/>
      <c r="AM93" s="377"/>
      <c r="AN93" s="377"/>
      <c r="AO93" s="377"/>
      <c r="AP93" s="377"/>
      <c r="AQ93" s="377"/>
      <c r="AR93" s="377"/>
      <c r="AS93" s="377"/>
      <c r="AT93" s="377"/>
      <c r="AU93" s="377"/>
      <c r="AV93" s="377"/>
      <c r="AW93" s="377"/>
      <c r="AX93" s="377"/>
      <c r="AY93" s="377"/>
      <c r="AZ93" s="377"/>
      <c r="BA93" s="377"/>
      <c r="BB93" s="377"/>
      <c r="BC93" s="377"/>
      <c r="BD93" s="377"/>
      <c r="BE93" s="377"/>
      <c r="BF93" s="377"/>
      <c r="BG93" s="377"/>
      <c r="BH93" s="377"/>
      <c r="BI93" s="377"/>
      <c r="BJ93" s="377"/>
      <c r="BK93" s="377"/>
      <c r="BL93" s="377"/>
      <c r="BM93" s="377"/>
      <c r="BN93" s="377"/>
      <c r="BO93" s="377"/>
      <c r="BP93" s="377"/>
      <c r="BQ93" s="377"/>
      <c r="BR93" s="377"/>
    </row>
    <row r="94" spans="1:70" s="353" customFormat="1">
      <c r="A94" s="374">
        <f t="shared" si="1"/>
        <v>0</v>
      </c>
      <c r="B94" s="363">
        <v>4200</v>
      </c>
      <c r="C94" s="363"/>
      <c r="D94" s="364" t="s">
        <v>418</v>
      </c>
      <c r="E94" s="364"/>
      <c r="F94" s="364"/>
      <c r="G94" s="364"/>
      <c r="H94" s="378">
        <f t="shared" ref="H94:AM94" si="50">SUM(H95:H105)</f>
        <v>0</v>
      </c>
      <c r="I94" s="538">
        <f t="shared" si="50"/>
        <v>-3445412437.6000757</v>
      </c>
      <c r="J94" s="547">
        <f t="shared" si="50"/>
        <v>0</v>
      </c>
      <c r="K94" s="378">
        <f t="shared" si="50"/>
        <v>0</v>
      </c>
      <c r="L94" s="378">
        <f t="shared" si="50"/>
        <v>0</v>
      </c>
      <c r="M94" s="378">
        <f t="shared" si="50"/>
        <v>0</v>
      </c>
      <c r="N94" s="378">
        <f t="shared" si="50"/>
        <v>0</v>
      </c>
      <c r="O94" s="378">
        <f t="shared" si="50"/>
        <v>0</v>
      </c>
      <c r="P94" s="378">
        <f t="shared" si="50"/>
        <v>0</v>
      </c>
      <c r="Q94" s="378">
        <f t="shared" si="50"/>
        <v>0</v>
      </c>
      <c r="R94" s="378">
        <f t="shared" si="50"/>
        <v>0</v>
      </c>
      <c r="S94" s="378">
        <f t="shared" si="50"/>
        <v>0</v>
      </c>
      <c r="T94" s="378">
        <f t="shared" si="50"/>
        <v>0</v>
      </c>
      <c r="U94" s="378">
        <f t="shared" si="50"/>
        <v>0</v>
      </c>
      <c r="V94" s="378">
        <f t="shared" si="50"/>
        <v>0</v>
      </c>
      <c r="W94" s="378">
        <f t="shared" si="50"/>
        <v>0</v>
      </c>
      <c r="X94" s="378">
        <f t="shared" si="50"/>
        <v>0</v>
      </c>
      <c r="Y94" s="378">
        <f t="shared" si="50"/>
        <v>-2598113.2075471701</v>
      </c>
      <c r="Z94" s="378">
        <f t="shared" si="50"/>
        <v>-51488976.843910813</v>
      </c>
      <c r="AA94" s="378">
        <f t="shared" si="50"/>
        <v>-60719643.03057456</v>
      </c>
      <c r="AB94" s="378">
        <f t="shared" si="50"/>
        <v>-63891394.807477832</v>
      </c>
      <c r="AC94" s="378">
        <f t="shared" si="50"/>
        <v>-69978839.279727653</v>
      </c>
      <c r="AD94" s="378">
        <f t="shared" si="50"/>
        <v>-126960057.93783477</v>
      </c>
      <c r="AE94" s="378">
        <f t="shared" si="50"/>
        <v>-144731688.50985119</v>
      </c>
      <c r="AF94" s="378">
        <f t="shared" si="50"/>
        <v>-151945519.37225223</v>
      </c>
      <c r="AG94" s="378">
        <f t="shared" si="50"/>
        <v>-160263230.35822976</v>
      </c>
      <c r="AH94" s="378">
        <f t="shared" si="50"/>
        <v>-170326868.9762564</v>
      </c>
      <c r="AI94" s="378">
        <f t="shared" si="50"/>
        <v>-190765454.76376739</v>
      </c>
      <c r="AJ94" s="378">
        <f t="shared" si="50"/>
        <v>-230897047.99055433</v>
      </c>
      <c r="AK94" s="378">
        <f t="shared" si="50"/>
        <v>-155879466.02323076</v>
      </c>
      <c r="AL94" s="378">
        <f t="shared" si="50"/>
        <v>-190498166.70163506</v>
      </c>
      <c r="AM94" s="378">
        <f t="shared" si="50"/>
        <v>-256911356.47871065</v>
      </c>
      <c r="AN94" s="378">
        <f t="shared" ref="AN94:BR94" si="51">SUM(AN95:AN105)</f>
        <v>-274450723.10887516</v>
      </c>
      <c r="AO94" s="378">
        <f t="shared" si="51"/>
        <v>-189016284.77537513</v>
      </c>
      <c r="AP94" s="378">
        <f t="shared" si="51"/>
        <v>-194444516.51993194</v>
      </c>
      <c r="AQ94" s="378">
        <f t="shared" si="51"/>
        <v>-232018576.46993196</v>
      </c>
      <c r="AR94" s="378">
        <f t="shared" si="51"/>
        <v>-231279901.58172438</v>
      </c>
      <c r="AS94" s="378">
        <f t="shared" si="51"/>
        <v>-179552761.88461962</v>
      </c>
      <c r="AT94" s="378">
        <f t="shared" si="51"/>
        <v>-114922748.97805689</v>
      </c>
      <c r="AU94" s="378">
        <f t="shared" si="51"/>
        <v>-1871100.0000000075</v>
      </c>
      <c r="AV94" s="378">
        <f t="shared" si="51"/>
        <v>0</v>
      </c>
      <c r="AW94" s="378">
        <f t="shared" si="51"/>
        <v>0</v>
      </c>
      <c r="AX94" s="378">
        <f t="shared" si="51"/>
        <v>0</v>
      </c>
      <c r="AY94" s="378">
        <f t="shared" si="51"/>
        <v>0</v>
      </c>
      <c r="AZ94" s="378">
        <f t="shared" si="51"/>
        <v>0</v>
      </c>
      <c r="BA94" s="378">
        <f t="shared" si="51"/>
        <v>0</v>
      </c>
      <c r="BB94" s="378">
        <f t="shared" si="51"/>
        <v>0</v>
      </c>
      <c r="BC94" s="378">
        <f t="shared" si="51"/>
        <v>0</v>
      </c>
      <c r="BD94" s="378">
        <f t="shared" si="51"/>
        <v>0</v>
      </c>
      <c r="BE94" s="378">
        <f t="shared" si="51"/>
        <v>0</v>
      </c>
      <c r="BF94" s="378">
        <f t="shared" si="51"/>
        <v>0</v>
      </c>
      <c r="BG94" s="378">
        <f t="shared" si="51"/>
        <v>0</v>
      </c>
      <c r="BH94" s="378">
        <f t="shared" si="51"/>
        <v>0</v>
      </c>
      <c r="BI94" s="378">
        <f t="shared" si="51"/>
        <v>0</v>
      </c>
      <c r="BJ94" s="378">
        <f t="shared" si="51"/>
        <v>0</v>
      </c>
      <c r="BK94" s="378">
        <f t="shared" si="51"/>
        <v>0</v>
      </c>
      <c r="BL94" s="378">
        <f t="shared" si="51"/>
        <v>0</v>
      </c>
      <c r="BM94" s="378">
        <f t="shared" si="51"/>
        <v>0</v>
      </c>
      <c r="BN94" s="378">
        <f t="shared" si="51"/>
        <v>0</v>
      </c>
      <c r="BO94" s="378">
        <f t="shared" si="51"/>
        <v>0</v>
      </c>
      <c r="BP94" s="378">
        <f t="shared" si="51"/>
        <v>0</v>
      </c>
      <c r="BQ94" s="378">
        <f t="shared" si="51"/>
        <v>0</v>
      </c>
      <c r="BR94" s="378">
        <f t="shared" si="51"/>
        <v>0</v>
      </c>
    </row>
    <row r="95" spans="1:70">
      <c r="A95" s="374">
        <f t="shared" si="1"/>
        <v>0</v>
      </c>
      <c r="B95" s="359">
        <v>4201</v>
      </c>
      <c r="C95" s="359">
        <v>1</v>
      </c>
      <c r="D95" s="360" t="s">
        <v>857</v>
      </c>
      <c r="E95" s="360" t="s">
        <v>492</v>
      </c>
      <c r="F95" s="366" t="s">
        <v>448</v>
      </c>
      <c r="G95" s="360"/>
      <c r="H95" s="377"/>
      <c r="I95" s="540">
        <f t="shared" ref="I95:I99" si="52">SUM(K95:BR95)</f>
        <v>-1277868777.4799998</v>
      </c>
      <c r="J95" s="546"/>
      <c r="K95" s="383"/>
      <c r="L95" s="383"/>
      <c r="M95" s="383"/>
      <c r="N95" s="383"/>
      <c r="O95" s="383"/>
      <c r="P95" s="383"/>
      <c r="Q95" s="383"/>
      <c r="R95" s="383"/>
      <c r="S95" s="377">
        <f>-SUM(R$11:R$14)*'DB1'!$F$49</f>
        <v>0</v>
      </c>
      <c r="T95" s="377">
        <f>-SUM(S$11:S$14)*'DB1'!$F$49</f>
        <v>0</v>
      </c>
      <c r="U95" s="377">
        <f>-SUM(T$11:T$14)*'DB1'!$F$49</f>
        <v>0</v>
      </c>
      <c r="V95" s="377">
        <f>-SUM(U$11:U$14)*'DB1'!$F$49</f>
        <v>0</v>
      </c>
      <c r="W95" s="377">
        <f>-SUM(V$11:V$14)*'DB1'!$F$49</f>
        <v>0</v>
      </c>
      <c r="X95" s="377">
        <f>-SUM(W$11:W$14)*'DB1'!$F$49</f>
        <v>0</v>
      </c>
      <c r="Y95" s="377">
        <f>-SUM(X$11:X$14)*'DB1'!$F$49</f>
        <v>0</v>
      </c>
      <c r="Z95" s="377">
        <f>-SUM(Y$11:Y$14)*'DB1'!$F$49</f>
        <v>-34922045.454545461</v>
      </c>
      <c r="AA95" s="377">
        <f>-SUM(Z$11:Z$14)*'DB1'!$F$49</f>
        <v>-41515378.445019566</v>
      </c>
      <c r="AB95" s="377">
        <f>-SUM(AA$11:AA$14)*'DB1'!$F$49</f>
        <v>-43780915.428521894</v>
      </c>
      <c r="AC95" s="377">
        <f>-SUM(AB$11:AB$14)*'DB1'!$F$49</f>
        <v>-46273294.903309509</v>
      </c>
      <c r="AD95" s="377">
        <f>-SUM(AC$11:AC$14)*'DB1'!$F$49</f>
        <v>-49057329.009749644</v>
      </c>
      <c r="AE95" s="377">
        <f>-SUM(AD$11:AD$14)*'DB1'!$F$49</f>
        <v>-55274284.762610957</v>
      </c>
      <c r="AF95" s="377">
        <f>-SUM(AE$11:AE$14)*'DB1'!$F$49</f>
        <v>-58318416.147736646</v>
      </c>
      <c r="AG95" s="377">
        <f>-SUM(AF$11:AF$14)*'DB1'!$F$49</f>
        <v>-61975022.25933262</v>
      </c>
      <c r="AH95" s="377">
        <f>-SUM(AG$11:AG$14)*'DB1'!$F$49</f>
        <v>-66652419.581712365</v>
      </c>
      <c r="AI95" s="377">
        <f>-SUM(AH$11:AH$14)*'DB1'!$F$49</f>
        <v>-75341264.034214944</v>
      </c>
      <c r="AJ95" s="377">
        <f>-SUM(AI$11:AI$14)*'DB1'!$F$49</f>
        <v>-84245261.625754341</v>
      </c>
      <c r="AK95" s="377">
        <f>-SUM(AJ$11:AJ$14)*'DB1'!$F$49</f>
        <v>-44881648.431350946</v>
      </c>
      <c r="AL95" s="377">
        <f>-SUM(AK$11:AK$14)*'DB1'!$F$49</f>
        <v>-65546648.819046445</v>
      </c>
      <c r="AM95" s="377">
        <f>-SUM(AL$11:AL$14)*'DB1'!$F$49</f>
        <v>-103835593.52842273</v>
      </c>
      <c r="AN95" s="377">
        <f>-SUM(AM$11:AM$14)*'DB1'!$F$49</f>
        <v>-103835593.52842273</v>
      </c>
      <c r="AO95" s="377">
        <f>-SUM(AN$11:AN$14)*'DB1'!$F$49</f>
        <v>-66903387.028422728</v>
      </c>
      <c r="AP95" s="377">
        <f>-SUM(AO$11:AO$14)*'DB1'!$F$49</f>
        <v>-66903387.028422728</v>
      </c>
      <c r="AQ95" s="377">
        <f>-SUM(AP$11:AP$14)*'DB1'!$F$49</f>
        <v>-66903387.028422728</v>
      </c>
      <c r="AR95" s="377">
        <f>-SUM(AQ$11:AQ$14)*'DB1'!$F$49</f>
        <v>-66903387.028422728</v>
      </c>
      <c r="AS95" s="377">
        <f>-SUM(AR$11:AR$14)*'DB1'!$F$49</f>
        <v>-58381384.217148408</v>
      </c>
      <c r="AT95" s="377">
        <f>-SUM(AS$11:AS$14)*'DB1'!$F$49</f>
        <v>-16418729.189409381</v>
      </c>
      <c r="AU95" s="377">
        <f>-SUM(AT$11:AT$14)*'DB1'!$F$49</f>
        <v>0</v>
      </c>
      <c r="AV95" s="377">
        <f>-SUM(AU$11:AU$14)*'DB1'!$F$49</f>
        <v>0</v>
      </c>
      <c r="AW95" s="377">
        <f>-SUM(AV$11:AV$14)*'DB1'!$F$49</f>
        <v>0</v>
      </c>
      <c r="AX95" s="377">
        <f>-SUM(AW$11:AW$14)*'DB1'!$F$49</f>
        <v>0</v>
      </c>
      <c r="AY95" s="377">
        <f>-SUM(AX$11:AX$14)*'DB1'!$F$49</f>
        <v>0</v>
      </c>
      <c r="AZ95" s="377">
        <f>-SUM(AY$11:AY$14)*'DB1'!$F$49</f>
        <v>0</v>
      </c>
      <c r="BA95" s="377">
        <f>-SUM(AZ$11:AZ$14)*'DB1'!$F$49</f>
        <v>0</v>
      </c>
      <c r="BB95" s="377">
        <f>-SUM(BA$11:BA$14)*'DB1'!$F$49</f>
        <v>0</v>
      </c>
      <c r="BC95" s="377">
        <f>-SUM(BB$11:BB$14)*'DB1'!$F$49</f>
        <v>0</v>
      </c>
      <c r="BD95" s="377">
        <f>-SUM(BC$11:BC$14)*'DB1'!$F$49</f>
        <v>0</v>
      </c>
      <c r="BE95" s="377">
        <f>-SUM(BD$11:BD$14)*'DB1'!$F$49</f>
        <v>0</v>
      </c>
      <c r="BF95" s="377">
        <f>-SUM(BE$11:BE$14)*'DB1'!$F$49</f>
        <v>0</v>
      </c>
      <c r="BG95" s="377">
        <f>-SUM(BF$11:BF$14)*'DB1'!$F$49</f>
        <v>0</v>
      </c>
      <c r="BH95" s="377">
        <f>-SUM(BG$11:BG$14)*'DB1'!$F$49</f>
        <v>0</v>
      </c>
      <c r="BI95" s="377">
        <f>-SUM(BH$11:BH$14)*'DB1'!$F$49</f>
        <v>0</v>
      </c>
      <c r="BJ95" s="377">
        <f>-SUM(BI$11:BI$14)*'DB1'!$F$49</f>
        <v>0</v>
      </c>
      <c r="BK95" s="377">
        <f>-SUM(BJ$11:BJ$14)*'DB1'!$F$49</f>
        <v>0</v>
      </c>
      <c r="BL95" s="377">
        <f>-SUM(BK$11:BK$14)*'DB1'!$F$49</f>
        <v>0</v>
      </c>
      <c r="BM95" s="377">
        <f>-SUM(BL$11:BL$14)*'DB1'!$F$49</f>
        <v>0</v>
      </c>
      <c r="BN95" s="377">
        <f>-SUM(BM$11:BM$14)*'DB1'!$F$49</f>
        <v>0</v>
      </c>
      <c r="BO95" s="377">
        <f>-SUM(BN$11:BN$14)*'DB1'!$F$49</f>
        <v>0</v>
      </c>
      <c r="BP95" s="377">
        <f>-SUM(BO$11:BO$14)*'DB1'!$F$49</f>
        <v>0</v>
      </c>
      <c r="BQ95" s="377">
        <f>-SUM(BP$11:BP$14)*'DB1'!$F$49</f>
        <v>0</v>
      </c>
      <c r="BR95" s="377">
        <f>-SUM(BQ$11:BQ$14)*'DB1'!$F$49</f>
        <v>0</v>
      </c>
    </row>
    <row r="96" spans="1:70">
      <c r="A96" s="374">
        <f t="shared" si="1"/>
        <v>0</v>
      </c>
      <c r="B96" s="359">
        <v>4205</v>
      </c>
      <c r="C96" s="359">
        <v>1</v>
      </c>
      <c r="D96" s="360" t="s">
        <v>949</v>
      </c>
      <c r="E96" s="360" t="s">
        <v>492</v>
      </c>
      <c r="F96" s="366" t="s">
        <v>448</v>
      </c>
      <c r="G96" s="360"/>
      <c r="H96" s="377"/>
      <c r="I96" s="540">
        <f t="shared" si="52"/>
        <v>-511147510.99199992</v>
      </c>
      <c r="J96" s="546"/>
      <c r="K96" s="383"/>
      <c r="L96" s="383"/>
      <c r="M96" s="383"/>
      <c r="N96" s="383"/>
      <c r="O96" s="383"/>
      <c r="P96" s="383"/>
      <c r="Q96" s="383"/>
      <c r="R96" s="383"/>
      <c r="S96" s="377">
        <f>-SUM(R$11:R$14)*'DB1'!$F$50</f>
        <v>0</v>
      </c>
      <c r="T96" s="377">
        <f>-SUM(S$11:S$14)*'DB1'!$F$50</f>
        <v>0</v>
      </c>
      <c r="U96" s="377">
        <f>-SUM(T$11:T$14)*'DB1'!$F$50</f>
        <v>0</v>
      </c>
      <c r="V96" s="377">
        <f>-SUM(U$11:U$14)*'DB1'!$F$50</f>
        <v>0</v>
      </c>
      <c r="W96" s="377">
        <f>-SUM(V$11:V$14)*'DB1'!$F$50</f>
        <v>0</v>
      </c>
      <c r="X96" s="377">
        <f>-SUM(W$11:W$14)*'DB1'!$F$50</f>
        <v>0</v>
      </c>
      <c r="Y96" s="377">
        <f>-SUM(X$11:X$14)*'DB1'!$F$50</f>
        <v>0</v>
      </c>
      <c r="Z96" s="377">
        <f>-SUM(Y$11:Y$14)*'DB1'!$F$50</f>
        <v>-13968818.181818184</v>
      </c>
      <c r="AA96" s="377">
        <f>-SUM(Z$11:Z$14)*'DB1'!$F$50</f>
        <v>-16606151.378007825</v>
      </c>
      <c r="AB96" s="377">
        <f>-SUM(AA$11:AA$14)*'DB1'!$F$50</f>
        <v>-17512366.171408761</v>
      </c>
      <c r="AC96" s="377">
        <f>-SUM(AB$11:AB$14)*'DB1'!$F$50</f>
        <v>-18509317.961323805</v>
      </c>
      <c r="AD96" s="377">
        <f>-SUM(AC$11:AC$14)*'DB1'!$F$50</f>
        <v>-19622931.603899859</v>
      </c>
      <c r="AE96" s="377">
        <f>-SUM(AD$11:AD$14)*'DB1'!$F$50</f>
        <v>-22109713.905044384</v>
      </c>
      <c r="AF96" s="377">
        <f>-SUM(AE$11:AE$14)*'DB1'!$F$50</f>
        <v>-23327366.459094662</v>
      </c>
      <c r="AG96" s="377">
        <f>-SUM(AF$11:AF$14)*'DB1'!$F$50</f>
        <v>-24790008.903733049</v>
      </c>
      <c r="AH96" s="377">
        <f>-SUM(AG$11:AG$14)*'DB1'!$F$50</f>
        <v>-26660967.832684949</v>
      </c>
      <c r="AI96" s="377">
        <f>-SUM(AH$11:AH$14)*'DB1'!$F$50</f>
        <v>-30136505.613685977</v>
      </c>
      <c r="AJ96" s="377">
        <f>-SUM(AI$11:AI$14)*'DB1'!$F$50</f>
        <v>-33698104.65030174</v>
      </c>
      <c r="AK96" s="377">
        <f>-SUM(AJ$11:AJ$14)*'DB1'!$F$50</f>
        <v>-17952659.372540381</v>
      </c>
      <c r="AL96" s="377">
        <f>-SUM(AK$11:AK$14)*'DB1'!$F$50</f>
        <v>-26218659.52761858</v>
      </c>
      <c r="AM96" s="377">
        <f>-SUM(AL$11:AL$14)*'DB1'!$F$50</f>
        <v>-41534237.411369093</v>
      </c>
      <c r="AN96" s="377">
        <f>-SUM(AM$11:AM$14)*'DB1'!$F$50</f>
        <v>-41534237.411369093</v>
      </c>
      <c r="AO96" s="377">
        <f>-SUM(AN$11:AN$14)*'DB1'!$F$50</f>
        <v>-26761354.811369095</v>
      </c>
      <c r="AP96" s="377">
        <f>-SUM(AO$11:AO$14)*'DB1'!$F$50</f>
        <v>-26761354.811369095</v>
      </c>
      <c r="AQ96" s="377">
        <f>-SUM(AP$11:AP$14)*'DB1'!$F$50</f>
        <v>-26761354.811369095</v>
      </c>
      <c r="AR96" s="377">
        <f>-SUM(AQ$11:AQ$14)*'DB1'!$F$50</f>
        <v>-26761354.811369095</v>
      </c>
      <c r="AS96" s="377">
        <f>-SUM(AR$11:AR$14)*'DB1'!$F$50</f>
        <v>-23352553.686859366</v>
      </c>
      <c r="AT96" s="377">
        <f>-SUM(AS$11:AS$14)*'DB1'!$F$50</f>
        <v>-6567491.6757637523</v>
      </c>
      <c r="AU96" s="377">
        <f>-SUM(AT$11:AT$14)*'DB1'!$F$50</f>
        <v>0</v>
      </c>
      <c r="AV96" s="377">
        <f>-SUM(AU$11:AU$14)*'DB1'!$F$50</f>
        <v>0</v>
      </c>
      <c r="AW96" s="377">
        <f>-SUM(AV$11:AV$14)*'DB1'!$F$50</f>
        <v>0</v>
      </c>
      <c r="AX96" s="377">
        <f>-SUM(AW$11:AW$14)*'DB1'!$F$50</f>
        <v>0</v>
      </c>
      <c r="AY96" s="377">
        <f>-SUM(AX$11:AX$14)*'DB1'!$F$50</f>
        <v>0</v>
      </c>
      <c r="AZ96" s="377">
        <f>-SUM(AY$11:AY$14)*'DB1'!$F$50</f>
        <v>0</v>
      </c>
      <c r="BA96" s="377">
        <f>-SUM(AZ$11:AZ$14)*'DB1'!$F$50</f>
        <v>0</v>
      </c>
      <c r="BB96" s="377">
        <f>-SUM(BA$11:BA$14)*'DB1'!$F$50</f>
        <v>0</v>
      </c>
      <c r="BC96" s="377">
        <f>-SUM(BB$11:BB$14)*'DB1'!$F$50</f>
        <v>0</v>
      </c>
      <c r="BD96" s="377">
        <f>-SUM(BC$11:BC$14)*'DB1'!$F$50</f>
        <v>0</v>
      </c>
      <c r="BE96" s="377">
        <f>-SUM(BD$11:BD$14)*'DB1'!$F$50</f>
        <v>0</v>
      </c>
      <c r="BF96" s="377">
        <f>-SUM(BE$11:BE$14)*'DB1'!$F$50</f>
        <v>0</v>
      </c>
      <c r="BG96" s="377">
        <f>-SUM(BF$11:BF$14)*'DB1'!$F$50</f>
        <v>0</v>
      </c>
      <c r="BH96" s="377">
        <f>-SUM(BG$11:BG$14)*'DB1'!$F$50</f>
        <v>0</v>
      </c>
      <c r="BI96" s="377">
        <f>-SUM(BH$11:BH$14)*'DB1'!$F$50</f>
        <v>0</v>
      </c>
      <c r="BJ96" s="377">
        <f>-SUM(BI$11:BI$14)*'DB1'!$F$50</f>
        <v>0</v>
      </c>
      <c r="BK96" s="377">
        <f>-SUM(BJ$11:BJ$14)*'DB1'!$F$50</f>
        <v>0</v>
      </c>
      <c r="BL96" s="377">
        <f>-SUM(BK$11:BK$14)*'DB1'!$F$50</f>
        <v>0</v>
      </c>
      <c r="BM96" s="377">
        <f>-SUM(BL$11:BL$14)*'DB1'!$F$50</f>
        <v>0</v>
      </c>
      <c r="BN96" s="377">
        <f>-SUM(BM$11:BM$14)*'DB1'!$F$50</f>
        <v>0</v>
      </c>
      <c r="BO96" s="377">
        <f>-SUM(BN$11:BN$14)*'DB1'!$F$50</f>
        <v>0</v>
      </c>
      <c r="BP96" s="377">
        <f>-SUM(BO$11:BO$14)*'DB1'!$F$50</f>
        <v>0</v>
      </c>
      <c r="BQ96" s="377">
        <f>-SUM(BP$11:BP$14)*'DB1'!$F$50</f>
        <v>0</v>
      </c>
      <c r="BR96" s="377">
        <f>-SUM(BQ$11:BQ$14)*'DB1'!$F$50</f>
        <v>0</v>
      </c>
    </row>
    <row r="97" spans="1:70">
      <c r="A97" s="374">
        <f t="shared" si="1"/>
        <v>0</v>
      </c>
      <c r="B97" s="359">
        <v>4206</v>
      </c>
      <c r="C97" s="359">
        <v>1</v>
      </c>
      <c r="D97" s="360" t="s">
        <v>858</v>
      </c>
      <c r="E97" s="360" t="s">
        <v>492</v>
      </c>
      <c r="F97" s="366" t="s">
        <v>448</v>
      </c>
      <c r="G97" s="360"/>
      <c r="H97" s="377"/>
      <c r="I97" s="540">
        <f t="shared" si="52"/>
        <v>0</v>
      </c>
      <c r="J97" s="546"/>
      <c r="K97" s="383"/>
      <c r="L97" s="383"/>
      <c r="M97" s="383"/>
      <c r="N97" s="383"/>
      <c r="O97" s="383"/>
      <c r="P97" s="383"/>
      <c r="Q97" s="383"/>
      <c r="R97" s="383"/>
      <c r="S97" s="377"/>
      <c r="T97" s="377"/>
      <c r="U97" s="377"/>
      <c r="V97" s="377"/>
      <c r="W97" s="377"/>
      <c r="X97" s="377"/>
      <c r="Y97" s="377"/>
      <c r="Z97" s="377"/>
      <c r="AA97" s="377"/>
      <c r="AB97" s="377"/>
      <c r="AC97" s="377"/>
      <c r="AD97" s="377"/>
      <c r="AE97" s="377"/>
      <c r="AF97" s="377"/>
      <c r="AG97" s="377"/>
      <c r="AH97" s="377"/>
      <c r="AI97" s="377"/>
      <c r="AJ97" s="377"/>
      <c r="AK97" s="377"/>
      <c r="AL97" s="377"/>
      <c r="AM97" s="377"/>
      <c r="AN97" s="377"/>
      <c r="AO97" s="377"/>
      <c r="AP97" s="377"/>
      <c r="AQ97" s="377"/>
      <c r="AR97" s="377"/>
      <c r="AS97" s="377"/>
      <c r="AT97" s="377"/>
      <c r="AU97" s="377"/>
      <c r="AV97" s="377"/>
      <c r="AW97" s="377"/>
      <c r="AX97" s="377"/>
      <c r="AY97" s="377"/>
      <c r="AZ97" s="377"/>
      <c r="BA97" s="377"/>
      <c r="BB97" s="377"/>
      <c r="BC97" s="377"/>
      <c r="BD97" s="377"/>
      <c r="BE97" s="377"/>
      <c r="BF97" s="377"/>
      <c r="BG97" s="377"/>
      <c r="BH97" s="377"/>
      <c r="BI97" s="377"/>
      <c r="BJ97" s="377"/>
      <c r="BK97" s="377"/>
      <c r="BL97" s="377"/>
      <c r="BM97" s="377"/>
      <c r="BN97" s="377"/>
      <c r="BO97" s="377"/>
      <c r="BP97" s="377"/>
      <c r="BQ97" s="377"/>
      <c r="BR97" s="377"/>
    </row>
    <row r="98" spans="1:70">
      <c r="A98" s="374">
        <f t="shared" si="1"/>
        <v>0</v>
      </c>
      <c r="B98" s="359">
        <v>4207</v>
      </c>
      <c r="C98" s="359">
        <v>1</v>
      </c>
      <c r="D98" s="360" t="s">
        <v>859</v>
      </c>
      <c r="E98" s="360" t="s">
        <v>492</v>
      </c>
      <c r="F98" s="366" t="s">
        <v>448</v>
      </c>
      <c r="G98" s="360"/>
      <c r="H98" s="377"/>
      <c r="I98" s="540">
        <f t="shared" si="52"/>
        <v>-76745162.592452824</v>
      </c>
      <c r="J98" s="546"/>
      <c r="K98" s="383"/>
      <c r="L98" s="383"/>
      <c r="M98" s="383"/>
      <c r="N98" s="383"/>
      <c r="O98" s="383"/>
      <c r="P98" s="383"/>
      <c r="Q98" s="383"/>
      <c r="R98" s="383"/>
      <c r="S98" s="377">
        <f>('CF1'!N8/'DB1'!$E$8+'CF1'!N11/'DB1'!$E$11+'CF1'!N13)*-'DB1'!$F$51+IF('CF1'!N$4="РнВ",(SUM('CF1'!N8:$BM$8)/'DB1'!$E$8+SUM('CF1'!N11:$BM$11)/'DB1'!$E$11+SUM('CF1'!N13:$BM$13))*-'DB1'!$F$51)</f>
        <v>0</v>
      </c>
      <c r="T98" s="377">
        <f>('CF1'!O8/'DB1'!$E$8+'CF1'!O11/'DB1'!$E$11+'CF1'!O13)*-'DB1'!$F$51+IF('CF1'!O$4="РнВ",(SUM('CF1'!O8:$BM$8)/'DB1'!$E$8+SUM('CF1'!O11:$BM$11)/'DB1'!$E$11+SUM('CF1'!O13:$BM$13))*-'DB1'!$F$51)</f>
        <v>0</v>
      </c>
      <c r="U98" s="377">
        <f>('CF1'!P8/'DB1'!$E$8+'CF1'!P11/'DB1'!$E$11+'CF1'!P13)*-'DB1'!$F$51+IF('CF1'!P$4="РнВ",(SUM('CF1'!P8:$BM$8)/'DB1'!$E$8+SUM('CF1'!P11:$BM$11)/'DB1'!$E$11+SUM('CF1'!P13:$BM$13))*-'DB1'!$F$51)</f>
        <v>0</v>
      </c>
      <c r="V98" s="377">
        <f>('CF1'!Q8/'DB1'!$E$8+'CF1'!Q11/'DB1'!$E$11+'CF1'!Q13)*-'DB1'!$F$51+IF('CF1'!Q$4="РнВ",(SUM('CF1'!Q8:$BM$8)/'DB1'!$E$8+SUM('CF1'!Q11:$BM$11)/'DB1'!$E$11+SUM('CF1'!Q13:$BM$13))*-'DB1'!$F$51)</f>
        <v>0</v>
      </c>
      <c r="W98" s="377">
        <f>('CF1'!R8/'DB1'!$E$8+'CF1'!R11/'DB1'!$E$11+'CF1'!R13)*-'DB1'!$F$51+IF('CF1'!R$4="РнВ",(SUM('CF1'!R8:$BM$8)/'DB1'!$E$8+SUM('CF1'!R11:$BM$11)/'DB1'!$E$11+SUM('CF1'!R13:$BM$13))*-'DB1'!$F$51)</f>
        <v>0</v>
      </c>
      <c r="X98" s="377">
        <f>('CF1'!S8/'DB1'!$E$8+'CF1'!S11/'DB1'!$E$11+'CF1'!S13)*-'DB1'!$F$51+IF('CF1'!S$4="РнВ",(SUM('CF1'!S8:$BM$8)/'DB1'!$E$8+SUM('CF1'!S11:$BM$11)/'DB1'!$E$11+SUM('CF1'!S13:$BM$13))*-'DB1'!$F$51)</f>
        <v>0</v>
      </c>
      <c r="Y98" s="377">
        <f>('CF1'!T8/'DB1'!$E$8+'CF1'!T11/'DB1'!$E$11+'CF1'!T13)*-'DB1'!$F$51+IF('CF1'!T$4="РнВ",(SUM('CF1'!T8:$BM$8)/'DB1'!$E$8+SUM('CF1'!T11:$BM$11)/'DB1'!$E$11+SUM('CF1'!T13:$BM$13))*-'DB1'!$F$51)</f>
        <v>-2598113.2075471701</v>
      </c>
      <c r="Z98" s="377">
        <f>('CF1'!U8/'DB1'!$E$8+'CF1'!U11/'DB1'!$E$11+'CF1'!U13)*-'DB1'!$F$51+IF('CF1'!U$4="РнВ",(SUM('CF1'!U8:$BM$8)/'DB1'!$E$8+SUM('CF1'!U11:$BM$11)/'DB1'!$E$11+SUM('CF1'!U13:$BM$13))*-'DB1'!$F$51)</f>
        <v>-2598113.2075471701</v>
      </c>
      <c r="AA98" s="377">
        <f>('CF1'!V8/'DB1'!$E$8+'CF1'!V11/'DB1'!$E$11+'CF1'!V13)*-'DB1'!$F$51+IF('CF1'!V$4="РнВ",(SUM('CF1'!V8:$BM$8)/'DB1'!$E$8+SUM('CF1'!V11:$BM$11)/'DB1'!$E$11+SUM('CF1'!V13:$BM$13))*-'DB1'!$F$51)</f>
        <v>-2598113.2075471701</v>
      </c>
      <c r="AB98" s="377">
        <f>('CF1'!W8/'DB1'!$E$8+'CF1'!W11/'DB1'!$E$11+'CF1'!W13)*-'DB1'!$F$51+IF('CF1'!W$4="РнВ",(SUM('CF1'!W8:$BM$8)/'DB1'!$E$8+SUM('CF1'!W11:$BM$11)/'DB1'!$E$11+SUM('CF1'!W13:$BM$13))*-'DB1'!$F$51)</f>
        <v>-2598113.2075471701</v>
      </c>
      <c r="AC98" s="377">
        <f>('CF1'!X8/'DB1'!$E$8+'CF1'!X11/'DB1'!$E$11+'CF1'!X13)*-'DB1'!$F$51+IF('CF1'!X$4="РнВ",(SUM('CF1'!X8:$BM$8)/'DB1'!$E$8+SUM('CF1'!X11:$BM$11)/'DB1'!$E$11+SUM('CF1'!X13:$BM$13))*-'DB1'!$F$51)</f>
        <v>-2598113.2075471701</v>
      </c>
      <c r="AD98" s="377">
        <f>('CF1'!Y8/'DB1'!$E$8+'CF1'!Y11/'DB1'!$E$11+'CF1'!Y13)*-'DB1'!$F$51+IF('CF1'!Y$4="РнВ",(SUM('CF1'!Y8:$BM$8)/'DB1'!$E$8+SUM('CF1'!Y11:$BM$11)/'DB1'!$E$11+SUM('CF1'!Y13:$BM$13))*-'DB1'!$F$51)</f>
        <v>-2598113.2075471701</v>
      </c>
      <c r="AE98" s="377">
        <f>('CF1'!Z8/'DB1'!$E$8+'CF1'!Z11/'DB1'!$E$11+'CF1'!Z13)*-'DB1'!$F$51+IF('CF1'!Z$4="РнВ",(SUM('CF1'!Z8:$BM$8)/'DB1'!$E$8+SUM('CF1'!Z11:$BM$11)/'DB1'!$E$11+SUM('CF1'!Z13:$BM$13))*-'DB1'!$F$51)</f>
        <v>-2598113.2075471701</v>
      </c>
      <c r="AF98" s="377">
        <f>('CF1'!AA8/'DB1'!$E$8+'CF1'!AA11/'DB1'!$E$11+'CF1'!AA13)*-'DB1'!$F$51+IF('CF1'!AA$4="РнВ",(SUM('CF1'!AA8:$BM$8)/'DB1'!$E$8+SUM('CF1'!AA11:$BM$11)/'DB1'!$E$11+SUM('CF1'!AA13:$BM$13))*-'DB1'!$F$51)</f>
        <v>-2598113.2075471701</v>
      </c>
      <c r="AG98" s="377">
        <f>('CF1'!AB8/'DB1'!$E$8+'CF1'!AB11/'DB1'!$E$11+'CF1'!AB13)*-'DB1'!$F$51+IF('CF1'!AB$4="РнВ",(SUM('CF1'!AB8:$BM$8)/'DB1'!$E$8+SUM('CF1'!AB11:$BM$11)/'DB1'!$E$11+SUM('CF1'!AB13:$BM$13))*-'DB1'!$F$51)</f>
        <v>-2598113.2075471701</v>
      </c>
      <c r="AH98" s="377">
        <f>('CF1'!AC8/'DB1'!$E$8+'CF1'!AC11/'DB1'!$E$11+'CF1'!AC13)*-'DB1'!$F$51+IF('CF1'!AC$4="РнВ",(SUM('CF1'!AC8:$BM$8)/'DB1'!$E$8+SUM('CF1'!AC11:$BM$11)/'DB1'!$E$11+SUM('CF1'!AC13:$BM$13))*-'DB1'!$F$51)</f>
        <v>-2598113.2075471701</v>
      </c>
      <c r="AI98" s="377">
        <f>('CF1'!AD8/'DB1'!$E$8+'CF1'!AD11/'DB1'!$E$11+'CF1'!AD13)*-'DB1'!$F$51+IF('CF1'!AD$4="РнВ",(SUM('CF1'!AD8:$BM$8)/'DB1'!$E$8+SUM('CF1'!AD11:$BM$11)/'DB1'!$E$11+SUM('CF1'!AD13:$BM$13))*-'DB1'!$F$51)</f>
        <v>-2598113.2075471701</v>
      </c>
      <c r="AJ98" s="377">
        <f>('CF1'!AE8/'DB1'!$E$8+'CF1'!AE11/'DB1'!$E$11+'CF1'!AE13)*-'DB1'!$F$51+IF('CF1'!AE$4="РнВ",(SUM('CF1'!AE8:$BM$8)/'DB1'!$E$8+SUM('CF1'!AE11:$BM$11)/'DB1'!$E$11+SUM('CF1'!AE13:$BM$13))*-'DB1'!$F$51)</f>
        <v>-26681071.862264145</v>
      </c>
      <c r="AK98" s="377">
        <f>('CF1'!AF8/'DB1'!$E$8+'CF1'!AF11/'DB1'!$E$11+'CF1'!AF13)*-'DB1'!$F$51+IF('CF1'!AF$4="РнВ",(SUM('CF1'!AF8:$BM$8)/'DB1'!$E$8+SUM('CF1'!AF11:$BM$11)/'DB1'!$E$11+SUM('CF1'!AF13:$BM$13))*-'DB1'!$F$51)</f>
        <v>-2598113.2075471701</v>
      </c>
      <c r="AL98" s="377">
        <f>('CF1'!AG8/'DB1'!$E$8+'CF1'!AG11/'DB1'!$E$11+'CF1'!AG13)*-'DB1'!$F$51+IF('CF1'!AG$4="РнВ",(SUM('CF1'!AG8:$BM$8)/'DB1'!$E$8+SUM('CF1'!AG11:$BM$11)/'DB1'!$E$11+SUM('CF1'!AG13:$BM$13))*-'DB1'!$F$51)</f>
        <v>-3125716.1575471694</v>
      </c>
      <c r="AM98" s="377">
        <f>('CF1'!AH8/'DB1'!$E$8+'CF1'!AH11/'DB1'!$E$11+'CF1'!AH13)*-'DB1'!$F$51+IF('CF1'!AH$4="РнВ",(SUM('CF1'!AH8:$BM$8)/'DB1'!$E$8+SUM('CF1'!AH11:$BM$11)/'DB1'!$E$11+SUM('CF1'!AH13:$BM$13))*-'DB1'!$F$51)</f>
        <v>-3125716.1575471694</v>
      </c>
      <c r="AN98" s="377">
        <f>('CF1'!AI8/'DB1'!$E$8+'CF1'!AI11/'DB1'!$E$11+'CF1'!AI13)*-'DB1'!$F$51+IF('CF1'!AI$4="РнВ",(SUM('CF1'!AI8:$BM$8)/'DB1'!$E$8+SUM('CF1'!AI11:$BM$11)/'DB1'!$E$11+SUM('CF1'!AI13:$BM$13))*-'DB1'!$F$51)</f>
        <v>-2598113.2075471701</v>
      </c>
      <c r="AO98" s="377">
        <f>('CF1'!AJ8/'DB1'!$E$8+'CF1'!AJ11/'DB1'!$E$11+'CF1'!AJ13)*-'DB1'!$F$51+IF('CF1'!AJ$4="РнВ",(SUM('CF1'!AJ8:$BM$8)/'DB1'!$E$8+SUM('CF1'!AJ11:$BM$11)/'DB1'!$E$11+SUM('CF1'!AJ13:$BM$13))*-'DB1'!$F$51)</f>
        <v>-2598113.2075471701</v>
      </c>
      <c r="AP98" s="377">
        <f>('CF1'!AK8/'DB1'!$E$8+'CF1'!AK11/'DB1'!$E$11+'CF1'!AK13)*-'DB1'!$F$51+IF('CF1'!AK$4="РнВ",(SUM('CF1'!AK8:$BM$8)/'DB1'!$E$8+SUM('CF1'!AK11:$BM$11)/'DB1'!$E$11+SUM('CF1'!AK13:$BM$13))*-'DB1'!$F$51)</f>
        <v>-2598113.2075471701</v>
      </c>
      <c r="AQ98" s="377">
        <f>('CF1'!AL8/'DB1'!$E$8+'CF1'!AL11/'DB1'!$E$11+'CF1'!AL13)*-'DB1'!$F$51+IF('CF1'!AL$4="РнВ",(SUM('CF1'!AL8:$BM$8)/'DB1'!$E$8+SUM('CF1'!AL11:$BM$11)/'DB1'!$E$11+SUM('CF1'!AL13:$BM$13))*-'DB1'!$F$51)</f>
        <v>-2598113.2075471701</v>
      </c>
      <c r="AR98" s="377">
        <f>('CF1'!AM8/'DB1'!$E$8+'CF1'!AM11/'DB1'!$E$11+'CF1'!AM13)*-'DB1'!$F$51+IF('CF1'!AM$4="РнВ",(SUM('CF1'!AM8:$BM$8)/'DB1'!$E$8+SUM('CF1'!AM11:$BM$11)/'DB1'!$E$11+SUM('CF1'!AM13:$BM$13))*-'DB1'!$F$51)</f>
        <v>-2242847.0943396143</v>
      </c>
      <c r="AS98" s="377">
        <f>('CF1'!AN8/'DB1'!$E$8+'CF1'!AN11/'DB1'!$E$11+'CF1'!AN13)*-'DB1'!$F$51+IF('CF1'!AN$4="РнВ",(SUM('CF1'!AN8:$BM$8)/'DB1'!$E$8+SUM('CF1'!AN11:$BM$11)/'DB1'!$E$11+SUM('CF1'!AN13:$BM$13))*-'DB1'!$F$51)</f>
        <v>0</v>
      </c>
      <c r="AT98" s="377">
        <f>('CF1'!AO8/'DB1'!$E$8+'CF1'!AO11/'DB1'!$E$11+'CF1'!AO13)*-'DB1'!$F$51+IF('CF1'!AO$4="РнВ",(SUM('CF1'!AO8:$BM$8)/'DB1'!$E$8+SUM('CF1'!AO11:$BM$11)/'DB1'!$E$11+SUM('CF1'!AO13:$BM$13))*-'DB1'!$F$51)</f>
        <v>0</v>
      </c>
      <c r="AU98" s="377">
        <f>('CF1'!AP8/'DB1'!$E$8+'CF1'!AP11/'DB1'!$E$11+'CF1'!AP13)*-'DB1'!$F$51+IF('CF1'!AP$4="РнВ",(SUM('CF1'!AP8:$BM$8)/'DB1'!$E$8+SUM('CF1'!AP11:$BM$11)/'DB1'!$E$11+SUM('CF1'!AP13:$BM$13))*-'DB1'!$F$51)</f>
        <v>0</v>
      </c>
      <c r="AV98" s="377">
        <f>('CF1'!AQ8/'DB1'!$E$8+'CF1'!AQ11/'DB1'!$E$11+'CF1'!AQ13)*-'DB1'!$F$51+IF('CF1'!AQ$4="РнВ",(SUM('CF1'!AQ8:$BM$8)/'DB1'!$E$8+SUM('CF1'!AQ11:$BM$11)/'DB1'!$E$11+SUM('CF1'!AQ13:$BM$13))*-'DB1'!$F$51)</f>
        <v>0</v>
      </c>
      <c r="AW98" s="377">
        <f>('CF1'!AR8/'DB1'!$E$8+'CF1'!AR11/'DB1'!$E$11+'CF1'!AR13)*-'DB1'!$F$51+IF('CF1'!AR$4="РнВ",(SUM('CF1'!AR8:$BM$8)/'DB1'!$E$8+SUM('CF1'!AR11:$BM$11)/'DB1'!$E$11+SUM('CF1'!AR13:$BM$13))*-'DB1'!$F$51)</f>
        <v>0</v>
      </c>
      <c r="AX98" s="377">
        <f>('CF1'!AS8/'DB1'!$E$8+'CF1'!AS11/'DB1'!$E$11+'CF1'!AS13)*-'DB1'!$F$51+IF('CF1'!AS$4="РнВ",(SUM('CF1'!AS8:$BM$8)/'DB1'!$E$8+SUM('CF1'!AS11:$BM$11)/'DB1'!$E$11+SUM('CF1'!AS13:$BM$13))*-'DB1'!$F$51)</f>
        <v>0</v>
      </c>
      <c r="AY98" s="377">
        <f>('CF1'!AT8/'DB1'!$E$8+'CF1'!AT11/'DB1'!$E$11+'CF1'!AT13)*-'DB1'!$F$51+IF('CF1'!AT$4="РнВ",(SUM('CF1'!AT8:$BM$8)/'DB1'!$E$8+SUM('CF1'!AT11:$BM$11)/'DB1'!$E$11+SUM('CF1'!AT13:$BM$13))*-'DB1'!$F$51)</f>
        <v>0</v>
      </c>
      <c r="AZ98" s="377">
        <f>('CF1'!AU8/'DB1'!$E$8+'CF1'!AU11/'DB1'!$E$11+'CF1'!AU13)*-'DB1'!$F$51+IF('CF1'!AU$4="РнВ",(SUM('CF1'!AU8:$BM$8)/'DB1'!$E$8+SUM('CF1'!AU11:$BM$11)/'DB1'!$E$11+SUM('CF1'!AU13:$BM$13))*-'DB1'!$F$51)</f>
        <v>0</v>
      </c>
      <c r="BA98" s="377">
        <f>('CF1'!AV8/'DB1'!$E$8+'CF1'!AV11/'DB1'!$E$11+'CF1'!AV13)*-'DB1'!$F$51+IF('CF1'!AV$4="РнВ",(SUM('CF1'!AV8:$BM$8)/'DB1'!$E$8+SUM('CF1'!AV11:$BM$11)/'DB1'!$E$11+SUM('CF1'!AV13:$BM$13))*-'DB1'!$F$51)</f>
        <v>0</v>
      </c>
      <c r="BB98" s="377">
        <f>('CF1'!AW8/'DB1'!$E$8+'CF1'!AW11/'DB1'!$E$11+'CF1'!AW13)*-'DB1'!$F$51+IF('CF1'!AW$4="РнВ",(SUM('CF1'!AW8:$BM$8)/'DB1'!$E$8+SUM('CF1'!AW11:$BM$11)/'DB1'!$E$11+SUM('CF1'!AW13:$BM$13))*-'DB1'!$F$51)</f>
        <v>0</v>
      </c>
      <c r="BC98" s="377">
        <f>('CF1'!AX8/'DB1'!$E$8+'CF1'!AX11/'DB1'!$E$11+'CF1'!AX13)*-'DB1'!$F$51+IF('CF1'!AX$4="РнВ",(SUM('CF1'!AX8:$BM$8)/'DB1'!$E$8+SUM('CF1'!AX11:$BM$11)/'DB1'!$E$11+SUM('CF1'!AX13:$BM$13))*-'DB1'!$F$51)</f>
        <v>0</v>
      </c>
      <c r="BD98" s="377">
        <f>('CF1'!AY8/'DB1'!$E$8+'CF1'!AY11/'DB1'!$E$11+'CF1'!AY13)*-'DB1'!$F$51+IF('CF1'!AY$4="РнВ",(SUM('CF1'!AY8:$BM$8)/'DB1'!$E$8+SUM('CF1'!AY11:$BM$11)/'DB1'!$E$11+SUM('CF1'!AY13:$BM$13))*-'DB1'!$F$51)</f>
        <v>0</v>
      </c>
      <c r="BE98" s="377">
        <f>('CF1'!AZ8/'DB1'!$E$8+'CF1'!AZ11/'DB1'!$E$11+'CF1'!AZ13)*-'DB1'!$F$51+IF('CF1'!AZ$4="РнВ",(SUM('CF1'!AZ8:$BM$8)/'DB1'!$E$8+SUM('CF1'!AZ11:$BM$11)/'DB1'!$E$11+SUM('CF1'!AZ13:$BM$13))*-'DB1'!$F$51)</f>
        <v>0</v>
      </c>
      <c r="BF98" s="377">
        <f>('CF1'!BA8/'DB1'!$E$8+'CF1'!BA11/'DB1'!$E$11+'CF1'!BA13)*-'DB1'!$F$51+IF('CF1'!BA$4="РнВ",(SUM('CF1'!BA8:$BM$8)/'DB1'!$E$8+SUM('CF1'!BA11:$BM$11)/'DB1'!$E$11+SUM('CF1'!BA13:$BM$13))*-'DB1'!$F$51)</f>
        <v>0</v>
      </c>
      <c r="BG98" s="377">
        <f>('CF1'!BB8/'DB1'!$E$8+'CF1'!BB11/'DB1'!$E$11+'CF1'!BB13)*-'DB1'!$F$51+IF('CF1'!BB$4="РнВ",(SUM('CF1'!BB8:$BM$8)/'DB1'!$E$8+SUM('CF1'!BB11:$BM$11)/'DB1'!$E$11+SUM('CF1'!BB13:$BM$13))*-'DB1'!$F$51)</f>
        <v>0</v>
      </c>
      <c r="BH98" s="377">
        <f>('CF1'!BC8/'DB1'!$E$8+'CF1'!BC11/'DB1'!$E$11+'CF1'!BC13)*-'DB1'!$F$51+IF('CF1'!BC$4="РнВ",(SUM('CF1'!BC8:$BM$8)/'DB1'!$E$8+SUM('CF1'!BC11:$BM$11)/'DB1'!$E$11+SUM('CF1'!BC13:$BM$13))*-'DB1'!$F$51)</f>
        <v>0</v>
      </c>
      <c r="BI98" s="377">
        <f>('CF1'!BD8/'DB1'!$E$8+'CF1'!BD11/'DB1'!$E$11+'CF1'!BD13)*-'DB1'!$F$51+IF('CF1'!BD$4="РнВ",(SUM('CF1'!BD8:$BM$8)/'DB1'!$E$8+SUM('CF1'!BD11:$BM$11)/'DB1'!$E$11+SUM('CF1'!BD13:$BM$13))*-'DB1'!$F$51)</f>
        <v>0</v>
      </c>
      <c r="BJ98" s="377">
        <f>('CF1'!BE8/'DB1'!$E$8+'CF1'!BE11/'DB1'!$E$11+'CF1'!BE13)*-'DB1'!$F$51+IF('CF1'!BE$4="РнВ",(SUM('CF1'!BE8:$BM$8)/'DB1'!$E$8+SUM('CF1'!BE11:$BM$11)/'DB1'!$E$11+SUM('CF1'!BE13:$BM$13))*-'DB1'!$F$51)</f>
        <v>0</v>
      </c>
      <c r="BK98" s="377">
        <f>('CF1'!BF8/'DB1'!$E$8+'CF1'!BF11/'DB1'!$E$11+'CF1'!BF13)*-'DB1'!$F$51+IF('CF1'!BF$4="РнВ",(SUM('CF1'!BF8:$BM$8)/'DB1'!$E$8+SUM('CF1'!BF11:$BM$11)/'DB1'!$E$11+SUM('CF1'!BF13:$BM$13))*-'DB1'!$F$51)</f>
        <v>0</v>
      </c>
      <c r="BL98" s="377">
        <f>('CF1'!BG8/'DB1'!$E$8+'CF1'!BG11/'DB1'!$E$11+'CF1'!BG13)*-'DB1'!$F$51+IF('CF1'!BG$4="РнВ",(SUM('CF1'!BG8:$BM$8)/'DB1'!$E$8+SUM('CF1'!BG11:$BM$11)/'DB1'!$E$11+SUM('CF1'!BG13:$BM$13))*-'DB1'!$F$51)</f>
        <v>0</v>
      </c>
      <c r="BM98" s="377">
        <f>('CF1'!BH8/'DB1'!$E$8+'CF1'!BH11/'DB1'!$E$11+'CF1'!BH13)*-'DB1'!$F$51+IF('CF1'!BH$4="РнВ",(SUM('CF1'!BH8:$BM$8)/'DB1'!$E$8+SUM('CF1'!BH11:$BM$11)/'DB1'!$E$11+SUM('CF1'!BH13:$BM$13))*-'DB1'!$F$51)</f>
        <v>0</v>
      </c>
      <c r="BN98" s="377">
        <f>('CF1'!BI8/'DB1'!$E$8+'CF1'!BI11/'DB1'!$E$11+'CF1'!BI13)*-'DB1'!$F$51+IF('CF1'!BI$4="РнВ",(SUM('CF1'!BI8:$BM$8)/'DB1'!$E$8+SUM('CF1'!BI11:$BM$11)/'DB1'!$E$11+SUM('CF1'!BI13:$BM$13))*-'DB1'!$F$51)</f>
        <v>0</v>
      </c>
      <c r="BO98" s="377">
        <f>('CF1'!BJ8/'DB1'!$E$8+'CF1'!BJ11/'DB1'!$E$11+'CF1'!BJ13)*-'DB1'!$F$51+IF('CF1'!BJ$4="РнВ",(SUM('CF1'!BJ8:$BM$8)/'DB1'!$E$8+SUM('CF1'!BJ11:$BM$11)/'DB1'!$E$11+SUM('CF1'!BJ13:$BM$13))*-'DB1'!$F$51)</f>
        <v>0</v>
      </c>
      <c r="BP98" s="377">
        <f>('CF1'!BK8/'DB1'!$E$8+'CF1'!BK11/'DB1'!$E$11+'CF1'!BK13)*-'DB1'!$F$51+IF('CF1'!BK$4="РнВ",(SUM('CF1'!BK8:$BM$8)/'DB1'!$E$8+SUM('CF1'!BK11:$BM$11)/'DB1'!$E$11+SUM('CF1'!BK13:$BM$13))*-'DB1'!$F$51)</f>
        <v>0</v>
      </c>
      <c r="BQ98" s="377">
        <f>('CF1'!BL8/'DB1'!$E$8+'CF1'!BL11/'DB1'!$E$11+'CF1'!BL13)*-'DB1'!$F$51+IF('CF1'!BL$4="РнВ",(SUM('CF1'!BL8:$BM$8)/'DB1'!$E$8+SUM('CF1'!BL11:$BM$11)/'DB1'!$E$11+SUM('CF1'!BL13:$BM$13))*-'DB1'!$F$51)</f>
        <v>0</v>
      </c>
      <c r="BR98" s="377">
        <f>('CF1'!BM8/'DB1'!$E$8+'CF1'!BM11/'DB1'!$E$11+'CF1'!BM13)*-'DB1'!$F$51+IF('CF1'!BM$4="РнВ",(SUM('CF1'!BM8:$BM$8)/'DB1'!$E$8+SUM('CF1'!BM11:$BM$11)/'DB1'!$E$11+SUM('CF1'!BM13:$BM$13))*-'DB1'!$F$51)</f>
        <v>0</v>
      </c>
    </row>
    <row r="99" spans="1:70">
      <c r="A99" s="374">
        <f t="shared" si="1"/>
        <v>0</v>
      </c>
      <c r="B99" s="359">
        <v>4208</v>
      </c>
      <c r="C99" s="359">
        <v>1</v>
      </c>
      <c r="D99" s="360" t="s">
        <v>860</v>
      </c>
      <c r="E99" s="360" t="s">
        <v>492</v>
      </c>
      <c r="F99" s="366" t="s">
        <v>448</v>
      </c>
      <c r="G99" s="360"/>
      <c r="H99" s="377"/>
      <c r="I99" s="540">
        <f t="shared" si="52"/>
        <v>0</v>
      </c>
      <c r="J99" s="546"/>
      <c r="K99" s="383"/>
      <c r="L99" s="383"/>
      <c r="M99" s="383"/>
      <c r="N99" s="383"/>
      <c r="O99" s="383"/>
      <c r="P99" s="383"/>
      <c r="Q99" s="383"/>
      <c r="R99" s="383"/>
      <c r="S99" s="377"/>
      <c r="T99" s="377"/>
      <c r="U99" s="377"/>
      <c r="V99" s="377"/>
      <c r="W99" s="377"/>
      <c r="X99" s="377"/>
      <c r="Y99" s="377"/>
      <c r="Z99" s="377"/>
      <c r="AA99" s="377"/>
      <c r="AB99" s="377"/>
      <c r="AC99" s="377"/>
      <c r="AD99" s="377"/>
      <c r="AE99" s="377"/>
      <c r="AF99" s="377"/>
      <c r="AG99" s="377"/>
      <c r="AH99" s="377"/>
      <c r="AI99" s="377"/>
      <c r="AJ99" s="377"/>
      <c r="AK99" s="377"/>
      <c r="AL99" s="377"/>
      <c r="AM99" s="377"/>
      <c r="AN99" s="377"/>
      <c r="AO99" s="377"/>
      <c r="AP99" s="377"/>
      <c r="AQ99" s="377"/>
      <c r="AR99" s="377"/>
      <c r="AS99" s="377"/>
      <c r="AT99" s="377"/>
      <c r="AU99" s="377"/>
      <c r="AV99" s="377"/>
      <c r="AW99" s="377"/>
      <c r="AX99" s="377"/>
      <c r="AY99" s="377"/>
      <c r="AZ99" s="377"/>
      <c r="BA99" s="377"/>
      <c r="BB99" s="377"/>
      <c r="BC99" s="377"/>
      <c r="BD99" s="377"/>
      <c r="BE99" s="377"/>
      <c r="BF99" s="377"/>
      <c r="BG99" s="377"/>
      <c r="BH99" s="377"/>
      <c r="BI99" s="377"/>
      <c r="BJ99" s="377"/>
      <c r="BK99" s="377"/>
      <c r="BL99" s="377"/>
      <c r="BM99" s="377"/>
      <c r="BN99" s="377"/>
      <c r="BO99" s="377"/>
      <c r="BP99" s="377"/>
      <c r="BQ99" s="377"/>
      <c r="BR99" s="377"/>
    </row>
    <row r="100" spans="1:70">
      <c r="A100" s="374">
        <f t="shared" ref="A100:A234" si="53">I100-SUM(K100:BR100)</f>
        <v>0</v>
      </c>
      <c r="B100" s="359"/>
      <c r="C100" s="359"/>
      <c r="D100" s="360"/>
      <c r="E100" s="360"/>
      <c r="F100" s="373"/>
      <c r="G100" s="360"/>
      <c r="H100" s="377"/>
      <c r="I100" s="537"/>
      <c r="J100" s="546"/>
      <c r="K100" s="383"/>
      <c r="L100" s="383"/>
      <c r="M100" s="383"/>
      <c r="N100" s="383"/>
      <c r="O100" s="383"/>
      <c r="P100" s="383"/>
      <c r="Q100" s="383"/>
      <c r="R100" s="383"/>
      <c r="S100" s="377"/>
      <c r="T100" s="377"/>
      <c r="U100" s="377"/>
      <c r="V100" s="377"/>
      <c r="W100" s="377"/>
      <c r="X100" s="377"/>
      <c r="Y100" s="377"/>
      <c r="Z100" s="377"/>
      <c r="AA100" s="377"/>
      <c r="AB100" s="377"/>
      <c r="AC100" s="377"/>
      <c r="AD100" s="377"/>
      <c r="AE100" s="377"/>
      <c r="AF100" s="377"/>
      <c r="AG100" s="377"/>
      <c r="AH100" s="377"/>
      <c r="AI100" s="377"/>
      <c r="AJ100" s="377"/>
      <c r="AK100" s="377"/>
      <c r="AL100" s="377"/>
      <c r="AM100" s="377"/>
      <c r="AN100" s="377"/>
      <c r="AO100" s="377"/>
      <c r="AP100" s="377"/>
      <c r="AQ100" s="377"/>
      <c r="AR100" s="377"/>
      <c r="AS100" s="377"/>
      <c r="AT100" s="377"/>
      <c r="AU100" s="377"/>
      <c r="AV100" s="377"/>
      <c r="AW100" s="377"/>
      <c r="AX100" s="377"/>
      <c r="AY100" s="377"/>
      <c r="AZ100" s="377"/>
      <c r="BA100" s="377"/>
      <c r="BB100" s="377"/>
      <c r="BC100" s="377"/>
      <c r="BD100" s="377"/>
      <c r="BE100" s="377"/>
      <c r="BF100" s="377"/>
      <c r="BG100" s="377"/>
      <c r="BH100" s="377"/>
      <c r="BI100" s="377"/>
      <c r="BJ100" s="377"/>
      <c r="BK100" s="377"/>
      <c r="BL100" s="377"/>
      <c r="BM100" s="377"/>
      <c r="BN100" s="377"/>
      <c r="BO100" s="377"/>
      <c r="BP100" s="377"/>
      <c r="BQ100" s="377"/>
      <c r="BR100" s="377"/>
    </row>
    <row r="101" spans="1:70">
      <c r="A101" s="374">
        <f t="shared" si="53"/>
        <v>0</v>
      </c>
      <c r="B101" s="359">
        <v>4201</v>
      </c>
      <c r="C101" s="359">
        <v>2</v>
      </c>
      <c r="D101" s="360" t="s">
        <v>857</v>
      </c>
      <c r="E101" s="360" t="s">
        <v>492</v>
      </c>
      <c r="F101" s="366" t="s">
        <v>448</v>
      </c>
      <c r="G101" s="360"/>
      <c r="H101" s="377"/>
      <c r="I101" s="540">
        <f t="shared" ref="I101:I105" si="54">SUM(K101:BR101)</f>
        <v>-1084514003.6400003</v>
      </c>
      <c r="J101" s="546"/>
      <c r="K101" s="383"/>
      <c r="L101" s="383"/>
      <c r="M101" s="383"/>
      <c r="N101" s="383"/>
      <c r="O101" s="383"/>
      <c r="P101" s="383"/>
      <c r="Q101" s="383"/>
      <c r="R101" s="383"/>
      <c r="S101" s="377">
        <f>-SUM(R$16:R$19)*'DB2'!$F$49</f>
        <v>0</v>
      </c>
      <c r="T101" s="377">
        <f>-SUM(S$16:S$19)*'DB2'!$F$49</f>
        <v>0</v>
      </c>
      <c r="U101" s="377">
        <f>-SUM(T$16:T$19)*'DB2'!$F$49</f>
        <v>0</v>
      </c>
      <c r="V101" s="377">
        <f>-SUM(U$16:U$19)*'DB2'!$F$49</f>
        <v>0</v>
      </c>
      <c r="W101" s="377">
        <f>-SUM(V$16:V$19)*'DB2'!$F$49</f>
        <v>0</v>
      </c>
      <c r="X101" s="377">
        <f>-SUM(W$16:W$19)*'DB2'!$F$49</f>
        <v>0</v>
      </c>
      <c r="Y101" s="377">
        <f>-SUM(X$16:X$19)*'DB2'!$F$49</f>
        <v>0</v>
      </c>
      <c r="Z101" s="377">
        <f>-SUM(Y$16:Y$19)*'DB2'!$F$49</f>
        <v>0</v>
      </c>
      <c r="AA101" s="377">
        <f>-SUM(Z$16:Z$19)*'DB2'!$F$49</f>
        <v>0</v>
      </c>
      <c r="AB101" s="377">
        <f>-SUM(AA$16:AA$19)*'DB2'!$F$49</f>
        <v>0</v>
      </c>
      <c r="AC101" s="377">
        <f>-SUM(AB$16:AB$19)*'DB2'!$F$49</f>
        <v>0</v>
      </c>
      <c r="AD101" s="377">
        <f>-SUM(AC$16:AC$19)*'DB2'!$F$49</f>
        <v>-37916836.363636367</v>
      </c>
      <c r="AE101" s="377">
        <f>-SUM(AD$16:AD$19)*'DB2'!$F$49</f>
        <v>-44393902.447929636</v>
      </c>
      <c r="AF101" s="377">
        <f>-SUM(AE$16:AE$19)*'DB2'!$F$49</f>
        <v>-46502507.393090412</v>
      </c>
      <c r="AG101" s="377">
        <f>-SUM(AF$16:AF$19)*'DB2'!$F$49</f>
        <v>-48787123.414335527</v>
      </c>
      <c r="AH101" s="377">
        <f>-SUM(AG$16:AG$19)*'DB2'!$F$49</f>
        <v>-51298039.390546247</v>
      </c>
      <c r="AI101" s="377">
        <f>-SUM(AH$16:AH$19)*'DB2'!$F$49</f>
        <v>-57208184.786265805</v>
      </c>
      <c r="AJ101" s="377">
        <f>-SUM(AI$16:AI$19)*'DB2'!$F$49</f>
        <v>-59767497.603347801</v>
      </c>
      <c r="AK101" s="377">
        <f>-SUM(AJ$16:AJ$19)*'DB2'!$F$49</f>
        <v>-62749237.00303223</v>
      </c>
      <c r="AL101" s="377">
        <f>-SUM(AK$16:AK$19)*'DB2'!$F$49</f>
        <v>-66435020.707054079</v>
      </c>
      <c r="AM101" s="377">
        <f>-SUM(AL$16:AL$19)*'DB2'!$F$49</f>
        <v>-75584068.695588931</v>
      </c>
      <c r="AN101" s="377">
        <f>-SUM(AM$16:AM$19)*'DB2'!$F$49</f>
        <v>-76791855.48263365</v>
      </c>
      <c r="AO101" s="377">
        <f>-SUM(AN$16:AN$19)*'DB2'!$F$49</f>
        <v>-64396654.657492146</v>
      </c>
      <c r="AP101" s="377">
        <f>-SUM(AO$16:AO$19)*'DB2'!$F$49</f>
        <v>-68000099.635747001</v>
      </c>
      <c r="AQ101" s="377">
        <f>-SUM(AP$16:AP$19)*'DB2'!$F$49</f>
        <v>-94838713.885747001</v>
      </c>
      <c r="AR101" s="377">
        <f>-SUM(AQ$16:AQ$19)*'DB2'!$F$49</f>
        <v>-94838713.885747001</v>
      </c>
      <c r="AS101" s="377">
        <f>-SUM(AR$16:AR$19)*'DB2'!$F$49</f>
        <v>-68000099.635747001</v>
      </c>
      <c r="AT101" s="377">
        <f>-SUM(AS$16:AS$19)*'DB2'!$F$49</f>
        <v>-65668948.652059831</v>
      </c>
      <c r="AU101" s="377">
        <f>-SUM(AT$16:AT$19)*'DB2'!$F$49</f>
        <v>-1336500.0000000054</v>
      </c>
      <c r="AV101" s="377">
        <f>-SUM(AU$16:AU$19)*'DB2'!$F$49</f>
        <v>0</v>
      </c>
      <c r="AW101" s="377">
        <f>-SUM(AV$16:AV$19)*'DB2'!$F$49</f>
        <v>0</v>
      </c>
      <c r="AX101" s="377">
        <f>-SUM(AW$16:AW$19)*'DB2'!$F$49</f>
        <v>0</v>
      </c>
      <c r="AY101" s="377">
        <f>-SUM(AX$16:AX$19)*'DB2'!$F$49</f>
        <v>0</v>
      </c>
      <c r="AZ101" s="377">
        <f>-SUM(AY$16:AY$19)*'DB2'!$F$49</f>
        <v>0</v>
      </c>
      <c r="BA101" s="377">
        <f>-SUM(AZ$16:AZ$19)*'DB2'!$F$49</f>
        <v>0</v>
      </c>
      <c r="BB101" s="377">
        <f>-SUM(BA$16:BA$19)*'DB2'!$F$49</f>
        <v>0</v>
      </c>
      <c r="BC101" s="377">
        <f>-SUM(BB$16:BB$19)*'DB2'!$F$49</f>
        <v>0</v>
      </c>
      <c r="BD101" s="377">
        <f>-SUM(BC$16:BC$19)*'DB2'!$F$49</f>
        <v>0</v>
      </c>
      <c r="BE101" s="377">
        <f>-SUM(BD$16:BD$19)*'DB2'!$F$49</f>
        <v>0</v>
      </c>
      <c r="BF101" s="377">
        <f>-SUM(BE$16:BE$19)*'DB2'!$F$49</f>
        <v>0</v>
      </c>
      <c r="BG101" s="377">
        <f>-SUM(BF$16:BF$19)*'DB2'!$F$49</f>
        <v>0</v>
      </c>
      <c r="BH101" s="377">
        <f>-SUM(BG$16:BG$19)*'DB2'!$F$49</f>
        <v>0</v>
      </c>
      <c r="BI101" s="377">
        <f>-SUM(BH$16:BH$19)*'DB2'!$F$49</f>
        <v>0</v>
      </c>
      <c r="BJ101" s="377">
        <f>-SUM(BI$16:BI$19)*'DB2'!$F$49</f>
        <v>0</v>
      </c>
      <c r="BK101" s="377">
        <f>-SUM(BJ$16:BJ$19)*'DB2'!$F$49</f>
        <v>0</v>
      </c>
      <c r="BL101" s="377">
        <f>-SUM(BK$16:BK$19)*'DB2'!$F$49</f>
        <v>0</v>
      </c>
      <c r="BM101" s="377">
        <f>-SUM(BL$16:BL$19)*'DB2'!$F$49</f>
        <v>0</v>
      </c>
      <c r="BN101" s="377">
        <f>-SUM(BM$16:BM$19)*'DB2'!$F$49</f>
        <v>0</v>
      </c>
      <c r="BO101" s="377">
        <f>-SUM(BN$16:BN$19)*'DB2'!$F$49</f>
        <v>0</v>
      </c>
      <c r="BP101" s="377">
        <f>-SUM(BO$16:BO$19)*'DB2'!$F$49</f>
        <v>0</v>
      </c>
      <c r="BQ101" s="377">
        <f>-SUM(BP$16:BP$19)*'DB2'!$F$49</f>
        <v>0</v>
      </c>
      <c r="BR101" s="377">
        <f>-SUM(BQ$16:BQ$19)*'DB2'!$F$49</f>
        <v>0</v>
      </c>
    </row>
    <row r="102" spans="1:70">
      <c r="A102" s="374">
        <f t="shared" si="53"/>
        <v>0</v>
      </c>
      <c r="B102" s="359">
        <v>4205</v>
      </c>
      <c r="C102" s="359">
        <v>2</v>
      </c>
      <c r="D102" s="360" t="s">
        <v>949</v>
      </c>
      <c r="E102" s="360" t="s">
        <v>492</v>
      </c>
      <c r="F102" s="366" t="s">
        <v>448</v>
      </c>
      <c r="G102" s="360"/>
      <c r="H102" s="377"/>
      <c r="I102" s="540">
        <f t="shared" si="54"/>
        <v>-433805601.45600039</v>
      </c>
      <c r="J102" s="546"/>
      <c r="K102" s="383"/>
      <c r="L102" s="383"/>
      <c r="M102" s="383"/>
      <c r="N102" s="383"/>
      <c r="O102" s="383"/>
      <c r="P102" s="383"/>
      <c r="Q102" s="383"/>
      <c r="R102" s="383"/>
      <c r="S102" s="377">
        <f>-SUM(R$16:R$19)*'DB2'!$F$50</f>
        <v>0</v>
      </c>
      <c r="T102" s="377">
        <f>-SUM(S$16:S$19)*'DB2'!$F$50</f>
        <v>0</v>
      </c>
      <c r="U102" s="377">
        <f>-SUM(T$16:T$19)*'DB2'!$F$50</f>
        <v>0</v>
      </c>
      <c r="V102" s="377">
        <f>-SUM(U$16:U$19)*'DB2'!$F$50</f>
        <v>0</v>
      </c>
      <c r="W102" s="377">
        <f>-SUM(V$16:V$19)*'DB2'!$F$50</f>
        <v>0</v>
      </c>
      <c r="X102" s="377">
        <f>-SUM(W$16:W$19)*'DB2'!$F$50</f>
        <v>0</v>
      </c>
      <c r="Y102" s="377">
        <f>-SUM(X$16:X$19)*'DB2'!$F$50</f>
        <v>0</v>
      </c>
      <c r="Z102" s="377">
        <f>-SUM(Y$16:Y$19)*'DB2'!$F$50</f>
        <v>0</v>
      </c>
      <c r="AA102" s="377">
        <f>-SUM(Z$16:Z$19)*'DB2'!$F$50</f>
        <v>0</v>
      </c>
      <c r="AB102" s="377">
        <f>-SUM(AA$16:AA$19)*'DB2'!$F$50</f>
        <v>0</v>
      </c>
      <c r="AC102" s="377">
        <f>-SUM(AB$16:AB$19)*'DB2'!$F$50</f>
        <v>0</v>
      </c>
      <c r="AD102" s="377">
        <f>-SUM(AC$16:AC$19)*'DB2'!$F$50</f>
        <v>-15166734.545454547</v>
      </c>
      <c r="AE102" s="377">
        <f>-SUM(AD$16:AD$19)*'DB2'!$F$50</f>
        <v>-17757560.979171857</v>
      </c>
      <c r="AF102" s="377">
        <f>-SUM(AE$16:AE$19)*'DB2'!$F$50</f>
        <v>-18601002.957236167</v>
      </c>
      <c r="AG102" s="377">
        <f>-SUM(AF$16:AF$19)*'DB2'!$F$50</f>
        <v>-19514849.365734212</v>
      </c>
      <c r="AH102" s="377">
        <f>-SUM(AG$16:AG$19)*'DB2'!$F$50</f>
        <v>-20519215.7562185</v>
      </c>
      <c r="AI102" s="377">
        <f>-SUM(AH$16:AH$19)*'DB2'!$F$50</f>
        <v>-22883273.914506324</v>
      </c>
      <c r="AJ102" s="377">
        <f>-SUM(AI$16:AI$19)*'DB2'!$F$50</f>
        <v>-23906999.041339122</v>
      </c>
      <c r="AK102" s="377">
        <f>-SUM(AJ$16:AJ$19)*'DB2'!$F$50</f>
        <v>-25099694.801212892</v>
      </c>
      <c r="AL102" s="377">
        <f>-SUM(AK$16:AK$19)*'DB2'!$F$50</f>
        <v>-26574008.282821633</v>
      </c>
      <c r="AM102" s="377">
        <f>-SUM(AL$16:AL$19)*'DB2'!$F$50</f>
        <v>-30233627.478235573</v>
      </c>
      <c r="AN102" s="377">
        <f>-SUM(AM$16:AM$19)*'DB2'!$F$50</f>
        <v>-30716742.193053465</v>
      </c>
      <c r="AO102" s="377">
        <f>-SUM(AN$16:AN$19)*'DB2'!$F$50</f>
        <v>-25758661.862996858</v>
      </c>
      <c r="AP102" s="377">
        <f>-SUM(AO$16:AO$19)*'DB2'!$F$50</f>
        <v>-27200039.8542988</v>
      </c>
      <c r="AQ102" s="377">
        <f>-SUM(AP$16:AP$19)*'DB2'!$F$50</f>
        <v>-37935485.554298803</v>
      </c>
      <c r="AR102" s="377">
        <f>-SUM(AQ$16:AQ$19)*'DB2'!$F$50</f>
        <v>-37935485.554298803</v>
      </c>
      <c r="AS102" s="377">
        <f>-SUM(AR$16:AR$19)*'DB2'!$F$50</f>
        <v>-27200039.8542988</v>
      </c>
      <c r="AT102" s="377">
        <f>-SUM(AS$16:AS$19)*'DB2'!$F$50</f>
        <v>-26267579.460823935</v>
      </c>
      <c r="AU102" s="377">
        <f>-SUM(AT$16:AT$19)*'DB2'!$F$50</f>
        <v>-534600.00000000221</v>
      </c>
      <c r="AV102" s="377">
        <f>-SUM(AU$16:AU$19)*'DB2'!$F$50</f>
        <v>0</v>
      </c>
      <c r="AW102" s="377">
        <f>-SUM(AV$16:AV$19)*'DB2'!$F$50</f>
        <v>0</v>
      </c>
      <c r="AX102" s="377">
        <f>-SUM(AW$16:AW$19)*'DB2'!$F$50</f>
        <v>0</v>
      </c>
      <c r="AY102" s="377">
        <f>-SUM(AX$16:AX$19)*'DB2'!$F$50</f>
        <v>0</v>
      </c>
      <c r="AZ102" s="377">
        <f>-SUM(AY$16:AY$19)*'DB2'!$F$50</f>
        <v>0</v>
      </c>
      <c r="BA102" s="377">
        <f>-SUM(AZ$16:AZ$19)*'DB2'!$F$50</f>
        <v>0</v>
      </c>
      <c r="BB102" s="377">
        <f>-SUM(BA$16:BA$19)*'DB2'!$F$50</f>
        <v>0</v>
      </c>
      <c r="BC102" s="377">
        <f>-SUM(BB$16:BB$19)*'DB2'!$F$50</f>
        <v>0</v>
      </c>
      <c r="BD102" s="377">
        <f>-SUM(BC$16:BC$19)*'DB2'!$F$50</f>
        <v>0</v>
      </c>
      <c r="BE102" s="377">
        <f>-SUM(BD$16:BD$19)*'DB2'!$F$50</f>
        <v>0</v>
      </c>
      <c r="BF102" s="377">
        <f>-SUM(BE$16:BE$19)*'DB2'!$F$50</f>
        <v>0</v>
      </c>
      <c r="BG102" s="377">
        <f>-SUM(BF$16:BF$19)*'DB2'!$F$50</f>
        <v>0</v>
      </c>
      <c r="BH102" s="377">
        <f>-SUM(BG$16:BG$19)*'DB2'!$F$50</f>
        <v>0</v>
      </c>
      <c r="BI102" s="377">
        <f>-SUM(BH$16:BH$19)*'DB2'!$F$50</f>
        <v>0</v>
      </c>
      <c r="BJ102" s="377">
        <f>-SUM(BI$16:BI$19)*'DB2'!$F$50</f>
        <v>0</v>
      </c>
      <c r="BK102" s="377">
        <f>-SUM(BJ$16:BJ$19)*'DB2'!$F$50</f>
        <v>0</v>
      </c>
      <c r="BL102" s="377">
        <f>-SUM(BK$16:BK$19)*'DB2'!$F$50</f>
        <v>0</v>
      </c>
      <c r="BM102" s="377">
        <f>-SUM(BL$16:BL$19)*'DB2'!$F$50</f>
        <v>0</v>
      </c>
      <c r="BN102" s="377">
        <f>-SUM(BM$16:BM$19)*'DB2'!$F$50</f>
        <v>0</v>
      </c>
      <c r="BO102" s="377">
        <f>-SUM(BN$16:BN$19)*'DB2'!$F$50</f>
        <v>0</v>
      </c>
      <c r="BP102" s="377">
        <f>-SUM(BO$16:BO$19)*'DB2'!$F$50</f>
        <v>0</v>
      </c>
      <c r="BQ102" s="377">
        <f>-SUM(BP$16:BP$19)*'DB2'!$F$50</f>
        <v>0</v>
      </c>
      <c r="BR102" s="377">
        <f>-SUM(BQ$16:BQ$19)*'DB2'!$F$50</f>
        <v>0</v>
      </c>
    </row>
    <row r="103" spans="1:70">
      <c r="A103" s="374">
        <f t="shared" si="53"/>
        <v>0</v>
      </c>
      <c r="B103" s="359">
        <v>4206</v>
      </c>
      <c r="C103" s="359">
        <v>2</v>
      </c>
      <c r="D103" s="360" t="s">
        <v>858</v>
      </c>
      <c r="E103" s="360" t="s">
        <v>492</v>
      </c>
      <c r="F103" s="366" t="s">
        <v>448</v>
      </c>
      <c r="G103" s="360"/>
      <c r="H103" s="377"/>
      <c r="I103" s="540">
        <f t="shared" si="54"/>
        <v>0</v>
      </c>
      <c r="J103" s="546"/>
      <c r="K103" s="383"/>
      <c r="L103" s="383"/>
      <c r="M103" s="383"/>
      <c r="N103" s="383"/>
      <c r="O103" s="383"/>
      <c r="P103" s="383"/>
      <c r="Q103" s="383"/>
      <c r="R103" s="383"/>
      <c r="S103" s="377"/>
      <c r="T103" s="377"/>
      <c r="U103" s="377"/>
      <c r="V103" s="377"/>
      <c r="W103" s="377"/>
      <c r="X103" s="377"/>
      <c r="Y103" s="377"/>
      <c r="Z103" s="377"/>
      <c r="AA103" s="377"/>
      <c r="AB103" s="377"/>
      <c r="AC103" s="377"/>
      <c r="AD103" s="377"/>
      <c r="AE103" s="377"/>
      <c r="AF103" s="377"/>
      <c r="AG103" s="377"/>
      <c r="AH103" s="377"/>
      <c r="AI103" s="377"/>
      <c r="AJ103" s="377"/>
      <c r="AK103" s="377"/>
      <c r="AL103" s="377"/>
      <c r="AM103" s="377"/>
      <c r="AN103" s="377"/>
      <c r="AO103" s="377"/>
      <c r="AP103" s="377"/>
      <c r="AQ103" s="377"/>
      <c r="AR103" s="377"/>
      <c r="AS103" s="377"/>
      <c r="AT103" s="377"/>
      <c r="AU103" s="377"/>
      <c r="AV103" s="377"/>
      <c r="AW103" s="377"/>
      <c r="AX103" s="377"/>
      <c r="AY103" s="377"/>
      <c r="AZ103" s="377"/>
      <c r="BA103" s="377"/>
      <c r="BB103" s="377"/>
      <c r="BC103" s="377"/>
      <c r="BD103" s="377"/>
      <c r="BE103" s="377"/>
      <c r="BF103" s="377"/>
      <c r="BG103" s="377"/>
      <c r="BH103" s="377"/>
      <c r="BI103" s="377"/>
      <c r="BJ103" s="377"/>
      <c r="BK103" s="377"/>
      <c r="BL103" s="377"/>
      <c r="BM103" s="377"/>
      <c r="BN103" s="377"/>
      <c r="BO103" s="377"/>
      <c r="BP103" s="377"/>
      <c r="BQ103" s="377"/>
      <c r="BR103" s="377"/>
    </row>
    <row r="104" spans="1:70">
      <c r="A104" s="374">
        <f t="shared" si="53"/>
        <v>0</v>
      </c>
      <c r="B104" s="359">
        <v>4207</v>
      </c>
      <c r="C104" s="359">
        <v>2</v>
      </c>
      <c r="D104" s="360" t="s">
        <v>859</v>
      </c>
      <c r="E104" s="360" t="s">
        <v>492</v>
      </c>
      <c r="F104" s="366" t="s">
        <v>448</v>
      </c>
      <c r="G104" s="360"/>
      <c r="H104" s="377"/>
      <c r="I104" s="540">
        <f t="shared" si="54"/>
        <v>-61331381.439622648</v>
      </c>
      <c r="J104" s="546"/>
      <c r="K104" s="383"/>
      <c r="L104" s="383"/>
      <c r="M104" s="383"/>
      <c r="N104" s="383"/>
      <c r="O104" s="383"/>
      <c r="P104" s="383"/>
      <c r="Q104" s="383"/>
      <c r="R104" s="383"/>
      <c r="S104" s="377">
        <f>('CF2'!N8/'DB1'!$E$8+'CF2'!N11/'DB2'!$E$11+'CF2'!N13)*-'DB2'!$F$51+IF('CF2'!N$3="РнВ",(SUM('CF2'!N8:$BM$8)/'DB2'!$E$8+SUM('CF2'!N11:$BM$11)/'DB2'!$E$11+SUM('CF2'!N13:$BM$13))*-'DB2'!$F$51)</f>
        <v>0</v>
      </c>
      <c r="T104" s="377">
        <f>('CF2'!O8/'DB1'!$E$8+'CF2'!O11/'DB2'!$E$11+'CF2'!O13)*-'DB2'!$F$51+IF('CF2'!O$3="РнВ",(SUM('CF2'!O8:$BM$8)/'DB2'!$E$8+SUM('CF2'!O11:$BM$11)/'DB2'!$E$11+SUM('CF2'!O13:$BM$13))*-'DB2'!$F$51)</f>
        <v>0</v>
      </c>
      <c r="U104" s="377">
        <f>('CF2'!P8/'DB1'!$E$8+'CF2'!P11/'DB2'!$E$11+'CF2'!P13)*-'DB2'!$F$51+IF('CF2'!P$3="РнВ",(SUM('CF2'!P8:$BM$8)/'DB2'!$E$8+SUM('CF2'!P11:$BM$11)/'DB2'!$E$11+SUM('CF2'!P13:$BM$13))*-'DB2'!$F$51)</f>
        <v>0</v>
      </c>
      <c r="V104" s="377">
        <f>('CF2'!Q8/'DB1'!$E$8+'CF2'!Q11/'DB2'!$E$11+'CF2'!Q13)*-'DB2'!$F$51+IF('CF2'!Q$3="РнВ",(SUM('CF2'!Q8:$BM$8)/'DB2'!$E$8+SUM('CF2'!Q11:$BM$11)/'DB2'!$E$11+SUM('CF2'!Q13:$BM$13))*-'DB2'!$F$51)</f>
        <v>0</v>
      </c>
      <c r="W104" s="377">
        <f>('CF2'!R8/'DB1'!$E$8+'CF2'!R11/'DB2'!$E$11+'CF2'!R13)*-'DB2'!$F$51+IF('CF2'!R$3="РнВ",(SUM('CF2'!R8:$BM$8)/'DB2'!$E$8+SUM('CF2'!R11:$BM$11)/'DB2'!$E$11+SUM('CF2'!R13:$BM$13))*-'DB2'!$F$51)</f>
        <v>0</v>
      </c>
      <c r="X104" s="377">
        <f>('CF2'!S8/'DB1'!$E$8+'CF2'!S11/'DB2'!$E$11+'CF2'!S13)*-'DB2'!$F$51+IF('CF2'!S$3="РнВ",(SUM('CF2'!S8:$BM$8)/'DB2'!$E$8+SUM('CF2'!S11:$BM$11)/'DB2'!$E$11+SUM('CF2'!S13:$BM$13))*-'DB2'!$F$51)</f>
        <v>0</v>
      </c>
      <c r="Y104" s="377">
        <f>('CF2'!T8/'DB1'!$E$8+'CF2'!T11/'DB2'!$E$11+'CF2'!T13)*-'DB2'!$F$51+IF('CF2'!T$3="РнВ",(SUM('CF2'!T8:$BM$8)/'DB2'!$E$8+SUM('CF2'!T11:$BM$11)/'DB2'!$E$11+SUM('CF2'!T13:$BM$13))*-'DB2'!$F$51)</f>
        <v>0</v>
      </c>
      <c r="Z104" s="377">
        <f>('CF2'!U8/'DB1'!$E$8+'CF2'!U11/'DB2'!$E$11+'CF2'!U13)*-'DB2'!$F$51+IF('CF2'!U$3="РнВ",(SUM('CF2'!U8:$BM$8)/'DB2'!$E$8+SUM('CF2'!U11:$BM$11)/'DB2'!$E$11+SUM('CF2'!U13:$BM$13))*-'DB2'!$F$51)</f>
        <v>0</v>
      </c>
      <c r="AA104" s="377">
        <f>('CF2'!V8/'DB1'!$E$8+'CF2'!V11/'DB2'!$E$11+'CF2'!V13)*-'DB2'!$F$51+IF('CF2'!V$3="РнВ",(SUM('CF2'!V8:$BM$8)/'DB2'!$E$8+SUM('CF2'!V11:$BM$11)/'DB2'!$E$11+SUM('CF2'!V13:$BM$13))*-'DB2'!$F$51)</f>
        <v>0</v>
      </c>
      <c r="AB104" s="377">
        <f>('CF2'!W8/'DB1'!$E$8+'CF2'!W11/'DB2'!$E$11+'CF2'!W13)*-'DB2'!$F$51+IF('CF2'!W$3="РнВ",(SUM('CF2'!W8:$BM$8)/'DB2'!$E$8+SUM('CF2'!W11:$BM$11)/'DB2'!$E$11+SUM('CF2'!W13:$BM$13))*-'DB2'!$F$51)</f>
        <v>0</v>
      </c>
      <c r="AC104" s="377">
        <f>('CF2'!X8/'DB1'!$E$8+'CF2'!X11/'DB2'!$E$11+'CF2'!X13)*-'DB2'!$F$51+IF('CF2'!X$3="РнВ",(SUM('CF2'!X8:$BM$8)/'DB2'!$E$8+SUM('CF2'!X11:$BM$11)/'DB2'!$E$11+SUM('CF2'!X13:$BM$13))*-'DB2'!$F$51)</f>
        <v>-2598113.2075471701</v>
      </c>
      <c r="AD104" s="377">
        <f>('CF2'!Y8/'DB1'!$E$8+'CF2'!Y11/'DB2'!$E$11+'CF2'!Y13)*-'DB2'!$F$51+IF('CF2'!Y$3="РнВ",(SUM('CF2'!Y8:$BM$8)/'DB2'!$E$8+SUM('CF2'!Y11:$BM$11)/'DB2'!$E$11+SUM('CF2'!Y13:$BM$13))*-'DB2'!$F$51)</f>
        <v>-2598113.2075471701</v>
      </c>
      <c r="AE104" s="377">
        <f>('CF2'!Z8/'DB1'!$E$8+'CF2'!Z11/'DB2'!$E$11+'CF2'!Z13)*-'DB2'!$F$51+IF('CF2'!Z$3="РнВ",(SUM('CF2'!Z8:$BM$8)/'DB2'!$E$8+SUM('CF2'!Z11:$BM$11)/'DB2'!$E$11+SUM('CF2'!Z13:$BM$13))*-'DB2'!$F$51)</f>
        <v>-2598113.2075471701</v>
      </c>
      <c r="AF104" s="377">
        <f>('CF2'!AA8/'DB1'!$E$8+'CF2'!AA11/'DB2'!$E$11+'CF2'!AA13)*-'DB2'!$F$51+IF('CF2'!AA$3="РнВ",(SUM('CF2'!AA8:$BM$8)/'DB2'!$E$8+SUM('CF2'!AA11:$BM$11)/'DB2'!$E$11+SUM('CF2'!AA13:$BM$13))*-'DB2'!$F$51)</f>
        <v>-2598113.2075471701</v>
      </c>
      <c r="AG104" s="377">
        <f>('CF2'!AB8/'DB1'!$E$8+'CF2'!AB11/'DB2'!$E$11+'CF2'!AB13)*-'DB2'!$F$51+IF('CF2'!AB$3="РнВ",(SUM('CF2'!AB8:$BM$8)/'DB2'!$E$8+SUM('CF2'!AB11:$BM$11)/'DB2'!$E$11+SUM('CF2'!AB13:$BM$13))*-'DB2'!$F$51)</f>
        <v>-2598113.2075471701</v>
      </c>
      <c r="AH104" s="377">
        <f>('CF2'!AC8/'DB1'!$E$8+'CF2'!AC11/'DB2'!$E$11+'CF2'!AC13)*-'DB2'!$F$51+IF('CF2'!AC$3="РнВ",(SUM('CF2'!AC8:$BM$8)/'DB2'!$E$8+SUM('CF2'!AC11:$BM$11)/'DB2'!$E$11+SUM('CF2'!AC13:$BM$13))*-'DB2'!$F$51)</f>
        <v>-2598113.2075471701</v>
      </c>
      <c r="AI104" s="377">
        <f>('CF2'!AD8/'DB1'!$E$8+'CF2'!AD11/'DB2'!$E$11+'CF2'!AD13)*-'DB2'!$F$51+IF('CF2'!AD$3="РнВ",(SUM('CF2'!AD8:$BM$8)/'DB2'!$E$8+SUM('CF2'!AD11:$BM$11)/'DB2'!$E$11+SUM('CF2'!AD13:$BM$13))*-'DB2'!$F$51)</f>
        <v>-2598113.2075471701</v>
      </c>
      <c r="AJ104" s="377">
        <f>('CF2'!AE8/'DB1'!$E$8+'CF2'!AE11/'DB2'!$E$11+'CF2'!AE13)*-'DB2'!$F$51+IF('CF2'!AE$3="РнВ",(SUM('CF2'!AE8:$BM$8)/'DB2'!$E$8+SUM('CF2'!AE11:$BM$11)/'DB2'!$E$11+SUM('CF2'!AE13:$BM$13))*-'DB2'!$F$51)</f>
        <v>-2598113.2075471701</v>
      </c>
      <c r="AK104" s="377">
        <f>('CF2'!AF8/'DB1'!$E$8+'CF2'!AF11/'DB2'!$E$11+'CF2'!AF13)*-'DB2'!$F$51+IF('CF2'!AF$3="РнВ",(SUM('CF2'!AF8:$BM$8)/'DB2'!$E$8+SUM('CF2'!AF11:$BM$11)/'DB2'!$E$11+SUM('CF2'!AF13:$BM$13))*-'DB2'!$F$51)</f>
        <v>-2598113.2075471701</v>
      </c>
      <c r="AL104" s="377">
        <f>('CF2'!AG8/'DB1'!$E$8+'CF2'!AG11/'DB2'!$E$11+'CF2'!AG13)*-'DB2'!$F$51+IF('CF2'!AG$3="РнВ",(SUM('CF2'!AG8:$BM$8)/'DB2'!$E$8+SUM('CF2'!AG11:$BM$11)/'DB2'!$E$11+SUM('CF2'!AG13:$BM$13))*-'DB2'!$F$51)</f>
        <v>-2598113.2075471701</v>
      </c>
      <c r="AM104" s="377">
        <f>('CF2'!AH8/'DB1'!$E$8+'CF2'!AH11/'DB2'!$E$11+'CF2'!AH13)*-'DB2'!$F$51+IF('CF2'!AH$3="РнВ",(SUM('CF2'!AH8:$BM$8)/'DB2'!$E$8+SUM('CF2'!AH11:$BM$11)/'DB2'!$E$11+SUM('CF2'!AH13:$BM$13))*-'DB2'!$F$51)</f>
        <v>-2598113.2075471701</v>
      </c>
      <c r="AN104" s="377">
        <f>('CF2'!AI8/'DB1'!$E$8+'CF2'!AI11/'DB2'!$E$11+'CF2'!AI13)*-'DB2'!$F$51+IF('CF2'!AI$3="РнВ",(SUM('CF2'!AI8:$BM$8)/'DB2'!$E$8+SUM('CF2'!AI11:$BM$11)/'DB2'!$E$11+SUM('CF2'!AI13:$BM$13))*-'DB2'!$F$51)</f>
        <v>-18974181.285849061</v>
      </c>
      <c r="AO104" s="377">
        <f>('CF2'!AJ8/'DB1'!$E$8+'CF2'!AJ11/'DB2'!$E$11+'CF2'!AJ13)*-'DB2'!$F$51+IF('CF2'!AJ$3="РнВ",(SUM('CF2'!AJ8:$BM$8)/'DB2'!$E$8+SUM('CF2'!AJ11:$BM$11)/'DB2'!$E$11+SUM('CF2'!AJ13:$BM$13))*-'DB2'!$F$51)</f>
        <v>-2598113.2075471701</v>
      </c>
      <c r="AP104" s="377">
        <f>('CF2'!AK8/'DB1'!$E$8+'CF2'!AK11/'DB2'!$E$11+'CF2'!AK13)*-'DB2'!$F$51+IF('CF2'!AK$3="РнВ",(SUM('CF2'!AK8:$BM$8)/'DB2'!$E$8+SUM('CF2'!AK11:$BM$11)/'DB2'!$E$11+SUM('CF2'!AK13:$BM$13))*-'DB2'!$F$51)</f>
        <v>-2981521.9825471696</v>
      </c>
      <c r="AQ104" s="377">
        <f>('CF2'!AL8/'DB1'!$E$8+'CF2'!AL11/'DB2'!$E$11+'CF2'!AL13)*-'DB2'!$F$51+IF('CF2'!AL$3="РнВ",(SUM('CF2'!AL8:$BM$8)/'DB2'!$E$8+SUM('CF2'!AL11:$BM$11)/'DB2'!$E$11+SUM('CF2'!AL13:$BM$13))*-'DB2'!$F$51)</f>
        <v>-2981521.9825471696</v>
      </c>
      <c r="AR104" s="377">
        <f>('CF2'!AM8/'DB1'!$E$8+'CF2'!AM11/'DB2'!$E$11+'CF2'!AM13)*-'DB2'!$F$51+IF('CF2'!AM$3="РнВ",(SUM('CF2'!AM8:$BM$8)/'DB2'!$E$8+SUM('CF2'!AM11:$BM$11)/'DB2'!$E$11+SUM('CF2'!AM13:$BM$13))*-'DB2'!$F$51)</f>
        <v>-2598113.2075471701</v>
      </c>
      <c r="AS104" s="377">
        <f>('CF2'!AN8/'DB1'!$E$8+'CF2'!AN11/'DB2'!$E$11+'CF2'!AN13)*-'DB2'!$F$51+IF('CF2'!AN$3="РнВ",(SUM('CF2'!AN8:$BM$8)/'DB2'!$E$8+SUM('CF2'!AN11:$BM$11)/'DB2'!$E$11+SUM('CF2'!AN13:$BM$13))*-'DB2'!$F$51)</f>
        <v>-2618684.4905660399</v>
      </c>
      <c r="AT104" s="377">
        <f>('CF2'!AO8/'DB1'!$E$8+'CF2'!AO11/'DB2'!$E$11+'CF2'!AO13)*-'DB2'!$F$51+IF('CF2'!AO$3="РнВ",(SUM('CF2'!AO8:$BM$8)/'DB2'!$E$8+SUM('CF2'!AO11:$BM$11)/'DB2'!$E$11+SUM('CF2'!AO13:$BM$13))*-'DB2'!$F$51)</f>
        <v>0</v>
      </c>
      <c r="AU104" s="377">
        <f>('CF2'!AP8/'DB1'!$E$8+'CF2'!AP11/'DB2'!$E$11+'CF2'!AP13)*-'DB2'!$F$51+IF('CF2'!AP$3="РнВ",(SUM('CF2'!AP8:$BM$8)/'DB2'!$E$8+SUM('CF2'!AP11:$BM$11)/'DB2'!$E$11+SUM('CF2'!AP13:$BM$13))*-'DB2'!$F$51)</f>
        <v>0</v>
      </c>
      <c r="AV104" s="377">
        <f>('CF2'!AQ8/'DB1'!$E$8+'CF2'!AQ11/'DB2'!$E$11+'CF2'!AQ13)*-'DB2'!$F$51+IF('CF2'!AQ$3="РнВ",(SUM('CF2'!AQ8:$BM$8)/'DB2'!$E$8+SUM('CF2'!AQ11:$BM$11)/'DB2'!$E$11+SUM('CF2'!AQ13:$BM$13))*-'DB2'!$F$51)</f>
        <v>0</v>
      </c>
      <c r="AW104" s="377">
        <f>('CF2'!AR8/'DB1'!$E$8+'CF2'!AR11/'DB2'!$E$11+'CF2'!AR13)*-'DB2'!$F$51+IF('CF2'!AR$3="РнВ",(SUM('CF2'!AR8:$BM$8)/'DB2'!$E$8+SUM('CF2'!AR11:$BM$11)/'DB2'!$E$11+SUM('CF2'!AR13:$BM$13))*-'DB2'!$F$51)</f>
        <v>0</v>
      </c>
      <c r="AX104" s="377">
        <f>('CF2'!AS8/'DB1'!$E$8+'CF2'!AS11/'DB2'!$E$11+'CF2'!AS13)*-'DB2'!$F$51+IF('CF2'!AS$3="РнВ",(SUM('CF2'!AS8:$BM$8)/'DB2'!$E$8+SUM('CF2'!AS11:$BM$11)/'DB2'!$E$11+SUM('CF2'!AS13:$BM$13))*-'DB2'!$F$51)</f>
        <v>0</v>
      </c>
      <c r="AY104" s="377">
        <f>('CF2'!AT8/'DB1'!$E$8+'CF2'!AT11/'DB2'!$E$11+'CF2'!AT13)*-'DB2'!$F$51+IF('CF2'!AT$3="РнВ",(SUM('CF2'!AT8:$BM$8)/'DB2'!$E$8+SUM('CF2'!AT11:$BM$11)/'DB2'!$E$11+SUM('CF2'!AT13:$BM$13))*-'DB2'!$F$51)</f>
        <v>0</v>
      </c>
      <c r="AZ104" s="377">
        <f>('CF2'!AU8/'DB1'!$E$8+'CF2'!AU11/'DB2'!$E$11+'CF2'!AU13)*-'DB2'!$F$51+IF('CF2'!AU$3="РнВ",(SUM('CF2'!AU8:$BM$8)/'DB2'!$E$8+SUM('CF2'!AU11:$BM$11)/'DB2'!$E$11+SUM('CF2'!AU13:$BM$13))*-'DB2'!$F$51)</f>
        <v>0</v>
      </c>
      <c r="BA104" s="377">
        <f>('CF2'!AV8/'DB1'!$E$8+'CF2'!AV11/'DB2'!$E$11+'CF2'!AV13)*-'DB2'!$F$51+IF('CF2'!AV$3="РнВ",(SUM('CF2'!AV8:$BM$8)/'DB2'!$E$8+SUM('CF2'!AV11:$BM$11)/'DB2'!$E$11+SUM('CF2'!AV13:$BM$13))*-'DB2'!$F$51)</f>
        <v>0</v>
      </c>
      <c r="BB104" s="377">
        <f>('CF2'!AW8/'DB1'!$E$8+'CF2'!AW11/'DB2'!$E$11+'CF2'!AW13)*-'DB2'!$F$51+IF('CF2'!AW$3="РнВ",(SUM('CF2'!AW8:$BM$8)/'DB2'!$E$8+SUM('CF2'!AW11:$BM$11)/'DB2'!$E$11+SUM('CF2'!AW13:$BM$13))*-'DB2'!$F$51)</f>
        <v>0</v>
      </c>
      <c r="BC104" s="377">
        <f>('CF2'!AX8/'DB1'!$E$8+'CF2'!AX11/'DB2'!$E$11+'CF2'!AX13)*-'DB2'!$F$51+IF('CF2'!AX$3="РнВ",(SUM('CF2'!AX8:$BM$8)/'DB2'!$E$8+SUM('CF2'!AX11:$BM$11)/'DB2'!$E$11+SUM('CF2'!AX13:$BM$13))*-'DB2'!$F$51)</f>
        <v>0</v>
      </c>
      <c r="BD104" s="377">
        <f>('CF2'!AY8/'DB1'!$E$8+'CF2'!AY11/'DB2'!$E$11+'CF2'!AY13)*-'DB2'!$F$51+IF('CF2'!AY$3="РнВ",(SUM('CF2'!AY8:$BM$8)/'DB2'!$E$8+SUM('CF2'!AY11:$BM$11)/'DB2'!$E$11+SUM('CF2'!AY13:$BM$13))*-'DB2'!$F$51)</f>
        <v>0</v>
      </c>
      <c r="BE104" s="377">
        <f>('CF2'!AZ8/'DB1'!$E$8+'CF2'!AZ11/'DB2'!$E$11+'CF2'!AZ13)*-'DB2'!$F$51+IF('CF2'!AZ$3="РнВ",(SUM('CF2'!AZ8:$BM$8)/'DB2'!$E$8+SUM('CF2'!AZ11:$BM$11)/'DB2'!$E$11+SUM('CF2'!AZ13:$BM$13))*-'DB2'!$F$51)</f>
        <v>0</v>
      </c>
      <c r="BF104" s="377">
        <f>('CF2'!BA8/'DB1'!$E$8+'CF2'!BA11/'DB2'!$E$11+'CF2'!BA13)*-'DB2'!$F$51+IF('CF2'!BA$3="РнВ",(SUM('CF2'!BA8:$BM$8)/'DB2'!$E$8+SUM('CF2'!BA11:$BM$11)/'DB2'!$E$11+SUM('CF2'!BA13:$BM$13))*-'DB2'!$F$51)</f>
        <v>0</v>
      </c>
      <c r="BG104" s="377">
        <f>('CF2'!BB8/'DB1'!$E$8+'CF2'!BB11/'DB2'!$E$11+'CF2'!BB13)*-'DB2'!$F$51+IF('CF2'!BB$3="РнВ",(SUM('CF2'!BB8:$BM$8)/'DB2'!$E$8+SUM('CF2'!BB11:$BM$11)/'DB2'!$E$11+SUM('CF2'!BB13:$BM$13))*-'DB2'!$F$51)</f>
        <v>0</v>
      </c>
      <c r="BH104" s="377">
        <f>('CF2'!BC8/'DB1'!$E$8+'CF2'!BC11/'DB2'!$E$11+'CF2'!BC13)*-'DB2'!$F$51+IF('CF2'!BC$3="РнВ",(SUM('CF2'!BC8:$BM$8)/'DB2'!$E$8+SUM('CF2'!BC11:$BM$11)/'DB2'!$E$11+SUM('CF2'!BC13:$BM$13))*-'DB2'!$F$51)</f>
        <v>0</v>
      </c>
      <c r="BI104" s="377">
        <f>('CF2'!BD8/'DB1'!$E$8+'CF2'!BD11/'DB2'!$E$11+'CF2'!BD13)*-'DB2'!$F$51+IF('CF2'!BD$3="РнВ",(SUM('CF2'!BD8:$BM$8)/'DB2'!$E$8+SUM('CF2'!BD11:$BM$11)/'DB2'!$E$11+SUM('CF2'!BD13:$BM$13))*-'DB2'!$F$51)</f>
        <v>0</v>
      </c>
      <c r="BJ104" s="377">
        <f>('CF2'!BE8/'DB1'!$E$8+'CF2'!BE11/'DB2'!$E$11+'CF2'!BE13)*-'DB2'!$F$51+IF('CF2'!BE$3="РнВ",(SUM('CF2'!BE8:$BM$8)/'DB2'!$E$8+SUM('CF2'!BE11:$BM$11)/'DB2'!$E$11+SUM('CF2'!BE13:$BM$13))*-'DB2'!$F$51)</f>
        <v>0</v>
      </c>
      <c r="BK104" s="377">
        <f>('CF2'!BF8/'DB1'!$E$8+'CF2'!BF11/'DB2'!$E$11+'CF2'!BF13)*-'DB2'!$F$51+IF('CF2'!BF$3="РнВ",(SUM('CF2'!BF8:$BM$8)/'DB2'!$E$8+SUM('CF2'!BF11:$BM$11)/'DB2'!$E$11+SUM('CF2'!BF13:$BM$13))*-'DB2'!$F$51)</f>
        <v>0</v>
      </c>
      <c r="BL104" s="377">
        <f>('CF2'!BG8/'DB1'!$E$8+'CF2'!BG11/'DB2'!$E$11+'CF2'!BG13)*-'DB2'!$F$51+IF('CF2'!BG$3="РнВ",(SUM('CF2'!BG8:$BM$8)/'DB2'!$E$8+SUM('CF2'!BG11:$BM$11)/'DB2'!$E$11+SUM('CF2'!BG13:$BM$13))*-'DB2'!$F$51)</f>
        <v>0</v>
      </c>
      <c r="BM104" s="377">
        <f>('CF2'!BH8/'DB1'!$E$8+'CF2'!BH11/'DB2'!$E$11+'CF2'!BH13)*-'DB2'!$F$51+IF('CF2'!BH$3="РнВ",(SUM('CF2'!BH8:$BM$8)/'DB2'!$E$8+SUM('CF2'!BH11:$BM$11)/'DB2'!$E$11+SUM('CF2'!BH13:$BM$13))*-'DB2'!$F$51)</f>
        <v>0</v>
      </c>
      <c r="BN104" s="377">
        <f>('CF2'!BI8/'DB1'!$E$8+'CF2'!BI11/'DB2'!$E$11+'CF2'!BI13)*-'DB2'!$F$51+IF('CF2'!BI$3="РнВ",(SUM('CF2'!BI8:$BM$8)/'DB2'!$E$8+SUM('CF2'!BI11:$BM$11)/'DB2'!$E$11+SUM('CF2'!BI13:$BM$13))*-'DB2'!$F$51)</f>
        <v>0</v>
      </c>
      <c r="BO104" s="377">
        <f>('CF2'!BJ8/'DB1'!$E$8+'CF2'!BJ11/'DB2'!$E$11+'CF2'!BJ13)*-'DB2'!$F$51+IF('CF2'!BJ$3="РнВ",(SUM('CF2'!BJ8:$BM$8)/'DB2'!$E$8+SUM('CF2'!BJ11:$BM$11)/'DB2'!$E$11+SUM('CF2'!BJ13:$BM$13))*-'DB2'!$F$51)</f>
        <v>0</v>
      </c>
      <c r="BP104" s="377">
        <f>('CF2'!BK8/'DB1'!$E$8+'CF2'!BK11/'DB2'!$E$11+'CF2'!BK13)*-'DB2'!$F$51+IF('CF2'!BK$3="РнВ",(SUM('CF2'!BK8:$BM$8)/'DB2'!$E$8+SUM('CF2'!BK11:$BM$11)/'DB2'!$E$11+SUM('CF2'!BK13:$BM$13))*-'DB2'!$F$51)</f>
        <v>0</v>
      </c>
      <c r="BQ104" s="377">
        <f>('CF2'!BL8/'DB1'!$E$8+'CF2'!BL11/'DB2'!$E$11+'CF2'!BL13)*-'DB2'!$F$51+IF('CF2'!BL$3="РнВ",(SUM('CF2'!BL8:$BM$8)/'DB2'!$E$8+SUM('CF2'!BL11:$BM$11)/'DB2'!$E$11+SUM('CF2'!BL13:$BM$13))*-'DB2'!$F$51)</f>
        <v>0</v>
      </c>
      <c r="BR104" s="377">
        <f>('CF2'!BM8/'DB1'!$E$8+'CF2'!BM11/'DB2'!$E$11+'CF2'!BM13)*-'DB2'!$F$51+IF('CF2'!BM$3="РнВ",(SUM('CF2'!BM8:$BM$8)/'DB2'!$E$8+SUM('CF2'!BM11:$BM$11)/'DB2'!$E$11+SUM('CF2'!BM13:$BM$13))*-'DB2'!$F$51)</f>
        <v>0</v>
      </c>
    </row>
    <row r="105" spans="1:70">
      <c r="A105" s="374">
        <f t="shared" si="53"/>
        <v>0</v>
      </c>
      <c r="B105" s="359">
        <v>4208</v>
      </c>
      <c r="C105" s="359">
        <v>2</v>
      </c>
      <c r="D105" s="360" t="s">
        <v>860</v>
      </c>
      <c r="E105" s="360" t="s">
        <v>492</v>
      </c>
      <c r="F105" s="366" t="s">
        <v>448</v>
      </c>
      <c r="G105" s="360"/>
      <c r="H105" s="377"/>
      <c r="I105" s="540">
        <f t="shared" si="54"/>
        <v>0</v>
      </c>
      <c r="J105" s="546"/>
      <c r="K105" s="383"/>
      <c r="L105" s="383"/>
      <c r="M105" s="383"/>
      <c r="N105" s="383"/>
      <c r="O105" s="383"/>
      <c r="P105" s="383"/>
      <c r="Q105" s="383"/>
      <c r="R105" s="383"/>
      <c r="S105" s="377"/>
      <c r="T105" s="377"/>
      <c r="U105" s="377"/>
      <c r="V105" s="377"/>
      <c r="W105" s="377"/>
      <c r="X105" s="377"/>
      <c r="Y105" s="377"/>
      <c r="Z105" s="377"/>
      <c r="AA105" s="377"/>
      <c r="AB105" s="377"/>
      <c r="AC105" s="377"/>
      <c r="AD105" s="377"/>
      <c r="AE105" s="377"/>
      <c r="AF105" s="377"/>
      <c r="AG105" s="377"/>
      <c r="AH105" s="377"/>
      <c r="AI105" s="377"/>
      <c r="AJ105" s="377"/>
      <c r="AK105" s="377"/>
      <c r="AL105" s="377"/>
      <c r="AM105" s="377"/>
      <c r="AN105" s="377"/>
      <c r="AO105" s="377"/>
      <c r="AP105" s="377"/>
      <c r="AQ105" s="377"/>
      <c r="AR105" s="377"/>
      <c r="AS105" s="377"/>
      <c r="AT105" s="377"/>
      <c r="AU105" s="377"/>
      <c r="AV105" s="377"/>
      <c r="AW105" s="377"/>
      <c r="AX105" s="377"/>
      <c r="AY105" s="377"/>
      <c r="AZ105" s="377"/>
      <c r="BA105" s="377"/>
      <c r="BB105" s="377"/>
      <c r="BC105" s="377"/>
      <c r="BD105" s="377"/>
      <c r="BE105" s="377"/>
      <c r="BF105" s="377"/>
      <c r="BG105" s="377"/>
      <c r="BH105" s="377"/>
      <c r="BI105" s="377"/>
      <c r="BJ105" s="377"/>
      <c r="BK105" s="377"/>
      <c r="BL105" s="377"/>
      <c r="BM105" s="377"/>
      <c r="BN105" s="377"/>
      <c r="BO105" s="377"/>
      <c r="BP105" s="377"/>
      <c r="BQ105" s="377"/>
      <c r="BR105" s="377"/>
    </row>
    <row r="106" spans="1:70" s="353" customFormat="1">
      <c r="A106" s="374">
        <f t="shared" si="53"/>
        <v>0</v>
      </c>
      <c r="B106" s="363">
        <v>4300</v>
      </c>
      <c r="C106" s="363"/>
      <c r="D106" s="364" t="s">
        <v>432</v>
      </c>
      <c r="E106" s="364"/>
      <c r="F106" s="364"/>
      <c r="G106" s="364"/>
      <c r="H106" s="378">
        <f t="shared" ref="H106:AM106" si="55">SUM(H107:H122)</f>
        <v>0</v>
      </c>
      <c r="I106" s="538">
        <f t="shared" si="55"/>
        <v>-2362382781.1200008</v>
      </c>
      <c r="J106" s="547">
        <f t="shared" si="55"/>
        <v>0</v>
      </c>
      <c r="K106" s="378">
        <f t="shared" si="55"/>
        <v>0</v>
      </c>
      <c r="L106" s="378">
        <f t="shared" si="55"/>
        <v>0</v>
      </c>
      <c r="M106" s="378">
        <f t="shared" si="55"/>
        <v>0</v>
      </c>
      <c r="N106" s="378">
        <f t="shared" si="55"/>
        <v>0</v>
      </c>
      <c r="O106" s="378">
        <f t="shared" si="55"/>
        <v>0</v>
      </c>
      <c r="P106" s="378">
        <f t="shared" si="55"/>
        <v>0</v>
      </c>
      <c r="Q106" s="378">
        <f t="shared" si="55"/>
        <v>0</v>
      </c>
      <c r="R106" s="378">
        <f t="shared" si="55"/>
        <v>0</v>
      </c>
      <c r="S106" s="378">
        <f t="shared" si="55"/>
        <v>0</v>
      </c>
      <c r="T106" s="378">
        <f t="shared" si="55"/>
        <v>-1500000</v>
      </c>
      <c r="U106" s="378">
        <f t="shared" si="55"/>
        <v>-500000</v>
      </c>
      <c r="V106" s="378">
        <f t="shared" si="55"/>
        <v>-1500000</v>
      </c>
      <c r="W106" s="378">
        <f t="shared" si="55"/>
        <v>-15000000</v>
      </c>
      <c r="X106" s="378">
        <f t="shared" si="55"/>
        <v>-9250000</v>
      </c>
      <c r="Y106" s="378">
        <f t="shared" si="55"/>
        <v>-73953438.873999998</v>
      </c>
      <c r="Z106" s="378">
        <f t="shared" si="55"/>
        <v>-61903438.873999998</v>
      </c>
      <c r="AA106" s="378">
        <f t="shared" si="55"/>
        <v>-61903438.873999998</v>
      </c>
      <c r="AB106" s="378">
        <f t="shared" si="55"/>
        <v>-61903438.873999998</v>
      </c>
      <c r="AC106" s="378">
        <f t="shared" si="55"/>
        <v>-125698380.26458828</v>
      </c>
      <c r="AD106" s="378">
        <f t="shared" si="55"/>
        <v>-125698380.26458828</v>
      </c>
      <c r="AE106" s="378">
        <f t="shared" si="55"/>
        <v>-125698380.26458828</v>
      </c>
      <c r="AF106" s="378">
        <f t="shared" si="55"/>
        <v>-125698380.26458828</v>
      </c>
      <c r="AG106" s="378">
        <f t="shared" si="55"/>
        <v>-125698380.26458828</v>
      </c>
      <c r="AH106" s="378">
        <f t="shared" si="55"/>
        <v>-125698380.26458828</v>
      </c>
      <c r="AI106" s="378">
        <f t="shared" si="55"/>
        <v>-125698380.26458828</v>
      </c>
      <c r="AJ106" s="378">
        <f t="shared" si="55"/>
        <v>-125698380.26458828</v>
      </c>
      <c r="AK106" s="378">
        <f t="shared" si="55"/>
        <v>-125698380.26458828</v>
      </c>
      <c r="AL106" s="378">
        <f t="shared" si="55"/>
        <v>-125698380.26458828</v>
      </c>
      <c r="AM106" s="378">
        <f t="shared" si="55"/>
        <v>-125698380.26458828</v>
      </c>
      <c r="AN106" s="378">
        <f t="shared" ref="AN106:BR106" si="56">SUM(AN107:AN122)</f>
        <v>-125698380.26458828</v>
      </c>
      <c r="AO106" s="378">
        <f t="shared" si="56"/>
        <v>-125698380.26458828</v>
      </c>
      <c r="AP106" s="378">
        <f t="shared" si="56"/>
        <v>-125698380.26458828</v>
      </c>
      <c r="AQ106" s="378">
        <f t="shared" si="56"/>
        <v>-125698380.26458828</v>
      </c>
      <c r="AR106" s="378">
        <f t="shared" si="56"/>
        <v>-125698380.26458828</v>
      </c>
      <c r="AS106" s="378">
        <f t="shared" si="56"/>
        <v>-63794941.390588284</v>
      </c>
      <c r="AT106" s="378">
        <f t="shared" si="56"/>
        <v>0</v>
      </c>
      <c r="AU106" s="378">
        <f t="shared" si="56"/>
        <v>0</v>
      </c>
      <c r="AV106" s="378">
        <f t="shared" si="56"/>
        <v>0</v>
      </c>
      <c r="AW106" s="378">
        <f t="shared" si="56"/>
        <v>0</v>
      </c>
      <c r="AX106" s="378">
        <f t="shared" si="56"/>
        <v>0</v>
      </c>
      <c r="AY106" s="378">
        <f t="shared" si="56"/>
        <v>0</v>
      </c>
      <c r="AZ106" s="378">
        <f t="shared" si="56"/>
        <v>0</v>
      </c>
      <c r="BA106" s="378">
        <f t="shared" si="56"/>
        <v>0</v>
      </c>
      <c r="BB106" s="378">
        <f t="shared" si="56"/>
        <v>0</v>
      </c>
      <c r="BC106" s="378">
        <f t="shared" si="56"/>
        <v>0</v>
      </c>
      <c r="BD106" s="378">
        <f t="shared" si="56"/>
        <v>0</v>
      </c>
      <c r="BE106" s="378">
        <f t="shared" si="56"/>
        <v>0</v>
      </c>
      <c r="BF106" s="378">
        <f t="shared" si="56"/>
        <v>0</v>
      </c>
      <c r="BG106" s="378">
        <f t="shared" si="56"/>
        <v>0</v>
      </c>
      <c r="BH106" s="378">
        <f t="shared" si="56"/>
        <v>0</v>
      </c>
      <c r="BI106" s="378">
        <f t="shared" si="56"/>
        <v>0</v>
      </c>
      <c r="BJ106" s="378">
        <f t="shared" si="56"/>
        <v>0</v>
      </c>
      <c r="BK106" s="378">
        <f t="shared" si="56"/>
        <v>0</v>
      </c>
      <c r="BL106" s="378">
        <f t="shared" si="56"/>
        <v>0</v>
      </c>
      <c r="BM106" s="378">
        <f t="shared" si="56"/>
        <v>0</v>
      </c>
      <c r="BN106" s="378">
        <f t="shared" si="56"/>
        <v>0</v>
      </c>
      <c r="BO106" s="378">
        <f t="shared" si="56"/>
        <v>0</v>
      </c>
      <c r="BP106" s="378">
        <f t="shared" si="56"/>
        <v>0</v>
      </c>
      <c r="BQ106" s="378">
        <f t="shared" si="56"/>
        <v>0</v>
      </c>
      <c r="BR106" s="378">
        <f t="shared" si="56"/>
        <v>0</v>
      </c>
    </row>
    <row r="107" spans="1:70">
      <c r="A107" s="374">
        <f t="shared" si="53"/>
        <v>0</v>
      </c>
      <c r="B107" s="359">
        <v>4301</v>
      </c>
      <c r="C107" s="359">
        <v>1</v>
      </c>
      <c r="D107" s="360" t="s">
        <v>861</v>
      </c>
      <c r="E107" s="360" t="s">
        <v>492</v>
      </c>
      <c r="F107" s="366" t="s">
        <v>448</v>
      </c>
      <c r="G107" s="360"/>
      <c r="H107" s="377"/>
      <c r="I107" s="540">
        <f>SUM($I$11:$I$14)*-'DB1'!$F$48-SUMIFS($I$108:$I$114,$C$108:$C$114,$C$107)</f>
        <v>-1238068777.48</v>
      </c>
      <c r="J107" s="546"/>
      <c r="K107" s="383"/>
      <c r="L107" s="383"/>
      <c r="M107" s="383"/>
      <c r="N107" s="383"/>
      <c r="O107" s="383"/>
      <c r="P107" s="383"/>
      <c r="Q107" s="383"/>
      <c r="R107" s="383"/>
      <c r="S107" s="377">
        <f>$I107/COUNTIF('TS1'!$F$38:$BM$38,"&gt;0")*IF('TS1'!N$38&gt;0,1,0)</f>
        <v>0</v>
      </c>
      <c r="T107" s="377">
        <f>$I107/COUNTIF('TS1'!$F$38:$BM$38,"&gt;0")*IF('TS1'!O$38&gt;0,1,0)</f>
        <v>0</v>
      </c>
      <c r="U107" s="377">
        <f>$I107/COUNTIF('TS1'!$F$38:$BM$38,"&gt;0")*IF('TS1'!P$38&gt;0,1,0)</f>
        <v>0</v>
      </c>
      <c r="V107" s="377">
        <f>$I107/COUNTIF('TS1'!$F$38:$BM$38,"&gt;0")*IF('TS1'!Q$38&gt;0,1,0)</f>
        <v>0</v>
      </c>
      <c r="W107" s="377">
        <f>$I107/COUNTIF('TS1'!$F$38:$BM$38,"&gt;0")*IF('TS1'!R$38&gt;0,1,0)</f>
        <v>0</v>
      </c>
      <c r="X107" s="377">
        <f>$I107/COUNTIF('TS1'!$F$38:$BM$38,"&gt;0")*IF('TS1'!S$38&gt;0,1,0)</f>
        <v>0</v>
      </c>
      <c r="Y107" s="377">
        <f>$I107/COUNTIF('TS1'!$F$38:$BM$38,"&gt;0")*IF('TS1'!T$38&gt;0,1,0)</f>
        <v>-61903438.873999998</v>
      </c>
      <c r="Z107" s="377">
        <f>$I107/COUNTIF('TS1'!$F$38:$BM$38,"&gt;0")*IF('TS1'!U$38&gt;0,1,0)</f>
        <v>-61903438.873999998</v>
      </c>
      <c r="AA107" s="377">
        <f>$I107/COUNTIF('TS1'!$F$38:$BM$38,"&gt;0")*IF('TS1'!V$38&gt;0,1,0)</f>
        <v>-61903438.873999998</v>
      </c>
      <c r="AB107" s="377">
        <f>$I107/COUNTIF('TS1'!$F$38:$BM$38,"&gt;0")*IF('TS1'!W$38&gt;0,1,0)</f>
        <v>-61903438.873999998</v>
      </c>
      <c r="AC107" s="377">
        <f>$I107/COUNTIF('TS1'!$F$38:$BM$38,"&gt;0")*IF('TS1'!X$38&gt;0,1,0)</f>
        <v>-61903438.873999998</v>
      </c>
      <c r="AD107" s="377">
        <f>$I107/COUNTIF('TS1'!$F$38:$BM$38,"&gt;0")*IF('TS1'!Y$38&gt;0,1,0)</f>
        <v>-61903438.873999998</v>
      </c>
      <c r="AE107" s="377">
        <f>$I107/COUNTIF('TS1'!$F$38:$BM$38,"&gt;0")*IF('TS1'!Z$38&gt;0,1,0)</f>
        <v>-61903438.873999998</v>
      </c>
      <c r="AF107" s="377">
        <f>$I107/COUNTIF('TS1'!$F$38:$BM$38,"&gt;0")*IF('TS1'!AA$38&gt;0,1,0)</f>
        <v>-61903438.873999998</v>
      </c>
      <c r="AG107" s="377">
        <f>$I107/COUNTIF('TS1'!$F$38:$BM$38,"&gt;0")*IF('TS1'!AB$38&gt;0,1,0)</f>
        <v>-61903438.873999998</v>
      </c>
      <c r="AH107" s="377">
        <f>$I107/COUNTIF('TS1'!$F$38:$BM$38,"&gt;0")*IF('TS1'!AC$38&gt;0,1,0)</f>
        <v>-61903438.873999998</v>
      </c>
      <c r="AI107" s="377">
        <f>$I107/COUNTIF('TS1'!$F$38:$BM$38,"&gt;0")*IF('TS1'!AD$38&gt;0,1,0)</f>
        <v>-61903438.873999998</v>
      </c>
      <c r="AJ107" s="377">
        <f>$I107/COUNTIF('TS1'!$F$38:$BM$38,"&gt;0")*IF('TS1'!AE$38&gt;0,1,0)</f>
        <v>-61903438.873999998</v>
      </c>
      <c r="AK107" s="377">
        <f>$I107/COUNTIF('TS1'!$F$38:$BM$38,"&gt;0")*IF('TS1'!AF$38&gt;0,1,0)</f>
        <v>-61903438.873999998</v>
      </c>
      <c r="AL107" s="377">
        <f>$I107/COUNTIF('TS1'!$F$38:$BM$38,"&gt;0")*IF('TS1'!AG$38&gt;0,1,0)</f>
        <v>-61903438.873999998</v>
      </c>
      <c r="AM107" s="377">
        <f>$I107/COUNTIF('TS1'!$F$38:$BM$38,"&gt;0")*IF('TS1'!AH$38&gt;0,1,0)</f>
        <v>-61903438.873999998</v>
      </c>
      <c r="AN107" s="377">
        <f>$I107/COUNTIF('TS1'!$F$38:$BM$38,"&gt;0")*IF('TS1'!AI$38&gt;0,1,0)</f>
        <v>-61903438.873999998</v>
      </c>
      <c r="AO107" s="377">
        <f>$I107/COUNTIF('TS1'!$F$38:$BM$38,"&gt;0")*IF('TS1'!AJ$38&gt;0,1,0)</f>
        <v>-61903438.873999998</v>
      </c>
      <c r="AP107" s="377">
        <f>$I107/COUNTIF('TS1'!$F$38:$BM$38,"&gt;0")*IF('TS1'!AK$38&gt;0,1,0)</f>
        <v>-61903438.873999998</v>
      </c>
      <c r="AQ107" s="377">
        <f>$I107/COUNTIF('TS1'!$F$38:$BM$38,"&gt;0")*IF('TS1'!AL$38&gt;0,1,0)</f>
        <v>-61903438.873999998</v>
      </c>
      <c r="AR107" s="377">
        <f>$I107/COUNTIF('TS1'!$F$38:$BM$38,"&gt;0")*IF('TS1'!AM$38&gt;0,1,0)</f>
        <v>-61903438.873999998</v>
      </c>
      <c r="AS107" s="377">
        <f>$I107/COUNTIF('TS1'!$F$38:$BM$38,"&gt;0")*IF('TS1'!AN$38&gt;0,1,0)</f>
        <v>0</v>
      </c>
      <c r="AT107" s="377">
        <f>$I107/COUNTIF('TS1'!$F$38:$BM$38,"&gt;0")*IF('TS1'!AO$38&gt;0,1,0)</f>
        <v>0</v>
      </c>
      <c r="AU107" s="377">
        <f>$I107/COUNTIF('TS1'!$F$38:$BM$38,"&gt;0")*IF('TS1'!AP$38&gt;0,1,0)</f>
        <v>0</v>
      </c>
      <c r="AV107" s="377">
        <f>$I107/COUNTIF('TS1'!$F$38:$BM$38,"&gt;0")*IF('TS1'!AQ$38&gt;0,1,0)</f>
        <v>0</v>
      </c>
      <c r="AW107" s="377">
        <f>$I107/COUNTIF('TS1'!$F$38:$BM$38,"&gt;0")*IF('TS1'!AR$38&gt;0,1,0)</f>
        <v>0</v>
      </c>
      <c r="AX107" s="377">
        <f>$I107/COUNTIF('TS1'!$F$38:$BM$38,"&gt;0")*IF('TS1'!AS$38&gt;0,1,0)</f>
        <v>0</v>
      </c>
      <c r="AY107" s="377">
        <f>$I107/COUNTIF('TS1'!$F$38:$BM$38,"&gt;0")*IF('TS1'!AT$38&gt;0,1,0)</f>
        <v>0</v>
      </c>
      <c r="AZ107" s="377">
        <f>$I107/COUNTIF('TS1'!$F$38:$BM$38,"&gt;0")*IF('TS1'!AU$38&gt;0,1,0)</f>
        <v>0</v>
      </c>
      <c r="BA107" s="377">
        <f>$I107/COUNTIF('TS1'!$F$38:$BM$38,"&gt;0")*IF('TS1'!AV$38&gt;0,1,0)</f>
        <v>0</v>
      </c>
      <c r="BB107" s="377">
        <f>$I107/COUNTIF('TS1'!$F$38:$BM$38,"&gt;0")*IF('TS1'!AW$38&gt;0,1,0)</f>
        <v>0</v>
      </c>
      <c r="BC107" s="377">
        <f>$I107/COUNTIF('TS1'!$F$38:$BM$38,"&gt;0")*IF('TS1'!AX$38&gt;0,1,0)</f>
        <v>0</v>
      </c>
      <c r="BD107" s="377">
        <f>$I107/COUNTIF('TS1'!$F$38:$BM$38,"&gt;0")*IF('TS1'!AY$38&gt;0,1,0)</f>
        <v>0</v>
      </c>
      <c r="BE107" s="377">
        <f>$I107/COUNTIF('TS1'!$F$38:$BM$38,"&gt;0")*IF('TS1'!AZ$38&gt;0,1,0)</f>
        <v>0</v>
      </c>
      <c r="BF107" s="377">
        <f>$I107/COUNTIF('TS1'!$F$38:$BM$38,"&gt;0")*IF('TS1'!BA$38&gt;0,1,0)</f>
        <v>0</v>
      </c>
      <c r="BG107" s="377">
        <f>$I107/COUNTIF('TS1'!$F$38:$BM$38,"&gt;0")*IF('TS1'!BB$38&gt;0,1,0)</f>
        <v>0</v>
      </c>
      <c r="BH107" s="377">
        <f>$I107/COUNTIF('TS1'!$F$38:$BM$38,"&gt;0")*IF('TS1'!BC$38&gt;0,1,0)</f>
        <v>0</v>
      </c>
      <c r="BI107" s="377">
        <f>$I107/COUNTIF('TS1'!$F$38:$BM$38,"&gt;0")*IF('TS1'!BD$38&gt;0,1,0)</f>
        <v>0</v>
      </c>
      <c r="BJ107" s="377">
        <f>$I107/COUNTIF('TS1'!$F$38:$BM$38,"&gt;0")*IF('TS1'!BE$38&gt;0,1,0)</f>
        <v>0</v>
      </c>
      <c r="BK107" s="377">
        <f>$I107/COUNTIF('TS1'!$F$38:$BM$38,"&gt;0")*IF('TS1'!BF$38&gt;0,1,0)</f>
        <v>0</v>
      </c>
      <c r="BL107" s="377">
        <f>$I107/COUNTIF('TS1'!$F$38:$BM$38,"&gt;0")*IF('TS1'!BG$38&gt;0,1,0)</f>
        <v>0</v>
      </c>
      <c r="BM107" s="377">
        <f>$I107/COUNTIF('TS1'!$F$38:$BM$38,"&gt;0")*IF('TS1'!BH$38&gt;0,1,0)</f>
        <v>0</v>
      </c>
      <c r="BN107" s="377">
        <f>$I107/COUNTIF('TS1'!$F$38:$BM$38,"&gt;0")*IF('TS1'!BI$38&gt;0,1,0)</f>
        <v>0</v>
      </c>
      <c r="BO107" s="377">
        <f>$I107/COUNTIF('TS1'!$F$38:$BM$38,"&gt;0")*IF('TS1'!BJ$38&gt;0,1,0)</f>
        <v>0</v>
      </c>
      <c r="BP107" s="377">
        <f>$I107/COUNTIF('TS1'!$F$38:$BM$38,"&gt;0")*IF('TS1'!BK$38&gt;0,1,0)</f>
        <v>0</v>
      </c>
      <c r="BQ107" s="377">
        <f>$I107/COUNTIF('TS1'!$F$38:$BM$38,"&gt;0")*IF('TS1'!BL$38&gt;0,1,0)</f>
        <v>0</v>
      </c>
      <c r="BR107" s="377">
        <f>$I107/COUNTIF('TS1'!$F$38:$BM$38,"&gt;0")*IF('TS1'!BM$38&gt;0,1,0)</f>
        <v>0</v>
      </c>
    </row>
    <row r="108" spans="1:70">
      <c r="A108" s="374">
        <f t="shared" si="53"/>
        <v>0</v>
      </c>
      <c r="B108" s="359"/>
      <c r="C108" s="359"/>
      <c r="D108" s="360"/>
      <c r="E108" s="360"/>
      <c r="F108" s="373"/>
      <c r="G108" s="360"/>
      <c r="H108" s="377"/>
      <c r="I108" s="537"/>
      <c r="J108" s="546"/>
      <c r="K108" s="383"/>
      <c r="L108" s="383"/>
      <c r="M108" s="383"/>
      <c r="N108" s="383"/>
      <c r="O108" s="383"/>
      <c r="P108" s="383"/>
      <c r="Q108" s="383"/>
      <c r="R108" s="383"/>
      <c r="S108" s="377"/>
      <c r="T108" s="377"/>
      <c r="U108" s="377"/>
      <c r="V108" s="377"/>
      <c r="W108" s="377"/>
      <c r="X108" s="377"/>
      <c r="Y108" s="377"/>
      <c r="Z108" s="377"/>
      <c r="AA108" s="377"/>
      <c r="AB108" s="377"/>
      <c r="AC108" s="377"/>
      <c r="AD108" s="377"/>
      <c r="AE108" s="377"/>
      <c r="AF108" s="377"/>
      <c r="AG108" s="377"/>
      <c r="AH108" s="377"/>
      <c r="AI108" s="377"/>
      <c r="AJ108" s="377"/>
      <c r="AK108" s="377"/>
      <c r="AL108" s="377"/>
      <c r="AM108" s="377"/>
      <c r="AN108" s="377"/>
      <c r="AO108" s="377"/>
      <c r="AP108" s="377"/>
      <c r="AQ108" s="377"/>
      <c r="AR108" s="377"/>
      <c r="AS108" s="377"/>
      <c r="AT108" s="377"/>
      <c r="AU108" s="377"/>
      <c r="AV108" s="377"/>
      <c r="AW108" s="377"/>
      <c r="AX108" s="377"/>
      <c r="AY108" s="377"/>
      <c r="AZ108" s="377"/>
      <c r="BA108" s="377"/>
      <c r="BB108" s="377"/>
      <c r="BC108" s="377"/>
      <c r="BD108" s="377"/>
      <c r="BE108" s="377"/>
      <c r="BF108" s="377"/>
      <c r="BG108" s="377"/>
      <c r="BH108" s="377"/>
      <c r="BI108" s="377"/>
      <c r="BJ108" s="377"/>
      <c r="BK108" s="377"/>
      <c r="BL108" s="377"/>
      <c r="BM108" s="377"/>
      <c r="BN108" s="377"/>
      <c r="BO108" s="377"/>
      <c r="BP108" s="377"/>
      <c r="BQ108" s="377"/>
      <c r="BR108" s="377"/>
    </row>
    <row r="109" spans="1:70">
      <c r="A109" s="374"/>
      <c r="B109" s="359"/>
      <c r="C109" s="359">
        <v>1</v>
      </c>
      <c r="D109" s="360" t="s">
        <v>976</v>
      </c>
      <c r="E109" s="360" t="s">
        <v>492</v>
      </c>
      <c r="F109" s="373" t="s">
        <v>454</v>
      </c>
      <c r="G109" s="360"/>
      <c r="H109" s="377"/>
      <c r="I109" s="537">
        <f t="shared" ref="I109" si="57">SUM(K109:BR109)</f>
        <v>-39800000</v>
      </c>
      <c r="J109" s="546"/>
      <c r="K109" s="383"/>
      <c r="L109" s="383"/>
      <c r="M109" s="383"/>
      <c r="N109" s="383"/>
      <c r="O109" s="383"/>
      <c r="P109" s="383"/>
      <c r="Q109" s="383"/>
      <c r="R109" s="383"/>
      <c r="S109" s="377"/>
      <c r="T109" s="377">
        <v>-1500000</v>
      </c>
      <c r="U109" s="377">
        <v>-500000</v>
      </c>
      <c r="V109" s="377">
        <v>-1500000</v>
      </c>
      <c r="W109" s="377">
        <v>-15000000</v>
      </c>
      <c r="X109" s="377">
        <v>-9250000</v>
      </c>
      <c r="Y109" s="377">
        <v>-12050000</v>
      </c>
      <c r="Z109" s="377"/>
      <c r="AA109" s="377"/>
      <c r="AB109" s="377"/>
      <c r="AC109" s="377"/>
      <c r="AD109" s="377"/>
      <c r="AE109" s="377"/>
      <c r="AF109" s="377"/>
      <c r="AG109" s="377"/>
      <c r="AH109" s="377"/>
      <c r="AI109" s="377"/>
      <c r="AJ109" s="377"/>
      <c r="AK109" s="377"/>
      <c r="AL109" s="377"/>
      <c r="AM109" s="377"/>
      <c r="AN109" s="377"/>
      <c r="AO109" s="377"/>
      <c r="AP109" s="377"/>
      <c r="AQ109" s="377"/>
      <c r="AR109" s="377"/>
      <c r="AS109" s="377"/>
      <c r="AT109" s="377"/>
      <c r="AU109" s="377"/>
      <c r="AV109" s="377"/>
      <c r="AW109" s="377"/>
      <c r="AX109" s="377"/>
      <c r="AY109" s="377"/>
      <c r="AZ109" s="377"/>
      <c r="BA109" s="377"/>
      <c r="BB109" s="377"/>
      <c r="BC109" s="377"/>
      <c r="BD109" s="377"/>
      <c r="BE109" s="377"/>
      <c r="BF109" s="377"/>
      <c r="BG109" s="377"/>
      <c r="BH109" s="377"/>
      <c r="BI109" s="377"/>
      <c r="BJ109" s="377"/>
      <c r="BK109" s="377"/>
      <c r="BL109" s="377"/>
      <c r="BM109" s="377"/>
      <c r="BN109" s="377"/>
      <c r="BO109" s="377"/>
      <c r="BP109" s="377"/>
      <c r="BQ109" s="377"/>
      <c r="BR109" s="377"/>
    </row>
    <row r="110" spans="1:70">
      <c r="A110" s="374"/>
      <c r="B110" s="359"/>
      <c r="C110" s="359"/>
      <c r="D110" s="360"/>
      <c r="E110" s="360"/>
      <c r="F110" s="373"/>
      <c r="G110" s="360"/>
      <c r="H110" s="377"/>
      <c r="I110" s="537"/>
      <c r="J110" s="546"/>
      <c r="K110" s="383"/>
      <c r="L110" s="383"/>
      <c r="M110" s="383"/>
      <c r="N110" s="383"/>
      <c r="O110" s="383"/>
      <c r="P110" s="383"/>
      <c r="Q110" s="383"/>
      <c r="R110" s="383"/>
      <c r="S110" s="377"/>
      <c r="T110" s="377"/>
      <c r="U110" s="377"/>
      <c r="V110" s="377"/>
      <c r="W110" s="377"/>
      <c r="X110" s="377"/>
      <c r="Y110" s="377"/>
      <c r="Z110" s="377"/>
      <c r="AA110" s="377"/>
      <c r="AB110" s="377"/>
      <c r="AC110" s="377"/>
      <c r="AD110" s="377"/>
      <c r="AE110" s="377"/>
      <c r="AF110" s="377"/>
      <c r="AG110" s="377"/>
      <c r="AH110" s="377"/>
      <c r="AI110" s="377"/>
      <c r="AJ110" s="377"/>
      <c r="AK110" s="377"/>
      <c r="AL110" s="377"/>
      <c r="AM110" s="377"/>
      <c r="AN110" s="377"/>
      <c r="AO110" s="377"/>
      <c r="AP110" s="377"/>
      <c r="AQ110" s="377"/>
      <c r="AR110" s="377"/>
      <c r="AS110" s="377"/>
      <c r="AT110" s="377"/>
      <c r="AU110" s="377"/>
      <c r="AV110" s="377"/>
      <c r="AW110" s="377"/>
      <c r="AX110" s="377"/>
      <c r="AY110" s="377"/>
      <c r="AZ110" s="377"/>
      <c r="BA110" s="377"/>
      <c r="BB110" s="377"/>
      <c r="BC110" s="377"/>
      <c r="BD110" s="377"/>
      <c r="BE110" s="377"/>
      <c r="BF110" s="377"/>
      <c r="BG110" s="377"/>
      <c r="BH110" s="377"/>
      <c r="BI110" s="377"/>
      <c r="BJ110" s="377"/>
      <c r="BK110" s="377"/>
      <c r="BL110" s="377"/>
      <c r="BM110" s="377"/>
      <c r="BN110" s="377"/>
      <c r="BO110" s="377"/>
      <c r="BP110" s="377"/>
      <c r="BQ110" s="377"/>
      <c r="BR110" s="377"/>
    </row>
    <row r="111" spans="1:70">
      <c r="A111" s="374"/>
      <c r="B111" s="359"/>
      <c r="C111" s="359"/>
      <c r="D111" s="360"/>
      <c r="E111" s="360"/>
      <c r="F111" s="373"/>
      <c r="G111" s="360"/>
      <c r="H111" s="377"/>
      <c r="I111" s="537"/>
      <c r="J111" s="546"/>
      <c r="K111" s="383"/>
      <c r="L111" s="383"/>
      <c r="M111" s="383"/>
      <c r="N111" s="383"/>
      <c r="O111" s="383"/>
      <c r="P111" s="383"/>
      <c r="Q111" s="383"/>
      <c r="R111" s="383"/>
      <c r="S111" s="377"/>
      <c r="T111" s="377"/>
      <c r="U111" s="377"/>
      <c r="V111" s="377"/>
      <c r="W111" s="377"/>
      <c r="X111" s="377"/>
      <c r="Y111" s="377"/>
      <c r="Z111" s="377"/>
      <c r="AA111" s="377"/>
      <c r="AB111" s="377"/>
      <c r="AC111" s="377"/>
      <c r="AD111" s="377"/>
      <c r="AE111" s="377"/>
      <c r="AF111" s="377"/>
      <c r="AG111" s="377"/>
      <c r="AH111" s="377"/>
      <c r="AI111" s="377"/>
      <c r="AJ111" s="377"/>
      <c r="AK111" s="377"/>
      <c r="AL111" s="377"/>
      <c r="AM111" s="377"/>
      <c r="AN111" s="377"/>
      <c r="AO111" s="377"/>
      <c r="AP111" s="377"/>
      <c r="AQ111" s="377"/>
      <c r="AR111" s="377"/>
      <c r="AS111" s="377"/>
      <c r="AT111" s="377"/>
      <c r="AU111" s="377"/>
      <c r="AV111" s="377"/>
      <c r="AW111" s="377"/>
      <c r="AX111" s="377"/>
      <c r="AY111" s="377"/>
      <c r="AZ111" s="377"/>
      <c r="BA111" s="377"/>
      <c r="BB111" s="377"/>
      <c r="BC111" s="377"/>
      <c r="BD111" s="377"/>
      <c r="BE111" s="377"/>
      <c r="BF111" s="377"/>
      <c r="BG111" s="377"/>
      <c r="BH111" s="377"/>
      <c r="BI111" s="377"/>
      <c r="BJ111" s="377"/>
      <c r="BK111" s="377"/>
      <c r="BL111" s="377"/>
      <c r="BM111" s="377"/>
      <c r="BN111" s="377"/>
      <c r="BO111" s="377"/>
      <c r="BP111" s="377"/>
      <c r="BQ111" s="377"/>
      <c r="BR111" s="377"/>
    </row>
    <row r="112" spans="1:70">
      <c r="A112" s="374"/>
      <c r="B112" s="359"/>
      <c r="C112" s="359"/>
      <c r="D112" s="360"/>
      <c r="E112" s="360"/>
      <c r="F112" s="373"/>
      <c r="G112" s="360"/>
      <c r="H112" s="377"/>
      <c r="I112" s="537"/>
      <c r="J112" s="546"/>
      <c r="K112" s="383"/>
      <c r="L112" s="383"/>
      <c r="M112" s="383"/>
      <c r="N112" s="383"/>
      <c r="O112" s="383"/>
      <c r="P112" s="383"/>
      <c r="Q112" s="383"/>
      <c r="R112" s="383"/>
      <c r="S112" s="377"/>
      <c r="T112" s="377"/>
      <c r="U112" s="377"/>
      <c r="V112" s="377"/>
      <c r="W112" s="377"/>
      <c r="X112" s="377"/>
      <c r="Y112" s="377"/>
      <c r="Z112" s="377"/>
      <c r="AA112" s="377"/>
      <c r="AB112" s="377"/>
      <c r="AC112" s="377"/>
      <c r="AD112" s="377"/>
      <c r="AE112" s="377"/>
      <c r="AF112" s="377"/>
      <c r="AG112" s="377"/>
      <c r="AH112" s="377"/>
      <c r="AI112" s="377"/>
      <c r="AJ112" s="377"/>
      <c r="AK112" s="377"/>
      <c r="AL112" s="377"/>
      <c r="AM112" s="377"/>
      <c r="AN112" s="377"/>
      <c r="AO112" s="377"/>
      <c r="AP112" s="377"/>
      <c r="AQ112" s="377"/>
      <c r="AR112" s="377"/>
      <c r="AS112" s="377"/>
      <c r="AT112" s="377"/>
      <c r="AU112" s="377"/>
      <c r="AV112" s="377"/>
      <c r="AW112" s="377"/>
      <c r="AX112" s="377"/>
      <c r="AY112" s="377"/>
      <c r="AZ112" s="377"/>
      <c r="BA112" s="377"/>
      <c r="BB112" s="377"/>
      <c r="BC112" s="377"/>
      <c r="BD112" s="377"/>
      <c r="BE112" s="377"/>
      <c r="BF112" s="377"/>
      <c r="BG112" s="377"/>
      <c r="BH112" s="377"/>
      <c r="BI112" s="377"/>
      <c r="BJ112" s="377"/>
      <c r="BK112" s="377"/>
      <c r="BL112" s="377"/>
      <c r="BM112" s="377"/>
      <c r="BN112" s="377"/>
      <c r="BO112" s="377"/>
      <c r="BP112" s="377"/>
      <c r="BQ112" s="377"/>
      <c r="BR112" s="377"/>
    </row>
    <row r="113" spans="1:70">
      <c r="A113" s="374"/>
      <c r="B113" s="359"/>
      <c r="C113" s="359"/>
      <c r="D113" s="360"/>
      <c r="E113" s="360"/>
      <c r="F113" s="373"/>
      <c r="G113" s="360"/>
      <c r="H113" s="377"/>
      <c r="I113" s="537"/>
      <c r="J113" s="546"/>
      <c r="K113" s="383"/>
      <c r="L113" s="383"/>
      <c r="M113" s="383"/>
      <c r="N113" s="383"/>
      <c r="O113" s="383"/>
      <c r="P113" s="383"/>
      <c r="Q113" s="383"/>
      <c r="R113" s="383"/>
      <c r="S113" s="377"/>
      <c r="T113" s="377"/>
      <c r="U113" s="377"/>
      <c r="V113" s="377"/>
      <c r="W113" s="377"/>
      <c r="X113" s="377"/>
      <c r="Y113" s="377"/>
      <c r="Z113" s="377"/>
      <c r="AA113" s="377"/>
      <c r="AB113" s="377"/>
      <c r="AC113" s="377"/>
      <c r="AD113" s="377"/>
      <c r="AE113" s="377"/>
      <c r="AF113" s="377"/>
      <c r="AG113" s="377"/>
      <c r="AH113" s="377"/>
      <c r="AI113" s="377"/>
      <c r="AJ113" s="377"/>
      <c r="AK113" s="377"/>
      <c r="AL113" s="377"/>
      <c r="AM113" s="377"/>
      <c r="AN113" s="377"/>
      <c r="AO113" s="377"/>
      <c r="AP113" s="377"/>
      <c r="AQ113" s="377"/>
      <c r="AR113" s="377"/>
      <c r="AS113" s="377"/>
      <c r="AT113" s="377"/>
      <c r="AU113" s="377"/>
      <c r="AV113" s="377"/>
      <c r="AW113" s="377"/>
      <c r="AX113" s="377"/>
      <c r="AY113" s="377"/>
      <c r="AZ113" s="377"/>
      <c r="BA113" s="377"/>
      <c r="BB113" s="377"/>
      <c r="BC113" s="377"/>
      <c r="BD113" s="377"/>
      <c r="BE113" s="377"/>
      <c r="BF113" s="377"/>
      <c r="BG113" s="377"/>
      <c r="BH113" s="377"/>
      <c r="BI113" s="377"/>
      <c r="BJ113" s="377"/>
      <c r="BK113" s="377"/>
      <c r="BL113" s="377"/>
      <c r="BM113" s="377"/>
      <c r="BN113" s="377"/>
      <c r="BO113" s="377"/>
      <c r="BP113" s="377"/>
      <c r="BQ113" s="377"/>
      <c r="BR113" s="377"/>
    </row>
    <row r="114" spans="1:70">
      <c r="A114" s="374"/>
      <c r="B114" s="359"/>
      <c r="C114" s="359"/>
      <c r="D114" s="360"/>
      <c r="E114" s="360"/>
      <c r="F114" s="373"/>
      <c r="G114" s="360"/>
      <c r="H114" s="377"/>
      <c r="I114" s="537"/>
      <c r="J114" s="546"/>
      <c r="K114" s="383"/>
      <c r="L114" s="383"/>
      <c r="M114" s="383"/>
      <c r="N114" s="383"/>
      <c r="O114" s="383"/>
      <c r="P114" s="383"/>
      <c r="Q114" s="383"/>
      <c r="R114" s="383"/>
      <c r="S114" s="377"/>
      <c r="T114" s="377"/>
      <c r="U114" s="377"/>
      <c r="V114" s="377"/>
      <c r="W114" s="377"/>
      <c r="X114" s="377"/>
      <c r="Y114" s="377"/>
      <c r="Z114" s="377"/>
      <c r="AA114" s="377"/>
      <c r="AB114" s="377"/>
      <c r="AC114" s="377"/>
      <c r="AD114" s="377"/>
      <c r="AE114" s="377"/>
      <c r="AF114" s="377"/>
      <c r="AG114" s="377"/>
      <c r="AH114" s="377"/>
      <c r="AI114" s="377"/>
      <c r="AJ114" s="377"/>
      <c r="AK114" s="377"/>
      <c r="AL114" s="377"/>
      <c r="AM114" s="377"/>
      <c r="AN114" s="377"/>
      <c r="AO114" s="377"/>
      <c r="AP114" s="377"/>
      <c r="AQ114" s="377"/>
      <c r="AR114" s="377"/>
      <c r="AS114" s="377"/>
      <c r="AT114" s="377"/>
      <c r="AU114" s="377"/>
      <c r="AV114" s="377"/>
      <c r="AW114" s="377"/>
      <c r="AX114" s="377"/>
      <c r="AY114" s="377"/>
      <c r="AZ114" s="377"/>
      <c r="BA114" s="377"/>
      <c r="BB114" s="377"/>
      <c r="BC114" s="377"/>
      <c r="BD114" s="377"/>
      <c r="BE114" s="377"/>
      <c r="BF114" s="377"/>
      <c r="BG114" s="377"/>
      <c r="BH114" s="377"/>
      <c r="BI114" s="377"/>
      <c r="BJ114" s="377"/>
      <c r="BK114" s="377"/>
      <c r="BL114" s="377"/>
      <c r="BM114" s="377"/>
      <c r="BN114" s="377"/>
      <c r="BO114" s="377"/>
      <c r="BP114" s="377"/>
      <c r="BQ114" s="377"/>
      <c r="BR114" s="377"/>
    </row>
    <row r="115" spans="1:70">
      <c r="A115" s="374">
        <f t="shared" si="53"/>
        <v>0</v>
      </c>
      <c r="B115" s="359">
        <v>4301</v>
      </c>
      <c r="C115" s="359">
        <v>2</v>
      </c>
      <c r="D115" s="360" t="s">
        <v>861</v>
      </c>
      <c r="E115" s="360" t="s">
        <v>492</v>
      </c>
      <c r="F115" s="366" t="s">
        <v>448</v>
      </c>
      <c r="G115" s="360"/>
      <c r="H115" s="377"/>
      <c r="I115" s="540">
        <f>SUM($I$16:$I$19)*-'DB2'!$F$48-SUMIFS($I$116:$I$122,$C$116:$C$122,$C$115)</f>
        <v>-1084514003.6400008</v>
      </c>
      <c r="J115" s="546"/>
      <c r="K115" s="383"/>
      <c r="L115" s="383"/>
      <c r="M115" s="383"/>
      <c r="N115" s="383"/>
      <c r="O115" s="383"/>
      <c r="P115" s="383"/>
      <c r="Q115" s="383"/>
      <c r="R115" s="383"/>
      <c r="S115" s="377">
        <f>$I115/COUNTIF('TS2'!$F$38:$BM$38,"&gt;0")*IF('TS2'!N$38&gt;0,1,0)</f>
        <v>0</v>
      </c>
      <c r="T115" s="377">
        <f>$I115/COUNTIF('TS2'!$F$38:$BM$38,"&gt;0")*IF('TS2'!O$38&gt;0,1,0)</f>
        <v>0</v>
      </c>
      <c r="U115" s="377">
        <f>$I115/COUNTIF('TS2'!$F$38:$BM$38,"&gt;0")*IF('TS2'!P$38&gt;0,1,0)</f>
        <v>0</v>
      </c>
      <c r="V115" s="377">
        <f>$I115/COUNTIF('TS2'!$F$38:$BM$38,"&gt;0")*IF('TS2'!Q$38&gt;0,1,0)</f>
        <v>0</v>
      </c>
      <c r="W115" s="377">
        <f>$I115/COUNTIF('TS2'!$F$38:$BM$38,"&gt;0")*IF('TS2'!R$38&gt;0,1,0)</f>
        <v>0</v>
      </c>
      <c r="X115" s="377">
        <f>$I115/COUNTIF('TS2'!$F$38:$BM$38,"&gt;0")*IF('TS2'!S$38&gt;0,1,0)</f>
        <v>0</v>
      </c>
      <c r="Y115" s="377">
        <f>$I115/COUNTIF('TS2'!$F$38:$BM$38,"&gt;0")*IF('TS2'!T$38&gt;0,1,0)</f>
        <v>0</v>
      </c>
      <c r="Z115" s="377">
        <f>$I115/COUNTIF('TS2'!$F$38:$BM$38,"&gt;0")*IF('TS2'!U$38&gt;0,1,0)</f>
        <v>0</v>
      </c>
      <c r="AA115" s="377">
        <f>$I115/COUNTIF('TS2'!$F$38:$BM$38,"&gt;0")*IF('TS2'!V$38&gt;0,1,0)</f>
        <v>0</v>
      </c>
      <c r="AB115" s="377">
        <f>$I115/COUNTIF('TS2'!$F$38:$BM$38,"&gt;0")*IF('TS2'!W$38&gt;0,1,0)</f>
        <v>0</v>
      </c>
      <c r="AC115" s="377">
        <f>$I115/COUNTIF('TS2'!$F$38:$BM$38,"&gt;0")*IF('TS2'!X$38&gt;0,1,0)</f>
        <v>-63794941.390588284</v>
      </c>
      <c r="AD115" s="377">
        <f>$I115/COUNTIF('TS2'!$F$38:$BM$38,"&gt;0")*IF('TS2'!Y$38&gt;0,1,0)</f>
        <v>-63794941.390588284</v>
      </c>
      <c r="AE115" s="377">
        <f>$I115/COUNTIF('TS2'!$F$38:$BM$38,"&gt;0")*IF('TS2'!Z$38&gt;0,1,0)</f>
        <v>-63794941.390588284</v>
      </c>
      <c r="AF115" s="377">
        <f>$I115/COUNTIF('TS2'!$F$38:$BM$38,"&gt;0")*IF('TS2'!AA$38&gt;0,1,0)</f>
        <v>-63794941.390588284</v>
      </c>
      <c r="AG115" s="377">
        <f>$I115/COUNTIF('TS2'!$F$38:$BM$38,"&gt;0")*IF('TS2'!AB$38&gt;0,1,0)</f>
        <v>-63794941.390588284</v>
      </c>
      <c r="AH115" s="377">
        <f>$I115/COUNTIF('TS2'!$F$38:$BM$38,"&gt;0")*IF('TS2'!AC$38&gt;0,1,0)</f>
        <v>-63794941.390588284</v>
      </c>
      <c r="AI115" s="377">
        <f>$I115/COUNTIF('TS2'!$F$38:$BM$38,"&gt;0")*IF('TS2'!AD$38&gt;0,1,0)</f>
        <v>-63794941.390588284</v>
      </c>
      <c r="AJ115" s="377">
        <f>$I115/COUNTIF('TS2'!$F$38:$BM$38,"&gt;0")*IF('TS2'!AE$38&gt;0,1,0)</f>
        <v>-63794941.390588284</v>
      </c>
      <c r="AK115" s="377">
        <f>$I115/COUNTIF('TS2'!$F$38:$BM$38,"&gt;0")*IF('TS2'!AF$38&gt;0,1,0)</f>
        <v>-63794941.390588284</v>
      </c>
      <c r="AL115" s="377">
        <f>$I115/COUNTIF('TS2'!$F$38:$BM$38,"&gt;0")*IF('TS2'!AG$38&gt;0,1,0)</f>
        <v>-63794941.390588284</v>
      </c>
      <c r="AM115" s="377">
        <f>$I115/COUNTIF('TS2'!$F$38:$BM$38,"&gt;0")*IF('TS2'!AH$38&gt;0,1,0)</f>
        <v>-63794941.390588284</v>
      </c>
      <c r="AN115" s="377">
        <f>$I115/COUNTIF('TS2'!$F$38:$BM$38,"&gt;0")*IF('TS2'!AI$38&gt;0,1,0)</f>
        <v>-63794941.390588284</v>
      </c>
      <c r="AO115" s="377">
        <f>$I115/COUNTIF('TS2'!$F$38:$BM$38,"&gt;0")*IF('TS2'!AJ$38&gt;0,1,0)</f>
        <v>-63794941.390588284</v>
      </c>
      <c r="AP115" s="377">
        <f>$I115/COUNTIF('TS2'!$F$38:$BM$38,"&gt;0")*IF('TS2'!AK$38&gt;0,1,0)</f>
        <v>-63794941.390588284</v>
      </c>
      <c r="AQ115" s="377">
        <f>$I115/COUNTIF('TS2'!$F$38:$BM$38,"&gt;0")*IF('TS2'!AL$38&gt;0,1,0)</f>
        <v>-63794941.390588284</v>
      </c>
      <c r="AR115" s="377">
        <f>$I115/COUNTIF('TS2'!$F$38:$BM$38,"&gt;0")*IF('TS2'!AM$38&gt;0,1,0)</f>
        <v>-63794941.390588284</v>
      </c>
      <c r="AS115" s="377">
        <f>$I115/COUNTIF('TS2'!$F$38:$BM$38,"&gt;0")*IF('TS2'!AN$38&gt;0,1,0)</f>
        <v>-63794941.390588284</v>
      </c>
      <c r="AT115" s="377">
        <f>$I115/COUNTIF('TS2'!$F$38:$BM$38,"&gt;0")*IF('TS2'!AO$38&gt;0,1,0)</f>
        <v>0</v>
      </c>
      <c r="AU115" s="377">
        <f>$I115/COUNTIF('TS2'!$F$38:$BM$38,"&gt;0")*IF('TS2'!AP$38&gt;0,1,0)</f>
        <v>0</v>
      </c>
      <c r="AV115" s="377">
        <f>$I115/COUNTIF('TS2'!$F$38:$BM$38,"&gt;0")*IF('TS2'!AQ$38&gt;0,1,0)</f>
        <v>0</v>
      </c>
      <c r="AW115" s="377">
        <f>$I115/COUNTIF('TS2'!$F$38:$BM$38,"&gt;0")*IF('TS2'!AR$38&gt;0,1,0)</f>
        <v>0</v>
      </c>
      <c r="AX115" s="377">
        <f>$I115/COUNTIF('TS2'!$F$38:$BM$38,"&gt;0")*IF('TS2'!AS$38&gt;0,1,0)</f>
        <v>0</v>
      </c>
      <c r="AY115" s="377">
        <f>$I115/COUNTIF('TS2'!$F$38:$BM$38,"&gt;0")*IF('TS2'!AT$38&gt;0,1,0)</f>
        <v>0</v>
      </c>
      <c r="AZ115" s="377">
        <f>$I115/COUNTIF('TS2'!$F$38:$BM$38,"&gt;0")*IF('TS2'!AU$38&gt;0,1,0)</f>
        <v>0</v>
      </c>
      <c r="BA115" s="377">
        <f>$I115/COUNTIF('TS2'!$F$38:$BM$38,"&gt;0")*IF('TS2'!AV$38&gt;0,1,0)</f>
        <v>0</v>
      </c>
      <c r="BB115" s="377">
        <f>$I115/COUNTIF('TS2'!$F$38:$BM$38,"&gt;0")*IF('TS2'!AW$38&gt;0,1,0)</f>
        <v>0</v>
      </c>
      <c r="BC115" s="377">
        <f>$I115/COUNTIF('TS2'!$F$38:$BM$38,"&gt;0")*IF('TS2'!AX$38&gt;0,1,0)</f>
        <v>0</v>
      </c>
      <c r="BD115" s="377">
        <f>$I115/COUNTIF('TS2'!$F$38:$BM$38,"&gt;0")*IF('TS2'!AY$38&gt;0,1,0)</f>
        <v>0</v>
      </c>
      <c r="BE115" s="377">
        <f>$I115/COUNTIF('TS2'!$F$38:$BM$38,"&gt;0")*IF('TS2'!AZ$38&gt;0,1,0)</f>
        <v>0</v>
      </c>
      <c r="BF115" s="377">
        <f>$I115/COUNTIF('TS2'!$F$38:$BM$38,"&gt;0")*IF('TS2'!BA$38&gt;0,1,0)</f>
        <v>0</v>
      </c>
      <c r="BG115" s="377">
        <f>$I115/COUNTIF('TS2'!$F$38:$BM$38,"&gt;0")*IF('TS2'!BB$38&gt;0,1,0)</f>
        <v>0</v>
      </c>
      <c r="BH115" s="377">
        <f>$I115/COUNTIF('TS2'!$F$38:$BM$38,"&gt;0")*IF('TS2'!BC$38&gt;0,1,0)</f>
        <v>0</v>
      </c>
      <c r="BI115" s="377">
        <f>$I115/COUNTIF('TS2'!$F$38:$BM$38,"&gt;0")*IF('TS2'!BD$38&gt;0,1,0)</f>
        <v>0</v>
      </c>
      <c r="BJ115" s="377">
        <f>$I115/COUNTIF('TS2'!$F$38:$BM$38,"&gt;0")*IF('TS2'!BE$38&gt;0,1,0)</f>
        <v>0</v>
      </c>
      <c r="BK115" s="377">
        <f>$I115/COUNTIF('TS2'!$F$38:$BM$38,"&gt;0")*IF('TS2'!BF$38&gt;0,1,0)</f>
        <v>0</v>
      </c>
      <c r="BL115" s="377">
        <f>$I115/COUNTIF('TS2'!$F$38:$BM$38,"&gt;0")*IF('TS2'!BG$38&gt;0,1,0)</f>
        <v>0</v>
      </c>
      <c r="BM115" s="377">
        <f>$I115/COUNTIF('TS2'!$F$38:$BM$38,"&gt;0")*IF('TS2'!BH$38&gt;0,1,0)</f>
        <v>0</v>
      </c>
      <c r="BN115" s="377">
        <f>$I115/COUNTIF('TS2'!$F$38:$BM$38,"&gt;0")*IF('TS2'!BI$38&gt;0,1,0)</f>
        <v>0</v>
      </c>
      <c r="BO115" s="377">
        <f>$I115/COUNTIF('TS2'!$F$38:$BM$38,"&gt;0")*IF('TS2'!BJ$38&gt;0,1,0)</f>
        <v>0</v>
      </c>
      <c r="BP115" s="377">
        <f>$I115/COUNTIF('TS2'!$F$38:$BM$38,"&gt;0")*IF('TS2'!BK$38&gt;0,1,0)</f>
        <v>0</v>
      </c>
      <c r="BQ115" s="377">
        <f>$I115/COUNTIF('TS2'!$F$38:$BM$38,"&gt;0")*IF('TS2'!BL$38&gt;0,1,0)</f>
        <v>0</v>
      </c>
      <c r="BR115" s="377">
        <f>$I115/COUNTIF('TS2'!$F$38:$BM$38,"&gt;0")*IF('TS2'!BM$38&gt;0,1,0)</f>
        <v>0</v>
      </c>
    </row>
    <row r="116" spans="1:70">
      <c r="A116" s="374">
        <f t="shared" ref="A116:A121" si="58">I116-SUM(K116:BR116)</f>
        <v>0</v>
      </c>
      <c r="B116" s="359"/>
      <c r="C116" s="359"/>
      <c r="D116" s="360"/>
      <c r="E116" s="360"/>
      <c r="F116" s="373"/>
      <c r="G116" s="360"/>
      <c r="H116" s="377"/>
      <c r="I116" s="537">
        <f t="shared" ref="I116:I121" si="59">SUM(K116:BR116)</f>
        <v>0</v>
      </c>
      <c r="J116" s="546"/>
      <c r="K116" s="383"/>
      <c r="L116" s="383"/>
      <c r="M116" s="383"/>
      <c r="N116" s="383"/>
      <c r="O116" s="383"/>
      <c r="P116" s="383"/>
      <c r="Q116" s="383"/>
      <c r="R116" s="383"/>
      <c r="S116" s="377"/>
      <c r="T116" s="377"/>
      <c r="U116" s="377"/>
      <c r="V116" s="377"/>
      <c r="W116" s="377"/>
      <c r="X116" s="377"/>
      <c r="Y116" s="377"/>
      <c r="Z116" s="377"/>
      <c r="AA116" s="377"/>
      <c r="AB116" s="377"/>
      <c r="AC116" s="377"/>
      <c r="AD116" s="377"/>
      <c r="AE116" s="377"/>
      <c r="AF116" s="377"/>
      <c r="AG116" s="377"/>
      <c r="AH116" s="377"/>
      <c r="AI116" s="377"/>
      <c r="AJ116" s="377"/>
      <c r="AK116" s="377"/>
      <c r="AL116" s="377"/>
      <c r="AM116" s="377"/>
      <c r="AN116" s="377"/>
      <c r="AO116" s="377"/>
      <c r="AP116" s="377"/>
      <c r="AQ116" s="377"/>
      <c r="AR116" s="377"/>
      <c r="AS116" s="377"/>
      <c r="AT116" s="377"/>
      <c r="AU116" s="377"/>
      <c r="AV116" s="377"/>
      <c r="AW116" s="377"/>
      <c r="AX116" s="377"/>
      <c r="AY116" s="377"/>
      <c r="AZ116" s="377"/>
      <c r="BA116" s="377"/>
      <c r="BB116" s="377"/>
      <c r="BC116" s="377"/>
      <c r="BD116" s="377"/>
      <c r="BE116" s="377"/>
      <c r="BF116" s="377"/>
      <c r="BG116" s="377"/>
      <c r="BH116" s="377"/>
      <c r="BI116" s="377"/>
      <c r="BJ116" s="377"/>
      <c r="BK116" s="377"/>
      <c r="BL116" s="377"/>
      <c r="BM116" s="377"/>
      <c r="BN116" s="377"/>
      <c r="BO116" s="377"/>
      <c r="BP116" s="377"/>
      <c r="BQ116" s="377"/>
      <c r="BR116" s="377"/>
    </row>
    <row r="117" spans="1:70">
      <c r="A117" s="374">
        <f t="shared" si="58"/>
        <v>0</v>
      </c>
      <c r="B117" s="359"/>
      <c r="C117" s="359">
        <v>2</v>
      </c>
      <c r="D117" s="360" t="s">
        <v>976</v>
      </c>
      <c r="E117" s="360" t="s">
        <v>492</v>
      </c>
      <c r="F117" s="373" t="s">
        <v>454</v>
      </c>
      <c r="G117" s="360"/>
      <c r="H117" s="377"/>
      <c r="I117" s="537">
        <f>SUM(K117:BR117)</f>
        <v>0</v>
      </c>
      <c r="J117" s="546"/>
      <c r="K117" s="383"/>
      <c r="L117" s="383"/>
      <c r="M117" s="383"/>
      <c r="N117" s="383"/>
      <c r="O117" s="383"/>
      <c r="P117" s="383"/>
      <c r="Q117" s="383"/>
      <c r="R117" s="383"/>
      <c r="S117" s="377"/>
      <c r="T117" s="377"/>
      <c r="U117" s="377"/>
      <c r="V117" s="377"/>
      <c r="W117" s="377"/>
      <c r="X117" s="377"/>
      <c r="Y117" s="377"/>
      <c r="Z117" s="377"/>
      <c r="AA117" s="377"/>
      <c r="AB117" s="377"/>
      <c r="AC117" s="377"/>
      <c r="AD117" s="377"/>
      <c r="AE117" s="377"/>
      <c r="AF117" s="377"/>
      <c r="AG117" s="377"/>
      <c r="AH117" s="377"/>
      <c r="AI117" s="377"/>
      <c r="AJ117" s="377"/>
      <c r="AK117" s="377"/>
      <c r="AL117" s="377"/>
      <c r="AM117" s="377"/>
      <c r="AN117" s="377"/>
      <c r="AO117" s="377"/>
      <c r="AP117" s="377"/>
      <c r="AQ117" s="377"/>
      <c r="AR117" s="377"/>
      <c r="AS117" s="377"/>
      <c r="AT117" s="377"/>
      <c r="AU117" s="377"/>
      <c r="AV117" s="377"/>
      <c r="AW117" s="377"/>
      <c r="AX117" s="377"/>
      <c r="AY117" s="377"/>
      <c r="AZ117" s="377"/>
      <c r="BA117" s="377"/>
      <c r="BB117" s="377"/>
      <c r="BC117" s="377"/>
      <c r="BD117" s="377"/>
      <c r="BE117" s="377"/>
      <c r="BF117" s="377"/>
      <c r="BG117" s="377"/>
      <c r="BH117" s="377"/>
      <c r="BI117" s="377"/>
      <c r="BJ117" s="377"/>
      <c r="BK117" s="377"/>
      <c r="BL117" s="377"/>
      <c r="BM117" s="377"/>
      <c r="BN117" s="377"/>
      <c r="BO117" s="377"/>
      <c r="BP117" s="377"/>
      <c r="BQ117" s="377"/>
      <c r="BR117" s="377"/>
    </row>
    <row r="118" spans="1:70">
      <c r="A118" s="374">
        <f t="shared" si="58"/>
        <v>0</v>
      </c>
      <c r="B118" s="359"/>
      <c r="C118" s="359"/>
      <c r="D118" s="360"/>
      <c r="E118" s="360"/>
      <c r="F118" s="373"/>
      <c r="G118" s="360"/>
      <c r="H118" s="377"/>
      <c r="I118" s="537">
        <f t="shared" si="59"/>
        <v>0</v>
      </c>
      <c r="J118" s="546"/>
      <c r="K118" s="383"/>
      <c r="L118" s="383"/>
      <c r="M118" s="383"/>
      <c r="N118" s="383"/>
      <c r="O118" s="383"/>
      <c r="P118" s="383"/>
      <c r="Q118" s="383"/>
      <c r="R118" s="383"/>
      <c r="S118" s="377"/>
      <c r="T118" s="377"/>
      <c r="U118" s="377"/>
      <c r="V118" s="377"/>
      <c r="W118" s="377"/>
      <c r="X118" s="377"/>
      <c r="Y118" s="377"/>
      <c r="Z118" s="377"/>
      <c r="AA118" s="377"/>
      <c r="AB118" s="377"/>
      <c r="AC118" s="377"/>
      <c r="AD118" s="377"/>
      <c r="AE118" s="377"/>
      <c r="AF118" s="377"/>
      <c r="AG118" s="377"/>
      <c r="AH118" s="377"/>
      <c r="AI118" s="377"/>
      <c r="AJ118" s="377"/>
      <c r="AK118" s="377"/>
      <c r="AL118" s="377"/>
      <c r="AM118" s="377"/>
      <c r="AN118" s="377"/>
      <c r="AO118" s="377"/>
      <c r="AP118" s="377"/>
      <c r="AQ118" s="377"/>
      <c r="AR118" s="377"/>
      <c r="AS118" s="377"/>
      <c r="AT118" s="377"/>
      <c r="AU118" s="377"/>
      <c r="AV118" s="377"/>
      <c r="AW118" s="377"/>
      <c r="AX118" s="377"/>
      <c r="AY118" s="377"/>
      <c r="AZ118" s="377"/>
      <c r="BA118" s="377"/>
      <c r="BB118" s="377"/>
      <c r="BC118" s="377"/>
      <c r="BD118" s="377"/>
      <c r="BE118" s="377"/>
      <c r="BF118" s="377"/>
      <c r="BG118" s="377"/>
      <c r="BH118" s="377"/>
      <c r="BI118" s="377"/>
      <c r="BJ118" s="377"/>
      <c r="BK118" s="377"/>
      <c r="BL118" s="377"/>
      <c r="BM118" s="377"/>
      <c r="BN118" s="377"/>
      <c r="BO118" s="377"/>
      <c r="BP118" s="377"/>
      <c r="BQ118" s="377"/>
      <c r="BR118" s="377"/>
    </row>
    <row r="119" spans="1:70">
      <c r="A119" s="374">
        <f t="shared" si="58"/>
        <v>0</v>
      </c>
      <c r="B119" s="359"/>
      <c r="C119" s="359"/>
      <c r="D119" s="360"/>
      <c r="E119" s="360"/>
      <c r="F119" s="373"/>
      <c r="G119" s="360"/>
      <c r="H119" s="377"/>
      <c r="I119" s="537">
        <f t="shared" si="59"/>
        <v>0</v>
      </c>
      <c r="J119" s="546"/>
      <c r="K119" s="383"/>
      <c r="L119" s="383"/>
      <c r="M119" s="383"/>
      <c r="N119" s="383"/>
      <c r="O119" s="383"/>
      <c r="P119" s="383"/>
      <c r="Q119" s="383"/>
      <c r="R119" s="383"/>
      <c r="S119" s="377"/>
      <c r="T119" s="377"/>
      <c r="U119" s="377"/>
      <c r="V119" s="377"/>
      <c r="W119" s="377"/>
      <c r="X119" s="377"/>
      <c r="Y119" s="377"/>
      <c r="Z119" s="377"/>
      <c r="AA119" s="377"/>
      <c r="AB119" s="377"/>
      <c r="AC119" s="377"/>
      <c r="AD119" s="377"/>
      <c r="AE119" s="377"/>
      <c r="AF119" s="377"/>
      <c r="AG119" s="377"/>
      <c r="AH119" s="377"/>
      <c r="AI119" s="377"/>
      <c r="AJ119" s="377"/>
      <c r="AK119" s="377"/>
      <c r="AL119" s="377"/>
      <c r="AM119" s="377"/>
      <c r="AN119" s="377"/>
      <c r="AO119" s="377"/>
      <c r="AP119" s="377"/>
      <c r="AQ119" s="377"/>
      <c r="AR119" s="377"/>
      <c r="AS119" s="377"/>
      <c r="AT119" s="377"/>
      <c r="AU119" s="377"/>
      <c r="AV119" s="377"/>
      <c r="AW119" s="377"/>
      <c r="AX119" s="377"/>
      <c r="AY119" s="377"/>
      <c r="AZ119" s="377"/>
      <c r="BA119" s="377"/>
      <c r="BB119" s="377"/>
      <c r="BC119" s="377"/>
      <c r="BD119" s="377"/>
      <c r="BE119" s="377"/>
      <c r="BF119" s="377"/>
      <c r="BG119" s="377"/>
      <c r="BH119" s="377"/>
      <c r="BI119" s="377"/>
      <c r="BJ119" s="377"/>
      <c r="BK119" s="377"/>
      <c r="BL119" s="377"/>
      <c r="BM119" s="377"/>
      <c r="BN119" s="377"/>
      <c r="BO119" s="377"/>
      <c r="BP119" s="377"/>
      <c r="BQ119" s="377"/>
      <c r="BR119" s="377"/>
    </row>
    <row r="120" spans="1:70">
      <c r="A120" s="374">
        <f t="shared" si="58"/>
        <v>0</v>
      </c>
      <c r="B120" s="359"/>
      <c r="C120" s="359"/>
      <c r="D120" s="360"/>
      <c r="E120" s="360"/>
      <c r="F120" s="373"/>
      <c r="G120" s="360"/>
      <c r="H120" s="377"/>
      <c r="I120" s="537">
        <f t="shared" si="59"/>
        <v>0</v>
      </c>
      <c r="J120" s="546"/>
      <c r="K120" s="383"/>
      <c r="L120" s="383"/>
      <c r="M120" s="383"/>
      <c r="N120" s="383"/>
      <c r="O120" s="383"/>
      <c r="P120" s="383"/>
      <c r="Q120" s="383"/>
      <c r="R120" s="383"/>
      <c r="S120" s="377"/>
      <c r="T120" s="377"/>
      <c r="U120" s="377"/>
      <c r="V120" s="377"/>
      <c r="W120" s="377"/>
      <c r="X120" s="377"/>
      <c r="Y120" s="377"/>
      <c r="Z120" s="377"/>
      <c r="AA120" s="377"/>
      <c r="AB120" s="377"/>
      <c r="AC120" s="377"/>
      <c r="AD120" s="377"/>
      <c r="AE120" s="377"/>
      <c r="AF120" s="377"/>
      <c r="AG120" s="377"/>
      <c r="AH120" s="377"/>
      <c r="AI120" s="377"/>
      <c r="AJ120" s="377"/>
      <c r="AK120" s="377"/>
      <c r="AL120" s="377"/>
      <c r="AM120" s="377"/>
      <c r="AN120" s="377"/>
      <c r="AO120" s="377"/>
      <c r="AP120" s="377"/>
      <c r="AQ120" s="377"/>
      <c r="AR120" s="377"/>
      <c r="AS120" s="377"/>
      <c r="AT120" s="377"/>
      <c r="AU120" s="377"/>
      <c r="AV120" s="377"/>
      <c r="AW120" s="377"/>
      <c r="AX120" s="377"/>
      <c r="AY120" s="377"/>
      <c r="AZ120" s="377"/>
      <c r="BA120" s="377"/>
      <c r="BB120" s="377"/>
      <c r="BC120" s="377"/>
      <c r="BD120" s="377"/>
      <c r="BE120" s="377"/>
      <c r="BF120" s="377"/>
      <c r="BG120" s="377"/>
      <c r="BH120" s="377"/>
      <c r="BI120" s="377"/>
      <c r="BJ120" s="377"/>
      <c r="BK120" s="377"/>
      <c r="BL120" s="377"/>
      <c r="BM120" s="377"/>
      <c r="BN120" s="377"/>
      <c r="BO120" s="377"/>
      <c r="BP120" s="377"/>
      <c r="BQ120" s="377"/>
      <c r="BR120" s="377"/>
    </row>
    <row r="121" spans="1:70">
      <c r="A121" s="374">
        <f t="shared" si="58"/>
        <v>0</v>
      </c>
      <c r="B121" s="359"/>
      <c r="C121" s="359"/>
      <c r="D121" s="360"/>
      <c r="E121" s="360"/>
      <c r="F121" s="373"/>
      <c r="G121" s="360"/>
      <c r="H121" s="377"/>
      <c r="I121" s="537">
        <f t="shared" si="59"/>
        <v>0</v>
      </c>
      <c r="J121" s="546"/>
      <c r="K121" s="383"/>
      <c r="L121" s="383"/>
      <c r="M121" s="383"/>
      <c r="N121" s="383"/>
      <c r="O121" s="383"/>
      <c r="P121" s="383"/>
      <c r="Q121" s="383"/>
      <c r="R121" s="383"/>
      <c r="S121" s="377"/>
      <c r="T121" s="377"/>
      <c r="U121" s="377"/>
      <c r="V121" s="377"/>
      <c r="W121" s="377"/>
      <c r="X121" s="377"/>
      <c r="Y121" s="377"/>
      <c r="Z121" s="377"/>
      <c r="AA121" s="377"/>
      <c r="AB121" s="377"/>
      <c r="AC121" s="377"/>
      <c r="AD121" s="377"/>
      <c r="AE121" s="377"/>
      <c r="AF121" s="377"/>
      <c r="AG121" s="377"/>
      <c r="AH121" s="377"/>
      <c r="AI121" s="377"/>
      <c r="AJ121" s="377"/>
      <c r="AK121" s="377"/>
      <c r="AL121" s="377"/>
      <c r="AM121" s="377"/>
      <c r="AN121" s="377"/>
      <c r="AO121" s="377"/>
      <c r="AP121" s="377"/>
      <c r="AQ121" s="377"/>
      <c r="AR121" s="377"/>
      <c r="AS121" s="377"/>
      <c r="AT121" s="377"/>
      <c r="AU121" s="377"/>
      <c r="AV121" s="377"/>
      <c r="AW121" s="377"/>
      <c r="AX121" s="377"/>
      <c r="AY121" s="377"/>
      <c r="AZ121" s="377"/>
      <c r="BA121" s="377"/>
      <c r="BB121" s="377"/>
      <c r="BC121" s="377"/>
      <c r="BD121" s="377"/>
      <c r="BE121" s="377"/>
      <c r="BF121" s="377"/>
      <c r="BG121" s="377"/>
      <c r="BH121" s="377"/>
      <c r="BI121" s="377"/>
      <c r="BJ121" s="377"/>
      <c r="BK121" s="377"/>
      <c r="BL121" s="377"/>
      <c r="BM121" s="377"/>
      <c r="BN121" s="377"/>
      <c r="BO121" s="377"/>
      <c r="BP121" s="377"/>
      <c r="BQ121" s="377"/>
      <c r="BR121" s="377"/>
    </row>
    <row r="122" spans="1:70">
      <c r="A122" s="374">
        <f t="shared" si="53"/>
        <v>0</v>
      </c>
      <c r="B122" s="359"/>
      <c r="C122" s="359"/>
      <c r="D122" s="360"/>
      <c r="E122" s="360"/>
      <c r="F122" s="373"/>
      <c r="G122" s="360"/>
      <c r="H122" s="377"/>
      <c r="I122" s="537">
        <f t="shared" ref="I122" si="60">SUM(K122:BR122)</f>
        <v>0</v>
      </c>
      <c r="J122" s="546"/>
      <c r="K122" s="383"/>
      <c r="L122" s="383"/>
      <c r="M122" s="383"/>
      <c r="N122" s="383"/>
      <c r="O122" s="383"/>
      <c r="P122" s="383"/>
      <c r="Q122" s="383"/>
      <c r="R122" s="383"/>
      <c r="S122" s="377"/>
      <c r="T122" s="377"/>
      <c r="U122" s="377"/>
      <c r="V122" s="377"/>
      <c r="W122" s="377"/>
      <c r="X122" s="377"/>
      <c r="Y122" s="377"/>
      <c r="Z122" s="377"/>
      <c r="AA122" s="377"/>
      <c r="AB122" s="377"/>
      <c r="AC122" s="377"/>
      <c r="AD122" s="377"/>
      <c r="AE122" s="377"/>
      <c r="AF122" s="377"/>
      <c r="AG122" s="377"/>
      <c r="AH122" s="377"/>
      <c r="AI122" s="377"/>
      <c r="AJ122" s="377"/>
      <c r="AK122" s="377"/>
      <c r="AL122" s="377"/>
      <c r="AM122" s="377"/>
      <c r="AN122" s="377"/>
      <c r="AO122" s="377"/>
      <c r="AP122" s="377"/>
      <c r="AQ122" s="377"/>
      <c r="AR122" s="377"/>
      <c r="AS122" s="377"/>
      <c r="AT122" s="377"/>
      <c r="AU122" s="377"/>
      <c r="AV122" s="377"/>
      <c r="AW122" s="377"/>
      <c r="AX122" s="377"/>
      <c r="AY122" s="377"/>
      <c r="AZ122" s="377"/>
      <c r="BA122" s="377"/>
      <c r="BB122" s="377"/>
      <c r="BC122" s="377"/>
      <c r="BD122" s="377"/>
      <c r="BE122" s="377"/>
      <c r="BF122" s="377"/>
      <c r="BG122" s="377"/>
      <c r="BH122" s="377"/>
      <c r="BI122" s="377"/>
      <c r="BJ122" s="377"/>
      <c r="BK122" s="377"/>
      <c r="BL122" s="377"/>
      <c r="BM122" s="377"/>
      <c r="BN122" s="377"/>
      <c r="BO122" s="377"/>
      <c r="BP122" s="377"/>
      <c r="BQ122" s="377"/>
      <c r="BR122" s="377"/>
    </row>
    <row r="123" spans="1:70" s="353" customFormat="1">
      <c r="A123" s="374">
        <f t="shared" si="53"/>
        <v>0</v>
      </c>
      <c r="B123" s="363">
        <v>4350</v>
      </c>
      <c r="C123" s="363"/>
      <c r="D123" s="364" t="s">
        <v>433</v>
      </c>
      <c r="E123" s="364"/>
      <c r="F123" s="364"/>
      <c r="G123" s="364"/>
      <c r="H123" s="378">
        <f>SUM(H124:H127)</f>
        <v>0</v>
      </c>
      <c r="I123" s="538">
        <f t="shared" ref="I123:BR123" si="61">SUM(I124:I127)</f>
        <v>0</v>
      </c>
      <c r="J123" s="547">
        <f t="shared" si="61"/>
        <v>0</v>
      </c>
      <c r="K123" s="378">
        <f t="shared" si="61"/>
        <v>0</v>
      </c>
      <c r="L123" s="378">
        <f t="shared" si="61"/>
        <v>0</v>
      </c>
      <c r="M123" s="378">
        <f t="shared" si="61"/>
        <v>0</v>
      </c>
      <c r="N123" s="378">
        <f t="shared" ref="N123:R123" si="62">SUM(N124:N127)</f>
        <v>0</v>
      </c>
      <c r="O123" s="378">
        <f t="shared" si="62"/>
        <v>0</v>
      </c>
      <c r="P123" s="378">
        <f t="shared" si="62"/>
        <v>0</v>
      </c>
      <c r="Q123" s="378">
        <f t="shared" si="62"/>
        <v>0</v>
      </c>
      <c r="R123" s="378">
        <f t="shared" si="62"/>
        <v>0</v>
      </c>
      <c r="S123" s="378">
        <f t="shared" si="61"/>
        <v>0</v>
      </c>
      <c r="T123" s="378">
        <f t="shared" si="61"/>
        <v>0</v>
      </c>
      <c r="U123" s="378">
        <f t="shared" si="61"/>
        <v>0</v>
      </c>
      <c r="V123" s="378">
        <f t="shared" si="61"/>
        <v>0</v>
      </c>
      <c r="W123" s="378">
        <f t="shared" si="61"/>
        <v>0</v>
      </c>
      <c r="X123" s="378">
        <f t="shared" si="61"/>
        <v>0</v>
      </c>
      <c r="Y123" s="378">
        <f t="shared" si="61"/>
        <v>0</v>
      </c>
      <c r="Z123" s="378">
        <f t="shared" si="61"/>
        <v>0</v>
      </c>
      <c r="AA123" s="378">
        <f t="shared" si="61"/>
        <v>0</v>
      </c>
      <c r="AB123" s="378">
        <f t="shared" si="61"/>
        <v>0</v>
      </c>
      <c r="AC123" s="378">
        <f t="shared" si="61"/>
        <v>0</v>
      </c>
      <c r="AD123" s="378">
        <f t="shared" si="61"/>
        <v>0</v>
      </c>
      <c r="AE123" s="378">
        <f t="shared" si="61"/>
        <v>0</v>
      </c>
      <c r="AF123" s="378">
        <f t="shared" si="61"/>
        <v>0</v>
      </c>
      <c r="AG123" s="378">
        <f t="shared" si="61"/>
        <v>0</v>
      </c>
      <c r="AH123" s="378">
        <f t="shared" si="61"/>
        <v>0</v>
      </c>
      <c r="AI123" s="378">
        <f t="shared" si="61"/>
        <v>0</v>
      </c>
      <c r="AJ123" s="378">
        <f t="shared" si="61"/>
        <v>0</v>
      </c>
      <c r="AK123" s="378">
        <f t="shared" si="61"/>
        <v>0</v>
      </c>
      <c r="AL123" s="378">
        <f t="shared" si="61"/>
        <v>0</v>
      </c>
      <c r="AM123" s="378">
        <f t="shared" si="61"/>
        <v>0</v>
      </c>
      <c r="AN123" s="378">
        <f t="shared" si="61"/>
        <v>0</v>
      </c>
      <c r="AO123" s="378">
        <f t="shared" si="61"/>
        <v>0</v>
      </c>
      <c r="AP123" s="378">
        <f t="shared" si="61"/>
        <v>0</v>
      </c>
      <c r="AQ123" s="378">
        <f t="shared" si="61"/>
        <v>0</v>
      </c>
      <c r="AR123" s="378">
        <f t="shared" si="61"/>
        <v>0</v>
      </c>
      <c r="AS123" s="378">
        <f t="shared" si="61"/>
        <v>0</v>
      </c>
      <c r="AT123" s="378">
        <f t="shared" si="61"/>
        <v>0</v>
      </c>
      <c r="AU123" s="378">
        <f t="shared" si="61"/>
        <v>0</v>
      </c>
      <c r="AV123" s="378">
        <f t="shared" si="61"/>
        <v>0</v>
      </c>
      <c r="AW123" s="378">
        <f t="shared" si="61"/>
        <v>0</v>
      </c>
      <c r="AX123" s="378">
        <f t="shared" si="61"/>
        <v>0</v>
      </c>
      <c r="AY123" s="378">
        <f t="shared" si="61"/>
        <v>0</v>
      </c>
      <c r="AZ123" s="378">
        <f t="shared" si="61"/>
        <v>0</v>
      </c>
      <c r="BA123" s="378">
        <f t="shared" si="61"/>
        <v>0</v>
      </c>
      <c r="BB123" s="378">
        <f t="shared" si="61"/>
        <v>0</v>
      </c>
      <c r="BC123" s="378">
        <f t="shared" si="61"/>
        <v>0</v>
      </c>
      <c r="BD123" s="378">
        <f t="shared" si="61"/>
        <v>0</v>
      </c>
      <c r="BE123" s="378">
        <f t="shared" si="61"/>
        <v>0</v>
      </c>
      <c r="BF123" s="378">
        <f t="shared" si="61"/>
        <v>0</v>
      </c>
      <c r="BG123" s="378">
        <f t="shared" si="61"/>
        <v>0</v>
      </c>
      <c r="BH123" s="378">
        <f t="shared" si="61"/>
        <v>0</v>
      </c>
      <c r="BI123" s="378">
        <f t="shared" si="61"/>
        <v>0</v>
      </c>
      <c r="BJ123" s="378">
        <f t="shared" si="61"/>
        <v>0</v>
      </c>
      <c r="BK123" s="378">
        <f t="shared" si="61"/>
        <v>0</v>
      </c>
      <c r="BL123" s="378">
        <f t="shared" si="61"/>
        <v>0</v>
      </c>
      <c r="BM123" s="378">
        <f t="shared" si="61"/>
        <v>0</v>
      </c>
      <c r="BN123" s="378">
        <f t="shared" si="61"/>
        <v>0</v>
      </c>
      <c r="BO123" s="378">
        <f t="shared" si="61"/>
        <v>0</v>
      </c>
      <c r="BP123" s="378">
        <f t="shared" si="61"/>
        <v>0</v>
      </c>
      <c r="BQ123" s="378">
        <f t="shared" si="61"/>
        <v>0</v>
      </c>
      <c r="BR123" s="378">
        <f t="shared" si="61"/>
        <v>0</v>
      </c>
    </row>
    <row r="124" spans="1:70">
      <c r="A124" s="374">
        <f t="shared" si="53"/>
        <v>0</v>
      </c>
      <c r="B124" s="359">
        <v>4354</v>
      </c>
      <c r="C124" s="359">
        <v>1</v>
      </c>
      <c r="D124" s="360" t="s">
        <v>433</v>
      </c>
      <c r="E124" s="360" t="s">
        <v>492</v>
      </c>
      <c r="F124" s="366" t="s">
        <v>448</v>
      </c>
      <c r="G124" s="360"/>
      <c r="H124" s="377"/>
      <c r="I124" s="537">
        <f>SUM(K124:BR124)</f>
        <v>0</v>
      </c>
      <c r="J124" s="546"/>
      <c r="K124" s="383"/>
      <c r="L124" s="383"/>
      <c r="M124" s="383"/>
      <c r="N124" s="383"/>
      <c r="O124" s="383"/>
      <c r="P124" s="383"/>
      <c r="Q124" s="383"/>
      <c r="R124" s="383"/>
      <c r="S124" s="377"/>
      <c r="T124" s="377"/>
      <c r="U124" s="377"/>
      <c r="V124" s="377"/>
      <c r="W124" s="377"/>
      <c r="X124" s="377"/>
      <c r="Y124" s="377"/>
      <c r="Z124" s="377"/>
      <c r="AA124" s="377"/>
      <c r="AB124" s="377"/>
      <c r="AC124" s="377"/>
      <c r="AD124" s="377"/>
      <c r="AE124" s="377"/>
      <c r="AF124" s="377"/>
      <c r="AG124" s="377"/>
      <c r="AH124" s="377"/>
      <c r="AI124" s="377"/>
      <c r="AJ124" s="377"/>
      <c r="AK124" s="377"/>
      <c r="AL124" s="377"/>
      <c r="AM124" s="377"/>
      <c r="AN124" s="377"/>
      <c r="AO124" s="377"/>
      <c r="AP124" s="377"/>
      <c r="AQ124" s="377"/>
      <c r="AR124" s="377"/>
      <c r="AS124" s="377"/>
      <c r="AT124" s="377"/>
      <c r="AU124" s="377"/>
      <c r="AV124" s="377"/>
      <c r="AW124" s="377"/>
      <c r="AX124" s="377"/>
      <c r="AY124" s="377"/>
      <c r="AZ124" s="377"/>
      <c r="BA124" s="377"/>
      <c r="BB124" s="377"/>
      <c r="BC124" s="377"/>
      <c r="BD124" s="377"/>
      <c r="BE124" s="377"/>
      <c r="BF124" s="377"/>
      <c r="BG124" s="377"/>
      <c r="BH124" s="377"/>
      <c r="BI124" s="377"/>
      <c r="BJ124" s="377"/>
      <c r="BK124" s="377"/>
      <c r="BL124" s="377"/>
      <c r="BM124" s="377"/>
      <c r="BN124" s="377"/>
      <c r="BO124" s="377"/>
      <c r="BP124" s="377"/>
      <c r="BQ124" s="377"/>
      <c r="BR124" s="377"/>
    </row>
    <row r="125" spans="1:70">
      <c r="A125" s="374">
        <f t="shared" si="53"/>
        <v>0</v>
      </c>
      <c r="B125" s="359"/>
      <c r="C125" s="359"/>
      <c r="D125" s="360"/>
      <c r="E125" s="360"/>
      <c r="F125" s="373"/>
      <c r="G125" s="360"/>
      <c r="H125" s="377"/>
      <c r="I125" s="537"/>
      <c r="J125" s="546"/>
      <c r="K125" s="383"/>
      <c r="L125" s="383"/>
      <c r="M125" s="383"/>
      <c r="N125" s="383"/>
      <c r="O125" s="383"/>
      <c r="P125" s="383"/>
      <c r="Q125" s="383"/>
      <c r="R125" s="383"/>
      <c r="S125" s="377"/>
      <c r="T125" s="377"/>
      <c r="U125" s="377"/>
      <c r="V125" s="377"/>
      <c r="W125" s="377"/>
      <c r="X125" s="377"/>
      <c r="Y125" s="377"/>
      <c r="Z125" s="377"/>
      <c r="AA125" s="377"/>
      <c r="AB125" s="377"/>
      <c r="AC125" s="377"/>
      <c r="AD125" s="377"/>
      <c r="AE125" s="377"/>
      <c r="AF125" s="377"/>
      <c r="AG125" s="377"/>
      <c r="AH125" s="377"/>
      <c r="AI125" s="377"/>
      <c r="AJ125" s="377"/>
      <c r="AK125" s="377"/>
      <c r="AL125" s="377"/>
      <c r="AM125" s="377"/>
      <c r="AN125" s="377"/>
      <c r="AO125" s="377"/>
      <c r="AP125" s="377"/>
      <c r="AQ125" s="377"/>
      <c r="AR125" s="377"/>
      <c r="AS125" s="377"/>
      <c r="AT125" s="377"/>
      <c r="AU125" s="377"/>
      <c r="AV125" s="377"/>
      <c r="AW125" s="377"/>
      <c r="AX125" s="377"/>
      <c r="AY125" s="377"/>
      <c r="AZ125" s="377"/>
      <c r="BA125" s="377"/>
      <c r="BB125" s="377"/>
      <c r="BC125" s="377"/>
      <c r="BD125" s="377"/>
      <c r="BE125" s="377"/>
      <c r="BF125" s="377"/>
      <c r="BG125" s="377"/>
      <c r="BH125" s="377"/>
      <c r="BI125" s="377"/>
      <c r="BJ125" s="377"/>
      <c r="BK125" s="377"/>
      <c r="BL125" s="377"/>
      <c r="BM125" s="377"/>
      <c r="BN125" s="377"/>
      <c r="BO125" s="377"/>
      <c r="BP125" s="377"/>
      <c r="BQ125" s="377"/>
      <c r="BR125" s="377"/>
    </row>
    <row r="126" spans="1:70">
      <c r="A126" s="374">
        <f t="shared" si="53"/>
        <v>0</v>
      </c>
      <c r="B126" s="359"/>
      <c r="C126" s="359"/>
      <c r="D126" s="360"/>
      <c r="E126" s="360"/>
      <c r="F126" s="373"/>
      <c r="G126" s="360"/>
      <c r="H126" s="377"/>
      <c r="I126" s="537"/>
      <c r="J126" s="546"/>
      <c r="K126" s="383"/>
      <c r="L126" s="383"/>
      <c r="M126" s="383"/>
      <c r="N126" s="383"/>
      <c r="O126" s="383"/>
      <c r="P126" s="383"/>
      <c r="Q126" s="383"/>
      <c r="R126" s="383"/>
      <c r="S126" s="377"/>
      <c r="T126" s="377"/>
      <c r="U126" s="377"/>
      <c r="V126" s="377"/>
      <c r="W126" s="377"/>
      <c r="X126" s="377"/>
      <c r="Y126" s="377"/>
      <c r="Z126" s="377"/>
      <c r="AA126" s="377"/>
      <c r="AB126" s="377"/>
      <c r="AC126" s="377"/>
      <c r="AD126" s="377"/>
      <c r="AE126" s="377"/>
      <c r="AF126" s="377"/>
      <c r="AG126" s="377"/>
      <c r="AH126" s="377"/>
      <c r="AI126" s="377"/>
      <c r="AJ126" s="377"/>
      <c r="AK126" s="377"/>
      <c r="AL126" s="377"/>
      <c r="AM126" s="377"/>
      <c r="AN126" s="377"/>
      <c r="AO126" s="377"/>
      <c r="AP126" s="377"/>
      <c r="AQ126" s="377"/>
      <c r="AR126" s="377"/>
      <c r="AS126" s="377"/>
      <c r="AT126" s="377"/>
      <c r="AU126" s="377"/>
      <c r="AV126" s="377"/>
      <c r="AW126" s="377"/>
      <c r="AX126" s="377"/>
      <c r="AY126" s="377"/>
      <c r="AZ126" s="377"/>
      <c r="BA126" s="377"/>
      <c r="BB126" s="377"/>
      <c r="BC126" s="377"/>
      <c r="BD126" s="377"/>
      <c r="BE126" s="377"/>
      <c r="BF126" s="377"/>
      <c r="BG126" s="377"/>
      <c r="BH126" s="377"/>
      <c r="BI126" s="377"/>
      <c r="BJ126" s="377"/>
      <c r="BK126" s="377"/>
      <c r="BL126" s="377"/>
      <c r="BM126" s="377"/>
      <c r="BN126" s="377"/>
      <c r="BO126" s="377"/>
      <c r="BP126" s="377"/>
      <c r="BQ126" s="377"/>
      <c r="BR126" s="377"/>
    </row>
    <row r="127" spans="1:70">
      <c r="A127" s="374">
        <f t="shared" si="53"/>
        <v>0</v>
      </c>
      <c r="B127" s="359"/>
      <c r="C127" s="359"/>
      <c r="D127" s="360"/>
      <c r="E127" s="360"/>
      <c r="F127" s="373"/>
      <c r="G127" s="360"/>
      <c r="H127" s="377"/>
      <c r="I127" s="537"/>
      <c r="J127" s="546"/>
      <c r="K127" s="383"/>
      <c r="L127" s="383"/>
      <c r="M127" s="383"/>
      <c r="N127" s="383"/>
      <c r="O127" s="383"/>
      <c r="P127" s="383"/>
      <c r="Q127" s="383"/>
      <c r="R127" s="383"/>
      <c r="S127" s="377"/>
      <c r="T127" s="377"/>
      <c r="U127" s="377"/>
      <c r="V127" s="377"/>
      <c r="W127" s="377"/>
      <c r="X127" s="377"/>
      <c r="Y127" s="377"/>
      <c r="Z127" s="377"/>
      <c r="AA127" s="377"/>
      <c r="AB127" s="377"/>
      <c r="AC127" s="377"/>
      <c r="AD127" s="377"/>
      <c r="AE127" s="377"/>
      <c r="AF127" s="377"/>
      <c r="AG127" s="377"/>
      <c r="AH127" s="377"/>
      <c r="AI127" s="377"/>
      <c r="AJ127" s="377"/>
      <c r="AK127" s="377"/>
      <c r="AL127" s="377"/>
      <c r="AM127" s="377"/>
      <c r="AN127" s="377"/>
      <c r="AO127" s="377"/>
      <c r="AP127" s="377"/>
      <c r="AQ127" s="377"/>
      <c r="AR127" s="377"/>
      <c r="AS127" s="377"/>
      <c r="AT127" s="377"/>
      <c r="AU127" s="377"/>
      <c r="AV127" s="377"/>
      <c r="AW127" s="377"/>
      <c r="AX127" s="377"/>
      <c r="AY127" s="377"/>
      <c r="AZ127" s="377"/>
      <c r="BA127" s="377"/>
      <c r="BB127" s="377"/>
      <c r="BC127" s="377"/>
      <c r="BD127" s="377"/>
      <c r="BE127" s="377"/>
      <c r="BF127" s="377"/>
      <c r="BG127" s="377"/>
      <c r="BH127" s="377"/>
      <c r="BI127" s="377"/>
      <c r="BJ127" s="377"/>
      <c r="BK127" s="377"/>
      <c r="BL127" s="377"/>
      <c r="BM127" s="377"/>
      <c r="BN127" s="377"/>
      <c r="BO127" s="377"/>
      <c r="BP127" s="377"/>
      <c r="BQ127" s="377"/>
      <c r="BR127" s="377"/>
    </row>
    <row r="128" spans="1:70" s="353" customFormat="1">
      <c r="A128" s="374">
        <f t="shared" si="53"/>
        <v>0</v>
      </c>
      <c r="B128" s="363">
        <v>4350</v>
      </c>
      <c r="C128" s="363"/>
      <c r="D128" s="364" t="s">
        <v>434</v>
      </c>
      <c r="E128" s="364"/>
      <c r="F128" s="364"/>
      <c r="G128" s="364"/>
      <c r="H128" s="378">
        <f>SUM(H129:H135)</f>
        <v>0</v>
      </c>
      <c r="I128" s="538">
        <f>SUM(I129:I135)</f>
        <v>-4878325127.4092712</v>
      </c>
      <c r="J128" s="547">
        <f t="shared" ref="J128:BR128" si="63">SUM(J129:J135)</f>
        <v>0</v>
      </c>
      <c r="K128" s="378">
        <f t="shared" si="63"/>
        <v>0</v>
      </c>
      <c r="L128" s="378">
        <f t="shared" si="63"/>
        <v>0</v>
      </c>
      <c r="M128" s="378">
        <f t="shared" si="63"/>
        <v>0</v>
      </c>
      <c r="N128" s="378">
        <f t="shared" ref="N128:R128" si="64">SUM(N129:N135)</f>
        <v>0</v>
      </c>
      <c r="O128" s="378">
        <f t="shared" si="64"/>
        <v>0</v>
      </c>
      <c r="P128" s="378">
        <f t="shared" si="64"/>
        <v>0</v>
      </c>
      <c r="Q128" s="378">
        <f t="shared" si="64"/>
        <v>0</v>
      </c>
      <c r="R128" s="378">
        <f t="shared" si="64"/>
        <v>0</v>
      </c>
      <c r="S128" s="378">
        <f t="shared" si="63"/>
        <v>0</v>
      </c>
      <c r="T128" s="378">
        <f t="shared" si="63"/>
        <v>0</v>
      </c>
      <c r="U128" s="378">
        <f t="shared" si="63"/>
        <v>0</v>
      </c>
      <c r="V128" s="378">
        <f t="shared" si="63"/>
        <v>0</v>
      </c>
      <c r="W128" s="378">
        <f t="shared" si="63"/>
        <v>0</v>
      </c>
      <c r="X128" s="378">
        <f t="shared" si="63"/>
        <v>0</v>
      </c>
      <c r="Y128" s="378">
        <f t="shared" si="63"/>
        <v>0</v>
      </c>
      <c r="Z128" s="378">
        <f t="shared" si="63"/>
        <v>0</v>
      </c>
      <c r="AA128" s="378">
        <f t="shared" si="63"/>
        <v>0</v>
      </c>
      <c r="AB128" s="378">
        <f t="shared" si="63"/>
        <v>0</v>
      </c>
      <c r="AC128" s="378">
        <f t="shared" si="63"/>
        <v>0</v>
      </c>
      <c r="AD128" s="378">
        <f t="shared" si="63"/>
        <v>0</v>
      </c>
      <c r="AE128" s="378">
        <f t="shared" si="63"/>
        <v>0</v>
      </c>
      <c r="AF128" s="378">
        <f t="shared" si="63"/>
        <v>0</v>
      </c>
      <c r="AG128" s="378">
        <f t="shared" si="63"/>
        <v>0</v>
      </c>
      <c r="AH128" s="378">
        <f t="shared" si="63"/>
        <v>-307271298.62156743</v>
      </c>
      <c r="AI128" s="378">
        <f t="shared" si="63"/>
        <v>-311316855.9715113</v>
      </c>
      <c r="AJ128" s="378">
        <f t="shared" si="63"/>
        <v>-446339100.88785082</v>
      </c>
      <c r="AK128" s="378">
        <f t="shared" si="63"/>
        <v>-332258290.0680697</v>
      </c>
      <c r="AL128" s="378">
        <f t="shared" si="63"/>
        <v>-1574052250.3156168</v>
      </c>
      <c r="AM128" s="378">
        <f t="shared" si="63"/>
        <v>-541359615.20133901</v>
      </c>
      <c r="AN128" s="378">
        <f t="shared" si="63"/>
        <v>-635788218.6860348</v>
      </c>
      <c r="AO128" s="378">
        <f t="shared" si="63"/>
        <v>-493273634.45568538</v>
      </c>
      <c r="AP128" s="378">
        <f t="shared" si="63"/>
        <v>-236665863.20159733</v>
      </c>
      <c r="AQ128" s="378">
        <f t="shared" si="63"/>
        <v>0</v>
      </c>
      <c r="AR128" s="378">
        <f t="shared" si="63"/>
        <v>-1.27675647831893E-9</v>
      </c>
      <c r="AS128" s="378">
        <f t="shared" si="63"/>
        <v>0</v>
      </c>
      <c r="AT128" s="378">
        <f t="shared" si="63"/>
        <v>0</v>
      </c>
      <c r="AU128" s="378">
        <f t="shared" si="63"/>
        <v>0</v>
      </c>
      <c r="AV128" s="378">
        <f t="shared" si="63"/>
        <v>0</v>
      </c>
      <c r="AW128" s="378">
        <f t="shared" si="63"/>
        <v>0</v>
      </c>
      <c r="AX128" s="378">
        <f t="shared" si="63"/>
        <v>0</v>
      </c>
      <c r="AY128" s="378">
        <f t="shared" si="63"/>
        <v>0</v>
      </c>
      <c r="AZ128" s="378">
        <f t="shared" si="63"/>
        <v>0</v>
      </c>
      <c r="BA128" s="378">
        <f t="shared" si="63"/>
        <v>0</v>
      </c>
      <c r="BB128" s="378">
        <f t="shared" si="63"/>
        <v>0</v>
      </c>
      <c r="BC128" s="378">
        <f t="shared" si="63"/>
        <v>0</v>
      </c>
      <c r="BD128" s="378">
        <f t="shared" si="63"/>
        <v>0</v>
      </c>
      <c r="BE128" s="378">
        <f t="shared" si="63"/>
        <v>0</v>
      </c>
      <c r="BF128" s="378">
        <f t="shared" si="63"/>
        <v>0</v>
      </c>
      <c r="BG128" s="378">
        <f t="shared" si="63"/>
        <v>0</v>
      </c>
      <c r="BH128" s="378">
        <f t="shared" si="63"/>
        <v>0</v>
      </c>
      <c r="BI128" s="378">
        <f t="shared" si="63"/>
        <v>0</v>
      </c>
      <c r="BJ128" s="378">
        <f t="shared" si="63"/>
        <v>0</v>
      </c>
      <c r="BK128" s="378">
        <f t="shared" si="63"/>
        <v>0</v>
      </c>
      <c r="BL128" s="378">
        <f t="shared" si="63"/>
        <v>0</v>
      </c>
      <c r="BM128" s="378">
        <f t="shared" si="63"/>
        <v>0</v>
      </c>
      <c r="BN128" s="378">
        <f t="shared" si="63"/>
        <v>0</v>
      </c>
      <c r="BO128" s="378">
        <f t="shared" si="63"/>
        <v>0</v>
      </c>
      <c r="BP128" s="378">
        <f t="shared" si="63"/>
        <v>0</v>
      </c>
      <c r="BQ128" s="378">
        <f t="shared" si="63"/>
        <v>0</v>
      </c>
      <c r="BR128" s="378">
        <f t="shared" si="63"/>
        <v>0</v>
      </c>
    </row>
    <row r="129" spans="1:70">
      <c r="A129" s="374">
        <f t="shared" si="53"/>
        <v>0</v>
      </c>
      <c r="B129" s="359">
        <v>4701</v>
      </c>
      <c r="C129" s="359">
        <v>1</v>
      </c>
      <c r="D129" s="360" t="s">
        <v>862</v>
      </c>
      <c r="E129" s="360" t="s">
        <v>492</v>
      </c>
      <c r="F129" s="366" t="s">
        <v>448</v>
      </c>
      <c r="G129" s="360"/>
      <c r="H129" s="377"/>
      <c r="I129" s="540">
        <f t="shared" ref="I129:I133" si="65">SUM(K129:BR129)</f>
        <v>-1985636884.4309824</v>
      </c>
      <c r="J129" s="546"/>
      <c r="K129" s="383"/>
      <c r="L129" s="383"/>
      <c r="M129" s="383"/>
      <c r="N129" s="383"/>
      <c r="O129" s="383"/>
      <c r="P129" s="383"/>
      <c r="Q129" s="383"/>
      <c r="R129" s="383"/>
      <c r="S129" s="377">
        <f>'CF1'!Q127*10^6</f>
        <v>0</v>
      </c>
      <c r="T129" s="377">
        <f>'CF1'!R127*10^6</f>
        <v>0</v>
      </c>
      <c r="U129" s="377">
        <f>'CF1'!S127*10^6</f>
        <v>0</v>
      </c>
      <c r="V129" s="377">
        <f>'CF1'!T127*10^6</f>
        <v>0</v>
      </c>
      <c r="W129" s="377">
        <f>'CF1'!U127*10^6</f>
        <v>0</v>
      </c>
      <c r="X129" s="377">
        <f>'CF1'!V127*10^6</f>
        <v>0</v>
      </c>
      <c r="Y129" s="377">
        <f>'CF1'!W127*10^6</f>
        <v>0</v>
      </c>
      <c r="Z129" s="377">
        <f>'CF1'!X127*10^6</f>
        <v>0</v>
      </c>
      <c r="AA129" s="377">
        <f>'CF1'!Y127*10^6</f>
        <v>0</v>
      </c>
      <c r="AB129" s="377">
        <f>'CF1'!Z127*10^6</f>
        <v>0</v>
      </c>
      <c r="AC129" s="377">
        <f>'CF1'!AA127*10^6</f>
        <v>0</v>
      </c>
      <c r="AD129" s="377">
        <f>'CF1'!AB127*10^6</f>
        <v>0</v>
      </c>
      <c r="AE129" s="377">
        <f>'CF1'!AC127*10^6</f>
        <v>0</v>
      </c>
      <c r="AF129" s="377">
        <f>'CF1'!AD127*10^6</f>
        <v>0</v>
      </c>
      <c r="AG129" s="377">
        <f>'CF1'!AE127*10^6</f>
        <v>0</v>
      </c>
      <c r="AH129" s="377">
        <f>'CF1'!AF127*10^6</f>
        <v>-307271298.62156743</v>
      </c>
      <c r="AI129" s="377">
        <f>'CF1'!AG127*10^6</f>
        <v>-311316855.9715113</v>
      </c>
      <c r="AJ129" s="377">
        <f>'CF1'!AH127*10^6</f>
        <v>-317001630.5190562</v>
      </c>
      <c r="AK129" s="377">
        <f>'CF1'!AI127*10^6</f>
        <v>-202920819.69927508</v>
      </c>
      <c r="AL129" s="377">
        <f>'CF1'!AJ127*10^6</f>
        <v>-220804564.64883468</v>
      </c>
      <c r="AM129" s="377">
        <f>'CF1'!AK127*10^6</f>
        <v>-224151151.72305813</v>
      </c>
      <c r="AN129" s="377">
        <f>'CF1'!AL127*10^6</f>
        <v>-226586089.82343277</v>
      </c>
      <c r="AO129" s="377">
        <f>'CF1'!AM127*10^6</f>
        <v>-175584473.42424688</v>
      </c>
      <c r="AP129" s="377">
        <f>'CF1'!AN127*10^6</f>
        <v>0</v>
      </c>
      <c r="AQ129" s="377">
        <f>'CF1'!AO127*10^6</f>
        <v>0</v>
      </c>
      <c r="AR129" s="377">
        <f>'CF1'!AP127*10^6</f>
        <v>0</v>
      </c>
      <c r="AS129" s="377">
        <f>'CF1'!AQ127*10^6</f>
        <v>0</v>
      </c>
      <c r="AT129" s="377">
        <f>'CF1'!AR127*10^6</f>
        <v>0</v>
      </c>
      <c r="AU129" s="377">
        <f>'CF1'!AS127*10^6</f>
        <v>0</v>
      </c>
      <c r="AV129" s="377">
        <f>'CF1'!AT127*10^6</f>
        <v>0</v>
      </c>
      <c r="AW129" s="377">
        <f>'CF1'!AU127*10^6</f>
        <v>0</v>
      </c>
      <c r="AX129" s="377">
        <f>'CF1'!AV127*10^6</f>
        <v>0</v>
      </c>
      <c r="AY129" s="377">
        <f>'CF1'!AW127*10^6</f>
        <v>0</v>
      </c>
      <c r="AZ129" s="377">
        <f>'CF1'!AX127*10^6</f>
        <v>0</v>
      </c>
      <c r="BA129" s="377">
        <f>'CF1'!AY127*10^6</f>
        <v>0</v>
      </c>
      <c r="BB129" s="377">
        <f>'CF1'!AZ127*10^6</f>
        <v>0</v>
      </c>
      <c r="BC129" s="377">
        <f>'CF1'!BA127*10^6</f>
        <v>0</v>
      </c>
      <c r="BD129" s="377">
        <f>'CF1'!BB127*10^6</f>
        <v>0</v>
      </c>
      <c r="BE129" s="377">
        <f>'CF1'!BC127*10^6</f>
        <v>0</v>
      </c>
      <c r="BF129" s="377">
        <f>'CF1'!BD127*10^6</f>
        <v>0</v>
      </c>
      <c r="BG129" s="377">
        <f>'CF1'!BE127*10^6</f>
        <v>0</v>
      </c>
      <c r="BH129" s="377">
        <f>'CF1'!BF127*10^6</f>
        <v>0</v>
      </c>
      <c r="BI129" s="377">
        <f>'CF1'!BG127*10^6</f>
        <v>0</v>
      </c>
      <c r="BJ129" s="377">
        <f>'CF1'!BH127*10^6</f>
        <v>0</v>
      </c>
      <c r="BK129" s="377">
        <f>'CF1'!BI127*10^6</f>
        <v>0</v>
      </c>
      <c r="BL129" s="377">
        <f>'CF1'!BJ127*10^6</f>
        <v>0</v>
      </c>
      <c r="BM129" s="377">
        <f>'CF1'!BK127*10^6</f>
        <v>0</v>
      </c>
      <c r="BN129" s="377">
        <f>'CF1'!BL127*10^6</f>
        <v>0</v>
      </c>
      <c r="BO129" s="377">
        <f>'CF1'!BM127*10^6</f>
        <v>0</v>
      </c>
      <c r="BP129" s="377">
        <f>'CF1'!BN127*10^6</f>
        <v>0</v>
      </c>
      <c r="BQ129" s="377">
        <f>'CF1'!BO127*10^6</f>
        <v>0</v>
      </c>
      <c r="BR129" s="377">
        <f>'CF1'!BP127*10^6</f>
        <v>0</v>
      </c>
    </row>
    <row r="130" spans="1:70">
      <c r="A130" s="374">
        <f t="shared" si="53"/>
        <v>0</v>
      </c>
      <c r="B130" s="359">
        <v>4703</v>
      </c>
      <c r="C130" s="359">
        <v>1</v>
      </c>
      <c r="D130" s="360" t="s">
        <v>21</v>
      </c>
      <c r="E130" s="360" t="s">
        <v>492</v>
      </c>
      <c r="F130" s="366" t="s">
        <v>448</v>
      </c>
      <c r="G130" s="360"/>
      <c r="H130" s="377"/>
      <c r="I130" s="540">
        <f t="shared" si="65"/>
        <v>-258674940.73758921</v>
      </c>
      <c r="J130" s="546"/>
      <c r="K130" s="383"/>
      <c r="L130" s="383"/>
      <c r="M130" s="383"/>
      <c r="N130" s="383"/>
      <c r="O130" s="383"/>
      <c r="P130" s="383"/>
      <c r="Q130" s="383"/>
      <c r="R130" s="383"/>
      <c r="S130" s="377">
        <f>'CF1'!Q112*10^6</f>
        <v>0</v>
      </c>
      <c r="T130" s="377">
        <f>'CF1'!R112*10^6</f>
        <v>0</v>
      </c>
      <c r="U130" s="377">
        <f>'CF1'!S112*10^6</f>
        <v>0</v>
      </c>
      <c r="V130" s="377">
        <f>'CF1'!T112*10^6</f>
        <v>0</v>
      </c>
      <c r="W130" s="377">
        <f>'CF1'!U112*10^6</f>
        <v>0</v>
      </c>
      <c r="X130" s="377">
        <f>'CF1'!V112*10^6</f>
        <v>0</v>
      </c>
      <c r="Y130" s="377">
        <f>'CF1'!W112*10^6</f>
        <v>0</v>
      </c>
      <c r="Z130" s="377">
        <f>'CF1'!X112*10^6</f>
        <v>0</v>
      </c>
      <c r="AA130" s="377">
        <f>'CF1'!Y112*10^6</f>
        <v>0</v>
      </c>
      <c r="AB130" s="377">
        <f>'CF1'!Z112*10^6</f>
        <v>0</v>
      </c>
      <c r="AC130" s="377">
        <f>'CF1'!AA112*10^6</f>
        <v>0</v>
      </c>
      <c r="AD130" s="377">
        <f>'CF1'!AB112*10^6</f>
        <v>0</v>
      </c>
      <c r="AE130" s="377">
        <f>'CF1'!AC112*10^6</f>
        <v>0</v>
      </c>
      <c r="AF130" s="377">
        <f>'CF1'!AD112*10^6</f>
        <v>0</v>
      </c>
      <c r="AG130" s="377">
        <f>'CF1'!AE112*10^6</f>
        <v>0</v>
      </c>
      <c r="AH130" s="377">
        <f>'CF1'!AF112*10^6</f>
        <v>0</v>
      </c>
      <c r="AI130" s="377">
        <f>'CF1'!AG112*10^6</f>
        <v>0</v>
      </c>
      <c r="AJ130" s="377">
        <f>'CF1'!AH112*10^6</f>
        <v>-129337470.36879461</v>
      </c>
      <c r="AK130" s="377">
        <f>'CF1'!AI112*10^6</f>
        <v>-129337470.36879461</v>
      </c>
      <c r="AL130" s="377">
        <f>'CF1'!AJ112*10^6</f>
        <v>0</v>
      </c>
      <c r="AM130" s="377">
        <f>'CF1'!AK112*10^6</f>
        <v>0</v>
      </c>
      <c r="AN130" s="377">
        <f>'CF1'!AL112*10^6</f>
        <v>0</v>
      </c>
      <c r="AO130" s="377">
        <f>'CF1'!AM112*10^6</f>
        <v>0</v>
      </c>
      <c r="AP130" s="377">
        <f>'CF1'!AN112*10^6</f>
        <v>0</v>
      </c>
      <c r="AQ130" s="377">
        <f>'CF1'!AO112*10^6</f>
        <v>0</v>
      </c>
      <c r="AR130" s="377">
        <f>'CF1'!AP112*10^6</f>
        <v>0</v>
      </c>
      <c r="AS130" s="377">
        <f>'CF1'!AQ112*10^6</f>
        <v>0</v>
      </c>
      <c r="AT130" s="377">
        <f>'CF1'!AR112*10^6</f>
        <v>0</v>
      </c>
      <c r="AU130" s="377">
        <f>'CF1'!AS112*10^6</f>
        <v>0</v>
      </c>
      <c r="AV130" s="377">
        <f>'CF1'!AT112*10^6</f>
        <v>0</v>
      </c>
      <c r="AW130" s="377">
        <f>'CF1'!AU112*10^6</f>
        <v>0</v>
      </c>
      <c r="AX130" s="377">
        <f>'CF1'!AV112*10^6</f>
        <v>0</v>
      </c>
      <c r="AY130" s="377">
        <f>'CF1'!AW112*10^6</f>
        <v>0</v>
      </c>
      <c r="AZ130" s="377">
        <f>'CF1'!AX112*10^6</f>
        <v>0</v>
      </c>
      <c r="BA130" s="377">
        <f>'CF1'!AY112*10^6</f>
        <v>0</v>
      </c>
      <c r="BB130" s="377">
        <f>'CF1'!AZ112*10^6</f>
        <v>0</v>
      </c>
      <c r="BC130" s="377">
        <f>'CF1'!BA112*10^6</f>
        <v>0</v>
      </c>
      <c r="BD130" s="377">
        <f>'CF1'!BB112*10^6</f>
        <v>0</v>
      </c>
      <c r="BE130" s="377">
        <f>'CF1'!BC112*10^6</f>
        <v>0</v>
      </c>
      <c r="BF130" s="377">
        <f>'CF1'!BD112*10^6</f>
        <v>0</v>
      </c>
      <c r="BG130" s="377">
        <f>'CF1'!BE112*10^6</f>
        <v>0</v>
      </c>
      <c r="BH130" s="377">
        <f>'CF1'!BF112*10^6</f>
        <v>0</v>
      </c>
      <c r="BI130" s="377">
        <f>'CF1'!BG112*10^6</f>
        <v>0</v>
      </c>
      <c r="BJ130" s="377">
        <f>'CF1'!BH112*10^6</f>
        <v>0</v>
      </c>
      <c r="BK130" s="377">
        <f>'CF1'!BI112*10^6</f>
        <v>0</v>
      </c>
      <c r="BL130" s="377">
        <f>'CF1'!BJ112*10^6</f>
        <v>0</v>
      </c>
      <c r="BM130" s="377">
        <f>'CF1'!BK112*10^6</f>
        <v>0</v>
      </c>
      <c r="BN130" s="377">
        <f>'CF1'!BL112*10^6</f>
        <v>0</v>
      </c>
      <c r="BO130" s="377">
        <f>'CF1'!BM112*10^6</f>
        <v>0</v>
      </c>
      <c r="BP130" s="377">
        <f>'CF1'!BN112*10^6</f>
        <v>0</v>
      </c>
      <c r="BQ130" s="377">
        <f>'CF1'!BO112*10^6</f>
        <v>0</v>
      </c>
      <c r="BR130" s="377">
        <f>'CF1'!BP112*10^6</f>
        <v>0</v>
      </c>
    </row>
    <row r="131" spans="1:70">
      <c r="A131" s="374">
        <f t="shared" si="53"/>
        <v>0</v>
      </c>
      <c r="B131" s="359"/>
      <c r="C131" s="359"/>
      <c r="D131" s="360"/>
      <c r="E131" s="360"/>
      <c r="F131" s="373"/>
      <c r="G131" s="360"/>
      <c r="H131" s="377"/>
      <c r="I131" s="537"/>
      <c r="J131" s="546"/>
      <c r="K131" s="383"/>
      <c r="L131" s="383"/>
      <c r="M131" s="383"/>
      <c r="N131" s="383"/>
      <c r="O131" s="383"/>
      <c r="P131" s="383"/>
      <c r="Q131" s="383"/>
      <c r="R131" s="383"/>
      <c r="S131" s="377"/>
      <c r="T131" s="377"/>
      <c r="U131" s="377"/>
      <c r="V131" s="377"/>
      <c r="W131" s="377"/>
      <c r="X131" s="377"/>
      <c r="Y131" s="377"/>
      <c r="Z131" s="377"/>
      <c r="AA131" s="377"/>
      <c r="AB131" s="377"/>
      <c r="AC131" s="377"/>
      <c r="AD131" s="377"/>
      <c r="AE131" s="377"/>
      <c r="AF131" s="377"/>
      <c r="AG131" s="377"/>
      <c r="AH131" s="377"/>
      <c r="AI131" s="377"/>
      <c r="AJ131" s="377"/>
      <c r="AK131" s="377"/>
      <c r="AL131" s="377"/>
      <c r="AM131" s="377"/>
      <c r="AN131" s="377"/>
      <c r="AO131" s="377"/>
      <c r="AP131" s="377"/>
      <c r="AQ131" s="377"/>
      <c r="AR131" s="377"/>
      <c r="AS131" s="377"/>
      <c r="AT131" s="377"/>
      <c r="AU131" s="377"/>
      <c r="AV131" s="377"/>
      <c r="AW131" s="377"/>
      <c r="AX131" s="377"/>
      <c r="AY131" s="377"/>
      <c r="AZ131" s="377"/>
      <c r="BA131" s="377"/>
      <c r="BB131" s="377"/>
      <c r="BC131" s="377"/>
      <c r="BD131" s="377"/>
      <c r="BE131" s="377"/>
      <c r="BF131" s="377"/>
      <c r="BG131" s="377"/>
      <c r="BH131" s="377"/>
      <c r="BI131" s="377"/>
      <c r="BJ131" s="377"/>
      <c r="BK131" s="377"/>
      <c r="BL131" s="377"/>
      <c r="BM131" s="377"/>
      <c r="BN131" s="377"/>
      <c r="BO131" s="377"/>
      <c r="BP131" s="377"/>
      <c r="BQ131" s="377"/>
      <c r="BR131" s="377"/>
    </row>
    <row r="132" spans="1:70">
      <c r="A132" s="374">
        <f t="shared" si="53"/>
        <v>0</v>
      </c>
      <c r="B132" s="359">
        <v>4701</v>
      </c>
      <c r="C132" s="359">
        <v>2</v>
      </c>
      <c r="D132" s="360" t="s">
        <v>862</v>
      </c>
      <c r="E132" s="360" t="s">
        <v>492</v>
      </c>
      <c r="F132" s="366" t="s">
        <v>448</v>
      </c>
      <c r="G132" s="360"/>
      <c r="H132" s="377"/>
      <c r="I132" s="540">
        <f t="shared" si="65"/>
        <v>-2476876118.7484765</v>
      </c>
      <c r="J132" s="546"/>
      <c r="K132" s="383"/>
      <c r="L132" s="383"/>
      <c r="M132" s="383"/>
      <c r="N132" s="383"/>
      <c r="O132" s="383"/>
      <c r="P132" s="383"/>
      <c r="Q132" s="383"/>
      <c r="R132" s="383"/>
      <c r="S132" s="377">
        <f>'CF2'!Q127*10^6</f>
        <v>0</v>
      </c>
      <c r="T132" s="377">
        <f>'CF2'!R127*10^6</f>
        <v>0</v>
      </c>
      <c r="U132" s="377">
        <f>'CF2'!S127*10^6</f>
        <v>0</v>
      </c>
      <c r="V132" s="377">
        <f>'CF2'!T127*10^6</f>
        <v>0</v>
      </c>
      <c r="W132" s="377">
        <f>'CF2'!U127*10^6</f>
        <v>0</v>
      </c>
      <c r="X132" s="377">
        <f>'CF2'!V127*10^6</f>
        <v>0</v>
      </c>
      <c r="Y132" s="377">
        <f>'CF2'!W127*10^6</f>
        <v>0</v>
      </c>
      <c r="Z132" s="377">
        <f>'CF2'!X127*10^6</f>
        <v>0</v>
      </c>
      <c r="AA132" s="377">
        <f>'CF2'!Y127*10^6</f>
        <v>0</v>
      </c>
      <c r="AB132" s="377">
        <f>'CF2'!Z127*10^6</f>
        <v>0</v>
      </c>
      <c r="AC132" s="377">
        <f>'CF2'!AA127*10^6</f>
        <v>0</v>
      </c>
      <c r="AD132" s="377">
        <f>'CF2'!AB127*10^6</f>
        <v>0</v>
      </c>
      <c r="AE132" s="377">
        <f>'CF2'!AC127*10^6</f>
        <v>0</v>
      </c>
      <c r="AF132" s="377">
        <f>'CF2'!AD127*10^6</f>
        <v>0</v>
      </c>
      <c r="AG132" s="377">
        <f>'CF2'!AE127*10^6</f>
        <v>0</v>
      </c>
      <c r="AH132" s="377">
        <f>'CF2'!AF127*10^6</f>
        <v>0</v>
      </c>
      <c r="AI132" s="377">
        <f>'CF2'!AG127*10^6</f>
        <v>0</v>
      </c>
      <c r="AJ132" s="377">
        <f>'CF2'!AH127*10^6</f>
        <v>0</v>
      </c>
      <c r="AK132" s="377">
        <f>'CF2'!AI127*10^6</f>
        <v>0</v>
      </c>
      <c r="AL132" s="377">
        <f>'CF2'!AJ127*10^6</f>
        <v>-1353247685.6667821</v>
      </c>
      <c r="AM132" s="377">
        <f>'CF2'!AK127*10^6</f>
        <v>-317208463.47828084</v>
      </c>
      <c r="AN132" s="377">
        <f>'CF2'!AL127*10^6</f>
        <v>-330633537.11648989</v>
      </c>
      <c r="AO132" s="377">
        <f>'CF2'!AM127*10^6</f>
        <v>-239120569.28532639</v>
      </c>
      <c r="AP132" s="377">
        <f>'CF2'!AN127*10^6</f>
        <v>-236665863.20159733</v>
      </c>
      <c r="AQ132" s="377">
        <f>'CF2'!AO127*10^6</f>
        <v>0</v>
      </c>
      <c r="AR132" s="377">
        <f>'CF2'!AP127*10^6</f>
        <v>-1.27675647831893E-9</v>
      </c>
      <c r="AS132" s="377">
        <f>'CF2'!AQ127*10^6</f>
        <v>0</v>
      </c>
      <c r="AT132" s="377">
        <f>'CF2'!AR127*10^6</f>
        <v>0</v>
      </c>
      <c r="AU132" s="377">
        <f>'CF2'!AS127*10^6</f>
        <v>0</v>
      </c>
      <c r="AV132" s="377">
        <f>'CF2'!AT127*10^6</f>
        <v>0</v>
      </c>
      <c r="AW132" s="377">
        <f>'CF2'!AU127*10^6</f>
        <v>0</v>
      </c>
      <c r="AX132" s="377">
        <f>'CF2'!AV127*10^6</f>
        <v>0</v>
      </c>
      <c r="AY132" s="377">
        <f>'CF2'!AW127*10^6</f>
        <v>0</v>
      </c>
      <c r="AZ132" s="377">
        <f>'CF2'!AX127*10^6</f>
        <v>0</v>
      </c>
      <c r="BA132" s="377">
        <f>'CF2'!AY127*10^6</f>
        <v>0</v>
      </c>
      <c r="BB132" s="377">
        <f>'CF2'!AZ127*10^6</f>
        <v>0</v>
      </c>
      <c r="BC132" s="377">
        <f>'CF2'!BA127*10^6</f>
        <v>0</v>
      </c>
      <c r="BD132" s="377">
        <f>'CF2'!BB127*10^6</f>
        <v>0</v>
      </c>
      <c r="BE132" s="377">
        <f>'CF2'!BC127*10^6</f>
        <v>0</v>
      </c>
      <c r="BF132" s="377">
        <f>'CF2'!BD127*10^6</f>
        <v>0</v>
      </c>
      <c r="BG132" s="377">
        <f>'CF2'!BE127*10^6</f>
        <v>0</v>
      </c>
      <c r="BH132" s="377">
        <f>'CF2'!BF127*10^6</f>
        <v>0</v>
      </c>
      <c r="BI132" s="377">
        <f>'CF2'!BG127*10^6</f>
        <v>0</v>
      </c>
      <c r="BJ132" s="377">
        <f>'CF2'!BH127*10^6</f>
        <v>0</v>
      </c>
      <c r="BK132" s="377">
        <f>'CF2'!BI127*10^6</f>
        <v>0</v>
      </c>
      <c r="BL132" s="377">
        <f>'CF2'!BJ127*10^6</f>
        <v>0</v>
      </c>
      <c r="BM132" s="377">
        <f>'CF2'!BK127*10^6</f>
        <v>0</v>
      </c>
      <c r="BN132" s="377">
        <f>'CF2'!BL127*10^6</f>
        <v>0</v>
      </c>
      <c r="BO132" s="377">
        <f>'CF2'!BM127*10^6</f>
        <v>0</v>
      </c>
      <c r="BP132" s="377">
        <f>'CF2'!BN127*10^6</f>
        <v>0</v>
      </c>
      <c r="BQ132" s="377">
        <f>'CF2'!BO127*10^6</f>
        <v>0</v>
      </c>
      <c r="BR132" s="377">
        <f>'CF2'!BP127*10^6</f>
        <v>0</v>
      </c>
    </row>
    <row r="133" spans="1:70">
      <c r="A133" s="374">
        <f t="shared" si="53"/>
        <v>0</v>
      </c>
      <c r="B133" s="359">
        <v>4703</v>
      </c>
      <c r="C133" s="359">
        <v>2</v>
      </c>
      <c r="D133" s="360" t="s">
        <v>21</v>
      </c>
      <c r="E133" s="360" t="s">
        <v>492</v>
      </c>
      <c r="F133" s="366" t="s">
        <v>448</v>
      </c>
      <c r="G133" s="360"/>
      <c r="H133" s="377"/>
      <c r="I133" s="540">
        <f t="shared" si="65"/>
        <v>-157137183.49222422</v>
      </c>
      <c r="J133" s="546"/>
      <c r="K133" s="383"/>
      <c r="L133" s="383"/>
      <c r="M133" s="383"/>
      <c r="N133" s="383"/>
      <c r="O133" s="383"/>
      <c r="P133" s="383"/>
      <c r="Q133" s="383"/>
      <c r="R133" s="383"/>
      <c r="S133" s="377">
        <f>'CF2'!Q112*10^6</f>
        <v>0</v>
      </c>
      <c r="T133" s="377">
        <f>'CF2'!R112*10^6</f>
        <v>0</v>
      </c>
      <c r="U133" s="377">
        <f>'CF2'!S112*10^6</f>
        <v>0</v>
      </c>
      <c r="V133" s="377">
        <f>'CF2'!T112*10^6</f>
        <v>0</v>
      </c>
      <c r="W133" s="377">
        <f>'CF2'!U112*10^6</f>
        <v>0</v>
      </c>
      <c r="X133" s="377">
        <f>'CF2'!V112*10^6</f>
        <v>0</v>
      </c>
      <c r="Y133" s="377">
        <f>'CF2'!W112*10^6</f>
        <v>0</v>
      </c>
      <c r="Z133" s="377">
        <f>'CF2'!X112*10^6</f>
        <v>0</v>
      </c>
      <c r="AA133" s="377">
        <f>'CF2'!Y112*10^6</f>
        <v>0</v>
      </c>
      <c r="AB133" s="377">
        <f>'CF2'!Z112*10^6</f>
        <v>0</v>
      </c>
      <c r="AC133" s="377">
        <f>'CF2'!AA112*10^6</f>
        <v>0</v>
      </c>
      <c r="AD133" s="377">
        <f>'CF2'!AB112*10^6</f>
        <v>0</v>
      </c>
      <c r="AE133" s="377">
        <f>'CF2'!AC112*10^6</f>
        <v>0</v>
      </c>
      <c r="AF133" s="377">
        <f>'CF2'!AD112*10^6</f>
        <v>0</v>
      </c>
      <c r="AG133" s="377">
        <f>'CF2'!AE112*10^6</f>
        <v>0</v>
      </c>
      <c r="AH133" s="377">
        <f>'CF2'!AF112*10^6</f>
        <v>0</v>
      </c>
      <c r="AI133" s="377">
        <f>'CF2'!AG112*10^6</f>
        <v>0</v>
      </c>
      <c r="AJ133" s="377">
        <f>'CF2'!AH112*10^6</f>
        <v>0</v>
      </c>
      <c r="AK133" s="377">
        <f>'CF2'!AI112*10^6</f>
        <v>0</v>
      </c>
      <c r="AL133" s="377">
        <f>'CF2'!AJ112*10^6</f>
        <v>0</v>
      </c>
      <c r="AM133" s="377">
        <f>'CF2'!AK112*10^6</f>
        <v>0</v>
      </c>
      <c r="AN133" s="377">
        <f>'CF2'!AL112*10^6</f>
        <v>-78568591.746112108</v>
      </c>
      <c r="AO133" s="377">
        <f>'CF2'!AM112*10^6</f>
        <v>-78568591.746112108</v>
      </c>
      <c r="AP133" s="377">
        <f>'CF2'!AN112*10^6</f>
        <v>0</v>
      </c>
      <c r="AQ133" s="377">
        <f>'CF2'!AO112*10^6</f>
        <v>0</v>
      </c>
      <c r="AR133" s="377">
        <f>'CF2'!AP112*10^6</f>
        <v>0</v>
      </c>
      <c r="AS133" s="377">
        <f>'CF2'!AQ112*10^6</f>
        <v>0</v>
      </c>
      <c r="AT133" s="377">
        <f>'CF2'!AR112*10^6</f>
        <v>0</v>
      </c>
      <c r="AU133" s="377">
        <f>'CF2'!AS112*10^6</f>
        <v>0</v>
      </c>
      <c r="AV133" s="377">
        <f>'CF2'!AT112*10^6</f>
        <v>0</v>
      </c>
      <c r="AW133" s="377">
        <f>'CF2'!AU112*10^6</f>
        <v>0</v>
      </c>
      <c r="AX133" s="377">
        <f>'CF2'!AV112*10^6</f>
        <v>0</v>
      </c>
      <c r="AY133" s="377">
        <f>'CF2'!AW112*10^6</f>
        <v>0</v>
      </c>
      <c r="AZ133" s="377">
        <f>'CF2'!AX112*10^6</f>
        <v>0</v>
      </c>
      <c r="BA133" s="377">
        <f>'CF2'!AY112*10^6</f>
        <v>0</v>
      </c>
      <c r="BB133" s="377">
        <f>'CF2'!AZ112*10^6</f>
        <v>0</v>
      </c>
      <c r="BC133" s="377">
        <f>'CF2'!BA112*10^6</f>
        <v>0</v>
      </c>
      <c r="BD133" s="377">
        <f>'CF2'!BB112*10^6</f>
        <v>0</v>
      </c>
      <c r="BE133" s="377">
        <f>'CF2'!BC112*10^6</f>
        <v>0</v>
      </c>
      <c r="BF133" s="377">
        <f>'CF2'!BD112*10^6</f>
        <v>0</v>
      </c>
      <c r="BG133" s="377">
        <f>'CF2'!BE112*10^6</f>
        <v>0</v>
      </c>
      <c r="BH133" s="377">
        <f>'CF2'!BF112*10^6</f>
        <v>0</v>
      </c>
      <c r="BI133" s="377">
        <f>'CF2'!BG112*10^6</f>
        <v>0</v>
      </c>
      <c r="BJ133" s="377">
        <f>'CF2'!BH112*10^6</f>
        <v>0</v>
      </c>
      <c r="BK133" s="377">
        <f>'CF2'!BI112*10^6</f>
        <v>0</v>
      </c>
      <c r="BL133" s="377">
        <f>'CF2'!BJ112*10^6</f>
        <v>0</v>
      </c>
      <c r="BM133" s="377">
        <f>'CF2'!BK112*10^6</f>
        <v>0</v>
      </c>
      <c r="BN133" s="377">
        <f>'CF2'!BL112*10^6</f>
        <v>0</v>
      </c>
      <c r="BO133" s="377">
        <f>'CF2'!BM112*10^6</f>
        <v>0</v>
      </c>
      <c r="BP133" s="377">
        <f>'CF2'!BN112*10^6</f>
        <v>0</v>
      </c>
      <c r="BQ133" s="377">
        <f>'CF2'!BO112*10^6</f>
        <v>0</v>
      </c>
      <c r="BR133" s="377">
        <f>'CF2'!BP112*10^6</f>
        <v>0</v>
      </c>
    </row>
    <row r="134" spans="1:70">
      <c r="A134" s="374">
        <f t="shared" si="53"/>
        <v>0</v>
      </c>
      <c r="B134" s="359"/>
      <c r="C134" s="359"/>
      <c r="D134" s="360"/>
      <c r="E134" s="360"/>
      <c r="F134" s="373"/>
      <c r="G134" s="360"/>
      <c r="H134" s="377"/>
      <c r="I134" s="537"/>
      <c r="J134" s="546"/>
      <c r="K134" s="383"/>
      <c r="L134" s="383"/>
      <c r="M134" s="383"/>
      <c r="N134" s="383"/>
      <c r="O134" s="383"/>
      <c r="P134" s="383"/>
      <c r="Q134" s="383"/>
      <c r="R134" s="383"/>
      <c r="S134" s="377"/>
      <c r="T134" s="377"/>
      <c r="U134" s="377"/>
      <c r="V134" s="377"/>
      <c r="W134" s="377"/>
      <c r="X134" s="377"/>
      <c r="Y134" s="377"/>
      <c r="Z134" s="377"/>
      <c r="AA134" s="377"/>
      <c r="AB134" s="377"/>
      <c r="AC134" s="377"/>
      <c r="AD134" s="377"/>
      <c r="AE134" s="377"/>
      <c r="AF134" s="377"/>
      <c r="AG134" s="377"/>
      <c r="AH134" s="377"/>
      <c r="AI134" s="377"/>
      <c r="AJ134" s="377"/>
      <c r="AK134" s="377"/>
      <c r="AL134" s="377"/>
      <c r="AM134" s="377"/>
      <c r="AN134" s="377"/>
      <c r="AO134" s="377"/>
      <c r="AP134" s="377"/>
      <c r="AQ134" s="377"/>
      <c r="AR134" s="377"/>
      <c r="AS134" s="377"/>
      <c r="AT134" s="377"/>
      <c r="AU134" s="377"/>
      <c r="AV134" s="377"/>
      <c r="AW134" s="377"/>
      <c r="AX134" s="377"/>
      <c r="AY134" s="377"/>
      <c r="AZ134" s="377"/>
      <c r="BA134" s="377"/>
      <c r="BB134" s="377"/>
      <c r="BC134" s="377"/>
      <c r="BD134" s="377"/>
      <c r="BE134" s="377"/>
      <c r="BF134" s="377"/>
      <c r="BG134" s="377"/>
      <c r="BH134" s="377"/>
      <c r="BI134" s="377"/>
      <c r="BJ134" s="377"/>
      <c r="BK134" s="377"/>
      <c r="BL134" s="377"/>
      <c r="BM134" s="377"/>
      <c r="BN134" s="377"/>
      <c r="BO134" s="377"/>
      <c r="BP134" s="377"/>
      <c r="BQ134" s="377"/>
      <c r="BR134" s="377"/>
    </row>
    <row r="135" spans="1:70">
      <c r="A135" s="374">
        <f t="shared" si="53"/>
        <v>0</v>
      </c>
      <c r="B135" s="359"/>
      <c r="C135" s="359"/>
      <c r="D135" s="360"/>
      <c r="E135" s="360"/>
      <c r="F135" s="373"/>
      <c r="G135" s="360"/>
      <c r="H135" s="377"/>
      <c r="I135" s="537"/>
      <c r="J135" s="546"/>
      <c r="K135" s="383"/>
      <c r="L135" s="383"/>
      <c r="M135" s="383"/>
      <c r="N135" s="383"/>
      <c r="O135" s="383"/>
      <c r="P135" s="383"/>
      <c r="Q135" s="383"/>
      <c r="R135" s="383"/>
      <c r="S135" s="377"/>
      <c r="T135" s="377"/>
      <c r="U135" s="377"/>
      <c r="V135" s="377"/>
      <c r="W135" s="377"/>
      <c r="X135" s="377"/>
      <c r="Y135" s="377"/>
      <c r="Z135" s="377"/>
      <c r="AA135" s="377"/>
      <c r="AB135" s="377"/>
      <c r="AC135" s="377"/>
      <c r="AD135" s="377"/>
      <c r="AE135" s="377"/>
      <c r="AF135" s="377"/>
      <c r="AG135" s="377"/>
      <c r="AH135" s="377"/>
      <c r="AI135" s="377"/>
      <c r="AJ135" s="377"/>
      <c r="AK135" s="377"/>
      <c r="AL135" s="377"/>
      <c r="AM135" s="377"/>
      <c r="AN135" s="377"/>
      <c r="AO135" s="377"/>
      <c r="AP135" s="377"/>
      <c r="AQ135" s="377"/>
      <c r="AR135" s="377"/>
      <c r="AS135" s="377"/>
      <c r="AT135" s="377"/>
      <c r="AU135" s="377"/>
      <c r="AV135" s="377"/>
      <c r="AW135" s="377"/>
      <c r="AX135" s="377"/>
      <c r="AY135" s="377"/>
      <c r="AZ135" s="377"/>
      <c r="BA135" s="377"/>
      <c r="BB135" s="377"/>
      <c r="BC135" s="377"/>
      <c r="BD135" s="377"/>
      <c r="BE135" s="377"/>
      <c r="BF135" s="377"/>
      <c r="BG135" s="377"/>
      <c r="BH135" s="377"/>
      <c r="BI135" s="377"/>
      <c r="BJ135" s="377"/>
      <c r="BK135" s="377"/>
      <c r="BL135" s="377"/>
      <c r="BM135" s="377"/>
      <c r="BN135" s="377"/>
      <c r="BO135" s="377"/>
      <c r="BP135" s="377"/>
      <c r="BQ135" s="377"/>
      <c r="BR135" s="377"/>
    </row>
    <row r="136" spans="1:70" s="353" customFormat="1">
      <c r="A136" s="374">
        <f t="shared" si="53"/>
        <v>0</v>
      </c>
      <c r="B136" s="361">
        <v>5000</v>
      </c>
      <c r="C136" s="361"/>
      <c r="D136" s="362" t="s">
        <v>13</v>
      </c>
      <c r="E136" s="362"/>
      <c r="F136" s="362"/>
      <c r="G136" s="362"/>
      <c r="H136" s="376">
        <f t="shared" ref="H136:AM136" si="66">H137+H147+H223+H264+H287+H325+H343+H360+H394</f>
        <v>0</v>
      </c>
      <c r="I136" s="539">
        <f t="shared" si="66"/>
        <v>-47048310495.345985</v>
      </c>
      <c r="J136" s="548">
        <f t="shared" si="66"/>
        <v>0</v>
      </c>
      <c r="K136" s="376">
        <f t="shared" si="66"/>
        <v>0</v>
      </c>
      <c r="L136" s="376">
        <f t="shared" si="66"/>
        <v>0</v>
      </c>
      <c r="M136" s="376">
        <f t="shared" si="66"/>
        <v>0</v>
      </c>
      <c r="N136" s="376">
        <f t="shared" si="66"/>
        <v>0</v>
      </c>
      <c r="O136" s="376">
        <f t="shared" si="66"/>
        <v>0</v>
      </c>
      <c r="P136" s="376">
        <f t="shared" si="66"/>
        <v>0</v>
      </c>
      <c r="Q136" s="376">
        <f t="shared" si="66"/>
        <v>0</v>
      </c>
      <c r="R136" s="376">
        <f t="shared" si="66"/>
        <v>0</v>
      </c>
      <c r="S136" s="376">
        <f t="shared" si="66"/>
        <v>-109762934.31144428</v>
      </c>
      <c r="T136" s="376">
        <f t="shared" si="66"/>
        <v>-158228934.31144428</v>
      </c>
      <c r="U136" s="376">
        <f t="shared" si="66"/>
        <v>-3926618934.3114443</v>
      </c>
      <c r="V136" s="376">
        <f t="shared" si="66"/>
        <v>-651277059.31144428</v>
      </c>
      <c r="W136" s="376">
        <f t="shared" si="66"/>
        <v>-907425306.31144428</v>
      </c>
      <c r="X136" s="376">
        <f t="shared" si="66"/>
        <v>-1539058302.2133989</v>
      </c>
      <c r="Y136" s="376">
        <f t="shared" si="66"/>
        <v>-2364106549.2277689</v>
      </c>
      <c r="Z136" s="376">
        <f t="shared" si="66"/>
        <v>-2337769393.578732</v>
      </c>
      <c r="AA136" s="376">
        <f t="shared" si="66"/>
        <v>-2677675886.9787321</v>
      </c>
      <c r="AB136" s="376">
        <f t="shared" si="66"/>
        <v>-2144995064.2934623</v>
      </c>
      <c r="AC136" s="376">
        <f t="shared" si="66"/>
        <v>-3178030658.167429</v>
      </c>
      <c r="AD136" s="376">
        <f t="shared" si="66"/>
        <v>-3180739408.000762</v>
      </c>
      <c r="AE136" s="376">
        <f t="shared" si="66"/>
        <v>-3180739408.000762</v>
      </c>
      <c r="AF136" s="376">
        <f t="shared" si="66"/>
        <v>-2789452003.3693285</v>
      </c>
      <c r="AG136" s="376">
        <f t="shared" si="66"/>
        <v>-2805751961.5048285</v>
      </c>
      <c r="AH136" s="376">
        <f t="shared" si="66"/>
        <v>-2972725271.671495</v>
      </c>
      <c r="AI136" s="376">
        <f t="shared" si="66"/>
        <v>-2867700710.5048285</v>
      </c>
      <c r="AJ136" s="376">
        <f t="shared" si="66"/>
        <v>-2805751961.5048285</v>
      </c>
      <c r="AK136" s="376">
        <f t="shared" si="66"/>
        <v>-1626320942.1114054</v>
      </c>
      <c r="AL136" s="376">
        <f t="shared" si="66"/>
        <v>-1614527841.5780718</v>
      </c>
      <c r="AM136" s="376">
        <f t="shared" si="66"/>
        <v>-1569316825.5777321</v>
      </c>
      <c r="AN136" s="376">
        <f t="shared" ref="AN136:BR136" si="67">AN137+AN147+AN223+AN264+AN287+AN325+AN343+AN360+AN394</f>
        <v>-1485174319.0527701</v>
      </c>
      <c r="AO136" s="376">
        <f t="shared" si="67"/>
        <v>-66741901.245842926</v>
      </c>
      <c r="AP136" s="376">
        <f t="shared" si="67"/>
        <v>-64033151.41250959</v>
      </c>
      <c r="AQ136" s="376">
        <f t="shared" si="67"/>
        <v>-24385766.794071682</v>
      </c>
      <c r="AR136" s="376">
        <f t="shared" si="67"/>
        <v>0</v>
      </c>
      <c r="AS136" s="376">
        <f t="shared" si="67"/>
        <v>0</v>
      </c>
      <c r="AT136" s="376">
        <f t="shared" si="67"/>
        <v>0</v>
      </c>
      <c r="AU136" s="376">
        <f t="shared" si="67"/>
        <v>0</v>
      </c>
      <c r="AV136" s="376">
        <f t="shared" si="67"/>
        <v>0</v>
      </c>
      <c r="AW136" s="376">
        <f t="shared" si="67"/>
        <v>0</v>
      </c>
      <c r="AX136" s="376">
        <f t="shared" si="67"/>
        <v>0</v>
      </c>
      <c r="AY136" s="376">
        <f t="shared" si="67"/>
        <v>0</v>
      </c>
      <c r="AZ136" s="376">
        <f t="shared" si="67"/>
        <v>0</v>
      </c>
      <c r="BA136" s="376">
        <f t="shared" si="67"/>
        <v>0</v>
      </c>
      <c r="BB136" s="376">
        <f t="shared" si="67"/>
        <v>0</v>
      </c>
      <c r="BC136" s="376">
        <f t="shared" si="67"/>
        <v>0</v>
      </c>
      <c r="BD136" s="376">
        <f t="shared" si="67"/>
        <v>0</v>
      </c>
      <c r="BE136" s="376">
        <f t="shared" si="67"/>
        <v>0</v>
      </c>
      <c r="BF136" s="376">
        <f t="shared" si="67"/>
        <v>0</v>
      </c>
      <c r="BG136" s="376">
        <f t="shared" si="67"/>
        <v>0</v>
      </c>
      <c r="BH136" s="376">
        <f t="shared" si="67"/>
        <v>0</v>
      </c>
      <c r="BI136" s="376">
        <f t="shared" si="67"/>
        <v>0</v>
      </c>
      <c r="BJ136" s="376">
        <f t="shared" si="67"/>
        <v>0</v>
      </c>
      <c r="BK136" s="376">
        <f t="shared" si="67"/>
        <v>0</v>
      </c>
      <c r="BL136" s="376">
        <f t="shared" si="67"/>
        <v>0</v>
      </c>
      <c r="BM136" s="376">
        <f t="shared" si="67"/>
        <v>0</v>
      </c>
      <c r="BN136" s="376">
        <f t="shared" si="67"/>
        <v>0</v>
      </c>
      <c r="BO136" s="376">
        <f t="shared" si="67"/>
        <v>0</v>
      </c>
      <c r="BP136" s="376">
        <f t="shared" si="67"/>
        <v>0</v>
      </c>
      <c r="BQ136" s="376">
        <f t="shared" si="67"/>
        <v>0</v>
      </c>
      <c r="BR136" s="376">
        <f t="shared" si="67"/>
        <v>0</v>
      </c>
    </row>
    <row r="137" spans="1:70" s="353" customFormat="1" outlineLevel="1">
      <c r="A137" s="374">
        <f t="shared" si="53"/>
        <v>0</v>
      </c>
      <c r="B137" s="363">
        <v>5100</v>
      </c>
      <c r="C137" s="363"/>
      <c r="D137" s="364" t="s">
        <v>423</v>
      </c>
      <c r="E137" s="364"/>
      <c r="F137" s="364"/>
      <c r="G137" s="364"/>
      <c r="H137" s="378"/>
      <c r="I137" s="538">
        <f t="shared" ref="I137" si="68">SUM(I138:I146)</f>
        <v>-3841345753.9823704</v>
      </c>
      <c r="J137" s="547">
        <f t="shared" ref="J137" si="69">SUM(J138:J146)</f>
        <v>0</v>
      </c>
      <c r="K137" s="378">
        <f t="shared" ref="K137" si="70">SUM(K138:K146)</f>
        <v>0</v>
      </c>
      <c r="L137" s="378">
        <f t="shared" ref="L137" si="71">SUM(L138:L146)</f>
        <v>0</v>
      </c>
      <c r="M137" s="378">
        <f t="shared" ref="M137" si="72">SUM(M138:M146)</f>
        <v>0</v>
      </c>
      <c r="N137" s="378">
        <f t="shared" ref="N137:BR137" si="73">SUM(N138:N146)</f>
        <v>0</v>
      </c>
      <c r="O137" s="378">
        <f t="shared" si="73"/>
        <v>0</v>
      </c>
      <c r="P137" s="378">
        <f t="shared" si="73"/>
        <v>0</v>
      </c>
      <c r="Q137" s="378">
        <f t="shared" si="73"/>
        <v>0</v>
      </c>
      <c r="R137" s="378">
        <f t="shared" si="73"/>
        <v>0</v>
      </c>
      <c r="S137" s="378">
        <f t="shared" si="73"/>
        <v>0</v>
      </c>
      <c r="T137" s="378">
        <f t="shared" si="73"/>
        <v>0</v>
      </c>
      <c r="U137" s="378">
        <f t="shared" si="73"/>
        <v>-3545000000</v>
      </c>
      <c r="V137" s="378">
        <f t="shared" si="73"/>
        <v>0</v>
      </c>
      <c r="W137" s="378">
        <f t="shared" si="73"/>
        <v>0</v>
      </c>
      <c r="X137" s="378">
        <f t="shared" si="73"/>
        <v>0</v>
      </c>
      <c r="Y137" s="378">
        <f t="shared" si="73"/>
        <v>-296345753.9823702</v>
      </c>
      <c r="Z137" s="378">
        <f t="shared" si="73"/>
        <v>0</v>
      </c>
      <c r="AA137" s="378">
        <f t="shared" si="73"/>
        <v>0</v>
      </c>
      <c r="AB137" s="378">
        <f t="shared" si="73"/>
        <v>0</v>
      </c>
      <c r="AC137" s="378">
        <f t="shared" si="73"/>
        <v>0</v>
      </c>
      <c r="AD137" s="378">
        <f t="shared" si="73"/>
        <v>0</v>
      </c>
      <c r="AE137" s="378">
        <f t="shared" si="73"/>
        <v>0</v>
      </c>
      <c r="AF137" s="378">
        <f t="shared" si="73"/>
        <v>0</v>
      </c>
      <c r="AG137" s="378">
        <f t="shared" si="73"/>
        <v>0</v>
      </c>
      <c r="AH137" s="378">
        <f t="shared" si="73"/>
        <v>0</v>
      </c>
      <c r="AI137" s="378">
        <f t="shared" si="73"/>
        <v>0</v>
      </c>
      <c r="AJ137" s="378">
        <f t="shared" si="73"/>
        <v>0</v>
      </c>
      <c r="AK137" s="378">
        <f t="shared" si="73"/>
        <v>0</v>
      </c>
      <c r="AL137" s="378">
        <f t="shared" si="73"/>
        <v>0</v>
      </c>
      <c r="AM137" s="378">
        <f t="shared" si="73"/>
        <v>0</v>
      </c>
      <c r="AN137" s="378">
        <f t="shared" si="73"/>
        <v>0</v>
      </c>
      <c r="AO137" s="378">
        <f t="shared" si="73"/>
        <v>0</v>
      </c>
      <c r="AP137" s="378">
        <f t="shared" si="73"/>
        <v>0</v>
      </c>
      <c r="AQ137" s="378">
        <f t="shared" si="73"/>
        <v>0</v>
      </c>
      <c r="AR137" s="378">
        <f t="shared" si="73"/>
        <v>0</v>
      </c>
      <c r="AS137" s="378">
        <f t="shared" si="73"/>
        <v>0</v>
      </c>
      <c r="AT137" s="378">
        <f t="shared" si="73"/>
        <v>0</v>
      </c>
      <c r="AU137" s="378">
        <f t="shared" si="73"/>
        <v>0</v>
      </c>
      <c r="AV137" s="378">
        <f t="shared" si="73"/>
        <v>0</v>
      </c>
      <c r="AW137" s="378">
        <f t="shared" si="73"/>
        <v>0</v>
      </c>
      <c r="AX137" s="378">
        <f t="shared" si="73"/>
        <v>0</v>
      </c>
      <c r="AY137" s="378">
        <f t="shared" si="73"/>
        <v>0</v>
      </c>
      <c r="AZ137" s="378">
        <f t="shared" si="73"/>
        <v>0</v>
      </c>
      <c r="BA137" s="378">
        <f t="shared" si="73"/>
        <v>0</v>
      </c>
      <c r="BB137" s="378">
        <f t="shared" si="73"/>
        <v>0</v>
      </c>
      <c r="BC137" s="378">
        <f t="shared" si="73"/>
        <v>0</v>
      </c>
      <c r="BD137" s="378">
        <f t="shared" si="73"/>
        <v>0</v>
      </c>
      <c r="BE137" s="378">
        <f t="shared" si="73"/>
        <v>0</v>
      </c>
      <c r="BF137" s="378">
        <f t="shared" si="73"/>
        <v>0</v>
      </c>
      <c r="BG137" s="378">
        <f t="shared" si="73"/>
        <v>0</v>
      </c>
      <c r="BH137" s="378">
        <f t="shared" si="73"/>
        <v>0</v>
      </c>
      <c r="BI137" s="378">
        <f t="shared" si="73"/>
        <v>0</v>
      </c>
      <c r="BJ137" s="378">
        <f t="shared" si="73"/>
        <v>0</v>
      </c>
      <c r="BK137" s="378">
        <f t="shared" si="73"/>
        <v>0</v>
      </c>
      <c r="BL137" s="378">
        <f t="shared" si="73"/>
        <v>0</v>
      </c>
      <c r="BM137" s="378">
        <f t="shared" si="73"/>
        <v>0</v>
      </c>
      <c r="BN137" s="378">
        <f t="shared" si="73"/>
        <v>0</v>
      </c>
      <c r="BO137" s="378">
        <f t="shared" si="73"/>
        <v>0</v>
      </c>
      <c r="BP137" s="378">
        <f t="shared" si="73"/>
        <v>0</v>
      </c>
      <c r="BQ137" s="378">
        <f t="shared" si="73"/>
        <v>0</v>
      </c>
      <c r="BR137" s="378">
        <f t="shared" si="73"/>
        <v>0</v>
      </c>
    </row>
    <row r="138" spans="1:70" outlineLevel="1">
      <c r="A138" s="374">
        <f t="shared" si="53"/>
        <v>0</v>
      </c>
      <c r="B138" s="359">
        <v>5101</v>
      </c>
      <c r="C138" s="359">
        <v>1</v>
      </c>
      <c r="D138" s="360" t="s">
        <v>893</v>
      </c>
      <c r="E138" s="360"/>
      <c r="F138" s="366" t="s">
        <v>448</v>
      </c>
      <c r="G138" s="1157">
        <v>0.85</v>
      </c>
      <c r="H138" s="377"/>
      <c r="I138" s="540">
        <f>-3510000000*G138</f>
        <v>-2983500000</v>
      </c>
      <c r="J138" s="546"/>
      <c r="K138" s="383"/>
      <c r="L138" s="383"/>
      <c r="M138" s="383"/>
      <c r="N138" s="383"/>
      <c r="O138" s="383"/>
      <c r="P138" s="383"/>
      <c r="Q138" s="383"/>
      <c r="R138" s="383"/>
      <c r="S138" s="377">
        <f>$I$138*'TS1'!N$20</f>
        <v>0</v>
      </c>
      <c r="T138" s="377">
        <f>$I$138*'TS1'!O$20</f>
        <v>0</v>
      </c>
      <c r="U138" s="377">
        <f>$I$138*'TS1'!P$20</f>
        <v>-2983500000</v>
      </c>
      <c r="V138" s="377">
        <f>$I$138*'TS1'!Q$20</f>
        <v>0</v>
      </c>
      <c r="W138" s="377">
        <f>$I$138*'TS1'!R$20</f>
        <v>0</v>
      </c>
      <c r="X138" s="377">
        <f>$I$138*'TS1'!S$20</f>
        <v>0</v>
      </c>
      <c r="Y138" s="377">
        <f>$I$138*'TS1'!T$20</f>
        <v>0</v>
      </c>
      <c r="Z138" s="377">
        <f>$I$138*'TS1'!U$20</f>
        <v>0</v>
      </c>
      <c r="AA138" s="377">
        <f>$I$138*'TS1'!V$20</f>
        <v>0</v>
      </c>
      <c r="AB138" s="377">
        <f>$I$138*'TS1'!W$20</f>
        <v>0</v>
      </c>
      <c r="AC138" s="377">
        <f>$I$138*'TS1'!X$20</f>
        <v>0</v>
      </c>
      <c r="AD138" s="377">
        <f>$I$138*'TS1'!Y$20</f>
        <v>0</v>
      </c>
      <c r="AE138" s="377">
        <f>$I$138*'TS1'!Z$20</f>
        <v>0</v>
      </c>
      <c r="AF138" s="377">
        <f>$I$138*'TS1'!AA$20</f>
        <v>0</v>
      </c>
      <c r="AG138" s="377">
        <f>$I$138*'TS1'!AB$20</f>
        <v>0</v>
      </c>
      <c r="AH138" s="377">
        <f>$I$138*'TS1'!AC$20</f>
        <v>0</v>
      </c>
      <c r="AI138" s="377">
        <f>$I$138*'TS1'!AD$20</f>
        <v>0</v>
      </c>
      <c r="AJ138" s="377">
        <f>$I$138*'TS1'!AE$20</f>
        <v>0</v>
      </c>
      <c r="AK138" s="377">
        <f>$I$138*'TS1'!AF$20</f>
        <v>0</v>
      </c>
      <c r="AL138" s="377">
        <f>$I$138*'TS1'!AG$20</f>
        <v>0</v>
      </c>
      <c r="AM138" s="377">
        <f>$I$138*'TS1'!AH$20</f>
        <v>0</v>
      </c>
      <c r="AN138" s="377">
        <f>$I$138*'TS1'!AI$20</f>
        <v>0</v>
      </c>
      <c r="AO138" s="377">
        <f>$I$138*'TS1'!AJ$20</f>
        <v>0</v>
      </c>
      <c r="AP138" s="377">
        <f>$I$138*'TS1'!AK$20</f>
        <v>0</v>
      </c>
      <c r="AQ138" s="377">
        <f>$I$138*'TS1'!AL$20</f>
        <v>0</v>
      </c>
      <c r="AR138" s="377">
        <f>$I$138*'TS1'!AM$20</f>
        <v>0</v>
      </c>
      <c r="AS138" s="377">
        <f>$I$138*'TS1'!AN$20</f>
        <v>0</v>
      </c>
      <c r="AT138" s="377">
        <f>$I$138*'TS1'!AO$20</f>
        <v>0</v>
      </c>
      <c r="AU138" s="377">
        <f>$I$138*'TS1'!AP$20</f>
        <v>0</v>
      </c>
      <c r="AV138" s="377">
        <f>$I$138*'TS1'!AQ$20</f>
        <v>0</v>
      </c>
      <c r="AW138" s="377">
        <f>$I$138*'TS1'!AR$20</f>
        <v>0</v>
      </c>
      <c r="AX138" s="377">
        <f>$I$138*'TS1'!AS$20</f>
        <v>0</v>
      </c>
      <c r="AY138" s="377">
        <f>$I$138*'TS1'!AT$20</f>
        <v>0</v>
      </c>
      <c r="AZ138" s="377">
        <f>$I$138*'TS1'!AU$20</f>
        <v>0</v>
      </c>
      <c r="BA138" s="377">
        <f>$I$138*'TS1'!AV$20</f>
        <v>0</v>
      </c>
      <c r="BB138" s="377">
        <f>$I$138*'TS1'!AW$20</f>
        <v>0</v>
      </c>
      <c r="BC138" s="377">
        <f>$I$138*'TS1'!AX$20</f>
        <v>0</v>
      </c>
      <c r="BD138" s="377">
        <f>$I$138*'TS1'!AY$20</f>
        <v>0</v>
      </c>
      <c r="BE138" s="377">
        <f>$I$138*'TS1'!AZ$20</f>
        <v>0</v>
      </c>
      <c r="BF138" s="377">
        <f>$I$138*'TS1'!BA$20</f>
        <v>0</v>
      </c>
      <c r="BG138" s="377">
        <f>$I$138*'TS1'!BB$20</f>
        <v>0</v>
      </c>
      <c r="BH138" s="377">
        <f>$I$138*'TS1'!BC$20</f>
        <v>0</v>
      </c>
      <c r="BI138" s="377">
        <f>$I$138*'TS1'!BD$20</f>
        <v>0</v>
      </c>
      <c r="BJ138" s="377">
        <f>$I$138*'TS1'!BE$20</f>
        <v>0</v>
      </c>
      <c r="BK138" s="377">
        <f>$I$138*'TS1'!BF$20</f>
        <v>0</v>
      </c>
      <c r="BL138" s="377">
        <f>$I$138*'TS1'!BG$20</f>
        <v>0</v>
      </c>
      <c r="BM138" s="377">
        <f>$I$138*'TS1'!BH$20</f>
        <v>0</v>
      </c>
      <c r="BN138" s="377">
        <f>$I$138*'TS1'!BI$20</f>
        <v>0</v>
      </c>
      <c r="BO138" s="377">
        <f>$I$138*'TS1'!BJ$20</f>
        <v>0</v>
      </c>
      <c r="BP138" s="377">
        <f>$I$138*'TS1'!BK$20</f>
        <v>0</v>
      </c>
      <c r="BQ138" s="377">
        <f>$I$138*'TS1'!BL$20</f>
        <v>0</v>
      </c>
      <c r="BR138" s="377">
        <f>$I$138*'TS1'!BM$20</f>
        <v>0</v>
      </c>
    </row>
    <row r="139" spans="1:70" outlineLevel="1">
      <c r="A139" s="374">
        <f t="shared" ref="A139" si="74">I139-SUM(K139:BR139)</f>
        <v>0</v>
      </c>
      <c r="B139" s="359">
        <v>5101</v>
      </c>
      <c r="C139" s="359">
        <v>1</v>
      </c>
      <c r="D139" s="360" t="s">
        <v>894</v>
      </c>
      <c r="E139" s="360"/>
      <c r="F139" s="366" t="s">
        <v>448</v>
      </c>
      <c r="G139" s="360"/>
      <c r="H139" s="377"/>
      <c r="I139" s="540">
        <v>-35000000</v>
      </c>
      <c r="J139" s="546"/>
      <c r="K139" s="383"/>
      <c r="L139" s="383"/>
      <c r="M139" s="383"/>
      <c r="N139" s="383"/>
      <c r="O139" s="383"/>
      <c r="P139" s="383"/>
      <c r="Q139" s="383"/>
      <c r="R139" s="383"/>
      <c r="S139" s="377">
        <f>$I$138*'TS1'!N$20</f>
        <v>0</v>
      </c>
      <c r="T139" s="377"/>
      <c r="U139" s="377">
        <v>-35000000</v>
      </c>
      <c r="V139" s="377"/>
      <c r="W139" s="377"/>
      <c r="X139" s="377"/>
      <c r="Y139" s="377"/>
      <c r="Z139" s="377"/>
      <c r="AA139" s="377"/>
      <c r="AB139" s="377"/>
      <c r="AC139" s="377"/>
      <c r="AD139" s="377"/>
      <c r="AE139" s="377"/>
      <c r="AF139" s="377"/>
      <c r="AG139" s="377"/>
      <c r="AH139" s="377"/>
      <c r="AI139" s="377"/>
      <c r="AJ139" s="377"/>
      <c r="AK139" s="377"/>
      <c r="AL139" s="377"/>
      <c r="AM139" s="377"/>
      <c r="AN139" s="377"/>
      <c r="AO139" s="377"/>
      <c r="AP139" s="377"/>
      <c r="AQ139" s="377"/>
      <c r="AR139" s="377"/>
      <c r="AS139" s="377"/>
      <c r="AT139" s="377"/>
      <c r="AU139" s="377"/>
      <c r="AV139" s="377"/>
      <c r="AW139" s="377"/>
      <c r="AX139" s="377"/>
      <c r="AY139" s="377"/>
      <c r="AZ139" s="377"/>
      <c r="BA139" s="377"/>
      <c r="BB139" s="377"/>
      <c r="BC139" s="377"/>
      <c r="BD139" s="377"/>
      <c r="BE139" s="377"/>
      <c r="BF139" s="377"/>
      <c r="BG139" s="377"/>
      <c r="BH139" s="377"/>
      <c r="BI139" s="377"/>
      <c r="BJ139" s="377"/>
      <c r="BK139" s="377"/>
      <c r="BL139" s="377"/>
      <c r="BM139" s="377"/>
      <c r="BN139" s="377"/>
      <c r="BO139" s="377"/>
      <c r="BP139" s="377"/>
      <c r="BQ139" s="377"/>
      <c r="BR139" s="377"/>
    </row>
    <row r="140" spans="1:70" outlineLevel="1">
      <c r="A140" s="374">
        <f>I140-SUM(K140:BR140)</f>
        <v>0</v>
      </c>
      <c r="B140" s="359">
        <v>5101</v>
      </c>
      <c r="C140" s="359">
        <v>1</v>
      </c>
      <c r="D140" s="552" t="s">
        <v>895</v>
      </c>
      <c r="E140" s="360"/>
      <c r="F140" s="366" t="s">
        <v>448</v>
      </c>
      <c r="G140" s="360"/>
      <c r="H140" s="377"/>
      <c r="I140" s="540">
        <f>-400000000*СОЦИАЛКА!D19</f>
        <v>-296345753.9823702</v>
      </c>
      <c r="J140" s="546"/>
      <c r="K140" s="383"/>
      <c r="L140" s="383"/>
      <c r="M140" s="383"/>
      <c r="N140" s="383"/>
      <c r="O140" s="383"/>
      <c r="P140" s="383"/>
      <c r="Q140" s="383"/>
      <c r="R140" s="383"/>
      <c r="S140" s="377">
        <f>$I$138*'TS1'!N$20</f>
        <v>0</v>
      </c>
      <c r="T140" s="377"/>
      <c r="U140" s="377"/>
      <c r="V140" s="377"/>
      <c r="W140" s="377"/>
      <c r="X140" s="377"/>
      <c r="Y140" s="377">
        <f>I140</f>
        <v>-296345753.9823702</v>
      </c>
      <c r="Z140" s="377"/>
      <c r="AA140" s="377"/>
      <c r="AB140" s="377"/>
      <c r="AC140" s="377"/>
      <c r="AD140" s="377"/>
      <c r="AE140" s="377"/>
      <c r="AF140" s="377"/>
      <c r="AG140" s="377"/>
      <c r="AH140" s="377"/>
      <c r="AI140" s="377"/>
      <c r="AJ140" s="377"/>
      <c r="AK140" s="377"/>
      <c r="AL140" s="377"/>
      <c r="AM140" s="377"/>
      <c r="AN140" s="377"/>
      <c r="AO140" s="377"/>
      <c r="AP140" s="377"/>
      <c r="AQ140" s="377"/>
      <c r="AR140" s="377"/>
      <c r="AS140" s="377"/>
      <c r="AT140" s="377"/>
      <c r="AU140" s="377"/>
      <c r="AV140" s="377"/>
      <c r="AW140" s="377"/>
      <c r="AX140" s="377"/>
      <c r="AY140" s="377"/>
      <c r="AZ140" s="377"/>
      <c r="BA140" s="377"/>
      <c r="BB140" s="377"/>
      <c r="BC140" s="377"/>
      <c r="BD140" s="377"/>
      <c r="BE140" s="377"/>
      <c r="BF140" s="377"/>
      <c r="BG140" s="377"/>
      <c r="BH140" s="377"/>
      <c r="BI140" s="377"/>
      <c r="BJ140" s="377"/>
      <c r="BK140" s="377"/>
      <c r="BL140" s="377"/>
      <c r="BM140" s="377"/>
      <c r="BN140" s="377"/>
      <c r="BO140" s="377"/>
      <c r="BP140" s="377"/>
      <c r="BQ140" s="377"/>
      <c r="BR140" s="377"/>
    </row>
    <row r="141" spans="1:70" outlineLevel="1">
      <c r="A141" s="374"/>
      <c r="B141" s="359"/>
      <c r="C141" s="359"/>
      <c r="D141" s="360"/>
      <c r="E141" s="360"/>
      <c r="F141" s="373"/>
      <c r="G141" s="360"/>
      <c r="H141" s="377"/>
      <c r="I141" s="537"/>
      <c r="J141" s="546"/>
      <c r="K141" s="383"/>
      <c r="L141" s="383"/>
      <c r="M141" s="383"/>
      <c r="N141" s="383"/>
      <c r="O141" s="383"/>
      <c r="P141" s="383"/>
      <c r="Q141" s="383"/>
      <c r="R141" s="383"/>
      <c r="S141" s="377"/>
      <c r="T141" s="377"/>
      <c r="U141" s="377"/>
      <c r="V141" s="377"/>
      <c r="W141" s="377"/>
      <c r="X141" s="377"/>
      <c r="Y141" s="377"/>
      <c r="Z141" s="377"/>
      <c r="AA141" s="377"/>
      <c r="AB141" s="377"/>
      <c r="AC141" s="377"/>
      <c r="AD141" s="377"/>
      <c r="AE141" s="377"/>
      <c r="AF141" s="377"/>
      <c r="AG141" s="377"/>
      <c r="AH141" s="377"/>
      <c r="AI141" s="377"/>
      <c r="AJ141" s="377"/>
      <c r="AK141" s="377"/>
      <c r="AL141" s="377"/>
      <c r="AM141" s="377"/>
      <c r="AN141" s="377"/>
      <c r="AO141" s="377"/>
      <c r="AP141" s="377"/>
      <c r="AQ141" s="377"/>
      <c r="AR141" s="377"/>
      <c r="AS141" s="377"/>
      <c r="AT141" s="377"/>
      <c r="AU141" s="377"/>
      <c r="AV141" s="377"/>
      <c r="AW141" s="377"/>
      <c r="AX141" s="377"/>
      <c r="AY141" s="377"/>
      <c r="AZ141" s="377"/>
      <c r="BA141" s="377"/>
      <c r="BB141" s="377"/>
      <c r="BC141" s="377"/>
      <c r="BD141" s="377"/>
      <c r="BE141" s="377"/>
      <c r="BF141" s="377"/>
      <c r="BG141" s="377"/>
      <c r="BH141" s="377"/>
      <c r="BI141" s="377"/>
      <c r="BJ141" s="377"/>
      <c r="BK141" s="377"/>
      <c r="BL141" s="377"/>
      <c r="BM141" s="377"/>
      <c r="BN141" s="377"/>
      <c r="BO141" s="377"/>
      <c r="BP141" s="377"/>
      <c r="BQ141" s="377"/>
      <c r="BR141" s="377"/>
    </row>
    <row r="142" spans="1:70" outlineLevel="1">
      <c r="A142" s="374">
        <f t="shared" si="53"/>
        <v>0</v>
      </c>
      <c r="B142" s="359"/>
      <c r="C142" s="359"/>
      <c r="D142" s="360"/>
      <c r="E142" s="360"/>
      <c r="F142" s="373"/>
      <c r="G142" s="360"/>
      <c r="H142" s="377"/>
      <c r="I142" s="537"/>
      <c r="J142" s="546"/>
      <c r="K142" s="383"/>
      <c r="L142" s="383"/>
      <c r="M142" s="383"/>
      <c r="N142" s="383"/>
      <c r="O142" s="383"/>
      <c r="P142" s="383"/>
      <c r="Q142" s="383"/>
      <c r="R142" s="383"/>
      <c r="S142" s="377"/>
      <c r="T142" s="377"/>
      <c r="U142" s="377"/>
      <c r="V142" s="377"/>
      <c r="W142" s="377"/>
      <c r="X142" s="377"/>
      <c r="Y142" s="377"/>
      <c r="Z142" s="377"/>
      <c r="AA142" s="377"/>
      <c r="AB142" s="377"/>
      <c r="AC142" s="377"/>
      <c r="AD142" s="377"/>
      <c r="AE142" s="377"/>
      <c r="AF142" s="377"/>
      <c r="AG142" s="377"/>
      <c r="AH142" s="377"/>
      <c r="AI142" s="377"/>
      <c r="AJ142" s="377"/>
      <c r="AK142" s="377"/>
      <c r="AL142" s="377"/>
      <c r="AM142" s="377"/>
      <c r="AN142" s="377"/>
      <c r="AO142" s="377"/>
      <c r="AP142" s="377"/>
      <c r="AQ142" s="377"/>
      <c r="AR142" s="377"/>
      <c r="AS142" s="377"/>
      <c r="AT142" s="377"/>
      <c r="AU142" s="377"/>
      <c r="AV142" s="377"/>
      <c r="AW142" s="377"/>
      <c r="AX142" s="377"/>
      <c r="AY142" s="377"/>
      <c r="AZ142" s="377"/>
      <c r="BA142" s="377"/>
      <c r="BB142" s="377"/>
      <c r="BC142" s="377"/>
      <c r="BD142" s="377"/>
      <c r="BE142" s="377"/>
      <c r="BF142" s="377"/>
      <c r="BG142" s="377"/>
      <c r="BH142" s="377"/>
      <c r="BI142" s="377"/>
      <c r="BJ142" s="377"/>
      <c r="BK142" s="377"/>
      <c r="BL142" s="377"/>
      <c r="BM142" s="377"/>
      <c r="BN142" s="377"/>
      <c r="BO142" s="377"/>
      <c r="BP142" s="377"/>
      <c r="BQ142" s="377"/>
      <c r="BR142" s="377"/>
    </row>
    <row r="143" spans="1:70" outlineLevel="1">
      <c r="A143" s="374">
        <f>I143-SUM(K143:BR143)</f>
        <v>0</v>
      </c>
      <c r="B143" s="359">
        <v>5101</v>
      </c>
      <c r="C143" s="359">
        <v>2</v>
      </c>
      <c r="D143" s="360" t="s">
        <v>893</v>
      </c>
      <c r="E143" s="360"/>
      <c r="F143" s="366" t="s">
        <v>448</v>
      </c>
      <c r="G143" s="1157">
        <v>0.15000000000000002</v>
      </c>
      <c r="H143" s="377"/>
      <c r="I143" s="540">
        <f>-3510000000*G143</f>
        <v>-526500000.00000006</v>
      </c>
      <c r="J143" s="546"/>
      <c r="K143" s="383"/>
      <c r="L143" s="383"/>
      <c r="M143" s="383"/>
      <c r="N143" s="383"/>
      <c r="O143" s="383"/>
      <c r="P143" s="383"/>
      <c r="Q143" s="383"/>
      <c r="R143" s="383"/>
      <c r="S143" s="377">
        <f>$I$143*'TS2'!N$20</f>
        <v>0</v>
      </c>
      <c r="T143" s="377">
        <f>$I$143*'TS2'!O$20</f>
        <v>0</v>
      </c>
      <c r="U143" s="377">
        <f>$I$143*'TS2'!P$20</f>
        <v>-526500000.00000006</v>
      </c>
      <c r="V143" s="377">
        <f>$I$143*'TS2'!Q$20</f>
        <v>0</v>
      </c>
      <c r="W143" s="377">
        <f>$I$143*'TS2'!R$20</f>
        <v>0</v>
      </c>
      <c r="X143" s="377">
        <f>$I$143*'TS2'!S$20</f>
        <v>0</v>
      </c>
      <c r="Y143" s="377">
        <f>$I$143*'TS2'!T$20</f>
        <v>0</v>
      </c>
      <c r="Z143" s="377">
        <f>$I$143*'TS2'!U$20</f>
        <v>0</v>
      </c>
      <c r="AA143" s="377">
        <f>$I$143*'TS2'!V$20</f>
        <v>0</v>
      </c>
      <c r="AB143" s="377">
        <f>$I$143*'TS2'!W$20</f>
        <v>0</v>
      </c>
      <c r="AC143" s="377">
        <f>$I$143*'TS2'!X$20</f>
        <v>0</v>
      </c>
      <c r="AD143" s="377">
        <f>$I$143*'TS2'!Y$20</f>
        <v>0</v>
      </c>
      <c r="AE143" s="377">
        <f>$I$143*'TS2'!Z$20</f>
        <v>0</v>
      </c>
      <c r="AF143" s="377">
        <f>$I$143*'TS2'!AA$20</f>
        <v>0</v>
      </c>
      <c r="AG143" s="377">
        <f>$I$143*'TS2'!AB$20</f>
        <v>0</v>
      </c>
      <c r="AH143" s="377">
        <f>$I$143*'TS2'!AC$20</f>
        <v>0</v>
      </c>
      <c r="AI143" s="377">
        <f>$I$143*'TS2'!AD$20</f>
        <v>0</v>
      </c>
      <c r="AJ143" s="377">
        <f>$I$143*'TS2'!AE$20</f>
        <v>0</v>
      </c>
      <c r="AK143" s="377">
        <f>$I$143*'TS2'!AF$20</f>
        <v>0</v>
      </c>
      <c r="AL143" s="377">
        <f>$I$143*'TS2'!AG$20</f>
        <v>0</v>
      </c>
      <c r="AM143" s="377">
        <f>$I$143*'TS2'!AH$20</f>
        <v>0</v>
      </c>
      <c r="AN143" s="377">
        <f>$I$143*'TS2'!AI$20</f>
        <v>0</v>
      </c>
      <c r="AO143" s="377">
        <f>$I$143*'TS2'!AJ$20</f>
        <v>0</v>
      </c>
      <c r="AP143" s="377">
        <f>$I$143*'TS2'!AK$20</f>
        <v>0</v>
      </c>
      <c r="AQ143" s="377">
        <f>$I$143*'TS2'!AL$20</f>
        <v>0</v>
      </c>
      <c r="AR143" s="377">
        <f>$I$143*'TS2'!AM$20</f>
        <v>0</v>
      </c>
      <c r="AS143" s="377">
        <f>$I$143*'TS2'!AN$20</f>
        <v>0</v>
      </c>
      <c r="AT143" s="377">
        <f>$I$143*'TS2'!AO$20</f>
        <v>0</v>
      </c>
      <c r="AU143" s="377">
        <f>$I$143*'TS2'!AP$20</f>
        <v>0</v>
      </c>
      <c r="AV143" s="377">
        <f>$I$143*'TS2'!AQ$20</f>
        <v>0</v>
      </c>
      <c r="AW143" s="377">
        <f>$I$143*'TS2'!AR$20</f>
        <v>0</v>
      </c>
      <c r="AX143" s="377">
        <f>$I$143*'TS2'!AS$20</f>
        <v>0</v>
      </c>
      <c r="AY143" s="377">
        <f>$I$143*'TS2'!AT$20</f>
        <v>0</v>
      </c>
      <c r="AZ143" s="377">
        <f>$I$143*'TS2'!AU$20</f>
        <v>0</v>
      </c>
      <c r="BA143" s="377">
        <f>$I$143*'TS2'!AV$20</f>
        <v>0</v>
      </c>
      <c r="BB143" s="377">
        <f>$I$143*'TS2'!AW$20</f>
        <v>0</v>
      </c>
      <c r="BC143" s="377">
        <f>$I$143*'TS2'!AX$20</f>
        <v>0</v>
      </c>
      <c r="BD143" s="377">
        <f>$I$143*'TS2'!AY$20</f>
        <v>0</v>
      </c>
      <c r="BE143" s="377">
        <f>$I$143*'TS2'!AZ$20</f>
        <v>0</v>
      </c>
      <c r="BF143" s="377">
        <f>$I$143*'TS2'!BA$20</f>
        <v>0</v>
      </c>
      <c r="BG143" s="377">
        <f>$I$143*'TS2'!BB$20</f>
        <v>0</v>
      </c>
      <c r="BH143" s="377">
        <f>$I$143*'TS2'!BC$20</f>
        <v>0</v>
      </c>
      <c r="BI143" s="377">
        <f>$I$143*'TS2'!BD$20</f>
        <v>0</v>
      </c>
      <c r="BJ143" s="377">
        <f>$I$143*'TS2'!BE$20</f>
        <v>0</v>
      </c>
      <c r="BK143" s="377">
        <f>$I$143*'TS2'!BF$20</f>
        <v>0</v>
      </c>
      <c r="BL143" s="377">
        <f>$I$143*'TS2'!BG$20</f>
        <v>0</v>
      </c>
      <c r="BM143" s="377">
        <f>$I$143*'TS2'!BH$20</f>
        <v>0</v>
      </c>
      <c r="BN143" s="377">
        <f>$I$143*'TS2'!BI$20</f>
        <v>0</v>
      </c>
      <c r="BO143" s="377">
        <f>$I$143*'TS2'!BJ$20</f>
        <v>0</v>
      </c>
      <c r="BP143" s="377">
        <f>$I$143*'TS2'!BK$20</f>
        <v>0</v>
      </c>
      <c r="BQ143" s="377">
        <f>$I$143*'TS2'!BL$20</f>
        <v>0</v>
      </c>
      <c r="BR143" s="377">
        <f>$I$143*'TS2'!BM$20</f>
        <v>0</v>
      </c>
    </row>
    <row r="144" spans="1:70" outlineLevel="1">
      <c r="A144" s="374">
        <f t="shared" si="53"/>
        <v>0</v>
      </c>
      <c r="B144" s="359"/>
      <c r="C144" s="359"/>
      <c r="D144" s="360"/>
      <c r="E144" s="360"/>
      <c r="F144" s="373"/>
      <c r="G144" s="360"/>
      <c r="H144" s="377"/>
      <c r="I144" s="537"/>
      <c r="J144" s="546"/>
      <c r="K144" s="383"/>
      <c r="L144" s="383"/>
      <c r="M144" s="383"/>
      <c r="N144" s="383"/>
      <c r="O144" s="383"/>
      <c r="P144" s="383"/>
      <c r="Q144" s="383"/>
      <c r="R144" s="383"/>
      <c r="S144" s="377"/>
      <c r="T144" s="377"/>
      <c r="U144" s="377"/>
      <c r="V144" s="377"/>
      <c r="W144" s="377"/>
      <c r="X144" s="377"/>
      <c r="Y144" s="377"/>
      <c r="Z144" s="377"/>
      <c r="AA144" s="377"/>
      <c r="AB144" s="377"/>
      <c r="AC144" s="377"/>
      <c r="AD144" s="377"/>
      <c r="AE144" s="377"/>
      <c r="AF144" s="377"/>
      <c r="AG144" s="377"/>
      <c r="AH144" s="377"/>
      <c r="AI144" s="377"/>
      <c r="AJ144" s="377"/>
      <c r="AK144" s="377"/>
      <c r="AL144" s="377"/>
      <c r="AM144" s="377"/>
      <c r="AN144" s="377"/>
      <c r="AO144" s="377"/>
      <c r="AP144" s="377"/>
      <c r="AQ144" s="377"/>
      <c r="AR144" s="377"/>
      <c r="AS144" s="377"/>
      <c r="AT144" s="377"/>
      <c r="AU144" s="377"/>
      <c r="AV144" s="377"/>
      <c r="AW144" s="377"/>
      <c r="AX144" s="377"/>
      <c r="AY144" s="377"/>
      <c r="AZ144" s="377"/>
      <c r="BA144" s="377"/>
      <c r="BB144" s="377"/>
      <c r="BC144" s="377"/>
      <c r="BD144" s="377"/>
      <c r="BE144" s="377"/>
      <c r="BF144" s="377"/>
      <c r="BG144" s="377"/>
      <c r="BH144" s="377"/>
      <c r="BI144" s="377"/>
      <c r="BJ144" s="377"/>
      <c r="BK144" s="377"/>
      <c r="BL144" s="377"/>
      <c r="BM144" s="377"/>
      <c r="BN144" s="377"/>
      <c r="BO144" s="377"/>
      <c r="BP144" s="377"/>
      <c r="BQ144" s="377"/>
      <c r="BR144" s="377"/>
    </row>
    <row r="145" spans="1:70" outlineLevel="1">
      <c r="A145" s="374">
        <f t="shared" si="53"/>
        <v>0</v>
      </c>
      <c r="B145" s="359"/>
      <c r="C145" s="359"/>
      <c r="D145" s="360"/>
      <c r="E145" s="360"/>
      <c r="F145" s="373"/>
      <c r="G145" s="360"/>
      <c r="H145" s="377"/>
      <c r="I145" s="537"/>
      <c r="J145" s="546"/>
      <c r="K145" s="383"/>
      <c r="L145" s="383"/>
      <c r="M145" s="383"/>
      <c r="N145" s="383"/>
      <c r="O145" s="383"/>
      <c r="P145" s="383"/>
      <c r="Q145" s="383"/>
      <c r="R145" s="383"/>
      <c r="S145" s="377"/>
      <c r="T145" s="377"/>
      <c r="U145" s="377"/>
      <c r="V145" s="377"/>
      <c r="W145" s="377"/>
      <c r="X145" s="377"/>
      <c r="Y145" s="377"/>
      <c r="Z145" s="377"/>
      <c r="AA145" s="377"/>
      <c r="AB145" s="377"/>
      <c r="AC145" s="377"/>
      <c r="AD145" s="377"/>
      <c r="AE145" s="377"/>
      <c r="AF145" s="377"/>
      <c r="AG145" s="377"/>
      <c r="AH145" s="377"/>
      <c r="AI145" s="377"/>
      <c r="AJ145" s="377"/>
      <c r="AK145" s="377"/>
      <c r="AL145" s="377"/>
      <c r="AM145" s="377"/>
      <c r="AN145" s="377"/>
      <c r="AO145" s="377"/>
      <c r="AP145" s="377"/>
      <c r="AQ145" s="377"/>
      <c r="AR145" s="377"/>
      <c r="AS145" s="377"/>
      <c r="AT145" s="377"/>
      <c r="AU145" s="377"/>
      <c r="AV145" s="377"/>
      <c r="AW145" s="377"/>
      <c r="AX145" s="377"/>
      <c r="AY145" s="377"/>
      <c r="AZ145" s="377"/>
      <c r="BA145" s="377"/>
      <c r="BB145" s="377"/>
      <c r="BC145" s="377"/>
      <c r="BD145" s="377"/>
      <c r="BE145" s="377"/>
      <c r="BF145" s="377"/>
      <c r="BG145" s="377"/>
      <c r="BH145" s="377"/>
      <c r="BI145" s="377"/>
      <c r="BJ145" s="377"/>
      <c r="BK145" s="377"/>
      <c r="BL145" s="377"/>
      <c r="BM145" s="377"/>
      <c r="BN145" s="377"/>
      <c r="BO145" s="377"/>
      <c r="BP145" s="377"/>
      <c r="BQ145" s="377"/>
      <c r="BR145" s="377"/>
    </row>
    <row r="146" spans="1:70" outlineLevel="1">
      <c r="A146" s="374">
        <f t="shared" si="53"/>
        <v>0</v>
      </c>
      <c r="B146" s="359"/>
      <c r="C146" s="359"/>
      <c r="D146" s="360"/>
      <c r="E146" s="360"/>
      <c r="F146" s="373"/>
      <c r="G146" s="360"/>
      <c r="H146" s="377"/>
      <c r="I146" s="537"/>
      <c r="J146" s="546"/>
      <c r="K146" s="383"/>
      <c r="L146" s="383"/>
      <c r="M146" s="383"/>
      <c r="N146" s="383"/>
      <c r="O146" s="383"/>
      <c r="P146" s="383"/>
      <c r="Q146" s="383"/>
      <c r="R146" s="383"/>
      <c r="S146" s="377"/>
      <c r="T146" s="377"/>
      <c r="U146" s="377"/>
      <c r="V146" s="377"/>
      <c r="W146" s="377"/>
      <c r="X146" s="377"/>
      <c r="Y146" s="377"/>
      <c r="Z146" s="377"/>
      <c r="AA146" s="377"/>
      <c r="AB146" s="377"/>
      <c r="AC146" s="377"/>
      <c r="AD146" s="377"/>
      <c r="AE146" s="377"/>
      <c r="AF146" s="377"/>
      <c r="AG146" s="377"/>
      <c r="AH146" s="377"/>
      <c r="AI146" s="377"/>
      <c r="AJ146" s="377"/>
      <c r="AK146" s="377"/>
      <c r="AL146" s="377"/>
      <c r="AM146" s="377"/>
      <c r="AN146" s="377"/>
      <c r="AO146" s="377"/>
      <c r="AP146" s="377"/>
      <c r="AQ146" s="377"/>
      <c r="AR146" s="377"/>
      <c r="AS146" s="377"/>
      <c r="AT146" s="377"/>
      <c r="AU146" s="377"/>
      <c r="AV146" s="377"/>
      <c r="AW146" s="377"/>
      <c r="AX146" s="377"/>
      <c r="AY146" s="377"/>
      <c r="AZ146" s="377"/>
      <c r="BA146" s="377"/>
      <c r="BB146" s="377"/>
      <c r="BC146" s="377"/>
      <c r="BD146" s="377"/>
      <c r="BE146" s="377"/>
      <c r="BF146" s="377"/>
      <c r="BG146" s="377"/>
      <c r="BH146" s="377"/>
      <c r="BI146" s="377"/>
      <c r="BJ146" s="377"/>
      <c r="BK146" s="377"/>
      <c r="BL146" s="377"/>
      <c r="BM146" s="377"/>
      <c r="BN146" s="377"/>
      <c r="BO146" s="377"/>
      <c r="BP146" s="377"/>
      <c r="BQ146" s="377"/>
      <c r="BR146" s="377"/>
    </row>
    <row r="147" spans="1:70" s="353" customFormat="1" outlineLevel="1">
      <c r="A147" s="374">
        <f t="shared" si="53"/>
        <v>0</v>
      </c>
      <c r="B147" s="363">
        <v>5200</v>
      </c>
      <c r="C147" s="363"/>
      <c r="D147" s="364" t="s">
        <v>424</v>
      </c>
      <c r="E147" s="364"/>
      <c r="F147" s="364"/>
      <c r="G147" s="364"/>
      <c r="H147" s="378">
        <f t="shared" ref="H147:AM147" si="75">SUM(H148:H222)</f>
        <v>0</v>
      </c>
      <c r="I147" s="538">
        <f t="shared" si="75"/>
        <v>-1536310414</v>
      </c>
      <c r="J147" s="547">
        <f t="shared" si="75"/>
        <v>0</v>
      </c>
      <c r="K147" s="378">
        <f t="shared" si="75"/>
        <v>0</v>
      </c>
      <c r="L147" s="378">
        <f t="shared" si="75"/>
        <v>0</v>
      </c>
      <c r="M147" s="378">
        <f t="shared" si="75"/>
        <v>0</v>
      </c>
      <c r="N147" s="378">
        <f t="shared" si="75"/>
        <v>0</v>
      </c>
      <c r="O147" s="378">
        <f t="shared" si="75"/>
        <v>0</v>
      </c>
      <c r="P147" s="378">
        <f t="shared" si="75"/>
        <v>0</v>
      </c>
      <c r="Q147" s="378">
        <f t="shared" si="75"/>
        <v>0</v>
      </c>
      <c r="R147" s="378">
        <f t="shared" si="75"/>
        <v>0</v>
      </c>
      <c r="S147" s="378">
        <f t="shared" si="75"/>
        <v>-25795717.766666666</v>
      </c>
      <c r="T147" s="378">
        <f t="shared" si="75"/>
        <v>-60945717.766666666</v>
      </c>
      <c r="U147" s="378">
        <f t="shared" si="75"/>
        <v>-100445717.76666665</v>
      </c>
      <c r="V147" s="378">
        <f t="shared" si="75"/>
        <v>-104695717.76666665</v>
      </c>
      <c r="W147" s="378">
        <f t="shared" si="75"/>
        <v>-242445717.76666665</v>
      </c>
      <c r="X147" s="378">
        <f t="shared" si="75"/>
        <v>-28950000</v>
      </c>
      <c r="Y147" s="378">
        <f t="shared" si="75"/>
        <v>-66175302.666666664</v>
      </c>
      <c r="Z147" s="378">
        <f t="shared" si="75"/>
        <v>-82055302.666666657</v>
      </c>
      <c r="AA147" s="378">
        <f t="shared" si="75"/>
        <v>-231495302.66666666</v>
      </c>
      <c r="AB147" s="378">
        <f t="shared" si="75"/>
        <v>-26375302.666666664</v>
      </c>
      <c r="AC147" s="378">
        <f t="shared" si="75"/>
        <v>-40283938.666666664</v>
      </c>
      <c r="AD147" s="378">
        <f t="shared" si="75"/>
        <v>-40283938.666666664</v>
      </c>
      <c r="AE147" s="378">
        <f t="shared" si="75"/>
        <v>-40283938.666666664</v>
      </c>
      <c r="AF147" s="378">
        <f t="shared" si="75"/>
        <v>-40283938.666666664</v>
      </c>
      <c r="AG147" s="378">
        <f t="shared" si="75"/>
        <v>-40283938.666666664</v>
      </c>
      <c r="AH147" s="378">
        <f t="shared" si="75"/>
        <v>-145308499.83333334</v>
      </c>
      <c r="AI147" s="378">
        <f t="shared" si="75"/>
        <v>-40283938.666666664</v>
      </c>
      <c r="AJ147" s="378">
        <f t="shared" si="75"/>
        <v>-40283938.666666664</v>
      </c>
      <c r="AK147" s="378">
        <f t="shared" si="75"/>
        <v>-79908636</v>
      </c>
      <c r="AL147" s="378">
        <f t="shared" si="75"/>
        <v>-19908636</v>
      </c>
      <c r="AM147" s="378">
        <f t="shared" si="75"/>
        <v>-19908636</v>
      </c>
      <c r="AN147" s="378">
        <f t="shared" ref="AN147:BR147" si="76">SUM(AN148:AN222)</f>
        <v>-19908636</v>
      </c>
      <c r="AO147" s="378">
        <f t="shared" si="76"/>
        <v>0</v>
      </c>
      <c r="AP147" s="378">
        <f t="shared" si="76"/>
        <v>0</v>
      </c>
      <c r="AQ147" s="378">
        <f t="shared" si="76"/>
        <v>0</v>
      </c>
      <c r="AR147" s="378">
        <f t="shared" si="76"/>
        <v>0</v>
      </c>
      <c r="AS147" s="378">
        <f t="shared" si="76"/>
        <v>0</v>
      </c>
      <c r="AT147" s="378">
        <f t="shared" si="76"/>
        <v>0</v>
      </c>
      <c r="AU147" s="378">
        <f t="shared" si="76"/>
        <v>0</v>
      </c>
      <c r="AV147" s="378">
        <f t="shared" si="76"/>
        <v>0</v>
      </c>
      <c r="AW147" s="378">
        <f t="shared" si="76"/>
        <v>0</v>
      </c>
      <c r="AX147" s="378">
        <f t="shared" si="76"/>
        <v>0</v>
      </c>
      <c r="AY147" s="378">
        <f t="shared" si="76"/>
        <v>0</v>
      </c>
      <c r="AZ147" s="378">
        <f t="shared" si="76"/>
        <v>0</v>
      </c>
      <c r="BA147" s="378">
        <f t="shared" si="76"/>
        <v>0</v>
      </c>
      <c r="BB147" s="378">
        <f t="shared" si="76"/>
        <v>0</v>
      </c>
      <c r="BC147" s="378">
        <f t="shared" si="76"/>
        <v>0</v>
      </c>
      <c r="BD147" s="378">
        <f t="shared" si="76"/>
        <v>0</v>
      </c>
      <c r="BE147" s="378">
        <f t="shared" si="76"/>
        <v>0</v>
      </c>
      <c r="BF147" s="378">
        <f t="shared" si="76"/>
        <v>0</v>
      </c>
      <c r="BG147" s="378">
        <f t="shared" si="76"/>
        <v>0</v>
      </c>
      <c r="BH147" s="378">
        <f t="shared" si="76"/>
        <v>0</v>
      </c>
      <c r="BI147" s="378">
        <f t="shared" si="76"/>
        <v>0</v>
      </c>
      <c r="BJ147" s="378">
        <f t="shared" si="76"/>
        <v>0</v>
      </c>
      <c r="BK147" s="378">
        <f t="shared" si="76"/>
        <v>0</v>
      </c>
      <c r="BL147" s="378">
        <f t="shared" si="76"/>
        <v>0</v>
      </c>
      <c r="BM147" s="378">
        <f t="shared" si="76"/>
        <v>0</v>
      </c>
      <c r="BN147" s="378">
        <f t="shared" si="76"/>
        <v>0</v>
      </c>
      <c r="BO147" s="378">
        <f t="shared" si="76"/>
        <v>0</v>
      </c>
      <c r="BP147" s="378">
        <f t="shared" si="76"/>
        <v>0</v>
      </c>
      <c r="BQ147" s="378">
        <f t="shared" si="76"/>
        <v>0</v>
      </c>
      <c r="BR147" s="378">
        <f t="shared" si="76"/>
        <v>0</v>
      </c>
    </row>
    <row r="148" spans="1:70" outlineLevel="1">
      <c r="A148" s="374">
        <f t="shared" si="53"/>
        <v>0</v>
      </c>
      <c r="B148" s="359">
        <v>5202</v>
      </c>
      <c r="C148" s="359">
        <v>1</v>
      </c>
      <c r="D148" s="360" t="s">
        <v>941</v>
      </c>
      <c r="E148" s="360" t="s">
        <v>492</v>
      </c>
      <c r="F148" s="366" t="s">
        <v>461</v>
      </c>
      <c r="G148" s="367">
        <f>SUM(I148:I181)/'DB1'!$G$18</f>
        <v>-5600</v>
      </c>
      <c r="H148" s="377"/>
      <c r="I148" s="540">
        <f>'DB1'!$G$18*-'DB1'!$F$31-SUMIFS($I$149:$I$191,$C$149:$C$191,$C$148)</f>
        <v>-99991808</v>
      </c>
      <c r="J148" s="546"/>
      <c r="K148" s="383"/>
      <c r="L148" s="383"/>
      <c r="M148" s="383"/>
      <c r="N148" s="383"/>
      <c r="O148" s="383"/>
      <c r="P148" s="383"/>
      <c r="Q148" s="383"/>
      <c r="R148" s="383"/>
      <c r="S148" s="377">
        <f>$I148*'TS1'!N$21</f>
        <v>-8332650.666666666</v>
      </c>
      <c r="T148" s="377">
        <f>$I148*'TS1'!O$21</f>
        <v>-8332650.666666666</v>
      </c>
      <c r="U148" s="377">
        <f>$I148*'TS1'!P$21</f>
        <v>-8332650.666666666</v>
      </c>
      <c r="V148" s="377">
        <f>$I148*'TS1'!Q$21</f>
        <v>-8332650.666666666</v>
      </c>
      <c r="W148" s="377">
        <f>$I148*'TS1'!R$21</f>
        <v>-8332650.666666666</v>
      </c>
      <c r="X148" s="377">
        <f>$I148*'TS1'!S$21</f>
        <v>0</v>
      </c>
      <c r="Y148" s="377">
        <f>$I148*'TS1'!T$21</f>
        <v>0</v>
      </c>
      <c r="Z148" s="377">
        <f>$I148*'TS1'!U$21</f>
        <v>0</v>
      </c>
      <c r="AA148" s="377">
        <f>$I148*'TS1'!V$21</f>
        <v>0</v>
      </c>
      <c r="AB148" s="377">
        <f>$I148*'TS1'!W$21</f>
        <v>0</v>
      </c>
      <c r="AC148" s="377">
        <f>$I148*'TS1'!X$21</f>
        <v>0</v>
      </c>
      <c r="AD148" s="377">
        <f>$I148*'TS1'!Y$21</f>
        <v>0</v>
      </c>
      <c r="AE148" s="377">
        <f>$I148*'TS1'!Z$21</f>
        <v>0</v>
      </c>
      <c r="AF148" s="377">
        <f>$I148*'TS1'!AA$21</f>
        <v>0</v>
      </c>
      <c r="AG148" s="377">
        <f>$I148*'TS1'!AB$21</f>
        <v>0</v>
      </c>
      <c r="AH148" s="377">
        <f>$I148*'TS1'!AC$21</f>
        <v>-58328554.666666672</v>
      </c>
      <c r="AI148" s="377">
        <f>$I148*'TS1'!AD$21</f>
        <v>0</v>
      </c>
      <c r="AJ148" s="377">
        <f>$I148*'TS1'!AE$21</f>
        <v>0</v>
      </c>
      <c r="AK148" s="377">
        <f>$I148*'TS1'!AF$21</f>
        <v>0</v>
      </c>
      <c r="AL148" s="377">
        <f>$I148*'TS1'!AG$21</f>
        <v>0</v>
      </c>
      <c r="AM148" s="377">
        <f>$I148*'TS1'!AH$21</f>
        <v>0</v>
      </c>
      <c r="AN148" s="377">
        <f>$I148*'TS1'!AI$21</f>
        <v>0</v>
      </c>
      <c r="AO148" s="377">
        <f>$I148*'TS1'!AJ$21</f>
        <v>0</v>
      </c>
      <c r="AP148" s="377">
        <f>$I148*'TS1'!AK$21</f>
        <v>0</v>
      </c>
      <c r="AQ148" s="377">
        <f>$I148*'TS1'!AL$21</f>
        <v>0</v>
      </c>
      <c r="AR148" s="377">
        <f>$I148*'TS1'!AM$21</f>
        <v>0</v>
      </c>
      <c r="AS148" s="377">
        <f>$I148*'TS1'!AN$21</f>
        <v>0</v>
      </c>
      <c r="AT148" s="377">
        <f>$I148*'TS1'!AO$21</f>
        <v>0</v>
      </c>
      <c r="AU148" s="377">
        <f>$I148*'TS1'!AP$21</f>
        <v>0</v>
      </c>
      <c r="AV148" s="377">
        <f>$I148*'TS1'!AQ$21</f>
        <v>0</v>
      </c>
      <c r="AW148" s="377">
        <f>$I148*'TS1'!AR$21</f>
        <v>0</v>
      </c>
      <c r="AX148" s="377">
        <f>$I148*'TS1'!AS$21</f>
        <v>0</v>
      </c>
      <c r="AY148" s="377">
        <f>$I148*'TS1'!AT$21</f>
        <v>0</v>
      </c>
      <c r="AZ148" s="377">
        <f>$I148*'TS1'!AU$21</f>
        <v>0</v>
      </c>
      <c r="BA148" s="377">
        <f>$I148*'TS1'!AV$21</f>
        <v>0</v>
      </c>
      <c r="BB148" s="377">
        <f>$I148*'TS1'!AW$21</f>
        <v>0</v>
      </c>
      <c r="BC148" s="377">
        <f>$I148*'TS1'!AX$21</f>
        <v>0</v>
      </c>
      <c r="BD148" s="377">
        <f>$I148*'TS1'!AY$21</f>
        <v>0</v>
      </c>
      <c r="BE148" s="377">
        <f>$I148*'TS1'!AZ$21</f>
        <v>0</v>
      </c>
      <c r="BF148" s="377">
        <f>$I148*'TS1'!BA$21</f>
        <v>0</v>
      </c>
      <c r="BG148" s="377">
        <f>$I148*'TS1'!BB$21</f>
        <v>0</v>
      </c>
      <c r="BH148" s="377">
        <f>$I148*'TS1'!BC$21</f>
        <v>0</v>
      </c>
      <c r="BI148" s="377">
        <f>$I148*'TS1'!BD$21</f>
        <v>0</v>
      </c>
      <c r="BJ148" s="377">
        <f>$I148*'TS1'!BE$21</f>
        <v>0</v>
      </c>
      <c r="BK148" s="377">
        <f>$I148*'TS1'!BF$21</f>
        <v>0</v>
      </c>
      <c r="BL148" s="377">
        <f>$I148*'TS1'!BG$21</f>
        <v>0</v>
      </c>
      <c r="BM148" s="377">
        <f>$I148*'TS1'!BH$21</f>
        <v>0</v>
      </c>
      <c r="BN148" s="377">
        <f>$I148*'TS1'!BI$21</f>
        <v>0</v>
      </c>
      <c r="BO148" s="377">
        <f>$I148*'TS1'!BJ$21</f>
        <v>0</v>
      </c>
      <c r="BP148" s="377">
        <f>$I148*'TS1'!BK$21</f>
        <v>0</v>
      </c>
      <c r="BQ148" s="377">
        <f>$I148*'TS1'!BL$21</f>
        <v>0</v>
      </c>
      <c r="BR148" s="377">
        <f>$I148*'TS1'!BM$21</f>
        <v>0</v>
      </c>
    </row>
    <row r="149" spans="1:70" outlineLevel="1">
      <c r="A149" s="374">
        <f t="shared" si="53"/>
        <v>0</v>
      </c>
      <c r="B149" s="359"/>
      <c r="C149" s="359"/>
      <c r="D149" s="360"/>
      <c r="E149" s="360"/>
      <c r="F149" s="373"/>
      <c r="G149" s="360"/>
      <c r="H149" s="377"/>
      <c r="I149" s="537"/>
      <c r="J149" s="546"/>
      <c r="K149" s="383"/>
      <c r="L149" s="383"/>
      <c r="M149" s="383"/>
      <c r="N149" s="383"/>
      <c r="O149" s="383"/>
      <c r="P149" s="383"/>
      <c r="Q149" s="383"/>
      <c r="R149" s="383"/>
      <c r="S149" s="377"/>
      <c r="T149" s="377"/>
      <c r="U149" s="377"/>
      <c r="V149" s="377"/>
      <c r="W149" s="377"/>
      <c r="X149" s="377"/>
      <c r="Y149" s="377"/>
      <c r="Z149" s="377"/>
      <c r="AA149" s="377"/>
      <c r="AB149" s="377"/>
      <c r="AC149" s="377"/>
      <c r="AD149" s="377"/>
      <c r="AE149" s="377"/>
      <c r="AF149" s="377"/>
      <c r="AG149" s="377"/>
      <c r="AH149" s="377"/>
      <c r="AI149" s="377"/>
      <c r="AJ149" s="377"/>
      <c r="AK149" s="377"/>
      <c r="AL149" s="377"/>
      <c r="AM149" s="377"/>
      <c r="AN149" s="377"/>
      <c r="AO149" s="377"/>
      <c r="AP149" s="377"/>
      <c r="AQ149" s="377"/>
      <c r="AR149" s="377"/>
      <c r="AS149" s="377"/>
      <c r="AT149" s="377"/>
      <c r="AU149" s="377"/>
      <c r="AV149" s="377"/>
      <c r="AW149" s="377"/>
      <c r="AX149" s="377"/>
      <c r="AY149" s="377"/>
      <c r="AZ149" s="377"/>
      <c r="BA149" s="377"/>
      <c r="BB149" s="377"/>
      <c r="BC149" s="377"/>
      <c r="BD149" s="377"/>
      <c r="BE149" s="377"/>
      <c r="BF149" s="377"/>
      <c r="BG149" s="377"/>
      <c r="BH149" s="377"/>
      <c r="BI149" s="377"/>
      <c r="BJ149" s="377"/>
      <c r="BK149" s="377"/>
      <c r="BL149" s="377"/>
      <c r="BM149" s="377"/>
      <c r="BN149" s="377"/>
      <c r="BO149" s="377"/>
      <c r="BP149" s="377"/>
      <c r="BQ149" s="377"/>
      <c r="BR149" s="377"/>
    </row>
    <row r="150" spans="1:70" outlineLevel="1">
      <c r="A150" s="374">
        <f t="shared" si="53"/>
        <v>0</v>
      </c>
      <c r="B150" s="359">
        <v>5202</v>
      </c>
      <c r="C150" s="359">
        <v>1</v>
      </c>
      <c r="D150" s="360" t="s">
        <v>863</v>
      </c>
      <c r="E150" s="360" t="s">
        <v>492</v>
      </c>
      <c r="F150" s="373" t="s">
        <v>883</v>
      </c>
      <c r="G150" s="553" t="s">
        <v>367</v>
      </c>
      <c r="H150" s="377"/>
      <c r="I150" s="537">
        <v>-15000000</v>
      </c>
      <c r="J150" s="546"/>
      <c r="K150" s="383"/>
      <c r="L150" s="383"/>
      <c r="M150" s="383"/>
      <c r="N150" s="383"/>
      <c r="O150" s="383"/>
      <c r="P150" s="383"/>
      <c r="Q150" s="383"/>
      <c r="R150" s="383"/>
      <c r="S150" s="377">
        <v>-4500000</v>
      </c>
      <c r="T150" s="377">
        <v>-10500000</v>
      </c>
      <c r="U150" s="377"/>
      <c r="V150" s="377"/>
      <c r="W150" s="377"/>
      <c r="X150" s="377"/>
      <c r="Y150" s="377"/>
      <c r="Z150" s="377"/>
      <c r="AA150" s="377"/>
      <c r="AB150" s="377"/>
      <c r="AC150" s="377"/>
      <c r="AD150" s="377"/>
      <c r="AE150" s="377"/>
      <c r="AF150" s="377"/>
      <c r="AG150" s="377"/>
      <c r="AH150" s="377"/>
      <c r="AI150" s="377"/>
      <c r="AJ150" s="377"/>
      <c r="AK150" s="377"/>
      <c r="AL150" s="377"/>
      <c r="AM150" s="377"/>
      <c r="AN150" s="377"/>
      <c r="AO150" s="377"/>
      <c r="AP150" s="377"/>
      <c r="AQ150" s="377"/>
      <c r="AR150" s="377"/>
      <c r="AS150" s="377"/>
      <c r="AT150" s="377"/>
      <c r="AU150" s="377"/>
      <c r="AV150" s="377"/>
      <c r="AW150" s="377"/>
      <c r="AX150" s="377"/>
      <c r="AY150" s="377"/>
      <c r="AZ150" s="377"/>
      <c r="BA150" s="377"/>
      <c r="BB150" s="377"/>
      <c r="BC150" s="377"/>
      <c r="BD150" s="377"/>
      <c r="BE150" s="377"/>
      <c r="BF150" s="377"/>
      <c r="BG150" s="377"/>
      <c r="BH150" s="377"/>
      <c r="BI150" s="377"/>
      <c r="BJ150" s="377"/>
      <c r="BK150" s="377"/>
      <c r="BL150" s="377"/>
      <c r="BM150" s="377"/>
      <c r="BN150" s="377"/>
      <c r="BO150" s="377"/>
      <c r="BP150" s="377"/>
      <c r="BQ150" s="377"/>
      <c r="BR150" s="377"/>
    </row>
    <row r="151" spans="1:70" outlineLevel="1">
      <c r="A151" s="374">
        <f t="shared" ref="A151" si="77">I151-SUM(K151:BR151)</f>
        <v>0</v>
      </c>
      <c r="B151" s="359">
        <v>5202</v>
      </c>
      <c r="C151" s="359">
        <v>1</v>
      </c>
      <c r="D151" s="360" t="s">
        <v>1101</v>
      </c>
      <c r="E151" s="360" t="s">
        <v>492</v>
      </c>
      <c r="F151" s="373" t="s">
        <v>1102</v>
      </c>
      <c r="G151" s="553" t="s">
        <v>367</v>
      </c>
      <c r="H151" s="377"/>
      <c r="I151" s="537">
        <v>-1350000</v>
      </c>
      <c r="J151" s="546"/>
      <c r="K151" s="383"/>
      <c r="L151" s="383"/>
      <c r="M151" s="383"/>
      <c r="N151" s="383"/>
      <c r="O151" s="383"/>
      <c r="P151" s="383"/>
      <c r="Q151" s="383"/>
      <c r="R151" s="383"/>
      <c r="S151" s="377">
        <v>-1350000</v>
      </c>
      <c r="T151" s="377"/>
      <c r="U151" s="377"/>
      <c r="V151" s="377"/>
      <c r="W151" s="377"/>
      <c r="X151" s="377"/>
      <c r="Y151" s="377"/>
      <c r="Z151" s="377"/>
      <c r="AA151" s="377"/>
      <c r="AB151" s="377"/>
      <c r="AC151" s="377"/>
      <c r="AD151" s="377"/>
      <c r="AE151" s="377"/>
      <c r="AF151" s="377"/>
      <c r="AG151" s="377"/>
      <c r="AH151" s="377"/>
      <c r="AI151" s="377"/>
      <c r="AJ151" s="377"/>
      <c r="AK151" s="377"/>
      <c r="AL151" s="377"/>
      <c r="AM151" s="377"/>
      <c r="AN151" s="377"/>
      <c r="AO151" s="377"/>
      <c r="AP151" s="377"/>
      <c r="AQ151" s="377"/>
      <c r="AR151" s="377"/>
      <c r="AS151" s="377"/>
      <c r="AT151" s="377"/>
      <c r="AU151" s="377"/>
      <c r="AV151" s="377"/>
      <c r="AW151" s="377"/>
      <c r="AX151" s="377"/>
      <c r="AY151" s="377"/>
      <c r="AZ151" s="377"/>
      <c r="BA151" s="377"/>
      <c r="BB151" s="377"/>
      <c r="BC151" s="377"/>
      <c r="BD151" s="377"/>
      <c r="BE151" s="377"/>
      <c r="BF151" s="377"/>
      <c r="BG151" s="377"/>
      <c r="BH151" s="377"/>
      <c r="BI151" s="377"/>
      <c r="BJ151" s="377"/>
      <c r="BK151" s="377"/>
      <c r="BL151" s="377"/>
      <c r="BM151" s="377"/>
      <c r="BN151" s="377"/>
      <c r="BO151" s="377"/>
      <c r="BP151" s="377"/>
      <c r="BQ151" s="377"/>
      <c r="BR151" s="377"/>
    </row>
    <row r="152" spans="1:70" outlineLevel="1">
      <c r="A152" s="374">
        <f t="shared" si="53"/>
        <v>0</v>
      </c>
      <c r="B152" s="359">
        <v>5202</v>
      </c>
      <c r="C152" s="359">
        <v>1</v>
      </c>
      <c r="D152" s="360" t="s">
        <v>864</v>
      </c>
      <c r="E152" s="360" t="s">
        <v>492</v>
      </c>
      <c r="F152" s="373" t="s">
        <v>884</v>
      </c>
      <c r="G152" s="360"/>
      <c r="H152" s="377"/>
      <c r="I152" s="537">
        <v>-40000000</v>
      </c>
      <c r="J152" s="546"/>
      <c r="K152" s="383"/>
      <c r="L152" s="383"/>
      <c r="M152" s="383"/>
      <c r="N152" s="383"/>
      <c r="O152" s="383"/>
      <c r="P152" s="383"/>
      <c r="Q152" s="383"/>
      <c r="R152" s="383"/>
      <c r="S152" s="377">
        <v>-10000000</v>
      </c>
      <c r="T152" s="377">
        <v>-10000000</v>
      </c>
      <c r="U152" s="377">
        <v>-15000000</v>
      </c>
      <c r="V152" s="377">
        <v>-5000000</v>
      </c>
      <c r="W152" s="377"/>
      <c r="X152" s="377"/>
      <c r="Y152" s="377"/>
      <c r="Z152" s="377"/>
      <c r="AA152" s="377"/>
      <c r="AB152" s="377"/>
      <c r="AC152" s="377"/>
      <c r="AD152" s="377"/>
      <c r="AE152" s="377"/>
      <c r="AF152" s="377"/>
      <c r="AG152" s="377"/>
      <c r="AH152" s="377"/>
      <c r="AI152" s="377"/>
      <c r="AJ152" s="377"/>
      <c r="AK152" s="377"/>
      <c r="AL152" s="377"/>
      <c r="AM152" s="377"/>
      <c r="AN152" s="377"/>
      <c r="AO152" s="377"/>
      <c r="AP152" s="377"/>
      <c r="AQ152" s="377"/>
      <c r="AR152" s="377"/>
      <c r="AS152" s="377"/>
      <c r="AT152" s="377"/>
      <c r="AU152" s="377"/>
      <c r="AV152" s="377"/>
      <c r="AW152" s="377"/>
      <c r="AX152" s="377"/>
      <c r="AY152" s="377"/>
      <c r="AZ152" s="377"/>
      <c r="BA152" s="377"/>
      <c r="BB152" s="377"/>
      <c r="BC152" s="377"/>
      <c r="BD152" s="377"/>
      <c r="BE152" s="377"/>
      <c r="BF152" s="377"/>
      <c r="BG152" s="377"/>
      <c r="BH152" s="377"/>
      <c r="BI152" s="377"/>
      <c r="BJ152" s="377"/>
      <c r="BK152" s="377"/>
      <c r="BL152" s="377"/>
      <c r="BM152" s="377"/>
      <c r="BN152" s="377"/>
      <c r="BO152" s="377"/>
      <c r="BP152" s="377"/>
      <c r="BQ152" s="377"/>
      <c r="BR152" s="377"/>
    </row>
    <row r="153" spans="1:70" outlineLevel="1">
      <c r="A153" s="374">
        <f t="shared" si="53"/>
        <v>0</v>
      </c>
      <c r="B153" s="359">
        <v>5202</v>
      </c>
      <c r="C153" s="359">
        <v>1</v>
      </c>
      <c r="D153" s="360" t="s">
        <v>872</v>
      </c>
      <c r="E153" s="360" t="s">
        <v>492</v>
      </c>
      <c r="F153" s="373" t="s">
        <v>454</v>
      </c>
      <c r="G153" s="360"/>
      <c r="H153" s="377"/>
      <c r="I153" s="537">
        <v>-4000000</v>
      </c>
      <c r="J153" s="546"/>
      <c r="K153" s="383"/>
      <c r="L153" s="383"/>
      <c r="M153" s="383"/>
      <c r="N153" s="383"/>
      <c r="O153" s="383"/>
      <c r="P153" s="383"/>
      <c r="Q153" s="383"/>
      <c r="R153" s="383"/>
      <c r="S153" s="377">
        <v>0</v>
      </c>
      <c r="T153" s="377">
        <v>-1500000</v>
      </c>
      <c r="U153" s="377">
        <v>-2500000</v>
      </c>
      <c r="V153" s="377">
        <v>0</v>
      </c>
      <c r="W153" s="377"/>
      <c r="X153" s="377"/>
      <c r="Y153" s="377"/>
      <c r="Z153" s="377"/>
      <c r="AA153" s="377"/>
      <c r="AB153" s="377"/>
      <c r="AC153" s="377"/>
      <c r="AD153" s="377"/>
      <c r="AE153" s="377"/>
      <c r="AF153" s="377"/>
      <c r="AG153" s="377"/>
      <c r="AH153" s="377"/>
      <c r="AI153" s="377"/>
      <c r="AJ153" s="377"/>
      <c r="AK153" s="377"/>
      <c r="AL153" s="377"/>
      <c r="AM153" s="377"/>
      <c r="AN153" s="377"/>
      <c r="AO153" s="377"/>
      <c r="AP153" s="377"/>
      <c r="AQ153" s="377"/>
      <c r="AR153" s="377"/>
      <c r="AS153" s="377"/>
      <c r="AT153" s="377"/>
      <c r="AU153" s="377"/>
      <c r="AV153" s="377"/>
      <c r="AW153" s="377"/>
      <c r="AX153" s="377"/>
      <c r="AY153" s="377"/>
      <c r="AZ153" s="377"/>
      <c r="BA153" s="377"/>
      <c r="BB153" s="377"/>
      <c r="BC153" s="377"/>
      <c r="BD153" s="377"/>
      <c r="BE153" s="377"/>
      <c r="BF153" s="377"/>
      <c r="BG153" s="377"/>
      <c r="BH153" s="377"/>
      <c r="BI153" s="377"/>
      <c r="BJ153" s="377"/>
      <c r="BK153" s="377"/>
      <c r="BL153" s="377"/>
      <c r="BM153" s="377"/>
      <c r="BN153" s="377"/>
      <c r="BO153" s="377"/>
      <c r="BP153" s="377"/>
      <c r="BQ153" s="377"/>
      <c r="BR153" s="377"/>
    </row>
    <row r="154" spans="1:70" outlineLevel="1">
      <c r="A154" s="374">
        <f t="shared" si="53"/>
        <v>0</v>
      </c>
      <c r="B154" s="359">
        <v>5202</v>
      </c>
      <c r="C154" s="359">
        <v>1</v>
      </c>
      <c r="D154" s="360" t="s">
        <v>873</v>
      </c>
      <c r="E154" s="360" t="s">
        <v>492</v>
      </c>
      <c r="F154" s="373" t="s">
        <v>454</v>
      </c>
      <c r="G154" s="360"/>
      <c r="H154" s="377"/>
      <c r="I154" s="537">
        <v>-5000000</v>
      </c>
      <c r="J154" s="546"/>
      <c r="K154" s="383"/>
      <c r="L154" s="383"/>
      <c r="M154" s="383"/>
      <c r="N154" s="383"/>
      <c r="O154" s="383"/>
      <c r="P154" s="383"/>
      <c r="Q154" s="383"/>
      <c r="R154" s="383"/>
      <c r="S154" s="377">
        <v>0</v>
      </c>
      <c r="T154" s="377">
        <v>-1500000</v>
      </c>
      <c r="U154" s="377">
        <v>-3500000</v>
      </c>
      <c r="V154" s="377">
        <v>0</v>
      </c>
      <c r="W154" s="377"/>
      <c r="X154" s="377"/>
      <c r="Y154" s="377"/>
      <c r="Z154" s="377"/>
      <c r="AA154" s="377"/>
      <c r="AB154" s="377"/>
      <c r="AC154" s="377"/>
      <c r="AD154" s="377"/>
      <c r="AE154" s="377"/>
      <c r="AF154" s="377"/>
      <c r="AG154" s="377"/>
      <c r="AH154" s="377"/>
      <c r="AI154" s="377"/>
      <c r="AJ154" s="377"/>
      <c r="AK154" s="377"/>
      <c r="AL154" s="377"/>
      <c r="AM154" s="377"/>
      <c r="AN154" s="377"/>
      <c r="AO154" s="377"/>
      <c r="AP154" s="377"/>
      <c r="AQ154" s="377"/>
      <c r="AR154" s="377"/>
      <c r="AS154" s="377"/>
      <c r="AT154" s="377"/>
      <c r="AU154" s="377"/>
      <c r="AV154" s="377"/>
      <c r="AW154" s="377"/>
      <c r="AX154" s="377"/>
      <c r="AY154" s="377"/>
      <c r="AZ154" s="377"/>
      <c r="BA154" s="377"/>
      <c r="BB154" s="377"/>
      <c r="BC154" s="377"/>
      <c r="BD154" s="377"/>
      <c r="BE154" s="377"/>
      <c r="BF154" s="377"/>
      <c r="BG154" s="377"/>
      <c r="BH154" s="377"/>
      <c r="BI154" s="377"/>
      <c r="BJ154" s="377"/>
      <c r="BK154" s="377"/>
      <c r="BL154" s="377"/>
      <c r="BM154" s="377"/>
      <c r="BN154" s="377"/>
      <c r="BO154" s="377"/>
      <c r="BP154" s="377"/>
      <c r="BQ154" s="377"/>
      <c r="BR154" s="377"/>
    </row>
    <row r="155" spans="1:70" outlineLevel="1">
      <c r="A155" s="374">
        <f t="shared" si="53"/>
        <v>0</v>
      </c>
      <c r="B155" s="359">
        <v>5202</v>
      </c>
      <c r="C155" s="359">
        <v>1</v>
      </c>
      <c r="D155" s="360" t="s">
        <v>874</v>
      </c>
      <c r="E155" s="360" t="s">
        <v>492</v>
      </c>
      <c r="F155" s="373" t="s">
        <v>454</v>
      </c>
      <c r="G155" s="360"/>
      <c r="H155" s="377"/>
      <c r="I155" s="537">
        <v>-2000000</v>
      </c>
      <c r="J155" s="546"/>
      <c r="K155" s="383"/>
      <c r="L155" s="383"/>
      <c r="M155" s="383"/>
      <c r="N155" s="383"/>
      <c r="O155" s="383"/>
      <c r="P155" s="383"/>
      <c r="Q155" s="383"/>
      <c r="R155" s="383"/>
      <c r="S155" s="377">
        <v>0</v>
      </c>
      <c r="T155" s="377">
        <v>0</v>
      </c>
      <c r="U155" s="377">
        <v>-2000000</v>
      </c>
      <c r="V155" s="377">
        <v>0</v>
      </c>
      <c r="W155" s="377"/>
      <c r="X155" s="377"/>
      <c r="Y155" s="377"/>
      <c r="Z155" s="377"/>
      <c r="AA155" s="377"/>
      <c r="AB155" s="377"/>
      <c r="AC155" s="377"/>
      <c r="AD155" s="377"/>
      <c r="AE155" s="377"/>
      <c r="AF155" s="377"/>
      <c r="AG155" s="377"/>
      <c r="AH155" s="377"/>
      <c r="AI155" s="377"/>
      <c r="AJ155" s="377"/>
      <c r="AK155" s="377"/>
      <c r="AL155" s="377"/>
      <c r="AM155" s="377"/>
      <c r="AN155" s="377"/>
      <c r="AO155" s="377"/>
      <c r="AP155" s="377"/>
      <c r="AQ155" s="377"/>
      <c r="AR155" s="377"/>
      <c r="AS155" s="377"/>
      <c r="AT155" s="377"/>
      <c r="AU155" s="377"/>
      <c r="AV155" s="377"/>
      <c r="AW155" s="377"/>
      <c r="AX155" s="377"/>
      <c r="AY155" s="377"/>
      <c r="AZ155" s="377"/>
      <c r="BA155" s="377"/>
      <c r="BB155" s="377"/>
      <c r="BC155" s="377"/>
      <c r="BD155" s="377"/>
      <c r="BE155" s="377"/>
      <c r="BF155" s="377"/>
      <c r="BG155" s="377"/>
      <c r="BH155" s="377"/>
      <c r="BI155" s="377"/>
      <c r="BJ155" s="377"/>
      <c r="BK155" s="377"/>
      <c r="BL155" s="377"/>
      <c r="BM155" s="377"/>
      <c r="BN155" s="377"/>
      <c r="BO155" s="377"/>
      <c r="BP155" s="377"/>
      <c r="BQ155" s="377"/>
      <c r="BR155" s="377"/>
    </row>
    <row r="156" spans="1:70" outlineLevel="1">
      <c r="A156" s="374">
        <f t="shared" si="53"/>
        <v>0</v>
      </c>
      <c r="B156" s="359">
        <v>5202</v>
      </c>
      <c r="C156" s="359">
        <v>1</v>
      </c>
      <c r="D156" s="360" t="s">
        <v>875</v>
      </c>
      <c r="E156" s="360" t="s">
        <v>492</v>
      </c>
      <c r="F156" s="373" t="s">
        <v>454</v>
      </c>
      <c r="G156" s="360"/>
      <c r="H156" s="377"/>
      <c r="I156" s="537">
        <v>-7000000</v>
      </c>
      <c r="J156" s="546"/>
      <c r="K156" s="383"/>
      <c r="L156" s="383"/>
      <c r="M156" s="383"/>
      <c r="N156" s="383"/>
      <c r="O156" s="383"/>
      <c r="P156" s="383"/>
      <c r="Q156" s="383"/>
      <c r="R156" s="383"/>
      <c r="S156" s="377">
        <v>0</v>
      </c>
      <c r="T156" s="377">
        <v>0</v>
      </c>
      <c r="U156" s="377">
        <v>-2100000</v>
      </c>
      <c r="V156" s="377">
        <v>-4900000</v>
      </c>
      <c r="W156" s="377"/>
      <c r="X156" s="377"/>
      <c r="Y156" s="377"/>
      <c r="Z156" s="377"/>
      <c r="AA156" s="377"/>
      <c r="AB156" s="377"/>
      <c r="AC156" s="377"/>
      <c r="AD156" s="377"/>
      <c r="AE156" s="377"/>
      <c r="AF156" s="377"/>
      <c r="AG156" s="377"/>
      <c r="AH156" s="377"/>
      <c r="AI156" s="377"/>
      <c r="AJ156" s="377"/>
      <c r="AK156" s="377"/>
      <c r="AL156" s="377"/>
      <c r="AM156" s="377"/>
      <c r="AN156" s="377"/>
      <c r="AO156" s="377"/>
      <c r="AP156" s="377"/>
      <c r="AQ156" s="377"/>
      <c r="AR156" s="377"/>
      <c r="AS156" s="377"/>
      <c r="AT156" s="377"/>
      <c r="AU156" s="377"/>
      <c r="AV156" s="377"/>
      <c r="AW156" s="377"/>
      <c r="AX156" s="377"/>
      <c r="AY156" s="377"/>
      <c r="AZ156" s="377"/>
      <c r="BA156" s="377"/>
      <c r="BB156" s="377"/>
      <c r="BC156" s="377"/>
      <c r="BD156" s="377"/>
      <c r="BE156" s="377"/>
      <c r="BF156" s="377"/>
      <c r="BG156" s="377"/>
      <c r="BH156" s="377"/>
      <c r="BI156" s="377"/>
      <c r="BJ156" s="377"/>
      <c r="BK156" s="377"/>
      <c r="BL156" s="377"/>
      <c r="BM156" s="377"/>
      <c r="BN156" s="377"/>
      <c r="BO156" s="377"/>
      <c r="BP156" s="377"/>
      <c r="BQ156" s="377"/>
      <c r="BR156" s="377"/>
    </row>
    <row r="157" spans="1:70" outlineLevel="1">
      <c r="A157" s="374">
        <f t="shared" si="53"/>
        <v>0</v>
      </c>
      <c r="B157" s="359">
        <v>5202</v>
      </c>
      <c r="C157" s="359">
        <v>1</v>
      </c>
      <c r="D157" s="360" t="s">
        <v>876</v>
      </c>
      <c r="E157" s="360" t="s">
        <v>492</v>
      </c>
      <c r="F157" s="373" t="s">
        <v>454</v>
      </c>
      <c r="G157" s="360"/>
      <c r="H157" s="377"/>
      <c r="I157" s="537">
        <v>-13000000</v>
      </c>
      <c r="J157" s="546"/>
      <c r="K157" s="383"/>
      <c r="L157" s="383"/>
      <c r="M157" s="383"/>
      <c r="N157" s="383"/>
      <c r="O157" s="383"/>
      <c r="P157" s="383"/>
      <c r="Q157" s="383"/>
      <c r="R157" s="383"/>
      <c r="S157" s="377">
        <v>0</v>
      </c>
      <c r="T157" s="377">
        <v>0</v>
      </c>
      <c r="U157" s="377">
        <v>-3900000</v>
      </c>
      <c r="V157" s="377">
        <v>-9100000</v>
      </c>
      <c r="W157" s="377"/>
      <c r="X157" s="377"/>
      <c r="Y157" s="377"/>
      <c r="Z157" s="377"/>
      <c r="AA157" s="377"/>
      <c r="AB157" s="377"/>
      <c r="AC157" s="377"/>
      <c r="AD157" s="377"/>
      <c r="AE157" s="377"/>
      <c r="AF157" s="377"/>
      <c r="AG157" s="377"/>
      <c r="AH157" s="377"/>
      <c r="AI157" s="377"/>
      <c r="AJ157" s="377"/>
      <c r="AK157" s="377"/>
      <c r="AL157" s="377"/>
      <c r="AM157" s="377"/>
      <c r="AN157" s="377"/>
      <c r="AO157" s="377"/>
      <c r="AP157" s="377"/>
      <c r="AQ157" s="377"/>
      <c r="AR157" s="377"/>
      <c r="AS157" s="377"/>
      <c r="AT157" s="377"/>
      <c r="AU157" s="377"/>
      <c r="AV157" s="377"/>
      <c r="AW157" s="377"/>
      <c r="AX157" s="377"/>
      <c r="AY157" s="377"/>
      <c r="AZ157" s="377"/>
      <c r="BA157" s="377"/>
      <c r="BB157" s="377"/>
      <c r="BC157" s="377"/>
      <c r="BD157" s="377"/>
      <c r="BE157" s="377"/>
      <c r="BF157" s="377"/>
      <c r="BG157" s="377"/>
      <c r="BH157" s="377"/>
      <c r="BI157" s="377"/>
      <c r="BJ157" s="377"/>
      <c r="BK157" s="377"/>
      <c r="BL157" s="377"/>
      <c r="BM157" s="377"/>
      <c r="BN157" s="377"/>
      <c r="BO157" s="377"/>
      <c r="BP157" s="377"/>
      <c r="BQ157" s="377"/>
      <c r="BR157" s="377"/>
    </row>
    <row r="158" spans="1:70" outlineLevel="1">
      <c r="A158" s="374">
        <f t="shared" si="53"/>
        <v>0</v>
      </c>
      <c r="B158" s="359">
        <v>5202</v>
      </c>
      <c r="C158" s="359">
        <v>1</v>
      </c>
      <c r="D158" s="360" t="s">
        <v>877</v>
      </c>
      <c r="E158" s="360" t="s">
        <v>492</v>
      </c>
      <c r="F158" s="373" t="s">
        <v>454</v>
      </c>
      <c r="G158" s="360"/>
      <c r="H158" s="377"/>
      <c r="I158" s="537">
        <v>-1500000</v>
      </c>
      <c r="J158" s="546"/>
      <c r="K158" s="383"/>
      <c r="L158" s="383"/>
      <c r="M158" s="383"/>
      <c r="N158" s="383"/>
      <c r="O158" s="383"/>
      <c r="P158" s="383"/>
      <c r="Q158" s="383"/>
      <c r="R158" s="383"/>
      <c r="S158" s="377">
        <v>0</v>
      </c>
      <c r="T158" s="377">
        <v>0</v>
      </c>
      <c r="U158" s="377">
        <v>0</v>
      </c>
      <c r="V158" s="377">
        <v>-1500000</v>
      </c>
      <c r="W158" s="377"/>
      <c r="X158" s="377"/>
      <c r="Y158" s="377"/>
      <c r="Z158" s="377"/>
      <c r="AA158" s="377"/>
      <c r="AB158" s="377"/>
      <c r="AC158" s="377"/>
      <c r="AD158" s="377"/>
      <c r="AE158" s="377"/>
      <c r="AF158" s="377"/>
      <c r="AG158" s="377"/>
      <c r="AH158" s="377"/>
      <c r="AI158" s="377"/>
      <c r="AJ158" s="377"/>
      <c r="AK158" s="377"/>
      <c r="AL158" s="377"/>
      <c r="AM158" s="377"/>
      <c r="AN158" s="377"/>
      <c r="AO158" s="377"/>
      <c r="AP158" s="377"/>
      <c r="AQ158" s="377"/>
      <c r="AR158" s="377"/>
      <c r="AS158" s="377"/>
      <c r="AT158" s="377"/>
      <c r="AU158" s="377"/>
      <c r="AV158" s="377"/>
      <c r="AW158" s="377"/>
      <c r="AX158" s="377"/>
      <c r="AY158" s="377"/>
      <c r="AZ158" s="377"/>
      <c r="BA158" s="377"/>
      <c r="BB158" s="377"/>
      <c r="BC158" s="377"/>
      <c r="BD158" s="377"/>
      <c r="BE158" s="377"/>
      <c r="BF158" s="377"/>
      <c r="BG158" s="377"/>
      <c r="BH158" s="377"/>
      <c r="BI158" s="377"/>
      <c r="BJ158" s="377"/>
      <c r="BK158" s="377"/>
      <c r="BL158" s="377"/>
      <c r="BM158" s="377"/>
      <c r="BN158" s="377"/>
      <c r="BO158" s="377"/>
      <c r="BP158" s="377"/>
      <c r="BQ158" s="377"/>
      <c r="BR158" s="377"/>
    </row>
    <row r="159" spans="1:70" outlineLevel="1">
      <c r="A159" s="374">
        <f t="shared" si="53"/>
        <v>0</v>
      </c>
      <c r="B159" s="359">
        <v>5202</v>
      </c>
      <c r="C159" s="359">
        <v>1</v>
      </c>
      <c r="D159" s="360" t="s">
        <v>882</v>
      </c>
      <c r="E159" s="360" t="s">
        <v>492</v>
      </c>
      <c r="F159" s="373" t="s">
        <v>887</v>
      </c>
      <c r="G159" s="360"/>
      <c r="H159" s="377"/>
      <c r="I159" s="537">
        <v>-32000000</v>
      </c>
      <c r="J159" s="546"/>
      <c r="K159" s="383"/>
      <c r="L159" s="383"/>
      <c r="M159" s="383"/>
      <c r="N159" s="383"/>
      <c r="O159" s="383"/>
      <c r="P159" s="383"/>
      <c r="Q159" s="383"/>
      <c r="R159" s="383"/>
      <c r="S159" s="377">
        <v>-2500000</v>
      </c>
      <c r="T159" s="377">
        <v>-8000000</v>
      </c>
      <c r="U159" s="377">
        <v>-16000000</v>
      </c>
      <c r="V159" s="377">
        <v>-5500000</v>
      </c>
      <c r="W159" s="377"/>
      <c r="X159" s="377"/>
      <c r="Y159" s="377"/>
      <c r="Z159" s="377"/>
      <c r="AA159" s="377"/>
      <c r="AB159" s="377"/>
      <c r="AC159" s="377"/>
      <c r="AD159" s="377"/>
      <c r="AE159" s="377"/>
      <c r="AF159" s="377"/>
      <c r="AG159" s="377"/>
      <c r="AH159" s="377"/>
      <c r="AI159" s="377"/>
      <c r="AJ159" s="377"/>
      <c r="AK159" s="377"/>
      <c r="AL159" s="377"/>
      <c r="AM159" s="377"/>
      <c r="AN159" s="377"/>
      <c r="AO159" s="377"/>
      <c r="AP159" s="377"/>
      <c r="AQ159" s="377"/>
      <c r="AR159" s="377"/>
      <c r="AS159" s="377"/>
      <c r="AT159" s="377"/>
      <c r="AU159" s="377"/>
      <c r="AV159" s="377"/>
      <c r="AW159" s="377"/>
      <c r="AX159" s="377"/>
      <c r="AY159" s="377"/>
      <c r="AZ159" s="377"/>
      <c r="BA159" s="377"/>
      <c r="BB159" s="377"/>
      <c r="BC159" s="377"/>
      <c r="BD159" s="377"/>
      <c r="BE159" s="377"/>
      <c r="BF159" s="377"/>
      <c r="BG159" s="377"/>
      <c r="BH159" s="377"/>
      <c r="BI159" s="377"/>
      <c r="BJ159" s="377"/>
      <c r="BK159" s="377"/>
      <c r="BL159" s="377"/>
      <c r="BM159" s="377"/>
      <c r="BN159" s="377"/>
      <c r="BO159" s="377"/>
      <c r="BP159" s="377"/>
      <c r="BQ159" s="377"/>
      <c r="BR159" s="377"/>
    </row>
    <row r="160" spans="1:70" outlineLevel="1">
      <c r="A160" s="374">
        <f t="shared" si="53"/>
        <v>0</v>
      </c>
      <c r="B160" s="359"/>
      <c r="C160" s="359"/>
      <c r="D160" s="360"/>
      <c r="E160" s="360"/>
      <c r="F160" s="373"/>
      <c r="G160" s="360"/>
      <c r="H160" s="377"/>
      <c r="I160" s="537"/>
      <c r="J160" s="546"/>
      <c r="K160" s="383"/>
      <c r="L160" s="383"/>
      <c r="M160" s="383"/>
      <c r="N160" s="383"/>
      <c r="O160" s="383"/>
      <c r="P160" s="383"/>
      <c r="Q160" s="383"/>
      <c r="R160" s="383"/>
      <c r="S160" s="377"/>
      <c r="T160" s="377"/>
      <c r="U160" s="377"/>
      <c r="V160" s="377"/>
      <c r="W160" s="377"/>
      <c r="X160" s="377"/>
      <c r="Y160" s="377"/>
      <c r="Z160" s="377"/>
      <c r="AA160" s="377"/>
      <c r="AB160" s="377"/>
      <c r="AC160" s="377"/>
      <c r="AD160" s="377"/>
      <c r="AE160" s="377"/>
      <c r="AF160" s="377"/>
      <c r="AG160" s="377"/>
      <c r="AH160" s="377"/>
      <c r="AI160" s="377"/>
      <c r="AJ160" s="377"/>
      <c r="AK160" s="377"/>
      <c r="AL160" s="377"/>
      <c r="AM160" s="377"/>
      <c r="AN160" s="377"/>
      <c r="AO160" s="377"/>
      <c r="AP160" s="377"/>
      <c r="AQ160" s="377"/>
      <c r="AR160" s="377"/>
      <c r="AS160" s="377"/>
      <c r="AT160" s="377"/>
      <c r="AU160" s="377"/>
      <c r="AV160" s="377"/>
      <c r="AW160" s="377"/>
      <c r="AX160" s="377"/>
      <c r="AY160" s="377"/>
      <c r="AZ160" s="377"/>
      <c r="BA160" s="377"/>
      <c r="BB160" s="377"/>
      <c r="BC160" s="377"/>
      <c r="BD160" s="377"/>
      <c r="BE160" s="377"/>
      <c r="BF160" s="377"/>
      <c r="BG160" s="377"/>
      <c r="BH160" s="377"/>
      <c r="BI160" s="377"/>
      <c r="BJ160" s="377"/>
      <c r="BK160" s="377"/>
      <c r="BL160" s="377"/>
      <c r="BM160" s="377"/>
      <c r="BN160" s="377"/>
      <c r="BO160" s="377"/>
      <c r="BP160" s="377"/>
      <c r="BQ160" s="377"/>
      <c r="BR160" s="377"/>
    </row>
    <row r="161" spans="1:70" outlineLevel="1">
      <c r="A161" s="374">
        <f t="shared" si="53"/>
        <v>0</v>
      </c>
      <c r="B161" s="359">
        <v>5202</v>
      </c>
      <c r="C161" s="359">
        <v>1</v>
      </c>
      <c r="D161" s="360" t="s">
        <v>896</v>
      </c>
      <c r="E161" s="360" t="s">
        <v>492</v>
      </c>
      <c r="F161" s="373" t="s">
        <v>454</v>
      </c>
      <c r="G161" s="360"/>
      <c r="H161" s="377"/>
      <c r="I161" s="541">
        <v>-20000000</v>
      </c>
      <c r="J161" s="546"/>
      <c r="K161" s="383"/>
      <c r="L161" s="383"/>
      <c r="M161" s="383"/>
      <c r="N161" s="383"/>
      <c r="O161" s="383"/>
      <c r="P161" s="383"/>
      <c r="Q161" s="383"/>
      <c r="R161" s="383"/>
      <c r="S161" s="377">
        <v>0</v>
      </c>
      <c r="T161" s="377">
        <v>-20000000</v>
      </c>
      <c r="U161" s="377">
        <v>0</v>
      </c>
      <c r="V161" s="377">
        <v>0</v>
      </c>
      <c r="W161" s="377">
        <v>0</v>
      </c>
      <c r="X161" s="377">
        <v>0</v>
      </c>
      <c r="Y161" s="377"/>
      <c r="Z161" s="377"/>
      <c r="AA161" s="377"/>
      <c r="AB161" s="377"/>
      <c r="AC161" s="377"/>
      <c r="AD161" s="377"/>
      <c r="AE161" s="377"/>
      <c r="AF161" s="377"/>
      <c r="AG161" s="377"/>
      <c r="AH161" s="377"/>
      <c r="AI161" s="377"/>
      <c r="AJ161" s="377"/>
      <c r="AK161" s="377"/>
      <c r="AL161" s="377"/>
      <c r="AM161" s="377"/>
      <c r="AN161" s="377"/>
      <c r="AO161" s="377"/>
      <c r="AP161" s="377"/>
      <c r="AQ161" s="377"/>
      <c r="AR161" s="377"/>
      <c r="AS161" s="377"/>
      <c r="AT161" s="377"/>
      <c r="AU161" s="377"/>
      <c r="AV161" s="377"/>
      <c r="AW161" s="377"/>
      <c r="AX161" s="377"/>
      <c r="AY161" s="377"/>
      <c r="AZ161" s="377"/>
      <c r="BA161" s="377"/>
      <c r="BB161" s="377"/>
      <c r="BC161" s="377"/>
      <c r="BD161" s="377"/>
      <c r="BE161" s="377"/>
      <c r="BF161" s="377"/>
      <c r="BG161" s="377"/>
      <c r="BH161" s="377"/>
      <c r="BI161" s="377"/>
      <c r="BJ161" s="377"/>
      <c r="BK161" s="377"/>
      <c r="BL161" s="377"/>
      <c r="BM161" s="377"/>
      <c r="BN161" s="377"/>
      <c r="BO161" s="377"/>
      <c r="BP161" s="377"/>
      <c r="BQ161" s="377"/>
      <c r="BR161" s="377"/>
    </row>
    <row r="162" spans="1:70" outlineLevel="1">
      <c r="A162" s="374">
        <f t="shared" si="53"/>
        <v>0</v>
      </c>
      <c r="B162" s="359">
        <v>5202</v>
      </c>
      <c r="C162" s="359">
        <v>1</v>
      </c>
      <c r="D162" s="552" t="s">
        <v>897</v>
      </c>
      <c r="E162" s="360" t="s">
        <v>492</v>
      </c>
      <c r="F162" s="373" t="s">
        <v>454</v>
      </c>
      <c r="G162" s="367">
        <f>I162/'DB1'!$G$18</f>
        <v>-2289.8777363818772</v>
      </c>
      <c r="H162" s="377"/>
      <c r="I162" s="537">
        <f>SUM(K162:BR162)</f>
        <v>-260000000</v>
      </c>
      <c r="J162" s="546"/>
      <c r="K162" s="383"/>
      <c r="L162" s="383"/>
      <c r="M162" s="383"/>
      <c r="N162" s="383"/>
      <c r="O162" s="383"/>
      <c r="P162" s="383"/>
      <c r="Q162" s="383"/>
      <c r="R162" s="383"/>
      <c r="S162" s="377">
        <v>0</v>
      </c>
      <c r="T162" s="377">
        <v>0</v>
      </c>
      <c r="U162" s="377">
        <v>-30000000</v>
      </c>
      <c r="V162" s="377">
        <v>-40000000</v>
      </c>
      <c r="W162" s="377">
        <v>-130000000</v>
      </c>
      <c r="X162" s="377">
        <v>0</v>
      </c>
      <c r="Y162" s="377"/>
      <c r="Z162" s="377"/>
      <c r="AA162" s="377"/>
      <c r="AB162" s="377"/>
      <c r="AC162" s="377"/>
      <c r="AD162" s="377"/>
      <c r="AE162" s="377"/>
      <c r="AF162" s="377"/>
      <c r="AG162" s="377"/>
      <c r="AH162" s="377">
        <f>SUM(S162:AG162)*30%</f>
        <v>-60000000</v>
      </c>
      <c r="AI162" s="377"/>
      <c r="AJ162" s="377"/>
      <c r="AK162" s="377"/>
      <c r="AL162" s="377"/>
      <c r="AM162" s="377"/>
      <c r="AN162" s="377"/>
      <c r="AO162" s="377"/>
      <c r="AP162" s="377"/>
      <c r="AQ162" s="377"/>
      <c r="AR162" s="377"/>
      <c r="AS162" s="377"/>
      <c r="AT162" s="377"/>
      <c r="AU162" s="377"/>
      <c r="AV162" s="377"/>
      <c r="AW162" s="377"/>
      <c r="AX162" s="377"/>
      <c r="AY162" s="377"/>
      <c r="AZ162" s="377"/>
      <c r="BA162" s="377"/>
      <c r="BB162" s="377"/>
      <c r="BC162" s="377"/>
      <c r="BD162" s="377"/>
      <c r="BE162" s="377"/>
      <c r="BF162" s="377"/>
      <c r="BG162" s="377"/>
      <c r="BH162" s="377"/>
      <c r="BI162" s="377"/>
      <c r="BJ162" s="377"/>
      <c r="BK162" s="377"/>
      <c r="BL162" s="377"/>
      <c r="BM162" s="377"/>
      <c r="BN162" s="377"/>
      <c r="BO162" s="377"/>
      <c r="BP162" s="377"/>
      <c r="BQ162" s="377"/>
      <c r="BR162" s="377"/>
    </row>
    <row r="163" spans="1:70" outlineLevel="1">
      <c r="A163" s="374">
        <f t="shared" si="53"/>
        <v>0</v>
      </c>
      <c r="B163" s="359">
        <v>5202</v>
      </c>
      <c r="C163" s="359">
        <v>1</v>
      </c>
      <c r="D163" s="360" t="s">
        <v>898</v>
      </c>
      <c r="E163" s="360" t="s">
        <v>492</v>
      </c>
      <c r="F163" s="373" t="s">
        <v>454</v>
      </c>
      <c r="G163" s="360"/>
      <c r="H163" s="377"/>
      <c r="I163" s="537">
        <v>-30000000</v>
      </c>
      <c r="J163" s="546"/>
      <c r="K163" s="383"/>
      <c r="L163" s="383"/>
      <c r="M163" s="383"/>
      <c r="N163" s="383"/>
      <c r="O163" s="383"/>
      <c r="P163" s="383"/>
      <c r="Q163" s="383"/>
      <c r="R163" s="383"/>
      <c r="S163" s="377">
        <v>0</v>
      </c>
      <c r="T163" s="377">
        <v>0</v>
      </c>
      <c r="U163" s="377">
        <v>-9000000</v>
      </c>
      <c r="V163" s="377">
        <v>0</v>
      </c>
      <c r="W163" s="377">
        <v>-21000000</v>
      </c>
      <c r="X163" s="377">
        <v>0</v>
      </c>
      <c r="Y163" s="377"/>
      <c r="Z163" s="377"/>
      <c r="AA163" s="377"/>
      <c r="AB163" s="377"/>
      <c r="AC163" s="377"/>
      <c r="AD163" s="377"/>
      <c r="AE163" s="377"/>
      <c r="AF163" s="377"/>
      <c r="AG163" s="377"/>
      <c r="AH163" s="377"/>
      <c r="AI163" s="377"/>
      <c r="AJ163" s="377"/>
      <c r="AK163" s="377"/>
      <c r="AL163" s="377"/>
      <c r="AM163" s="377"/>
      <c r="AN163" s="377"/>
      <c r="AO163" s="377"/>
      <c r="AP163" s="377"/>
      <c r="AQ163" s="377"/>
      <c r="AR163" s="377"/>
      <c r="AS163" s="377"/>
      <c r="AT163" s="377"/>
      <c r="AU163" s="377"/>
      <c r="AV163" s="377"/>
      <c r="AW163" s="377"/>
      <c r="AX163" s="377"/>
      <c r="AY163" s="377"/>
      <c r="AZ163" s="377"/>
      <c r="BA163" s="377"/>
      <c r="BB163" s="377"/>
      <c r="BC163" s="377"/>
      <c r="BD163" s="377"/>
      <c r="BE163" s="377"/>
      <c r="BF163" s="377"/>
      <c r="BG163" s="377"/>
      <c r="BH163" s="377"/>
      <c r="BI163" s="377"/>
      <c r="BJ163" s="377"/>
      <c r="BK163" s="377"/>
      <c r="BL163" s="377"/>
      <c r="BM163" s="377"/>
      <c r="BN163" s="377"/>
      <c r="BO163" s="377"/>
      <c r="BP163" s="377"/>
      <c r="BQ163" s="377"/>
      <c r="BR163" s="377"/>
    </row>
    <row r="164" spans="1:70" outlineLevel="1">
      <c r="A164" s="374">
        <f t="shared" si="53"/>
        <v>0</v>
      </c>
      <c r="B164" s="359">
        <v>5202</v>
      </c>
      <c r="C164" s="359">
        <v>1</v>
      </c>
      <c r="D164" s="360" t="s">
        <v>899</v>
      </c>
      <c r="E164" s="360" t="s">
        <v>492</v>
      </c>
      <c r="F164" s="373" t="s">
        <v>454</v>
      </c>
      <c r="G164" s="360"/>
      <c r="H164" s="377"/>
      <c r="I164" s="537">
        <v>-6000000</v>
      </c>
      <c r="J164" s="546"/>
      <c r="K164" s="383"/>
      <c r="L164" s="383"/>
      <c r="M164" s="383"/>
      <c r="N164" s="383"/>
      <c r="O164" s="383"/>
      <c r="P164" s="383"/>
      <c r="Q164" s="383"/>
      <c r="R164" s="383"/>
      <c r="S164" s="377">
        <v>0</v>
      </c>
      <c r="T164" s="377">
        <v>0</v>
      </c>
      <c r="U164" s="377">
        <v>0</v>
      </c>
      <c r="V164" s="377">
        <v>0</v>
      </c>
      <c r="W164" s="377">
        <v>-6000000</v>
      </c>
      <c r="X164" s="377">
        <v>0</v>
      </c>
      <c r="Y164" s="377"/>
      <c r="Z164" s="377"/>
      <c r="AA164" s="377"/>
      <c r="AB164" s="377"/>
      <c r="AC164" s="377"/>
      <c r="AD164" s="377"/>
      <c r="AE164" s="377"/>
      <c r="AF164" s="377"/>
      <c r="AG164" s="377"/>
      <c r="AH164" s="377"/>
      <c r="AI164" s="377"/>
      <c r="AJ164" s="377"/>
      <c r="AK164" s="377"/>
      <c r="AL164" s="377"/>
      <c r="AM164" s="377"/>
      <c r="AN164" s="377"/>
      <c r="AO164" s="377"/>
      <c r="AP164" s="377"/>
      <c r="AQ164" s="377"/>
      <c r="AR164" s="377"/>
      <c r="AS164" s="377"/>
      <c r="AT164" s="377"/>
      <c r="AU164" s="377"/>
      <c r="AV164" s="377"/>
      <c r="AW164" s="377"/>
      <c r="AX164" s="377"/>
      <c r="AY164" s="377"/>
      <c r="AZ164" s="377"/>
      <c r="BA164" s="377"/>
      <c r="BB164" s="377"/>
      <c r="BC164" s="377"/>
      <c r="BD164" s="377"/>
      <c r="BE164" s="377"/>
      <c r="BF164" s="377"/>
      <c r="BG164" s="377"/>
      <c r="BH164" s="377"/>
      <c r="BI164" s="377"/>
      <c r="BJ164" s="377"/>
      <c r="BK164" s="377"/>
      <c r="BL164" s="377"/>
      <c r="BM164" s="377"/>
      <c r="BN164" s="377"/>
      <c r="BO164" s="377"/>
      <c r="BP164" s="377"/>
      <c r="BQ164" s="377"/>
      <c r="BR164" s="377"/>
    </row>
    <row r="165" spans="1:70" outlineLevel="1">
      <c r="A165" s="374">
        <f t="shared" si="53"/>
        <v>0</v>
      </c>
      <c r="B165" s="359">
        <v>5202</v>
      </c>
      <c r="C165" s="359">
        <v>1</v>
      </c>
      <c r="D165" s="360" t="s">
        <v>900</v>
      </c>
      <c r="E165" s="360" t="s">
        <v>492</v>
      </c>
      <c r="F165" s="373" t="s">
        <v>454</v>
      </c>
      <c r="G165" s="360"/>
      <c r="H165" s="377"/>
      <c r="I165" s="537">
        <v>-6000000</v>
      </c>
      <c r="J165" s="546"/>
      <c r="K165" s="383"/>
      <c r="L165" s="383"/>
      <c r="M165" s="383"/>
      <c r="N165" s="383"/>
      <c r="O165" s="383"/>
      <c r="P165" s="383"/>
      <c r="Q165" s="383"/>
      <c r="R165" s="383"/>
      <c r="S165" s="377">
        <v>0</v>
      </c>
      <c r="T165" s="377">
        <v>0</v>
      </c>
      <c r="U165" s="377">
        <v>0</v>
      </c>
      <c r="V165" s="377">
        <v>0</v>
      </c>
      <c r="W165" s="377">
        <v>-6000000</v>
      </c>
      <c r="X165" s="377">
        <v>0</v>
      </c>
      <c r="Y165" s="377"/>
      <c r="Z165" s="377"/>
      <c r="AA165" s="377"/>
      <c r="AB165" s="377"/>
      <c r="AC165" s="377"/>
      <c r="AD165" s="377"/>
      <c r="AE165" s="377"/>
      <c r="AF165" s="377"/>
      <c r="AG165" s="377"/>
      <c r="AH165" s="377"/>
      <c r="AI165" s="377"/>
      <c r="AJ165" s="377"/>
      <c r="AK165" s="377"/>
      <c r="AL165" s="377"/>
      <c r="AM165" s="377"/>
      <c r="AN165" s="377"/>
      <c r="AO165" s="377"/>
      <c r="AP165" s="377"/>
      <c r="AQ165" s="377"/>
      <c r="AR165" s="377"/>
      <c r="AS165" s="377"/>
      <c r="AT165" s="377"/>
      <c r="AU165" s="377"/>
      <c r="AV165" s="377"/>
      <c r="AW165" s="377"/>
      <c r="AX165" s="377"/>
      <c r="AY165" s="377"/>
      <c r="AZ165" s="377"/>
      <c r="BA165" s="377"/>
      <c r="BB165" s="377"/>
      <c r="BC165" s="377"/>
      <c r="BD165" s="377"/>
      <c r="BE165" s="377"/>
      <c r="BF165" s="377"/>
      <c r="BG165" s="377"/>
      <c r="BH165" s="377"/>
      <c r="BI165" s="377"/>
      <c r="BJ165" s="377"/>
      <c r="BK165" s="377"/>
      <c r="BL165" s="377"/>
      <c r="BM165" s="377"/>
      <c r="BN165" s="377"/>
      <c r="BO165" s="377"/>
      <c r="BP165" s="377"/>
      <c r="BQ165" s="377"/>
      <c r="BR165" s="377"/>
    </row>
    <row r="166" spans="1:70" outlineLevel="1">
      <c r="A166" s="374">
        <f t="shared" si="53"/>
        <v>0</v>
      </c>
      <c r="B166" s="359">
        <v>5202</v>
      </c>
      <c r="C166" s="359">
        <v>1</v>
      </c>
      <c r="D166" s="360" t="s">
        <v>901</v>
      </c>
      <c r="E166" s="360" t="s">
        <v>492</v>
      </c>
      <c r="F166" s="373" t="s">
        <v>454</v>
      </c>
      <c r="G166" s="360"/>
      <c r="H166" s="377"/>
      <c r="I166" s="537">
        <v>-3000000</v>
      </c>
      <c r="J166" s="546"/>
      <c r="K166" s="383"/>
      <c r="L166" s="383"/>
      <c r="M166" s="383"/>
      <c r="N166" s="383"/>
      <c r="O166" s="383"/>
      <c r="P166" s="383"/>
      <c r="Q166" s="383"/>
      <c r="R166" s="383"/>
      <c r="S166" s="377">
        <v>0</v>
      </c>
      <c r="T166" s="377">
        <v>0</v>
      </c>
      <c r="U166" s="377">
        <v>0</v>
      </c>
      <c r="V166" s="377">
        <v>0</v>
      </c>
      <c r="W166" s="377">
        <v>-1500000</v>
      </c>
      <c r="X166" s="377">
        <v>-1500000</v>
      </c>
      <c r="Y166" s="377"/>
      <c r="Z166" s="377"/>
      <c r="AA166" s="377"/>
      <c r="AB166" s="377"/>
      <c r="AC166" s="377"/>
      <c r="AD166" s="377"/>
      <c r="AE166" s="377"/>
      <c r="AF166" s="377"/>
      <c r="AG166" s="377"/>
      <c r="AH166" s="377"/>
      <c r="AI166" s="377"/>
      <c r="AJ166" s="377"/>
      <c r="AK166" s="377"/>
      <c r="AL166" s="377"/>
      <c r="AM166" s="377"/>
      <c r="AN166" s="377"/>
      <c r="AO166" s="377"/>
      <c r="AP166" s="377"/>
      <c r="AQ166" s="377"/>
      <c r="AR166" s="377"/>
      <c r="AS166" s="377"/>
      <c r="AT166" s="377"/>
      <c r="AU166" s="377"/>
      <c r="AV166" s="377"/>
      <c r="AW166" s="377"/>
      <c r="AX166" s="377"/>
      <c r="AY166" s="377"/>
      <c r="AZ166" s="377"/>
      <c r="BA166" s="377"/>
      <c r="BB166" s="377"/>
      <c r="BC166" s="377"/>
      <c r="BD166" s="377"/>
      <c r="BE166" s="377"/>
      <c r="BF166" s="377"/>
      <c r="BG166" s="377"/>
      <c r="BH166" s="377"/>
      <c r="BI166" s="377"/>
      <c r="BJ166" s="377"/>
      <c r="BK166" s="377"/>
      <c r="BL166" s="377"/>
      <c r="BM166" s="377"/>
      <c r="BN166" s="377"/>
      <c r="BO166" s="377"/>
      <c r="BP166" s="377"/>
      <c r="BQ166" s="377"/>
      <c r="BR166" s="377"/>
    </row>
    <row r="167" spans="1:70" outlineLevel="1">
      <c r="A167" s="374">
        <f t="shared" si="53"/>
        <v>0</v>
      </c>
      <c r="B167" s="359">
        <v>5202</v>
      </c>
      <c r="C167" s="359">
        <v>1</v>
      </c>
      <c r="D167" s="360" t="s">
        <v>902</v>
      </c>
      <c r="E167" s="360" t="s">
        <v>492</v>
      </c>
      <c r="F167" s="373" t="s">
        <v>454</v>
      </c>
      <c r="G167" s="360"/>
      <c r="H167" s="377"/>
      <c r="I167" s="537">
        <v>-1000000</v>
      </c>
      <c r="J167" s="546"/>
      <c r="K167" s="383"/>
      <c r="L167" s="383"/>
      <c r="M167" s="383"/>
      <c r="N167" s="383"/>
      <c r="O167" s="383"/>
      <c r="P167" s="383"/>
      <c r="Q167" s="383"/>
      <c r="R167" s="383"/>
      <c r="S167" s="377">
        <v>0</v>
      </c>
      <c r="T167" s="377">
        <v>0</v>
      </c>
      <c r="U167" s="377">
        <v>0</v>
      </c>
      <c r="V167" s="377">
        <v>-300000</v>
      </c>
      <c r="W167" s="377">
        <v>-700000</v>
      </c>
      <c r="X167" s="377">
        <v>0</v>
      </c>
      <c r="Y167" s="377"/>
      <c r="Z167" s="377"/>
      <c r="AA167" s="377"/>
      <c r="AB167" s="377"/>
      <c r="AC167" s="377"/>
      <c r="AD167" s="377"/>
      <c r="AE167" s="377"/>
      <c r="AF167" s="377"/>
      <c r="AG167" s="377"/>
      <c r="AH167" s="377"/>
      <c r="AI167" s="377"/>
      <c r="AJ167" s="377"/>
      <c r="AK167" s="377"/>
      <c r="AL167" s="377"/>
      <c r="AM167" s="377"/>
      <c r="AN167" s="377"/>
      <c r="AO167" s="377"/>
      <c r="AP167" s="377"/>
      <c r="AQ167" s="377"/>
      <c r="AR167" s="377"/>
      <c r="AS167" s="377"/>
      <c r="AT167" s="377"/>
      <c r="AU167" s="377"/>
      <c r="AV167" s="377"/>
      <c r="AW167" s="377"/>
      <c r="AX167" s="377"/>
      <c r="AY167" s="377"/>
      <c r="AZ167" s="377"/>
      <c r="BA167" s="377"/>
      <c r="BB167" s="377"/>
      <c r="BC167" s="377"/>
      <c r="BD167" s="377"/>
      <c r="BE167" s="377"/>
      <c r="BF167" s="377"/>
      <c r="BG167" s="377"/>
      <c r="BH167" s="377"/>
      <c r="BI167" s="377"/>
      <c r="BJ167" s="377"/>
      <c r="BK167" s="377"/>
      <c r="BL167" s="377"/>
      <c r="BM167" s="377"/>
      <c r="BN167" s="377"/>
      <c r="BO167" s="377"/>
      <c r="BP167" s="377"/>
      <c r="BQ167" s="377"/>
      <c r="BR167" s="377"/>
    </row>
    <row r="168" spans="1:70" outlineLevel="1">
      <c r="A168" s="374">
        <f t="shared" si="53"/>
        <v>0</v>
      </c>
      <c r="B168" s="359">
        <v>5202</v>
      </c>
      <c r="C168" s="359">
        <v>1</v>
      </c>
      <c r="D168" s="360" t="s">
        <v>903</v>
      </c>
      <c r="E168" s="360" t="s">
        <v>492</v>
      </c>
      <c r="F168" s="373" t="s">
        <v>454</v>
      </c>
      <c r="G168" s="360"/>
      <c r="H168" s="377"/>
      <c r="I168" s="537">
        <v>-5000000</v>
      </c>
      <c r="J168" s="546"/>
      <c r="K168" s="383"/>
      <c r="L168" s="383"/>
      <c r="M168" s="383"/>
      <c r="N168" s="383"/>
      <c r="O168" s="383"/>
      <c r="P168" s="383"/>
      <c r="Q168" s="383"/>
      <c r="R168" s="383"/>
      <c r="S168" s="377">
        <v>0</v>
      </c>
      <c r="T168" s="377">
        <v>0</v>
      </c>
      <c r="U168" s="377">
        <v>0</v>
      </c>
      <c r="V168" s="377">
        <v>0</v>
      </c>
      <c r="W168" s="377">
        <v>-5000000</v>
      </c>
      <c r="X168" s="377">
        <v>0</v>
      </c>
      <c r="Y168" s="377"/>
      <c r="Z168" s="377"/>
      <c r="AA168" s="377"/>
      <c r="AB168" s="377"/>
      <c r="AC168" s="377"/>
      <c r="AD168" s="377"/>
      <c r="AE168" s="377"/>
      <c r="AF168" s="377"/>
      <c r="AG168" s="377"/>
      <c r="AH168" s="377"/>
      <c r="AI168" s="377"/>
      <c r="AJ168" s="377"/>
      <c r="AK168" s="377"/>
      <c r="AL168" s="377"/>
      <c r="AM168" s="377"/>
      <c r="AN168" s="377"/>
      <c r="AO168" s="377"/>
      <c r="AP168" s="377"/>
      <c r="AQ168" s="377"/>
      <c r="AR168" s="377"/>
      <c r="AS168" s="377"/>
      <c r="AT168" s="377"/>
      <c r="AU168" s="377"/>
      <c r="AV168" s="377"/>
      <c r="AW168" s="377"/>
      <c r="AX168" s="377"/>
      <c r="AY168" s="377"/>
      <c r="AZ168" s="377"/>
      <c r="BA168" s="377"/>
      <c r="BB168" s="377"/>
      <c r="BC168" s="377"/>
      <c r="BD168" s="377"/>
      <c r="BE168" s="377"/>
      <c r="BF168" s="377"/>
      <c r="BG168" s="377"/>
      <c r="BH168" s="377"/>
      <c r="BI168" s="377"/>
      <c r="BJ168" s="377"/>
      <c r="BK168" s="377"/>
      <c r="BL168" s="377"/>
      <c r="BM168" s="377"/>
      <c r="BN168" s="377"/>
      <c r="BO168" s="377"/>
      <c r="BP168" s="377"/>
      <c r="BQ168" s="377"/>
      <c r="BR168" s="377"/>
    </row>
    <row r="169" spans="1:70" outlineLevel="1">
      <c r="A169" s="374">
        <f t="shared" si="53"/>
        <v>0</v>
      </c>
      <c r="B169" s="359">
        <v>5202</v>
      </c>
      <c r="C169" s="359">
        <v>1</v>
      </c>
      <c r="D169" s="360" t="s">
        <v>904</v>
      </c>
      <c r="E169" s="360" t="s">
        <v>492</v>
      </c>
      <c r="F169" s="373" t="s">
        <v>454</v>
      </c>
      <c r="G169" s="360"/>
      <c r="H169" s="377"/>
      <c r="I169" s="537">
        <v>-5000000</v>
      </c>
      <c r="J169" s="546"/>
      <c r="K169" s="383"/>
      <c r="L169" s="383"/>
      <c r="M169" s="383"/>
      <c r="N169" s="383"/>
      <c r="O169" s="383"/>
      <c r="P169" s="383"/>
      <c r="Q169" s="383"/>
      <c r="R169" s="383"/>
      <c r="S169" s="377">
        <v>0</v>
      </c>
      <c r="T169" s="377">
        <v>0</v>
      </c>
      <c r="U169" s="377">
        <v>0</v>
      </c>
      <c r="V169" s="377">
        <v>0</v>
      </c>
      <c r="W169" s="377">
        <v>-1500000</v>
      </c>
      <c r="X169" s="377">
        <v>-3500000</v>
      </c>
      <c r="Y169" s="377"/>
      <c r="Z169" s="377"/>
      <c r="AA169" s="377"/>
      <c r="AB169" s="377"/>
      <c r="AC169" s="377"/>
      <c r="AD169" s="377"/>
      <c r="AE169" s="377"/>
      <c r="AF169" s="377"/>
      <c r="AG169" s="377"/>
      <c r="AH169" s="377"/>
      <c r="AI169" s="377"/>
      <c r="AJ169" s="377"/>
      <c r="AK169" s="377"/>
      <c r="AL169" s="377"/>
      <c r="AM169" s="377"/>
      <c r="AN169" s="377"/>
      <c r="AO169" s="377"/>
      <c r="AP169" s="377"/>
      <c r="AQ169" s="377"/>
      <c r="AR169" s="377"/>
      <c r="AS169" s="377"/>
      <c r="AT169" s="377"/>
      <c r="AU169" s="377"/>
      <c r="AV169" s="377"/>
      <c r="AW169" s="377"/>
      <c r="AX169" s="377"/>
      <c r="AY169" s="377"/>
      <c r="AZ169" s="377"/>
      <c r="BA169" s="377"/>
      <c r="BB169" s="377"/>
      <c r="BC169" s="377"/>
      <c r="BD169" s="377"/>
      <c r="BE169" s="377"/>
      <c r="BF169" s="377"/>
      <c r="BG169" s="377"/>
      <c r="BH169" s="377"/>
      <c r="BI169" s="377"/>
      <c r="BJ169" s="377"/>
      <c r="BK169" s="377"/>
      <c r="BL169" s="377"/>
      <c r="BM169" s="377"/>
      <c r="BN169" s="377"/>
      <c r="BO169" s="377"/>
      <c r="BP169" s="377"/>
      <c r="BQ169" s="377"/>
      <c r="BR169" s="377"/>
    </row>
    <row r="170" spans="1:70" outlineLevel="1">
      <c r="A170" s="374">
        <f t="shared" si="53"/>
        <v>0</v>
      </c>
      <c r="B170" s="359">
        <v>5202</v>
      </c>
      <c r="C170" s="359">
        <v>1</v>
      </c>
      <c r="D170" s="360" t="s">
        <v>905</v>
      </c>
      <c r="E170" s="360" t="s">
        <v>492</v>
      </c>
      <c r="F170" s="373" t="s">
        <v>454</v>
      </c>
      <c r="G170" s="360"/>
      <c r="H170" s="377"/>
      <c r="I170" s="537">
        <v>-2500000</v>
      </c>
      <c r="J170" s="546"/>
      <c r="K170" s="383"/>
      <c r="L170" s="383"/>
      <c r="M170" s="383"/>
      <c r="N170" s="383"/>
      <c r="O170" s="383"/>
      <c r="P170" s="383"/>
      <c r="Q170" s="383"/>
      <c r="R170" s="383"/>
      <c r="S170" s="377">
        <v>0</v>
      </c>
      <c r="T170" s="377">
        <v>0</v>
      </c>
      <c r="U170" s="377">
        <v>0</v>
      </c>
      <c r="V170" s="377">
        <v>0</v>
      </c>
      <c r="W170" s="377">
        <v>-750000</v>
      </c>
      <c r="X170" s="377">
        <v>-1750000</v>
      </c>
      <c r="Y170" s="377"/>
      <c r="Z170" s="377"/>
      <c r="AA170" s="377"/>
      <c r="AB170" s="377"/>
      <c r="AC170" s="377"/>
      <c r="AD170" s="377"/>
      <c r="AE170" s="377"/>
      <c r="AF170" s="377"/>
      <c r="AG170" s="377"/>
      <c r="AH170" s="377"/>
      <c r="AI170" s="377"/>
      <c r="AJ170" s="377"/>
      <c r="AK170" s="377"/>
      <c r="AL170" s="377"/>
      <c r="AM170" s="377"/>
      <c r="AN170" s="377"/>
      <c r="AO170" s="377"/>
      <c r="AP170" s="377"/>
      <c r="AQ170" s="377"/>
      <c r="AR170" s="377"/>
      <c r="AS170" s="377"/>
      <c r="AT170" s="377"/>
      <c r="AU170" s="377"/>
      <c r="AV170" s="377"/>
      <c r="AW170" s="377"/>
      <c r="AX170" s="377"/>
      <c r="AY170" s="377"/>
      <c r="AZ170" s="377"/>
      <c r="BA170" s="377"/>
      <c r="BB170" s="377"/>
      <c r="BC170" s="377"/>
      <c r="BD170" s="377"/>
      <c r="BE170" s="377"/>
      <c r="BF170" s="377"/>
      <c r="BG170" s="377"/>
      <c r="BH170" s="377"/>
      <c r="BI170" s="377"/>
      <c r="BJ170" s="377"/>
      <c r="BK170" s="377"/>
      <c r="BL170" s="377"/>
      <c r="BM170" s="377"/>
      <c r="BN170" s="377"/>
      <c r="BO170" s="377"/>
      <c r="BP170" s="377"/>
      <c r="BQ170" s="377"/>
      <c r="BR170" s="377"/>
    </row>
    <row r="171" spans="1:70" outlineLevel="1">
      <c r="A171" s="374">
        <f t="shared" si="53"/>
        <v>0</v>
      </c>
      <c r="B171" s="359">
        <v>5202</v>
      </c>
      <c r="C171" s="359">
        <v>1</v>
      </c>
      <c r="D171" s="360" t="s">
        <v>906</v>
      </c>
      <c r="E171" s="360" t="s">
        <v>492</v>
      </c>
      <c r="F171" s="373" t="s">
        <v>454</v>
      </c>
      <c r="G171" s="360"/>
      <c r="H171" s="377"/>
      <c r="I171" s="537">
        <v>-4000000</v>
      </c>
      <c r="J171" s="546"/>
      <c r="K171" s="383"/>
      <c r="L171" s="383"/>
      <c r="M171" s="383"/>
      <c r="N171" s="383"/>
      <c r="O171" s="383"/>
      <c r="P171" s="383"/>
      <c r="Q171" s="383"/>
      <c r="R171" s="383"/>
      <c r="S171" s="377">
        <v>0</v>
      </c>
      <c r="T171" s="377">
        <v>0</v>
      </c>
      <c r="U171" s="377">
        <v>0</v>
      </c>
      <c r="V171" s="377">
        <v>-1200000</v>
      </c>
      <c r="W171" s="377">
        <v>-2800000</v>
      </c>
      <c r="X171" s="377">
        <v>0</v>
      </c>
      <c r="Y171" s="377"/>
      <c r="Z171" s="377"/>
      <c r="AA171" s="377"/>
      <c r="AB171" s="377"/>
      <c r="AC171" s="377"/>
      <c r="AD171" s="377"/>
      <c r="AE171" s="377"/>
      <c r="AF171" s="377"/>
      <c r="AG171" s="377"/>
      <c r="AH171" s="377"/>
      <c r="AI171" s="377"/>
      <c r="AJ171" s="377"/>
      <c r="AK171" s="377"/>
      <c r="AL171" s="377"/>
      <c r="AM171" s="377"/>
      <c r="AN171" s="377"/>
      <c r="AO171" s="377"/>
      <c r="AP171" s="377"/>
      <c r="AQ171" s="377"/>
      <c r="AR171" s="377"/>
      <c r="AS171" s="377"/>
      <c r="AT171" s="377"/>
      <c r="AU171" s="377"/>
      <c r="AV171" s="377"/>
      <c r="AW171" s="377"/>
      <c r="AX171" s="377"/>
      <c r="AY171" s="377"/>
      <c r="AZ171" s="377"/>
      <c r="BA171" s="377"/>
      <c r="BB171" s="377"/>
      <c r="BC171" s="377"/>
      <c r="BD171" s="377"/>
      <c r="BE171" s="377"/>
      <c r="BF171" s="377"/>
      <c r="BG171" s="377"/>
      <c r="BH171" s="377"/>
      <c r="BI171" s="377"/>
      <c r="BJ171" s="377"/>
      <c r="BK171" s="377"/>
      <c r="BL171" s="377"/>
      <c r="BM171" s="377"/>
      <c r="BN171" s="377"/>
      <c r="BO171" s="377"/>
      <c r="BP171" s="377"/>
      <c r="BQ171" s="377"/>
      <c r="BR171" s="377"/>
    </row>
    <row r="172" spans="1:70" outlineLevel="1">
      <c r="A172" s="374">
        <f t="shared" si="53"/>
        <v>0</v>
      </c>
      <c r="B172" s="359">
        <v>5202</v>
      </c>
      <c r="C172" s="359">
        <v>1</v>
      </c>
      <c r="D172" s="360" t="s">
        <v>918</v>
      </c>
      <c r="E172" s="360" t="s">
        <v>492</v>
      </c>
      <c r="F172" s="373" t="s">
        <v>454</v>
      </c>
      <c r="G172" s="360"/>
      <c r="H172" s="377"/>
      <c r="I172" s="537">
        <v>-10000000</v>
      </c>
      <c r="J172" s="546"/>
      <c r="K172" s="383"/>
      <c r="L172" s="383"/>
      <c r="M172" s="383"/>
      <c r="N172" s="383"/>
      <c r="O172" s="383"/>
      <c r="P172" s="383"/>
      <c r="Q172" s="383"/>
      <c r="R172" s="383"/>
      <c r="S172" s="377">
        <v>0</v>
      </c>
      <c r="T172" s="377">
        <v>0</v>
      </c>
      <c r="U172" s="377">
        <v>-5000000</v>
      </c>
      <c r="V172" s="377">
        <v>-5000000</v>
      </c>
      <c r="W172" s="377"/>
      <c r="X172" s="377">
        <v>0</v>
      </c>
      <c r="Y172" s="377"/>
      <c r="Z172" s="377"/>
      <c r="AA172" s="377"/>
      <c r="AB172" s="377"/>
      <c r="AC172" s="377"/>
      <c r="AD172" s="377"/>
      <c r="AE172" s="377"/>
      <c r="AF172" s="377"/>
      <c r="AG172" s="377"/>
      <c r="AH172" s="377"/>
      <c r="AI172" s="377"/>
      <c r="AJ172" s="377"/>
      <c r="AK172" s="377"/>
      <c r="AL172" s="377"/>
      <c r="AM172" s="377"/>
      <c r="AN172" s="377"/>
      <c r="AO172" s="377"/>
      <c r="AP172" s="377"/>
      <c r="AQ172" s="377"/>
      <c r="AR172" s="377"/>
      <c r="AS172" s="377"/>
      <c r="AT172" s="377"/>
      <c r="AU172" s="377"/>
      <c r="AV172" s="377"/>
      <c r="AW172" s="377"/>
      <c r="AX172" s="377"/>
      <c r="AY172" s="377"/>
      <c r="AZ172" s="377"/>
      <c r="BA172" s="377"/>
      <c r="BB172" s="377"/>
      <c r="BC172" s="377"/>
      <c r="BD172" s="377"/>
      <c r="BE172" s="377"/>
      <c r="BF172" s="377"/>
      <c r="BG172" s="377"/>
      <c r="BH172" s="377"/>
      <c r="BI172" s="377"/>
      <c r="BJ172" s="377"/>
      <c r="BK172" s="377"/>
      <c r="BL172" s="377"/>
      <c r="BM172" s="377"/>
      <c r="BN172" s="377"/>
      <c r="BO172" s="377"/>
      <c r="BP172" s="377"/>
      <c r="BQ172" s="377"/>
      <c r="BR172" s="377"/>
    </row>
    <row r="173" spans="1:70" outlineLevel="1">
      <c r="A173" s="374">
        <f t="shared" si="53"/>
        <v>0</v>
      </c>
      <c r="B173" s="359"/>
      <c r="C173" s="359"/>
      <c r="D173" s="360"/>
      <c r="E173" s="360"/>
      <c r="F173" s="373"/>
      <c r="G173" s="360"/>
      <c r="H173" s="377"/>
      <c r="I173" s="537"/>
      <c r="J173" s="546"/>
      <c r="K173" s="383"/>
      <c r="L173" s="383"/>
      <c r="M173" s="383"/>
      <c r="N173" s="383"/>
      <c r="O173" s="383"/>
      <c r="P173" s="383"/>
      <c r="Q173" s="383"/>
      <c r="R173" s="383"/>
      <c r="S173" s="377"/>
      <c r="T173" s="377"/>
      <c r="U173" s="377"/>
      <c r="V173" s="377"/>
      <c r="W173" s="377"/>
      <c r="X173" s="377"/>
      <c r="Y173" s="377"/>
      <c r="Z173" s="377"/>
      <c r="AA173" s="377"/>
      <c r="AB173" s="377"/>
      <c r="AC173" s="377"/>
      <c r="AD173" s="377"/>
      <c r="AE173" s="377"/>
      <c r="AF173" s="377"/>
      <c r="AG173" s="377"/>
      <c r="AH173" s="377"/>
      <c r="AI173" s="377"/>
      <c r="AJ173" s="377"/>
      <c r="AK173" s="377"/>
      <c r="AL173" s="377"/>
      <c r="AM173" s="377"/>
      <c r="AN173" s="377"/>
      <c r="AO173" s="377"/>
      <c r="AP173" s="377"/>
      <c r="AQ173" s="377"/>
      <c r="AR173" s="377"/>
      <c r="AS173" s="377"/>
      <c r="AT173" s="377"/>
      <c r="AU173" s="377"/>
      <c r="AV173" s="377"/>
      <c r="AW173" s="377"/>
      <c r="AX173" s="377"/>
      <c r="AY173" s="377"/>
      <c r="AZ173" s="377"/>
      <c r="BA173" s="377"/>
      <c r="BB173" s="377"/>
      <c r="BC173" s="377"/>
      <c r="BD173" s="377"/>
      <c r="BE173" s="377"/>
      <c r="BF173" s="377"/>
      <c r="BG173" s="377"/>
      <c r="BH173" s="377"/>
      <c r="BI173" s="377"/>
      <c r="BJ173" s="377"/>
      <c r="BK173" s="377"/>
      <c r="BL173" s="377"/>
      <c r="BM173" s="377"/>
      <c r="BN173" s="377"/>
      <c r="BO173" s="377"/>
      <c r="BP173" s="377"/>
      <c r="BQ173" s="377"/>
      <c r="BR173" s="377"/>
    </row>
    <row r="174" spans="1:70" outlineLevel="1">
      <c r="A174" s="374">
        <f t="shared" si="53"/>
        <v>0</v>
      </c>
      <c r="B174" s="359">
        <v>5202</v>
      </c>
      <c r="C174" s="359">
        <v>1</v>
      </c>
      <c r="D174" s="360" t="s">
        <v>907</v>
      </c>
      <c r="E174" s="360" t="s">
        <v>492</v>
      </c>
      <c r="F174" s="373" t="s">
        <v>454</v>
      </c>
      <c r="G174" s="360"/>
      <c r="H174" s="377"/>
      <c r="I174" s="537">
        <v>-15000000</v>
      </c>
      <c r="J174" s="546"/>
      <c r="K174" s="383"/>
      <c r="L174" s="383"/>
      <c r="M174" s="383"/>
      <c r="N174" s="383"/>
      <c r="O174" s="383"/>
      <c r="P174" s="383"/>
      <c r="Q174" s="383"/>
      <c r="R174" s="383"/>
      <c r="S174" s="377">
        <v>0</v>
      </c>
      <c r="T174" s="377">
        <v>0</v>
      </c>
      <c r="U174" s="377">
        <v>0</v>
      </c>
      <c r="V174" s="377">
        <v>-4500000</v>
      </c>
      <c r="W174" s="377">
        <v>-10500000</v>
      </c>
      <c r="X174" s="377"/>
      <c r="Y174" s="377"/>
      <c r="Z174" s="377"/>
      <c r="AA174" s="377"/>
      <c r="AB174" s="377"/>
      <c r="AC174" s="377"/>
      <c r="AD174" s="377"/>
      <c r="AE174" s="377"/>
      <c r="AF174" s="377"/>
      <c r="AG174" s="377"/>
      <c r="AH174" s="377"/>
      <c r="AI174" s="377"/>
      <c r="AJ174" s="377"/>
      <c r="AK174" s="377"/>
      <c r="AL174" s="377"/>
      <c r="AM174" s="377"/>
      <c r="AN174" s="377"/>
      <c r="AO174" s="377"/>
      <c r="AP174" s="377"/>
      <c r="AQ174" s="377"/>
      <c r="AR174" s="377"/>
      <c r="AS174" s="377"/>
      <c r="AT174" s="377"/>
      <c r="AU174" s="377"/>
      <c r="AV174" s="377"/>
      <c r="AW174" s="377"/>
      <c r="AX174" s="377"/>
      <c r="AY174" s="377"/>
      <c r="AZ174" s="377"/>
      <c r="BA174" s="377"/>
      <c r="BB174" s="377"/>
      <c r="BC174" s="377"/>
      <c r="BD174" s="377"/>
      <c r="BE174" s="377"/>
      <c r="BF174" s="377"/>
      <c r="BG174" s="377"/>
      <c r="BH174" s="377"/>
      <c r="BI174" s="377"/>
      <c r="BJ174" s="377"/>
      <c r="BK174" s="377"/>
      <c r="BL174" s="377"/>
      <c r="BM174" s="377"/>
      <c r="BN174" s="377"/>
      <c r="BO174" s="377"/>
      <c r="BP174" s="377"/>
      <c r="BQ174" s="377"/>
      <c r="BR174" s="377"/>
    </row>
    <row r="175" spans="1:70" outlineLevel="1">
      <c r="A175" s="374">
        <f t="shared" si="53"/>
        <v>0</v>
      </c>
      <c r="B175" s="359">
        <v>5202</v>
      </c>
      <c r="C175" s="359">
        <v>1</v>
      </c>
      <c r="D175" s="360" t="s">
        <v>908</v>
      </c>
      <c r="E175" s="360" t="s">
        <v>492</v>
      </c>
      <c r="F175" s="373" t="s">
        <v>454</v>
      </c>
      <c r="G175" s="360"/>
      <c r="H175" s="377"/>
      <c r="I175" s="537">
        <v>-25000000</v>
      </c>
      <c r="J175" s="546"/>
      <c r="K175" s="383"/>
      <c r="L175" s="383"/>
      <c r="M175" s="383"/>
      <c r="N175" s="383"/>
      <c r="O175" s="383"/>
      <c r="P175" s="383"/>
      <c r="Q175" s="383"/>
      <c r="R175" s="383"/>
      <c r="S175" s="377">
        <v>0</v>
      </c>
      <c r="T175" s="377">
        <v>0</v>
      </c>
      <c r="U175" s="377">
        <v>0</v>
      </c>
      <c r="V175" s="377">
        <v>-7500000</v>
      </c>
      <c r="W175" s="377">
        <v>-17500000</v>
      </c>
      <c r="X175" s="377"/>
      <c r="Y175" s="377"/>
      <c r="Z175" s="377"/>
      <c r="AA175" s="377"/>
      <c r="AB175" s="377"/>
      <c r="AC175" s="377"/>
      <c r="AD175" s="377"/>
      <c r="AE175" s="377"/>
      <c r="AF175" s="377"/>
      <c r="AG175" s="377"/>
      <c r="AH175" s="377"/>
      <c r="AI175" s="377"/>
      <c r="AJ175" s="377"/>
      <c r="AK175" s="377"/>
      <c r="AL175" s="377"/>
      <c r="AM175" s="377"/>
      <c r="AN175" s="377"/>
      <c r="AO175" s="377"/>
      <c r="AP175" s="377"/>
      <c r="AQ175" s="377"/>
      <c r="AR175" s="377"/>
      <c r="AS175" s="377"/>
      <c r="AT175" s="377"/>
      <c r="AU175" s="377"/>
      <c r="AV175" s="377"/>
      <c r="AW175" s="377"/>
      <c r="AX175" s="377"/>
      <c r="AY175" s="377"/>
      <c r="AZ175" s="377"/>
      <c r="BA175" s="377"/>
      <c r="BB175" s="377"/>
      <c r="BC175" s="377"/>
      <c r="BD175" s="377"/>
      <c r="BE175" s="377"/>
      <c r="BF175" s="377"/>
      <c r="BG175" s="377"/>
      <c r="BH175" s="377"/>
      <c r="BI175" s="377"/>
      <c r="BJ175" s="377"/>
      <c r="BK175" s="377"/>
      <c r="BL175" s="377"/>
      <c r="BM175" s="377"/>
      <c r="BN175" s="377"/>
      <c r="BO175" s="377"/>
      <c r="BP175" s="377"/>
      <c r="BQ175" s="377"/>
      <c r="BR175" s="377"/>
    </row>
    <row r="176" spans="1:70" outlineLevel="1">
      <c r="A176" s="374">
        <f t="shared" si="53"/>
        <v>0</v>
      </c>
      <c r="B176" s="359">
        <v>5202</v>
      </c>
      <c r="C176" s="359">
        <v>1</v>
      </c>
      <c r="D176" s="360" t="s">
        <v>909</v>
      </c>
      <c r="E176" s="360" t="s">
        <v>492</v>
      </c>
      <c r="F176" s="373" t="s">
        <v>454</v>
      </c>
      <c r="G176" s="360"/>
      <c r="H176" s="377"/>
      <c r="I176" s="537">
        <v>-15000000</v>
      </c>
      <c r="J176" s="546"/>
      <c r="K176" s="383"/>
      <c r="L176" s="383"/>
      <c r="M176" s="383"/>
      <c r="N176" s="383"/>
      <c r="O176" s="383"/>
      <c r="P176" s="383"/>
      <c r="Q176" s="383"/>
      <c r="R176" s="383"/>
      <c r="S176" s="377">
        <v>0</v>
      </c>
      <c r="T176" s="377">
        <v>0</v>
      </c>
      <c r="U176" s="377">
        <v>0</v>
      </c>
      <c r="V176" s="377">
        <v>-4500000</v>
      </c>
      <c r="W176" s="377">
        <v>-10500000</v>
      </c>
      <c r="X176" s="377"/>
      <c r="Y176" s="377"/>
      <c r="Z176" s="377"/>
      <c r="AA176" s="377"/>
      <c r="AB176" s="377"/>
      <c r="AC176" s="377"/>
      <c r="AD176" s="377"/>
      <c r="AE176" s="377"/>
      <c r="AF176" s="377"/>
      <c r="AG176" s="377"/>
      <c r="AH176" s="377"/>
      <c r="AI176" s="377"/>
      <c r="AJ176" s="377"/>
      <c r="AK176" s="377"/>
      <c r="AL176" s="377"/>
      <c r="AM176" s="377"/>
      <c r="AN176" s="377"/>
      <c r="AO176" s="377"/>
      <c r="AP176" s="377"/>
      <c r="AQ176" s="377"/>
      <c r="AR176" s="377"/>
      <c r="AS176" s="377"/>
      <c r="AT176" s="377"/>
      <c r="AU176" s="377"/>
      <c r="AV176" s="377"/>
      <c r="AW176" s="377"/>
      <c r="AX176" s="377"/>
      <c r="AY176" s="377"/>
      <c r="AZ176" s="377"/>
      <c r="BA176" s="377"/>
      <c r="BB176" s="377"/>
      <c r="BC176" s="377"/>
      <c r="BD176" s="377"/>
      <c r="BE176" s="377"/>
      <c r="BF176" s="377"/>
      <c r="BG176" s="377"/>
      <c r="BH176" s="377"/>
      <c r="BI176" s="377"/>
      <c r="BJ176" s="377"/>
      <c r="BK176" s="377"/>
      <c r="BL176" s="377"/>
      <c r="BM176" s="377"/>
      <c r="BN176" s="377"/>
      <c r="BO176" s="377"/>
      <c r="BP176" s="377"/>
      <c r="BQ176" s="377"/>
      <c r="BR176" s="377"/>
    </row>
    <row r="177" spans="1:70" outlineLevel="1">
      <c r="A177" s="374">
        <f t="shared" si="53"/>
        <v>0</v>
      </c>
      <c r="B177" s="359">
        <v>5202</v>
      </c>
      <c r="C177" s="359">
        <v>1</v>
      </c>
      <c r="D177" s="360" t="s">
        <v>910</v>
      </c>
      <c r="E177" s="360" t="s">
        <v>492</v>
      </c>
      <c r="F177" s="373" t="s">
        <v>454</v>
      </c>
      <c r="G177" s="360"/>
      <c r="H177" s="377"/>
      <c r="I177" s="537">
        <v>-7500000</v>
      </c>
      <c r="J177" s="546"/>
      <c r="K177" s="383"/>
      <c r="L177" s="383"/>
      <c r="M177" s="383"/>
      <c r="N177" s="383"/>
      <c r="O177" s="383"/>
      <c r="P177" s="383"/>
      <c r="Q177" s="383"/>
      <c r="R177" s="383"/>
      <c r="S177" s="377">
        <v>0</v>
      </c>
      <c r="T177" s="377">
        <v>0</v>
      </c>
      <c r="U177" s="377">
        <v>0</v>
      </c>
      <c r="V177" s="377">
        <v>-2250000</v>
      </c>
      <c r="W177" s="377">
        <v>-5250000</v>
      </c>
      <c r="X177" s="377"/>
      <c r="Y177" s="377"/>
      <c r="Z177" s="377"/>
      <c r="AA177" s="377"/>
      <c r="AB177" s="377"/>
      <c r="AC177" s="377"/>
      <c r="AD177" s="377"/>
      <c r="AE177" s="377"/>
      <c r="AF177" s="377"/>
      <c r="AG177" s="377"/>
      <c r="AH177" s="377"/>
      <c r="AI177" s="377"/>
      <c r="AJ177" s="377"/>
      <c r="AK177" s="377"/>
      <c r="AL177" s="377"/>
      <c r="AM177" s="377"/>
      <c r="AN177" s="377"/>
      <c r="AO177" s="377"/>
      <c r="AP177" s="377"/>
      <c r="AQ177" s="377"/>
      <c r="AR177" s="377"/>
      <c r="AS177" s="377"/>
      <c r="AT177" s="377"/>
      <c r="AU177" s="377"/>
      <c r="AV177" s="377"/>
      <c r="AW177" s="377"/>
      <c r="AX177" s="377"/>
      <c r="AY177" s="377"/>
      <c r="AZ177" s="377"/>
      <c r="BA177" s="377"/>
      <c r="BB177" s="377"/>
      <c r="BC177" s="377"/>
      <c r="BD177" s="377"/>
      <c r="BE177" s="377"/>
      <c r="BF177" s="377"/>
      <c r="BG177" s="377"/>
      <c r="BH177" s="377"/>
      <c r="BI177" s="377"/>
      <c r="BJ177" s="377"/>
      <c r="BK177" s="377"/>
      <c r="BL177" s="377"/>
      <c r="BM177" s="377"/>
      <c r="BN177" s="377"/>
      <c r="BO177" s="377"/>
      <c r="BP177" s="377"/>
      <c r="BQ177" s="377"/>
      <c r="BR177" s="377"/>
    </row>
    <row r="178" spans="1:70" outlineLevel="1">
      <c r="A178" s="374">
        <f t="shared" si="53"/>
        <v>0</v>
      </c>
      <c r="B178" s="359">
        <v>5202</v>
      </c>
      <c r="C178" s="359">
        <v>1</v>
      </c>
      <c r="D178" s="360"/>
      <c r="E178" s="360" t="s">
        <v>492</v>
      </c>
      <c r="F178" s="373" t="s">
        <v>454</v>
      </c>
      <c r="G178" s="360"/>
      <c r="H178" s="377"/>
      <c r="I178" s="537"/>
      <c r="J178" s="546"/>
      <c r="K178" s="383"/>
      <c r="L178" s="383"/>
      <c r="M178" s="383"/>
      <c r="N178" s="383"/>
      <c r="O178" s="383"/>
      <c r="P178" s="383"/>
      <c r="Q178" s="383"/>
      <c r="R178" s="383"/>
      <c r="S178" s="377"/>
      <c r="T178" s="377"/>
      <c r="U178" s="377"/>
      <c r="V178" s="377"/>
      <c r="W178" s="377"/>
      <c r="X178" s="377"/>
      <c r="Y178" s="377"/>
      <c r="Z178" s="377"/>
      <c r="AA178" s="377"/>
      <c r="AB178" s="377"/>
      <c r="AC178" s="377"/>
      <c r="AD178" s="377"/>
      <c r="AE178" s="377"/>
      <c r="AF178" s="377"/>
      <c r="AG178" s="377"/>
      <c r="AH178" s="377"/>
      <c r="AI178" s="377"/>
      <c r="AJ178" s="377"/>
      <c r="AK178" s="377"/>
      <c r="AL178" s="377"/>
      <c r="AM178" s="377"/>
      <c r="AN178" s="377"/>
      <c r="AO178" s="377"/>
      <c r="AP178" s="377"/>
      <c r="AQ178" s="377"/>
      <c r="AR178" s="377"/>
      <c r="AS178" s="377"/>
      <c r="AT178" s="377"/>
      <c r="AU178" s="377"/>
      <c r="AV178" s="377"/>
      <c r="AW178" s="377"/>
      <c r="AX178" s="377"/>
      <c r="AY178" s="377"/>
      <c r="AZ178" s="377"/>
      <c r="BA178" s="377"/>
      <c r="BB178" s="377"/>
      <c r="BC178" s="377"/>
      <c r="BD178" s="377"/>
      <c r="BE178" s="377"/>
      <c r="BF178" s="377"/>
      <c r="BG178" s="377"/>
      <c r="BH178" s="377"/>
      <c r="BI178" s="377"/>
      <c r="BJ178" s="377"/>
      <c r="BK178" s="377"/>
      <c r="BL178" s="377"/>
      <c r="BM178" s="377"/>
      <c r="BN178" s="377"/>
      <c r="BO178" s="377"/>
      <c r="BP178" s="377"/>
      <c r="BQ178" s="377"/>
      <c r="BR178" s="377"/>
    </row>
    <row r="179" spans="1:70" outlineLevel="1">
      <c r="A179" s="374">
        <f t="shared" si="53"/>
        <v>0</v>
      </c>
      <c r="B179" s="359"/>
      <c r="C179" s="359"/>
      <c r="D179" s="360"/>
      <c r="E179" s="360"/>
      <c r="F179" s="373"/>
      <c r="G179" s="360"/>
      <c r="H179" s="377"/>
      <c r="I179" s="537"/>
      <c r="J179" s="546"/>
      <c r="K179" s="383"/>
      <c r="L179" s="383"/>
      <c r="M179" s="383"/>
      <c r="N179" s="383"/>
      <c r="O179" s="383"/>
      <c r="P179" s="383"/>
      <c r="Q179" s="383"/>
      <c r="R179" s="383"/>
      <c r="S179" s="377"/>
      <c r="T179" s="377"/>
      <c r="U179" s="377"/>
      <c r="V179" s="377"/>
      <c r="W179" s="377"/>
      <c r="X179" s="377"/>
      <c r="Y179" s="377"/>
      <c r="Z179" s="377"/>
      <c r="AA179" s="377"/>
      <c r="AB179" s="377"/>
      <c r="AC179" s="377"/>
      <c r="AD179" s="377"/>
      <c r="AE179" s="377"/>
      <c r="AF179" s="377"/>
      <c r="AG179" s="377"/>
      <c r="AH179" s="377"/>
      <c r="AI179" s="377"/>
      <c r="AJ179" s="377"/>
      <c r="AK179" s="377"/>
      <c r="AL179" s="377"/>
      <c r="AM179" s="377"/>
      <c r="AN179" s="377"/>
      <c r="AO179" s="377"/>
      <c r="AP179" s="377"/>
      <c r="AQ179" s="377"/>
      <c r="AR179" s="377"/>
      <c r="AS179" s="377"/>
      <c r="AT179" s="377"/>
      <c r="AU179" s="377"/>
      <c r="AV179" s="377"/>
      <c r="AW179" s="377"/>
      <c r="AX179" s="377"/>
      <c r="AY179" s="377"/>
      <c r="AZ179" s="377"/>
      <c r="BA179" s="377"/>
      <c r="BB179" s="377"/>
      <c r="BC179" s="377"/>
      <c r="BD179" s="377"/>
      <c r="BE179" s="377"/>
      <c r="BF179" s="377"/>
      <c r="BG179" s="377"/>
      <c r="BH179" s="377"/>
      <c r="BI179" s="377"/>
      <c r="BJ179" s="377"/>
      <c r="BK179" s="377"/>
      <c r="BL179" s="377"/>
      <c r="BM179" s="377"/>
      <c r="BN179" s="377"/>
      <c r="BO179" s="377"/>
      <c r="BP179" s="377"/>
      <c r="BQ179" s="377"/>
      <c r="BR179" s="377"/>
    </row>
    <row r="180" spans="1:70" outlineLevel="1">
      <c r="A180" s="374">
        <f t="shared" si="53"/>
        <v>0</v>
      </c>
      <c r="B180" s="359"/>
      <c r="C180" s="359"/>
      <c r="D180" s="360"/>
      <c r="E180" s="360"/>
      <c r="F180" s="373"/>
      <c r="G180" s="360"/>
      <c r="H180" s="377"/>
      <c r="I180" s="537"/>
      <c r="J180" s="546"/>
      <c r="K180" s="383"/>
      <c r="L180" s="383"/>
      <c r="M180" s="383"/>
      <c r="N180" s="383"/>
      <c r="O180" s="383"/>
      <c r="P180" s="383"/>
      <c r="Q180" s="383"/>
      <c r="R180" s="383"/>
      <c r="S180" s="377"/>
      <c r="T180" s="377"/>
      <c r="U180" s="377"/>
      <c r="V180" s="377"/>
      <c r="W180" s="377"/>
      <c r="X180" s="377"/>
      <c r="Y180" s="377"/>
      <c r="Z180" s="377"/>
      <c r="AA180" s="377"/>
      <c r="AB180" s="377"/>
      <c r="AC180" s="377"/>
      <c r="AD180" s="377"/>
      <c r="AE180" s="377"/>
      <c r="AF180" s="377"/>
      <c r="AG180" s="377"/>
      <c r="AH180" s="377"/>
      <c r="AI180" s="377"/>
      <c r="AJ180" s="377"/>
      <c r="AK180" s="377"/>
      <c r="AL180" s="377"/>
      <c r="AM180" s="377"/>
      <c r="AN180" s="377"/>
      <c r="AO180" s="377"/>
      <c r="AP180" s="377"/>
      <c r="AQ180" s="377"/>
      <c r="AR180" s="377"/>
      <c r="AS180" s="377"/>
      <c r="AT180" s="377"/>
      <c r="AU180" s="377"/>
      <c r="AV180" s="377"/>
      <c r="AW180" s="377"/>
      <c r="AX180" s="377"/>
      <c r="AY180" s="377"/>
      <c r="AZ180" s="377"/>
      <c r="BA180" s="377"/>
      <c r="BB180" s="377"/>
      <c r="BC180" s="377"/>
      <c r="BD180" s="377"/>
      <c r="BE180" s="377"/>
      <c r="BF180" s="377"/>
      <c r="BG180" s="377"/>
      <c r="BH180" s="377"/>
      <c r="BI180" s="377"/>
      <c r="BJ180" s="377"/>
      <c r="BK180" s="377"/>
      <c r="BL180" s="377"/>
      <c r="BM180" s="377"/>
      <c r="BN180" s="377"/>
      <c r="BO180" s="377"/>
      <c r="BP180" s="377"/>
      <c r="BQ180" s="377"/>
      <c r="BR180" s="377"/>
    </row>
    <row r="181" spans="1:70" outlineLevel="1">
      <c r="A181" s="374">
        <f t="shared" si="53"/>
        <v>0</v>
      </c>
      <c r="B181" s="359"/>
      <c r="C181" s="359"/>
      <c r="D181" s="360"/>
      <c r="E181" s="360"/>
      <c r="F181" s="373"/>
      <c r="G181" s="360"/>
      <c r="H181" s="377"/>
      <c r="I181" s="537"/>
      <c r="J181" s="546"/>
      <c r="K181" s="383"/>
      <c r="L181" s="383"/>
      <c r="M181" s="383"/>
      <c r="N181" s="383"/>
      <c r="O181" s="383"/>
      <c r="P181" s="383"/>
      <c r="Q181" s="383"/>
      <c r="R181" s="383"/>
      <c r="S181" s="377"/>
      <c r="T181" s="377"/>
      <c r="U181" s="377"/>
      <c r="V181" s="377"/>
      <c r="W181" s="377"/>
      <c r="X181" s="377"/>
      <c r="Y181" s="377"/>
      <c r="Z181" s="377"/>
      <c r="AA181" s="377"/>
      <c r="AB181" s="377"/>
      <c r="AC181" s="377"/>
      <c r="AD181" s="377"/>
      <c r="AE181" s="377"/>
      <c r="AF181" s="377"/>
      <c r="AG181" s="377"/>
      <c r="AH181" s="377"/>
      <c r="AI181" s="377"/>
      <c r="AJ181" s="377"/>
      <c r="AK181" s="377"/>
      <c r="AL181" s="377"/>
      <c r="AM181" s="377"/>
      <c r="AN181" s="377"/>
      <c r="AO181" s="377"/>
      <c r="AP181" s="377"/>
      <c r="AQ181" s="377"/>
      <c r="AR181" s="377"/>
      <c r="AS181" s="377"/>
      <c r="AT181" s="377"/>
      <c r="AU181" s="377"/>
      <c r="AV181" s="377"/>
      <c r="AW181" s="377"/>
      <c r="AX181" s="377"/>
      <c r="AY181" s="377"/>
      <c r="AZ181" s="377"/>
      <c r="BA181" s="377"/>
      <c r="BB181" s="377"/>
      <c r="BC181" s="377"/>
      <c r="BD181" s="377"/>
      <c r="BE181" s="377"/>
      <c r="BF181" s="377"/>
      <c r="BG181" s="377"/>
      <c r="BH181" s="377"/>
      <c r="BI181" s="377"/>
      <c r="BJ181" s="377"/>
      <c r="BK181" s="377"/>
      <c r="BL181" s="377"/>
      <c r="BM181" s="377"/>
      <c r="BN181" s="377"/>
      <c r="BO181" s="377"/>
      <c r="BP181" s="377"/>
      <c r="BQ181" s="377"/>
      <c r="BR181" s="377"/>
    </row>
    <row r="182" spans="1:70" outlineLevel="1">
      <c r="A182" s="374">
        <f t="shared" si="53"/>
        <v>0</v>
      </c>
      <c r="B182" s="359">
        <v>5203</v>
      </c>
      <c r="C182" s="359">
        <v>1</v>
      </c>
      <c r="D182" s="360" t="s">
        <v>940</v>
      </c>
      <c r="E182" s="360" t="s">
        <v>492</v>
      </c>
      <c r="F182" s="366" t="s">
        <v>461</v>
      </c>
      <c r="G182" s="367">
        <f>SUM(I182:I191)/'DB1'!$G$18</f>
        <v>-2400</v>
      </c>
      <c r="H182" s="377"/>
      <c r="I182" s="540">
        <f>'DB1'!$G$18*-2400-SUMIFS($I$183:$I$191,$C$183:$C$191,$C$182)</f>
        <v>-17417272</v>
      </c>
      <c r="J182" s="546"/>
      <c r="K182" s="383"/>
      <c r="L182" s="383"/>
      <c r="M182" s="383"/>
      <c r="N182" s="383"/>
      <c r="O182" s="383"/>
      <c r="P182" s="383"/>
      <c r="Q182" s="383"/>
      <c r="R182" s="383"/>
      <c r="S182" s="377">
        <f>$I182*'TS1'!N$25</f>
        <v>0</v>
      </c>
      <c r="T182" s="377">
        <f>$I182*'TS1'!O$25</f>
        <v>0</v>
      </c>
      <c r="U182" s="377">
        <f>$I182*'TS1'!P$25</f>
        <v>0</v>
      </c>
      <c r="V182" s="377">
        <f>$I182*'TS1'!Q$25</f>
        <v>0</v>
      </c>
      <c r="W182" s="377">
        <f>$I182*'TS1'!R$25</f>
        <v>0</v>
      </c>
      <c r="X182" s="377">
        <f>$I182*'TS1'!S$25</f>
        <v>0</v>
      </c>
      <c r="Y182" s="377">
        <f>$I182*'TS1'!T$25</f>
        <v>-1451439.3333333333</v>
      </c>
      <c r="Z182" s="377">
        <f>$I182*'TS1'!U$25</f>
        <v>-1451439.3333333333</v>
      </c>
      <c r="AA182" s="377">
        <f>$I182*'TS1'!V$25</f>
        <v>-1451439.3333333333</v>
      </c>
      <c r="AB182" s="377">
        <f>$I182*'TS1'!W$25</f>
        <v>-1451439.3333333333</v>
      </c>
      <c r="AC182" s="377">
        <f>$I182*'TS1'!X$25</f>
        <v>-1451439.3333333333</v>
      </c>
      <c r="AD182" s="377">
        <f>$I182*'TS1'!Y$25</f>
        <v>-1451439.3333333333</v>
      </c>
      <c r="AE182" s="377">
        <f>$I182*'TS1'!Z$25</f>
        <v>-1451439.3333333333</v>
      </c>
      <c r="AF182" s="377">
        <f>$I182*'TS1'!AA$25</f>
        <v>-1451439.3333333333</v>
      </c>
      <c r="AG182" s="377">
        <f>$I182*'TS1'!AB$25</f>
        <v>-1451439.3333333333</v>
      </c>
      <c r="AH182" s="377">
        <f>$I182*'TS1'!AC$25</f>
        <v>-1451439.3333333333</v>
      </c>
      <c r="AI182" s="377">
        <f>$I182*'TS1'!AD$25</f>
        <v>-1451439.3333333333</v>
      </c>
      <c r="AJ182" s="377">
        <f>$I182*'TS1'!AE$25</f>
        <v>-1451439.3333333333</v>
      </c>
      <c r="AK182" s="377">
        <f>$I182*'TS1'!AF$25</f>
        <v>0</v>
      </c>
      <c r="AL182" s="377">
        <f>$I182*'TS1'!AG$25</f>
        <v>0</v>
      </c>
      <c r="AM182" s="377">
        <f>$I182*'TS1'!AH$25</f>
        <v>0</v>
      </c>
      <c r="AN182" s="377">
        <f>$I182*'TS1'!AI$25</f>
        <v>0</v>
      </c>
      <c r="AO182" s="377">
        <f>$I182*'TS1'!AJ$25</f>
        <v>0</v>
      </c>
      <c r="AP182" s="377">
        <f>$I182*'TS1'!AK$25</f>
        <v>0</v>
      </c>
      <c r="AQ182" s="377">
        <f>$I182*'TS1'!AL$25</f>
        <v>0</v>
      </c>
      <c r="AR182" s="377">
        <f>$I182*'TS1'!AM$25</f>
        <v>0</v>
      </c>
      <c r="AS182" s="377">
        <f>$I182*'TS1'!AN$25</f>
        <v>0</v>
      </c>
      <c r="AT182" s="377">
        <f>$I182*'TS1'!AO$25</f>
        <v>0</v>
      </c>
      <c r="AU182" s="377">
        <f>$I182*'TS1'!AP$25</f>
        <v>0</v>
      </c>
      <c r="AV182" s="377">
        <f>$I182*'TS1'!AQ$25</f>
        <v>0</v>
      </c>
      <c r="AW182" s="377">
        <f>$I182*'TS1'!AR$25</f>
        <v>0</v>
      </c>
      <c r="AX182" s="377">
        <f>$I182*'TS1'!AS$25</f>
        <v>0</v>
      </c>
      <c r="AY182" s="377">
        <f>$I182*'TS1'!AT$25</f>
        <v>0</v>
      </c>
      <c r="AZ182" s="377">
        <f>$I182*'TS1'!AU$25</f>
        <v>0</v>
      </c>
      <c r="BA182" s="377">
        <f>$I182*'TS1'!AV$25</f>
        <v>0</v>
      </c>
      <c r="BB182" s="377">
        <f>$I182*'TS1'!AW$25</f>
        <v>0</v>
      </c>
      <c r="BC182" s="377">
        <f>$I182*'TS1'!AX$25</f>
        <v>0</v>
      </c>
      <c r="BD182" s="377">
        <f>$I182*'TS1'!AY$25</f>
        <v>0</v>
      </c>
      <c r="BE182" s="377">
        <f>$I182*'TS1'!AZ$25</f>
        <v>0</v>
      </c>
      <c r="BF182" s="377">
        <f>$I182*'TS1'!BA$25</f>
        <v>0</v>
      </c>
      <c r="BG182" s="377">
        <f>$I182*'TS1'!BB$25</f>
        <v>0</v>
      </c>
      <c r="BH182" s="377">
        <f>$I182*'TS1'!BC$25</f>
        <v>0</v>
      </c>
      <c r="BI182" s="377">
        <f>$I182*'TS1'!BD$25</f>
        <v>0</v>
      </c>
      <c r="BJ182" s="377">
        <f>$I182*'TS1'!BE$25</f>
        <v>0</v>
      </c>
      <c r="BK182" s="377">
        <f>$I182*'TS1'!BF$25</f>
        <v>0</v>
      </c>
      <c r="BL182" s="377">
        <f>$I182*'TS1'!BG$25</f>
        <v>0</v>
      </c>
      <c r="BM182" s="377">
        <f>$I182*'TS1'!BH$25</f>
        <v>0</v>
      </c>
      <c r="BN182" s="377">
        <f>$I182*'TS1'!BI$25</f>
        <v>0</v>
      </c>
      <c r="BO182" s="377">
        <f>$I182*'TS1'!BJ$25</f>
        <v>0</v>
      </c>
      <c r="BP182" s="377">
        <f>$I182*'TS1'!BK$25</f>
        <v>0</v>
      </c>
      <c r="BQ182" s="377">
        <f>$I182*'TS1'!BL$25</f>
        <v>0</v>
      </c>
      <c r="BR182" s="377">
        <f>$I182*'TS1'!BM$25</f>
        <v>0</v>
      </c>
    </row>
    <row r="183" spans="1:70" outlineLevel="1">
      <c r="A183" s="374">
        <f t="shared" si="53"/>
        <v>0</v>
      </c>
      <c r="B183" s="359"/>
      <c r="C183" s="359"/>
      <c r="D183" s="360"/>
      <c r="E183" s="360"/>
      <c r="F183" s="373"/>
      <c r="G183" s="360"/>
      <c r="H183" s="377"/>
      <c r="I183" s="537"/>
      <c r="J183" s="546"/>
      <c r="K183" s="383"/>
      <c r="L183" s="383"/>
      <c r="M183" s="383"/>
      <c r="N183" s="383"/>
      <c r="O183" s="383"/>
      <c r="P183" s="383"/>
      <c r="Q183" s="383"/>
      <c r="R183" s="383"/>
      <c r="S183" s="377"/>
      <c r="T183" s="377"/>
      <c r="U183" s="377"/>
      <c r="V183" s="377"/>
      <c r="W183" s="377"/>
      <c r="X183" s="377"/>
      <c r="Y183" s="377"/>
      <c r="Z183" s="377"/>
      <c r="AA183" s="377"/>
      <c r="AB183" s="377"/>
      <c r="AC183" s="377"/>
      <c r="AD183" s="377"/>
      <c r="AE183" s="377"/>
      <c r="AF183" s="377"/>
      <c r="AG183" s="377"/>
      <c r="AH183" s="377"/>
      <c r="AI183" s="377"/>
      <c r="AJ183" s="377"/>
      <c r="AK183" s="377"/>
      <c r="AL183" s="377"/>
      <c r="AM183" s="377"/>
      <c r="AN183" s="377"/>
      <c r="AO183" s="377"/>
      <c r="AP183" s="377"/>
      <c r="AQ183" s="377"/>
      <c r="AR183" s="377"/>
      <c r="AS183" s="377"/>
      <c r="AT183" s="377"/>
      <c r="AU183" s="377"/>
      <c r="AV183" s="377"/>
      <c r="AW183" s="377"/>
      <c r="AX183" s="377"/>
      <c r="AY183" s="377"/>
      <c r="AZ183" s="377"/>
      <c r="BA183" s="377"/>
      <c r="BB183" s="377"/>
      <c r="BC183" s="377"/>
      <c r="BD183" s="377"/>
      <c r="BE183" s="377"/>
      <c r="BF183" s="377"/>
      <c r="BG183" s="377"/>
      <c r="BH183" s="377"/>
      <c r="BI183" s="377"/>
      <c r="BJ183" s="377"/>
      <c r="BK183" s="377"/>
      <c r="BL183" s="377"/>
      <c r="BM183" s="377"/>
      <c r="BN183" s="377"/>
      <c r="BO183" s="377"/>
      <c r="BP183" s="377"/>
      <c r="BQ183" s="377"/>
      <c r="BR183" s="377"/>
    </row>
    <row r="184" spans="1:70" outlineLevel="1">
      <c r="A184" s="374">
        <f t="shared" si="53"/>
        <v>0</v>
      </c>
      <c r="B184" s="359">
        <v>5203</v>
      </c>
      <c r="C184" s="359">
        <v>1</v>
      </c>
      <c r="D184" s="360" t="s">
        <v>923</v>
      </c>
      <c r="E184" s="360" t="s">
        <v>492</v>
      </c>
      <c r="F184" s="373" t="s">
        <v>454</v>
      </c>
      <c r="G184" s="360"/>
      <c r="H184" s="377"/>
      <c r="I184" s="537">
        <v>-6000000</v>
      </c>
      <c r="J184" s="546"/>
      <c r="K184" s="383"/>
      <c r="L184" s="383"/>
      <c r="M184" s="383"/>
      <c r="N184" s="383"/>
      <c r="O184" s="383"/>
      <c r="P184" s="383"/>
      <c r="Q184" s="383"/>
      <c r="R184" s="383"/>
      <c r="S184" s="377"/>
      <c r="T184" s="377">
        <v>0</v>
      </c>
      <c r="U184" s="377">
        <v>0</v>
      </c>
      <c r="V184" s="377">
        <v>0</v>
      </c>
      <c r="W184" s="377">
        <v>-6000000</v>
      </c>
      <c r="X184" s="377"/>
      <c r="Y184" s="377"/>
      <c r="Z184" s="377"/>
      <c r="AA184" s="377"/>
      <c r="AB184" s="377"/>
      <c r="AC184" s="377"/>
      <c r="AD184" s="377"/>
      <c r="AE184" s="377"/>
      <c r="AF184" s="377"/>
      <c r="AG184" s="377"/>
      <c r="AH184" s="377"/>
      <c r="AI184" s="377"/>
      <c r="AJ184" s="377"/>
      <c r="AK184" s="377"/>
      <c r="AL184" s="377"/>
      <c r="AM184" s="377"/>
      <c r="AN184" s="377"/>
      <c r="AO184" s="377"/>
      <c r="AP184" s="377"/>
      <c r="AQ184" s="377"/>
      <c r="AR184" s="377"/>
      <c r="AS184" s="377"/>
      <c r="AT184" s="377"/>
      <c r="AU184" s="377"/>
      <c r="AV184" s="377"/>
      <c r="AW184" s="377"/>
      <c r="AX184" s="377"/>
      <c r="AY184" s="377"/>
      <c r="AZ184" s="377"/>
      <c r="BA184" s="377"/>
      <c r="BB184" s="377"/>
      <c r="BC184" s="377"/>
      <c r="BD184" s="377"/>
      <c r="BE184" s="377"/>
      <c r="BF184" s="377"/>
      <c r="BG184" s="377"/>
      <c r="BH184" s="377"/>
      <c r="BI184" s="377"/>
      <c r="BJ184" s="377"/>
      <c r="BK184" s="377"/>
      <c r="BL184" s="377"/>
      <c r="BM184" s="377"/>
      <c r="BN184" s="377"/>
      <c r="BO184" s="377"/>
      <c r="BP184" s="377"/>
      <c r="BQ184" s="377"/>
      <c r="BR184" s="377"/>
    </row>
    <row r="185" spans="1:70" outlineLevel="1">
      <c r="A185" s="374">
        <f t="shared" si="53"/>
        <v>0</v>
      </c>
      <c r="B185" s="359">
        <v>5203</v>
      </c>
      <c r="C185" s="359">
        <v>1</v>
      </c>
      <c r="D185" s="360" t="s">
        <v>924</v>
      </c>
      <c r="E185" s="360" t="s">
        <v>492</v>
      </c>
      <c r="F185" s="373" t="s">
        <v>454</v>
      </c>
      <c r="G185" s="360"/>
      <c r="H185" s="377"/>
      <c r="I185" s="537">
        <v>-10000000</v>
      </c>
      <c r="J185" s="546"/>
      <c r="K185" s="383"/>
      <c r="L185" s="383"/>
      <c r="M185" s="383"/>
      <c r="N185" s="383"/>
      <c r="O185" s="383"/>
      <c r="P185" s="383"/>
      <c r="Q185" s="383"/>
      <c r="R185" s="383"/>
      <c r="S185" s="377"/>
      <c r="T185" s="377">
        <v>0</v>
      </c>
      <c r="U185" s="377">
        <v>0</v>
      </c>
      <c r="V185" s="377">
        <v>0</v>
      </c>
      <c r="W185" s="377">
        <v>-10000000</v>
      </c>
      <c r="X185" s="377"/>
      <c r="Y185" s="377"/>
      <c r="Z185" s="377"/>
      <c r="AA185" s="377"/>
      <c r="AB185" s="377"/>
      <c r="AC185" s="377"/>
      <c r="AD185" s="377"/>
      <c r="AE185" s="377"/>
      <c r="AF185" s="377"/>
      <c r="AG185" s="377"/>
      <c r="AH185" s="377"/>
      <c r="AI185" s="377"/>
      <c r="AJ185" s="377"/>
      <c r="AK185" s="377"/>
      <c r="AL185" s="377"/>
      <c r="AM185" s="377"/>
      <c r="AN185" s="377"/>
      <c r="AO185" s="377"/>
      <c r="AP185" s="377"/>
      <c r="AQ185" s="377"/>
      <c r="AR185" s="377"/>
      <c r="AS185" s="377"/>
      <c r="AT185" s="377"/>
      <c r="AU185" s="377"/>
      <c r="AV185" s="377"/>
      <c r="AW185" s="377"/>
      <c r="AX185" s="377"/>
      <c r="AY185" s="377"/>
      <c r="AZ185" s="377"/>
      <c r="BA185" s="377"/>
      <c r="BB185" s="377"/>
      <c r="BC185" s="377"/>
      <c r="BD185" s="377"/>
      <c r="BE185" s="377"/>
      <c r="BF185" s="377"/>
      <c r="BG185" s="377"/>
      <c r="BH185" s="377"/>
      <c r="BI185" s="377"/>
      <c r="BJ185" s="377"/>
      <c r="BK185" s="377"/>
      <c r="BL185" s="377"/>
      <c r="BM185" s="377"/>
      <c r="BN185" s="377"/>
      <c r="BO185" s="377"/>
      <c r="BP185" s="377"/>
      <c r="BQ185" s="377"/>
      <c r="BR185" s="377"/>
    </row>
    <row r="186" spans="1:70" outlineLevel="1">
      <c r="A186" s="374">
        <f t="shared" si="53"/>
        <v>0</v>
      </c>
      <c r="B186" s="359">
        <v>5203</v>
      </c>
      <c r="C186" s="359">
        <v>1</v>
      </c>
      <c r="D186" s="360" t="s">
        <v>925</v>
      </c>
      <c r="E186" s="360" t="s">
        <v>492</v>
      </c>
      <c r="F186" s="373" t="s">
        <v>454</v>
      </c>
      <c r="G186" s="360"/>
      <c r="H186" s="377"/>
      <c r="I186" s="537">
        <v>-6000000</v>
      </c>
      <c r="J186" s="546"/>
      <c r="K186" s="383"/>
      <c r="L186" s="383"/>
      <c r="M186" s="383"/>
      <c r="N186" s="383"/>
      <c r="O186" s="383"/>
      <c r="P186" s="383"/>
      <c r="Q186" s="383"/>
      <c r="R186" s="383"/>
      <c r="S186" s="377"/>
      <c r="T186" s="377">
        <v>-2000000</v>
      </c>
      <c r="U186" s="377">
        <v>-4000000</v>
      </c>
      <c r="V186" s="377">
        <v>0</v>
      </c>
      <c r="W186" s="377">
        <v>0</v>
      </c>
      <c r="X186" s="377"/>
      <c r="Y186" s="377"/>
      <c r="Z186" s="377"/>
      <c r="AA186" s="377"/>
      <c r="AB186" s="377"/>
      <c r="AC186" s="377"/>
      <c r="AD186" s="377"/>
      <c r="AE186" s="377"/>
      <c r="AF186" s="377"/>
      <c r="AG186" s="377"/>
      <c r="AH186" s="377"/>
      <c r="AI186" s="377"/>
      <c r="AJ186" s="377"/>
      <c r="AK186" s="377"/>
      <c r="AL186" s="377"/>
      <c r="AM186" s="377"/>
      <c r="AN186" s="377"/>
      <c r="AO186" s="377"/>
      <c r="AP186" s="377"/>
      <c r="AQ186" s="377"/>
      <c r="AR186" s="377"/>
      <c r="AS186" s="377"/>
      <c r="AT186" s="377"/>
      <c r="AU186" s="377"/>
      <c r="AV186" s="377"/>
      <c r="AW186" s="377"/>
      <c r="AX186" s="377"/>
      <c r="AY186" s="377"/>
      <c r="AZ186" s="377"/>
      <c r="BA186" s="377"/>
      <c r="BB186" s="377"/>
      <c r="BC186" s="377"/>
      <c r="BD186" s="377"/>
      <c r="BE186" s="377"/>
      <c r="BF186" s="377"/>
      <c r="BG186" s="377"/>
      <c r="BH186" s="377"/>
      <c r="BI186" s="377"/>
      <c r="BJ186" s="377"/>
      <c r="BK186" s="377"/>
      <c r="BL186" s="377"/>
      <c r="BM186" s="377"/>
      <c r="BN186" s="377"/>
      <c r="BO186" s="377"/>
      <c r="BP186" s="377"/>
      <c r="BQ186" s="377"/>
      <c r="BR186" s="377"/>
    </row>
    <row r="187" spans="1:70" outlineLevel="1">
      <c r="A187" s="374">
        <f t="shared" si="53"/>
        <v>0</v>
      </c>
      <c r="B187" s="359">
        <v>5203</v>
      </c>
      <c r="C187" s="359">
        <v>1</v>
      </c>
      <c r="D187" s="360" t="s">
        <v>926</v>
      </c>
      <c r="E187" s="360" t="s">
        <v>492</v>
      </c>
      <c r="F187" s="373" t="s">
        <v>454</v>
      </c>
      <c r="G187" s="360"/>
      <c r="H187" s="377"/>
      <c r="I187" s="537">
        <v>-6000000</v>
      </c>
      <c r="J187" s="546"/>
      <c r="K187" s="383"/>
      <c r="L187" s="383"/>
      <c r="M187" s="383"/>
      <c r="N187" s="383"/>
      <c r="O187" s="383"/>
      <c r="P187" s="383"/>
      <c r="Q187" s="383"/>
      <c r="R187" s="383"/>
      <c r="S187" s="377"/>
      <c r="T187" s="377">
        <v>0</v>
      </c>
      <c r="U187" s="377">
        <v>0</v>
      </c>
      <c r="V187" s="377">
        <v>-6000000</v>
      </c>
      <c r="W187" s="377">
        <v>0</v>
      </c>
      <c r="X187" s="377"/>
      <c r="Y187" s="377"/>
      <c r="Z187" s="377"/>
      <c r="AA187" s="377"/>
      <c r="AB187" s="377"/>
      <c r="AC187" s="377"/>
      <c r="AD187" s="377"/>
      <c r="AE187" s="377"/>
      <c r="AF187" s="377"/>
      <c r="AG187" s="377"/>
      <c r="AH187" s="377"/>
      <c r="AI187" s="377"/>
      <c r="AJ187" s="377"/>
      <c r="AK187" s="377"/>
      <c r="AL187" s="377"/>
      <c r="AM187" s="377"/>
      <c r="AN187" s="377"/>
      <c r="AO187" s="377"/>
      <c r="AP187" s="377"/>
      <c r="AQ187" s="377"/>
      <c r="AR187" s="377"/>
      <c r="AS187" s="377"/>
      <c r="AT187" s="377"/>
      <c r="AU187" s="377"/>
      <c r="AV187" s="377"/>
      <c r="AW187" s="377"/>
      <c r="AX187" s="377"/>
      <c r="AY187" s="377"/>
      <c r="AZ187" s="377"/>
      <c r="BA187" s="377"/>
      <c r="BB187" s="377"/>
      <c r="BC187" s="377"/>
      <c r="BD187" s="377"/>
      <c r="BE187" s="377"/>
      <c r="BF187" s="377"/>
      <c r="BG187" s="377"/>
      <c r="BH187" s="377"/>
      <c r="BI187" s="377"/>
      <c r="BJ187" s="377"/>
      <c r="BK187" s="377"/>
      <c r="BL187" s="377"/>
      <c r="BM187" s="377"/>
      <c r="BN187" s="377"/>
      <c r="BO187" s="377"/>
      <c r="BP187" s="377"/>
      <c r="BQ187" s="377"/>
      <c r="BR187" s="377"/>
    </row>
    <row r="188" spans="1:70" outlineLevel="1">
      <c r="A188" s="374">
        <f t="shared" si="53"/>
        <v>0</v>
      </c>
      <c r="B188" s="359">
        <v>5203</v>
      </c>
      <c r="C188" s="359">
        <v>1</v>
      </c>
      <c r="D188" s="360" t="s">
        <v>978</v>
      </c>
      <c r="E188" s="360" t="s">
        <v>492</v>
      </c>
      <c r="F188" s="373" t="s">
        <v>454</v>
      </c>
      <c r="G188" s="360">
        <f>I188/'DB1'!G18</f>
        <v>-2000.0000000000002</v>
      </c>
      <c r="H188" s="377"/>
      <c r="I188" s="537">
        <f>'DB1'!$G$18*-2000</f>
        <v>-227086360</v>
      </c>
      <c r="J188" s="546"/>
      <c r="K188" s="383"/>
      <c r="L188" s="383"/>
      <c r="M188" s="383"/>
      <c r="N188" s="383"/>
      <c r="O188" s="383"/>
      <c r="P188" s="383"/>
      <c r="Q188" s="383"/>
      <c r="R188" s="383"/>
      <c r="S188" s="377">
        <f>$I188*'TS1'!N$25</f>
        <v>0</v>
      </c>
      <c r="T188" s="377">
        <f>$I188*'TS1'!O$25</f>
        <v>0</v>
      </c>
      <c r="U188" s="377">
        <f>$I188*'TS1'!P$25</f>
        <v>0</v>
      </c>
      <c r="V188" s="377">
        <f>$I188*'TS1'!Q$25</f>
        <v>0</v>
      </c>
      <c r="W188" s="377">
        <f>$I188*'TS1'!R$25</f>
        <v>0</v>
      </c>
      <c r="X188" s="377">
        <f>$I188*'TS1'!S$25</f>
        <v>0</v>
      </c>
      <c r="Y188" s="377">
        <f>$I188*'TS1'!T$25</f>
        <v>-18923863.333333332</v>
      </c>
      <c r="Z188" s="377">
        <f>$I188*'TS1'!U$25</f>
        <v>-18923863.333333332</v>
      </c>
      <c r="AA188" s="377">
        <f>$I188*'TS1'!V$25</f>
        <v>-18923863.333333332</v>
      </c>
      <c r="AB188" s="377">
        <f>$I188*'TS1'!W$25</f>
        <v>-18923863.333333332</v>
      </c>
      <c r="AC188" s="377">
        <f>$I188*'TS1'!X$25</f>
        <v>-18923863.333333332</v>
      </c>
      <c r="AD188" s="377">
        <f>$I188*'TS1'!Y$25</f>
        <v>-18923863.333333332</v>
      </c>
      <c r="AE188" s="377">
        <f>$I188*'TS1'!Z$25</f>
        <v>-18923863.333333332</v>
      </c>
      <c r="AF188" s="377">
        <f>$I188*'TS1'!AA$25</f>
        <v>-18923863.333333332</v>
      </c>
      <c r="AG188" s="377">
        <f>$I188*'TS1'!AB$25</f>
        <v>-18923863.333333332</v>
      </c>
      <c r="AH188" s="377">
        <f>$I188*'TS1'!AC$25</f>
        <v>-18923863.333333332</v>
      </c>
      <c r="AI188" s="377">
        <f>$I188*'TS1'!AD$25</f>
        <v>-18923863.333333332</v>
      </c>
      <c r="AJ188" s="377">
        <f>$I188*'TS1'!AE$25</f>
        <v>-18923863.333333332</v>
      </c>
      <c r="AK188" s="377">
        <f>$I188*'TS1'!AF$25</f>
        <v>0</v>
      </c>
      <c r="AL188" s="377">
        <f>$I188*'TS1'!AG$25</f>
        <v>0</v>
      </c>
      <c r="AM188" s="377">
        <f>$I188*'TS1'!AH$25</f>
        <v>0</v>
      </c>
      <c r="AN188" s="377">
        <f>$I188*'TS1'!AI$25</f>
        <v>0</v>
      </c>
      <c r="AO188" s="377">
        <f>$I188*'TS1'!AJ$25</f>
        <v>0</v>
      </c>
      <c r="AP188" s="377">
        <f>$I188*'TS1'!AK$25</f>
        <v>0</v>
      </c>
      <c r="AQ188" s="377">
        <f>$I188*'TS1'!AL$25</f>
        <v>0</v>
      </c>
      <c r="AR188" s="377">
        <f>$I188*'TS1'!AM$25</f>
        <v>0</v>
      </c>
      <c r="AS188" s="377">
        <f>$I188*'TS1'!AN$25</f>
        <v>0</v>
      </c>
      <c r="AT188" s="377">
        <f>$I188*'TS1'!AO$25</f>
        <v>0</v>
      </c>
      <c r="AU188" s="377">
        <f>$I188*'TS1'!AP$25</f>
        <v>0</v>
      </c>
      <c r="AV188" s="377">
        <f>$I188*'TS1'!AQ$25</f>
        <v>0</v>
      </c>
      <c r="AW188" s="377">
        <f>$I188*'TS1'!AR$25</f>
        <v>0</v>
      </c>
      <c r="AX188" s="377">
        <f>$I188*'TS1'!AS$25</f>
        <v>0</v>
      </c>
      <c r="AY188" s="377">
        <f>$I188*'TS1'!AT$25</f>
        <v>0</v>
      </c>
      <c r="AZ188" s="377">
        <f>$I188*'TS1'!AU$25</f>
        <v>0</v>
      </c>
      <c r="BA188" s="377">
        <f>$I188*'TS1'!AV$25</f>
        <v>0</v>
      </c>
      <c r="BB188" s="377">
        <f>$I188*'TS1'!AW$25</f>
        <v>0</v>
      </c>
      <c r="BC188" s="377">
        <f>$I188*'TS1'!AX$25</f>
        <v>0</v>
      </c>
      <c r="BD188" s="377">
        <f>$I188*'TS1'!AY$25</f>
        <v>0</v>
      </c>
      <c r="BE188" s="377">
        <f>$I188*'TS1'!AZ$25</f>
        <v>0</v>
      </c>
      <c r="BF188" s="377">
        <f>$I188*'TS1'!BA$25</f>
        <v>0</v>
      </c>
      <c r="BG188" s="377">
        <f>$I188*'TS1'!BB$25</f>
        <v>0</v>
      </c>
      <c r="BH188" s="377">
        <f>$I188*'TS1'!BC$25</f>
        <v>0</v>
      </c>
      <c r="BI188" s="377">
        <f>$I188*'TS1'!BD$25</f>
        <v>0</v>
      </c>
      <c r="BJ188" s="377">
        <f>$I188*'TS1'!BE$25</f>
        <v>0</v>
      </c>
      <c r="BK188" s="377">
        <f>$I188*'TS1'!BF$25</f>
        <v>0</v>
      </c>
      <c r="BL188" s="377">
        <f>$I188*'TS1'!BG$25</f>
        <v>0</v>
      </c>
      <c r="BM188" s="377">
        <f>$I188*'TS1'!BH$25</f>
        <v>0</v>
      </c>
      <c r="BN188" s="377">
        <f>$I188*'TS1'!BI$25</f>
        <v>0</v>
      </c>
      <c r="BO188" s="377">
        <f>$I188*'TS1'!BJ$25</f>
        <v>0</v>
      </c>
      <c r="BP188" s="377">
        <f>$I188*'TS1'!BK$25</f>
        <v>0</v>
      </c>
      <c r="BQ188" s="377">
        <f>$I188*'TS1'!BL$25</f>
        <v>0</v>
      </c>
      <c r="BR188" s="377">
        <f>$I188*'TS1'!BM$25</f>
        <v>0</v>
      </c>
    </row>
    <row r="189" spans="1:70" outlineLevel="1">
      <c r="A189" s="374">
        <f t="shared" si="53"/>
        <v>0</v>
      </c>
      <c r="B189" s="359"/>
      <c r="C189" s="359"/>
      <c r="D189" s="360"/>
      <c r="E189" s="360"/>
      <c r="F189" s="373"/>
      <c r="G189" s="360"/>
      <c r="H189" s="377"/>
      <c r="I189" s="537"/>
      <c r="J189" s="546"/>
      <c r="K189" s="383"/>
      <c r="L189" s="383"/>
      <c r="M189" s="383"/>
      <c r="N189" s="383"/>
      <c r="O189" s="383"/>
      <c r="P189" s="383"/>
      <c r="Q189" s="383"/>
      <c r="R189" s="383"/>
      <c r="S189" s="377"/>
      <c r="T189" s="377"/>
      <c r="U189" s="377"/>
      <c r="V189" s="377"/>
      <c r="W189" s="377"/>
      <c r="X189" s="377"/>
      <c r="Y189" s="377"/>
      <c r="Z189" s="377"/>
      <c r="AA189" s="377"/>
      <c r="AB189" s="377"/>
      <c r="AC189" s="377"/>
      <c r="AD189" s="377"/>
      <c r="AE189" s="377"/>
      <c r="AF189" s="377"/>
      <c r="AG189" s="377"/>
      <c r="AH189" s="377"/>
      <c r="AI189" s="377"/>
      <c r="AJ189" s="377"/>
      <c r="AK189" s="377"/>
      <c r="AL189" s="377"/>
      <c r="AM189" s="377"/>
      <c r="AN189" s="377"/>
      <c r="AO189" s="377"/>
      <c r="AP189" s="377"/>
      <c r="AQ189" s="377"/>
      <c r="AR189" s="377"/>
      <c r="AS189" s="377"/>
      <c r="AT189" s="377"/>
      <c r="AU189" s="377"/>
      <c r="AV189" s="377"/>
      <c r="AW189" s="377"/>
      <c r="AX189" s="377"/>
      <c r="AY189" s="377"/>
      <c r="AZ189" s="377"/>
      <c r="BA189" s="377"/>
      <c r="BB189" s="377"/>
      <c r="BC189" s="377"/>
      <c r="BD189" s="377"/>
      <c r="BE189" s="377"/>
      <c r="BF189" s="377"/>
      <c r="BG189" s="377"/>
      <c r="BH189" s="377"/>
      <c r="BI189" s="377"/>
      <c r="BJ189" s="377"/>
      <c r="BK189" s="377"/>
      <c r="BL189" s="377"/>
      <c r="BM189" s="377"/>
      <c r="BN189" s="377"/>
      <c r="BO189" s="377"/>
      <c r="BP189" s="377"/>
      <c r="BQ189" s="377"/>
      <c r="BR189" s="377"/>
    </row>
    <row r="190" spans="1:70" outlineLevel="1">
      <c r="A190" s="374">
        <f t="shared" si="53"/>
        <v>0</v>
      </c>
      <c r="B190" s="359"/>
      <c r="C190" s="359"/>
      <c r="D190" s="360"/>
      <c r="E190" s="360"/>
      <c r="F190" s="373"/>
      <c r="G190" s="360"/>
      <c r="H190" s="377"/>
      <c r="I190" s="537"/>
      <c r="J190" s="546"/>
      <c r="K190" s="383"/>
      <c r="L190" s="383"/>
      <c r="M190" s="383"/>
      <c r="N190" s="383"/>
      <c r="O190" s="383"/>
      <c r="P190" s="383"/>
      <c r="Q190" s="383"/>
      <c r="R190" s="383"/>
      <c r="S190" s="377"/>
      <c r="T190" s="377"/>
      <c r="U190" s="377"/>
      <c r="V190" s="377"/>
      <c r="W190" s="377"/>
      <c r="X190" s="377"/>
      <c r="Y190" s="377"/>
      <c r="Z190" s="377"/>
      <c r="AA190" s="377"/>
      <c r="AB190" s="377"/>
      <c r="AC190" s="377"/>
      <c r="AD190" s="377"/>
      <c r="AE190" s="377"/>
      <c r="AF190" s="377"/>
      <c r="AG190" s="377"/>
      <c r="AH190" s="377"/>
      <c r="AI190" s="377"/>
      <c r="AJ190" s="377"/>
      <c r="AK190" s="377"/>
      <c r="AL190" s="377"/>
      <c r="AM190" s="377"/>
      <c r="AN190" s="377"/>
      <c r="AO190" s="377"/>
      <c r="AP190" s="377"/>
      <c r="AQ190" s="377"/>
      <c r="AR190" s="377"/>
      <c r="AS190" s="377"/>
      <c r="AT190" s="377"/>
      <c r="AU190" s="377"/>
      <c r="AV190" s="377"/>
      <c r="AW190" s="377"/>
      <c r="AX190" s="377"/>
      <c r="AY190" s="377"/>
      <c r="AZ190" s="377"/>
      <c r="BA190" s="377"/>
      <c r="BB190" s="377"/>
      <c r="BC190" s="377"/>
      <c r="BD190" s="377"/>
      <c r="BE190" s="377"/>
      <c r="BF190" s="377"/>
      <c r="BG190" s="377"/>
      <c r="BH190" s="377"/>
      <c r="BI190" s="377"/>
      <c r="BJ190" s="377"/>
      <c r="BK190" s="377"/>
      <c r="BL190" s="377"/>
      <c r="BM190" s="377"/>
      <c r="BN190" s="377"/>
      <c r="BO190" s="377"/>
      <c r="BP190" s="377"/>
      <c r="BQ190" s="377"/>
      <c r="BR190" s="377"/>
    </row>
    <row r="191" spans="1:70" outlineLevel="1">
      <c r="A191" s="374">
        <f t="shared" si="53"/>
        <v>0</v>
      </c>
      <c r="B191" s="359"/>
      <c r="C191" s="359"/>
      <c r="D191" s="360"/>
      <c r="E191" s="360"/>
      <c r="F191" s="373"/>
      <c r="G191" s="360"/>
      <c r="H191" s="377"/>
      <c r="I191" s="537"/>
      <c r="J191" s="546"/>
      <c r="K191" s="383"/>
      <c r="L191" s="383"/>
      <c r="M191" s="383"/>
      <c r="N191" s="383"/>
      <c r="O191" s="383"/>
      <c r="P191" s="383"/>
      <c r="Q191" s="383"/>
      <c r="R191" s="383"/>
      <c r="S191" s="377"/>
      <c r="T191" s="377"/>
      <c r="U191" s="377"/>
      <c r="V191" s="377"/>
      <c r="W191" s="377"/>
      <c r="X191" s="377"/>
      <c r="Y191" s="377"/>
      <c r="Z191" s="377"/>
      <c r="AA191" s="377"/>
      <c r="AB191" s="377"/>
      <c r="AC191" s="377"/>
      <c r="AD191" s="377"/>
      <c r="AE191" s="377"/>
      <c r="AF191" s="377"/>
      <c r="AG191" s="377"/>
      <c r="AH191" s="377"/>
      <c r="AI191" s="377"/>
      <c r="AJ191" s="377"/>
      <c r="AK191" s="377"/>
      <c r="AL191" s="377"/>
      <c r="AM191" s="377"/>
      <c r="AN191" s="377"/>
      <c r="AO191" s="377"/>
      <c r="AP191" s="377"/>
      <c r="AQ191" s="377"/>
      <c r="AR191" s="377"/>
      <c r="AS191" s="377"/>
      <c r="AT191" s="377"/>
      <c r="AU191" s="377"/>
      <c r="AV191" s="377"/>
      <c r="AW191" s="377"/>
      <c r="AX191" s="377"/>
      <c r="AY191" s="377"/>
      <c r="AZ191" s="377"/>
      <c r="BA191" s="377"/>
      <c r="BB191" s="377"/>
      <c r="BC191" s="377"/>
      <c r="BD191" s="377"/>
      <c r="BE191" s="377"/>
      <c r="BF191" s="377"/>
      <c r="BG191" s="377"/>
      <c r="BH191" s="377"/>
      <c r="BI191" s="377"/>
      <c r="BJ191" s="377"/>
      <c r="BK191" s="377"/>
      <c r="BL191" s="377"/>
      <c r="BM191" s="377"/>
      <c r="BN191" s="377"/>
      <c r="BO191" s="377"/>
      <c r="BP191" s="377"/>
      <c r="BQ191" s="377"/>
      <c r="BR191" s="377"/>
    </row>
    <row r="192" spans="1:70" outlineLevel="1">
      <c r="A192" s="374">
        <f t="shared" si="53"/>
        <v>0</v>
      </c>
      <c r="B192" s="359">
        <v>5202</v>
      </c>
      <c r="C192" s="359">
        <v>2</v>
      </c>
      <c r="D192" s="360" t="s">
        <v>941</v>
      </c>
      <c r="E192" s="360" t="s">
        <v>492</v>
      </c>
      <c r="F192" s="366" t="s">
        <v>461</v>
      </c>
      <c r="G192" s="367">
        <f>SUM(I192:I211)/'DB1'!$G$18</f>
        <v>-3130.6269738085548</v>
      </c>
      <c r="H192" s="377"/>
      <c r="I192" s="540">
        <f>'DB2'!$G$18*-'DB2'!$F$31-SUMIFS($I$193:$I$222,$C$193:$C$222,$C$192)</f>
        <v>17738658</v>
      </c>
      <c r="J192" s="546"/>
      <c r="K192" s="383"/>
      <c r="L192" s="383"/>
      <c r="M192" s="383"/>
      <c r="N192" s="383"/>
      <c r="O192" s="383"/>
      <c r="P192" s="383"/>
      <c r="Q192" s="383"/>
      <c r="R192" s="383"/>
      <c r="S192" s="377">
        <f>$I192*'TS2'!N$21</f>
        <v>886932.9</v>
      </c>
      <c r="T192" s="377">
        <f>$I192*'TS2'!O$21</f>
        <v>886932.9</v>
      </c>
      <c r="U192" s="377">
        <f>$I192*'TS2'!P$21</f>
        <v>886932.9</v>
      </c>
      <c r="V192" s="377">
        <f>$I192*'TS2'!Q$21</f>
        <v>886932.9</v>
      </c>
      <c r="W192" s="377">
        <f>$I192*'TS2'!R$21</f>
        <v>886932.9</v>
      </c>
      <c r="X192" s="377">
        <f>$I192*'TS2'!S$21</f>
        <v>0</v>
      </c>
      <c r="Y192" s="377">
        <f>$I192*'TS2'!T$21</f>
        <v>0</v>
      </c>
      <c r="Z192" s="377">
        <f>$I192*'TS2'!U$21</f>
        <v>0</v>
      </c>
      <c r="AA192" s="377">
        <f>$I192*'TS2'!V$21</f>
        <v>0</v>
      </c>
      <c r="AB192" s="377">
        <f>$I192*'TS2'!W$21</f>
        <v>0</v>
      </c>
      <c r="AC192" s="377">
        <f>$I192*'TS2'!X$21</f>
        <v>0</v>
      </c>
      <c r="AD192" s="377">
        <f>$I192*'TS2'!Y$21</f>
        <v>0</v>
      </c>
      <c r="AE192" s="377">
        <f>$I192*'TS2'!Z$21</f>
        <v>0</v>
      </c>
      <c r="AF192" s="377">
        <f>$I192*'TS2'!AA$21</f>
        <v>0</v>
      </c>
      <c r="AG192" s="377">
        <f>$I192*'TS2'!AB$21</f>
        <v>0</v>
      </c>
      <c r="AH192" s="377">
        <f>$I192*'TS2'!AC$21</f>
        <v>13303993.5</v>
      </c>
      <c r="AI192" s="377">
        <f>$I192*'TS2'!AD$21</f>
        <v>0</v>
      </c>
      <c r="AJ192" s="377">
        <f>$I192*'TS2'!AE$21</f>
        <v>0</v>
      </c>
      <c r="AK192" s="377">
        <f>$I192*'TS2'!AF$21</f>
        <v>0</v>
      </c>
      <c r="AL192" s="377">
        <f>$I192*'TS2'!AG$21</f>
        <v>0</v>
      </c>
      <c r="AM192" s="377">
        <f>$I192*'TS2'!AH$21</f>
        <v>0</v>
      </c>
      <c r="AN192" s="377">
        <f>$I192*'TS2'!AI$21</f>
        <v>0</v>
      </c>
      <c r="AO192" s="377">
        <f>$I192*'TS2'!AJ$21</f>
        <v>0</v>
      </c>
      <c r="AP192" s="377">
        <f>$I192*'TS2'!AK$21</f>
        <v>0</v>
      </c>
      <c r="AQ192" s="377">
        <f>$I192*'TS2'!AL$21</f>
        <v>0</v>
      </c>
      <c r="AR192" s="377">
        <f>$I192*'TS2'!AM$21</f>
        <v>0</v>
      </c>
      <c r="AS192" s="377">
        <f>$I192*'TS2'!AN$21</f>
        <v>0</v>
      </c>
      <c r="AT192" s="377">
        <f>$I192*'TS2'!AO$21</f>
        <v>0</v>
      </c>
      <c r="AU192" s="377">
        <f>$I192*'TS2'!AP$21</f>
        <v>0</v>
      </c>
      <c r="AV192" s="377">
        <f>$I192*'TS2'!AQ$21</f>
        <v>0</v>
      </c>
      <c r="AW192" s="377">
        <f>$I192*'TS2'!AR$21</f>
        <v>0</v>
      </c>
      <c r="AX192" s="377">
        <f>$I192*'TS2'!AS$21</f>
        <v>0</v>
      </c>
      <c r="AY192" s="377">
        <f>$I192*'TS2'!AT$21</f>
        <v>0</v>
      </c>
      <c r="AZ192" s="377">
        <f>$I192*'TS2'!AU$21</f>
        <v>0</v>
      </c>
      <c r="BA192" s="377">
        <f>$I192*'TS2'!AV$21</f>
        <v>0</v>
      </c>
      <c r="BB192" s="377">
        <f>$I192*'TS2'!AW$21</f>
        <v>0</v>
      </c>
      <c r="BC192" s="377">
        <f>$I192*'TS2'!AX$21</f>
        <v>0</v>
      </c>
      <c r="BD192" s="377">
        <f>$I192*'TS2'!AY$21</f>
        <v>0</v>
      </c>
      <c r="BE192" s="377">
        <f>$I192*'TS2'!AZ$21</f>
        <v>0</v>
      </c>
      <c r="BF192" s="377">
        <f>$I192*'TS2'!BA$21</f>
        <v>0</v>
      </c>
      <c r="BG192" s="377">
        <f>$I192*'TS2'!BB$21</f>
        <v>0</v>
      </c>
      <c r="BH192" s="377">
        <f>$I192*'TS2'!BC$21</f>
        <v>0</v>
      </c>
      <c r="BI192" s="377">
        <f>$I192*'TS2'!BD$21</f>
        <v>0</v>
      </c>
      <c r="BJ192" s="377">
        <f>$I192*'TS2'!BE$21</f>
        <v>0</v>
      </c>
      <c r="BK192" s="377">
        <f>$I192*'TS2'!BF$21</f>
        <v>0</v>
      </c>
      <c r="BL192" s="377">
        <f>$I192*'TS2'!BG$21</f>
        <v>0</v>
      </c>
      <c r="BM192" s="377">
        <f>$I192*'TS2'!BH$21</f>
        <v>0</v>
      </c>
      <c r="BN192" s="377">
        <f>$I192*'TS2'!BI$21</f>
        <v>0</v>
      </c>
      <c r="BO192" s="377">
        <f>$I192*'TS2'!BJ$21</f>
        <v>0</v>
      </c>
      <c r="BP192" s="377">
        <f>$I192*'TS2'!BK$21</f>
        <v>0</v>
      </c>
      <c r="BQ192" s="377">
        <f>$I192*'TS2'!BL$21</f>
        <v>0</v>
      </c>
      <c r="BR192" s="377">
        <f>$I192*'TS2'!BM$21</f>
        <v>0</v>
      </c>
    </row>
    <row r="193" spans="1:70" outlineLevel="1">
      <c r="A193" s="374">
        <f t="shared" si="53"/>
        <v>0</v>
      </c>
      <c r="B193" s="359"/>
      <c r="C193" s="359"/>
      <c r="D193" s="360"/>
      <c r="E193" s="360"/>
      <c r="F193" s="373"/>
      <c r="G193" s="360"/>
      <c r="H193" s="377"/>
      <c r="I193" s="537"/>
      <c r="J193" s="546"/>
      <c r="K193" s="383"/>
      <c r="L193" s="383"/>
      <c r="M193" s="383"/>
      <c r="N193" s="383"/>
      <c r="O193" s="383"/>
      <c r="P193" s="383"/>
      <c r="Q193" s="383"/>
      <c r="R193" s="383"/>
      <c r="S193" s="377"/>
      <c r="T193" s="377"/>
      <c r="U193" s="377"/>
      <c r="V193" s="377"/>
      <c r="W193" s="377"/>
      <c r="X193" s="377"/>
      <c r="Y193" s="377"/>
      <c r="Z193" s="377"/>
      <c r="AA193" s="377"/>
      <c r="AB193" s="377"/>
      <c r="AC193" s="377"/>
      <c r="AD193" s="377"/>
      <c r="AE193" s="377"/>
      <c r="AF193" s="377"/>
      <c r="AG193" s="377"/>
      <c r="AH193" s="377"/>
      <c r="AI193" s="377"/>
      <c r="AJ193" s="377"/>
      <c r="AK193" s="377"/>
      <c r="AL193" s="377"/>
      <c r="AM193" s="377"/>
      <c r="AN193" s="377"/>
      <c r="AO193" s="377"/>
      <c r="AP193" s="377"/>
      <c r="AQ193" s="377"/>
      <c r="AR193" s="377"/>
      <c r="AS193" s="377"/>
      <c r="AT193" s="377"/>
      <c r="AU193" s="377"/>
      <c r="AV193" s="377"/>
      <c r="AW193" s="377"/>
      <c r="AX193" s="377"/>
      <c r="AY193" s="377"/>
      <c r="AZ193" s="377"/>
      <c r="BA193" s="377"/>
      <c r="BB193" s="377"/>
      <c r="BC193" s="377"/>
      <c r="BD193" s="377"/>
      <c r="BE193" s="377"/>
      <c r="BF193" s="377"/>
      <c r="BG193" s="377"/>
      <c r="BH193" s="377"/>
      <c r="BI193" s="377"/>
      <c r="BJ193" s="377"/>
      <c r="BK193" s="377"/>
      <c r="BL193" s="377"/>
      <c r="BM193" s="377"/>
      <c r="BN193" s="377"/>
      <c r="BO193" s="377"/>
      <c r="BP193" s="377"/>
      <c r="BQ193" s="377"/>
      <c r="BR193" s="377"/>
    </row>
    <row r="194" spans="1:70" outlineLevel="1">
      <c r="A194" s="374">
        <f t="shared" si="53"/>
        <v>0</v>
      </c>
      <c r="B194" s="359">
        <v>5202</v>
      </c>
      <c r="C194" s="359">
        <v>2</v>
      </c>
      <c r="D194" s="360" t="s">
        <v>922</v>
      </c>
      <c r="E194" s="360" t="s">
        <v>492</v>
      </c>
      <c r="F194" s="373" t="s">
        <v>454</v>
      </c>
      <c r="G194" s="360"/>
      <c r="H194" s="377"/>
      <c r="I194" s="537">
        <v>-20000000</v>
      </c>
      <c r="J194" s="546"/>
      <c r="K194" s="383"/>
      <c r="L194" s="383"/>
      <c r="M194" s="383"/>
      <c r="N194" s="383"/>
      <c r="O194" s="383"/>
      <c r="P194" s="383"/>
      <c r="Q194" s="383"/>
      <c r="R194" s="383"/>
      <c r="S194" s="377">
        <v>0</v>
      </c>
      <c r="T194" s="377">
        <v>0</v>
      </c>
      <c r="U194" s="377">
        <v>0</v>
      </c>
      <c r="V194" s="377">
        <v>0</v>
      </c>
      <c r="W194" s="377">
        <v>0</v>
      </c>
      <c r="X194" s="377">
        <v>-20000000</v>
      </c>
      <c r="Y194" s="377">
        <v>0</v>
      </c>
      <c r="Z194" s="377">
        <v>0</v>
      </c>
      <c r="AA194" s="377">
        <v>0</v>
      </c>
      <c r="AB194" s="377">
        <v>0</v>
      </c>
      <c r="AC194" s="377"/>
      <c r="AD194" s="377"/>
      <c r="AE194" s="377"/>
      <c r="AF194" s="377"/>
      <c r="AG194" s="377"/>
      <c r="AH194" s="377"/>
      <c r="AI194" s="377"/>
      <c r="AJ194" s="377"/>
      <c r="AK194" s="377"/>
      <c r="AL194" s="377"/>
      <c r="AM194" s="377"/>
      <c r="AN194" s="377"/>
      <c r="AO194" s="377"/>
      <c r="AP194" s="377"/>
      <c r="AQ194" s="377"/>
      <c r="AR194" s="377"/>
      <c r="AS194" s="377"/>
      <c r="AT194" s="377"/>
      <c r="AU194" s="377"/>
      <c r="AV194" s="377"/>
      <c r="AW194" s="377"/>
      <c r="AX194" s="377"/>
      <c r="AY194" s="377"/>
      <c r="AZ194" s="377"/>
      <c r="BA194" s="377"/>
      <c r="BB194" s="377"/>
      <c r="BC194" s="377"/>
      <c r="BD194" s="377"/>
      <c r="BE194" s="377"/>
      <c r="BF194" s="377"/>
      <c r="BG194" s="377"/>
      <c r="BH194" s="377"/>
      <c r="BI194" s="377"/>
      <c r="BJ194" s="377"/>
      <c r="BK194" s="377"/>
      <c r="BL194" s="377"/>
      <c r="BM194" s="377"/>
      <c r="BN194" s="377"/>
      <c r="BO194" s="377"/>
      <c r="BP194" s="377"/>
      <c r="BQ194" s="377"/>
      <c r="BR194" s="377"/>
    </row>
    <row r="195" spans="1:70" outlineLevel="1">
      <c r="A195" s="374">
        <f t="shared" si="53"/>
        <v>0</v>
      </c>
      <c r="B195" s="359">
        <v>5202</v>
      </c>
      <c r="C195" s="359">
        <v>2</v>
      </c>
      <c r="D195" s="552" t="s">
        <v>920</v>
      </c>
      <c r="E195" s="360" t="s">
        <v>492</v>
      </c>
      <c r="F195" s="373" t="s">
        <v>454</v>
      </c>
      <c r="G195" s="367">
        <f>I195/'DB2'!$G$18</f>
        <v>-2691.2329030631572</v>
      </c>
      <c r="H195" s="377"/>
      <c r="I195" s="537">
        <f>SUM(K195:BR195)</f>
        <v>-260000000</v>
      </c>
      <c r="J195" s="546"/>
      <c r="K195" s="383"/>
      <c r="L195" s="383"/>
      <c r="M195" s="383"/>
      <c r="N195" s="383"/>
      <c r="O195" s="383"/>
      <c r="P195" s="383"/>
      <c r="Q195" s="383"/>
      <c r="R195" s="383"/>
      <c r="S195" s="377">
        <v>0</v>
      </c>
      <c r="T195" s="377">
        <v>0</v>
      </c>
      <c r="U195" s="377">
        <v>0</v>
      </c>
      <c r="V195" s="377">
        <v>0</v>
      </c>
      <c r="W195" s="377">
        <v>0</v>
      </c>
      <c r="X195" s="377">
        <v>0</v>
      </c>
      <c r="Y195" s="377">
        <v>-30000000</v>
      </c>
      <c r="Z195" s="377">
        <v>-40000000</v>
      </c>
      <c r="AA195" s="377">
        <v>-130000000</v>
      </c>
      <c r="AB195" s="377">
        <v>0</v>
      </c>
      <c r="AC195" s="377"/>
      <c r="AD195" s="377"/>
      <c r="AE195" s="377"/>
      <c r="AF195" s="377"/>
      <c r="AG195" s="377"/>
      <c r="AH195" s="377"/>
      <c r="AI195" s="377"/>
      <c r="AJ195" s="377"/>
      <c r="AK195" s="377">
        <f>SUM(K195:AJ195)*30%</f>
        <v>-60000000</v>
      </c>
      <c r="AL195" s="377"/>
      <c r="AM195" s="377"/>
      <c r="AN195" s="377"/>
      <c r="AO195" s="377"/>
      <c r="AP195" s="377"/>
      <c r="AQ195" s="377"/>
      <c r="AR195" s="377"/>
      <c r="AS195" s="377"/>
      <c r="AT195" s="377"/>
      <c r="AU195" s="377"/>
      <c r="AV195" s="377"/>
      <c r="AW195" s="377"/>
      <c r="AX195" s="377"/>
      <c r="AY195" s="377"/>
      <c r="AZ195" s="377"/>
      <c r="BA195" s="377"/>
      <c r="BB195" s="377"/>
      <c r="BC195" s="377"/>
      <c r="BD195" s="377"/>
      <c r="BE195" s="377"/>
      <c r="BF195" s="377"/>
      <c r="BG195" s="377"/>
      <c r="BH195" s="377"/>
      <c r="BI195" s="377"/>
      <c r="BJ195" s="377"/>
      <c r="BK195" s="377"/>
      <c r="BL195" s="377"/>
      <c r="BM195" s="377"/>
      <c r="BN195" s="377"/>
      <c r="BO195" s="377"/>
      <c r="BP195" s="377"/>
      <c r="BQ195" s="377"/>
      <c r="BR195" s="377"/>
    </row>
    <row r="196" spans="1:70" outlineLevel="1">
      <c r="A196" s="374">
        <f t="shared" si="53"/>
        <v>0</v>
      </c>
      <c r="B196" s="359">
        <v>5202</v>
      </c>
      <c r="C196" s="359">
        <v>2</v>
      </c>
      <c r="D196" s="360" t="s">
        <v>921</v>
      </c>
      <c r="E196" s="360" t="s">
        <v>492</v>
      </c>
      <c r="F196" s="373" t="s">
        <v>454</v>
      </c>
      <c r="G196" s="360"/>
      <c r="H196" s="377"/>
      <c r="I196" s="537">
        <v>-36000000</v>
      </c>
      <c r="J196" s="546"/>
      <c r="K196" s="383"/>
      <c r="L196" s="383"/>
      <c r="M196" s="383"/>
      <c r="N196" s="383"/>
      <c r="O196" s="383"/>
      <c r="P196" s="383"/>
      <c r="Q196" s="383"/>
      <c r="R196" s="383"/>
      <c r="S196" s="377">
        <v>0</v>
      </c>
      <c r="T196" s="377">
        <v>0</v>
      </c>
      <c r="U196" s="377">
        <v>0</v>
      </c>
      <c r="V196" s="377">
        <v>0</v>
      </c>
      <c r="W196" s="377">
        <v>0</v>
      </c>
      <c r="X196" s="377">
        <v>0</v>
      </c>
      <c r="Y196" s="377">
        <v>-10800000</v>
      </c>
      <c r="Z196" s="377">
        <v>0</v>
      </c>
      <c r="AA196" s="377">
        <v>-25200000</v>
      </c>
      <c r="AB196" s="377">
        <v>0</v>
      </c>
      <c r="AC196" s="377"/>
      <c r="AD196" s="377"/>
      <c r="AE196" s="377"/>
      <c r="AF196" s="377"/>
      <c r="AG196" s="377"/>
      <c r="AH196" s="377"/>
      <c r="AI196" s="377"/>
      <c r="AJ196" s="377"/>
      <c r="AK196" s="377"/>
      <c r="AL196" s="377"/>
      <c r="AM196" s="377"/>
      <c r="AN196" s="377"/>
      <c r="AO196" s="377"/>
      <c r="AP196" s="377"/>
      <c r="AQ196" s="377"/>
      <c r="AR196" s="377"/>
      <c r="AS196" s="377"/>
      <c r="AT196" s="377"/>
      <c r="AU196" s="377"/>
      <c r="AV196" s="377"/>
      <c r="AW196" s="377"/>
      <c r="AX196" s="377"/>
      <c r="AY196" s="377"/>
      <c r="AZ196" s="377"/>
      <c r="BA196" s="377"/>
      <c r="BB196" s="377"/>
      <c r="BC196" s="377"/>
      <c r="BD196" s="377"/>
      <c r="BE196" s="377"/>
      <c r="BF196" s="377"/>
      <c r="BG196" s="377"/>
      <c r="BH196" s="377"/>
      <c r="BI196" s="377"/>
      <c r="BJ196" s="377"/>
      <c r="BK196" s="377"/>
      <c r="BL196" s="377"/>
      <c r="BM196" s="377"/>
      <c r="BN196" s="377"/>
      <c r="BO196" s="377"/>
      <c r="BP196" s="377"/>
      <c r="BQ196" s="377"/>
      <c r="BR196" s="377"/>
    </row>
    <row r="197" spans="1:70" outlineLevel="1">
      <c r="A197" s="374">
        <f t="shared" si="53"/>
        <v>0</v>
      </c>
      <c r="B197" s="359">
        <v>5202</v>
      </c>
      <c r="C197" s="359">
        <v>2</v>
      </c>
      <c r="D197" s="360" t="s">
        <v>901</v>
      </c>
      <c r="E197" s="360" t="s">
        <v>492</v>
      </c>
      <c r="F197" s="373" t="s">
        <v>454</v>
      </c>
      <c r="G197" s="360"/>
      <c r="H197" s="377"/>
      <c r="I197" s="537">
        <v>-3600000</v>
      </c>
      <c r="J197" s="546"/>
      <c r="K197" s="383"/>
      <c r="L197" s="383"/>
      <c r="M197" s="383"/>
      <c r="N197" s="383"/>
      <c r="O197" s="383"/>
      <c r="P197" s="383"/>
      <c r="Q197" s="383"/>
      <c r="R197" s="383"/>
      <c r="S197" s="377">
        <v>0</v>
      </c>
      <c r="T197" s="377">
        <v>0</v>
      </c>
      <c r="U197" s="377">
        <v>0</v>
      </c>
      <c r="V197" s="377">
        <v>0</v>
      </c>
      <c r="W197" s="377">
        <v>0</v>
      </c>
      <c r="X197" s="377">
        <v>0</v>
      </c>
      <c r="Y197" s="377">
        <v>0</v>
      </c>
      <c r="Z197" s="377">
        <v>0</v>
      </c>
      <c r="AA197" s="377">
        <v>-1800000</v>
      </c>
      <c r="AB197" s="377">
        <v>-1800000</v>
      </c>
      <c r="AC197" s="377"/>
      <c r="AD197" s="377"/>
      <c r="AE197" s="377"/>
      <c r="AF197" s="377"/>
      <c r="AG197" s="377"/>
      <c r="AH197" s="377"/>
      <c r="AI197" s="377"/>
      <c r="AJ197" s="377"/>
      <c r="AK197" s="377"/>
      <c r="AL197" s="377"/>
      <c r="AM197" s="377"/>
      <c r="AN197" s="377"/>
      <c r="AO197" s="377"/>
      <c r="AP197" s="377"/>
      <c r="AQ197" s="377"/>
      <c r="AR197" s="377"/>
      <c r="AS197" s="377"/>
      <c r="AT197" s="377"/>
      <c r="AU197" s="377"/>
      <c r="AV197" s="377"/>
      <c r="AW197" s="377"/>
      <c r="AX197" s="377"/>
      <c r="AY197" s="377"/>
      <c r="AZ197" s="377"/>
      <c r="BA197" s="377"/>
      <c r="BB197" s="377"/>
      <c r="BC197" s="377"/>
      <c r="BD197" s="377"/>
      <c r="BE197" s="377"/>
      <c r="BF197" s="377"/>
      <c r="BG197" s="377"/>
      <c r="BH197" s="377"/>
      <c r="BI197" s="377"/>
      <c r="BJ197" s="377"/>
      <c r="BK197" s="377"/>
      <c r="BL197" s="377"/>
      <c r="BM197" s="377"/>
      <c r="BN197" s="377"/>
      <c r="BO197" s="377"/>
      <c r="BP197" s="377"/>
      <c r="BQ197" s="377"/>
      <c r="BR197" s="377"/>
    </row>
    <row r="198" spans="1:70" outlineLevel="1">
      <c r="A198" s="374">
        <f t="shared" si="53"/>
        <v>0</v>
      </c>
      <c r="B198" s="359">
        <v>5202</v>
      </c>
      <c r="C198" s="359">
        <v>2</v>
      </c>
      <c r="D198" s="360" t="s">
        <v>902</v>
      </c>
      <c r="E198" s="360" t="s">
        <v>492</v>
      </c>
      <c r="F198" s="373" t="s">
        <v>454</v>
      </c>
      <c r="G198" s="360"/>
      <c r="H198" s="377"/>
      <c r="I198" s="537">
        <v>-1800000</v>
      </c>
      <c r="J198" s="546"/>
      <c r="K198" s="383"/>
      <c r="L198" s="383"/>
      <c r="M198" s="383"/>
      <c r="N198" s="383"/>
      <c r="O198" s="383"/>
      <c r="P198" s="383"/>
      <c r="Q198" s="383"/>
      <c r="R198" s="383"/>
      <c r="S198" s="377">
        <v>0</v>
      </c>
      <c r="T198" s="377">
        <v>0</v>
      </c>
      <c r="U198" s="377">
        <v>0</v>
      </c>
      <c r="V198" s="377">
        <v>0</v>
      </c>
      <c r="W198" s="377">
        <v>0</v>
      </c>
      <c r="X198" s="377">
        <v>0</v>
      </c>
      <c r="Y198" s="377">
        <v>0</v>
      </c>
      <c r="Z198" s="377">
        <v>-540000</v>
      </c>
      <c r="AA198" s="377">
        <v>-1260000</v>
      </c>
      <c r="AB198" s="377">
        <v>0</v>
      </c>
      <c r="AC198" s="377"/>
      <c r="AD198" s="377"/>
      <c r="AE198" s="377"/>
      <c r="AF198" s="377"/>
      <c r="AG198" s="377"/>
      <c r="AH198" s="377"/>
      <c r="AI198" s="377"/>
      <c r="AJ198" s="377"/>
      <c r="AK198" s="377"/>
      <c r="AL198" s="377"/>
      <c r="AM198" s="377"/>
      <c r="AN198" s="377"/>
      <c r="AO198" s="377"/>
      <c r="AP198" s="377"/>
      <c r="AQ198" s="377"/>
      <c r="AR198" s="377"/>
      <c r="AS198" s="377"/>
      <c r="AT198" s="377"/>
      <c r="AU198" s="377"/>
      <c r="AV198" s="377"/>
      <c r="AW198" s="377"/>
      <c r="AX198" s="377"/>
      <c r="AY198" s="377"/>
      <c r="AZ198" s="377"/>
      <c r="BA198" s="377"/>
      <c r="BB198" s="377"/>
      <c r="BC198" s="377"/>
      <c r="BD198" s="377"/>
      <c r="BE198" s="377"/>
      <c r="BF198" s="377"/>
      <c r="BG198" s="377"/>
      <c r="BH198" s="377"/>
      <c r="BI198" s="377"/>
      <c r="BJ198" s="377"/>
      <c r="BK198" s="377"/>
      <c r="BL198" s="377"/>
      <c r="BM198" s="377"/>
      <c r="BN198" s="377"/>
      <c r="BO198" s="377"/>
      <c r="BP198" s="377"/>
      <c r="BQ198" s="377"/>
      <c r="BR198" s="377"/>
    </row>
    <row r="199" spans="1:70" outlineLevel="1">
      <c r="A199" s="374">
        <f t="shared" si="53"/>
        <v>0</v>
      </c>
      <c r="B199" s="359">
        <v>5202</v>
      </c>
      <c r="C199" s="359">
        <v>2</v>
      </c>
      <c r="D199" s="360" t="s">
        <v>903</v>
      </c>
      <c r="E199" s="360" t="s">
        <v>492</v>
      </c>
      <c r="F199" s="373" t="s">
        <v>454</v>
      </c>
      <c r="G199" s="360"/>
      <c r="H199" s="377"/>
      <c r="I199" s="537">
        <v>-6000000</v>
      </c>
      <c r="J199" s="546"/>
      <c r="K199" s="383"/>
      <c r="L199" s="383"/>
      <c r="M199" s="383"/>
      <c r="N199" s="383"/>
      <c r="O199" s="383"/>
      <c r="P199" s="383"/>
      <c r="Q199" s="383"/>
      <c r="R199" s="383"/>
      <c r="S199" s="377">
        <v>0</v>
      </c>
      <c r="T199" s="377">
        <v>0</v>
      </c>
      <c r="U199" s="377">
        <v>0</v>
      </c>
      <c r="V199" s="377">
        <v>0</v>
      </c>
      <c r="W199" s="377">
        <v>0</v>
      </c>
      <c r="X199" s="377">
        <v>0</v>
      </c>
      <c r="Y199" s="377">
        <v>0</v>
      </c>
      <c r="Z199" s="377">
        <v>0</v>
      </c>
      <c r="AA199" s="377">
        <v>-6000000</v>
      </c>
      <c r="AB199" s="377">
        <v>0</v>
      </c>
      <c r="AC199" s="377"/>
      <c r="AD199" s="377"/>
      <c r="AE199" s="377"/>
      <c r="AF199" s="377"/>
      <c r="AG199" s="377"/>
      <c r="AH199" s="377"/>
      <c r="AI199" s="377"/>
      <c r="AJ199" s="377"/>
      <c r="AK199" s="377"/>
      <c r="AL199" s="377"/>
      <c r="AM199" s="377"/>
      <c r="AN199" s="377"/>
      <c r="AO199" s="377"/>
      <c r="AP199" s="377"/>
      <c r="AQ199" s="377"/>
      <c r="AR199" s="377"/>
      <c r="AS199" s="377"/>
      <c r="AT199" s="377"/>
      <c r="AU199" s="377"/>
      <c r="AV199" s="377"/>
      <c r="AW199" s="377"/>
      <c r="AX199" s="377"/>
      <c r="AY199" s="377"/>
      <c r="AZ199" s="377"/>
      <c r="BA199" s="377"/>
      <c r="BB199" s="377"/>
      <c r="BC199" s="377"/>
      <c r="BD199" s="377"/>
      <c r="BE199" s="377"/>
      <c r="BF199" s="377"/>
      <c r="BG199" s="377"/>
      <c r="BH199" s="377"/>
      <c r="BI199" s="377"/>
      <c r="BJ199" s="377"/>
      <c r="BK199" s="377"/>
      <c r="BL199" s="377"/>
      <c r="BM199" s="377"/>
      <c r="BN199" s="377"/>
      <c r="BO199" s="377"/>
      <c r="BP199" s="377"/>
      <c r="BQ199" s="377"/>
      <c r="BR199" s="377"/>
    </row>
    <row r="200" spans="1:70" outlineLevel="1">
      <c r="A200" s="374">
        <f t="shared" si="53"/>
        <v>0</v>
      </c>
      <c r="B200" s="359">
        <v>5202</v>
      </c>
      <c r="C200" s="359">
        <v>2</v>
      </c>
      <c r="D200" s="360" t="s">
        <v>904</v>
      </c>
      <c r="E200" s="360" t="s">
        <v>492</v>
      </c>
      <c r="F200" s="373" t="s">
        <v>454</v>
      </c>
      <c r="G200" s="360"/>
      <c r="H200" s="377"/>
      <c r="I200" s="537">
        <v>-3000000</v>
      </c>
      <c r="J200" s="546"/>
      <c r="K200" s="383"/>
      <c r="L200" s="383"/>
      <c r="M200" s="383"/>
      <c r="N200" s="383"/>
      <c r="O200" s="383"/>
      <c r="P200" s="383"/>
      <c r="Q200" s="383"/>
      <c r="R200" s="383"/>
      <c r="S200" s="377">
        <v>0</v>
      </c>
      <c r="T200" s="377">
        <v>0</v>
      </c>
      <c r="U200" s="377">
        <v>0</v>
      </c>
      <c r="V200" s="377">
        <v>0</v>
      </c>
      <c r="W200" s="377">
        <v>0</v>
      </c>
      <c r="X200" s="377">
        <v>0</v>
      </c>
      <c r="Y200" s="377">
        <v>0</v>
      </c>
      <c r="Z200" s="377">
        <v>0</v>
      </c>
      <c r="AA200" s="377">
        <v>-900000</v>
      </c>
      <c r="AB200" s="377">
        <v>-2100000</v>
      </c>
      <c r="AC200" s="377"/>
      <c r="AD200" s="377"/>
      <c r="AE200" s="377"/>
      <c r="AF200" s="377"/>
      <c r="AG200" s="377"/>
      <c r="AH200" s="377"/>
      <c r="AI200" s="377"/>
      <c r="AJ200" s="377"/>
      <c r="AK200" s="377"/>
      <c r="AL200" s="377"/>
      <c r="AM200" s="377"/>
      <c r="AN200" s="377"/>
      <c r="AO200" s="377"/>
      <c r="AP200" s="377"/>
      <c r="AQ200" s="377"/>
      <c r="AR200" s="377"/>
      <c r="AS200" s="377"/>
      <c r="AT200" s="377"/>
      <c r="AU200" s="377"/>
      <c r="AV200" s="377"/>
      <c r="AW200" s="377"/>
      <c r="AX200" s="377"/>
      <c r="AY200" s="377"/>
      <c r="AZ200" s="377"/>
      <c r="BA200" s="377"/>
      <c r="BB200" s="377"/>
      <c r="BC200" s="377"/>
      <c r="BD200" s="377"/>
      <c r="BE200" s="377"/>
      <c r="BF200" s="377"/>
      <c r="BG200" s="377"/>
      <c r="BH200" s="377"/>
      <c r="BI200" s="377"/>
      <c r="BJ200" s="377"/>
      <c r="BK200" s="377"/>
      <c r="BL200" s="377"/>
      <c r="BM200" s="377"/>
      <c r="BN200" s="377"/>
      <c r="BO200" s="377"/>
      <c r="BP200" s="377"/>
      <c r="BQ200" s="377"/>
      <c r="BR200" s="377"/>
    </row>
    <row r="201" spans="1:70" outlineLevel="1">
      <c r="A201" s="374">
        <f t="shared" si="53"/>
        <v>0</v>
      </c>
      <c r="B201" s="359">
        <v>5202</v>
      </c>
      <c r="C201" s="359">
        <v>2</v>
      </c>
      <c r="D201" s="360" t="s">
        <v>905</v>
      </c>
      <c r="E201" s="360" t="s">
        <v>492</v>
      </c>
      <c r="F201" s="373" t="s">
        <v>454</v>
      </c>
      <c r="G201" s="360"/>
      <c r="H201" s="377"/>
      <c r="I201" s="537">
        <v>-3000000</v>
      </c>
      <c r="J201" s="546"/>
      <c r="K201" s="383"/>
      <c r="L201" s="383"/>
      <c r="M201" s="383"/>
      <c r="N201" s="383"/>
      <c r="O201" s="383"/>
      <c r="P201" s="383"/>
      <c r="Q201" s="383"/>
      <c r="R201" s="383"/>
      <c r="S201" s="377">
        <v>0</v>
      </c>
      <c r="T201" s="377">
        <v>0</v>
      </c>
      <c r="U201" s="377">
        <v>0</v>
      </c>
      <c r="V201" s="377">
        <v>0</v>
      </c>
      <c r="W201" s="377">
        <v>0</v>
      </c>
      <c r="X201" s="377">
        <v>0</v>
      </c>
      <c r="Y201" s="377">
        <v>0</v>
      </c>
      <c r="Z201" s="377">
        <v>0</v>
      </c>
      <c r="AA201" s="377">
        <v>-900000</v>
      </c>
      <c r="AB201" s="377">
        <v>-2100000</v>
      </c>
      <c r="AC201" s="377"/>
      <c r="AD201" s="377"/>
      <c r="AE201" s="377"/>
      <c r="AF201" s="377"/>
      <c r="AG201" s="377"/>
      <c r="AH201" s="377"/>
      <c r="AI201" s="377"/>
      <c r="AJ201" s="377"/>
      <c r="AK201" s="377"/>
      <c r="AL201" s="377"/>
      <c r="AM201" s="377"/>
      <c r="AN201" s="377"/>
      <c r="AO201" s="377"/>
      <c r="AP201" s="377"/>
      <c r="AQ201" s="377"/>
      <c r="AR201" s="377"/>
      <c r="AS201" s="377"/>
      <c r="AT201" s="377"/>
      <c r="AU201" s="377"/>
      <c r="AV201" s="377"/>
      <c r="AW201" s="377"/>
      <c r="AX201" s="377"/>
      <c r="AY201" s="377"/>
      <c r="AZ201" s="377"/>
      <c r="BA201" s="377"/>
      <c r="BB201" s="377"/>
      <c r="BC201" s="377"/>
      <c r="BD201" s="377"/>
      <c r="BE201" s="377"/>
      <c r="BF201" s="377"/>
      <c r="BG201" s="377"/>
      <c r="BH201" s="377"/>
      <c r="BI201" s="377"/>
      <c r="BJ201" s="377"/>
      <c r="BK201" s="377"/>
      <c r="BL201" s="377"/>
      <c r="BM201" s="377"/>
      <c r="BN201" s="377"/>
      <c r="BO201" s="377"/>
      <c r="BP201" s="377"/>
      <c r="BQ201" s="377"/>
      <c r="BR201" s="377"/>
    </row>
    <row r="202" spans="1:70" outlineLevel="1">
      <c r="A202" s="374">
        <f t="shared" si="53"/>
        <v>0</v>
      </c>
      <c r="B202" s="359">
        <v>5202</v>
      </c>
      <c r="C202" s="359">
        <v>2</v>
      </c>
      <c r="D202" s="360" t="s">
        <v>906</v>
      </c>
      <c r="E202" s="360" t="s">
        <v>492</v>
      </c>
      <c r="F202" s="373" t="s">
        <v>454</v>
      </c>
      <c r="G202" s="360"/>
      <c r="H202" s="377"/>
      <c r="I202" s="537">
        <v>-4800000</v>
      </c>
      <c r="J202" s="546"/>
      <c r="K202" s="383"/>
      <c r="L202" s="383"/>
      <c r="M202" s="383"/>
      <c r="N202" s="383"/>
      <c r="O202" s="383"/>
      <c r="P202" s="383"/>
      <c r="Q202" s="383"/>
      <c r="R202" s="383"/>
      <c r="S202" s="377">
        <v>0</v>
      </c>
      <c r="T202" s="377">
        <v>0</v>
      </c>
      <c r="U202" s="377">
        <v>0</v>
      </c>
      <c r="V202" s="377">
        <v>0</v>
      </c>
      <c r="W202" s="377">
        <v>0</v>
      </c>
      <c r="X202" s="377">
        <v>0</v>
      </c>
      <c r="Y202" s="377">
        <v>0</v>
      </c>
      <c r="Z202" s="377">
        <v>-1440000</v>
      </c>
      <c r="AA202" s="377">
        <v>-3360000</v>
      </c>
      <c r="AB202" s="377">
        <v>0</v>
      </c>
      <c r="AC202" s="377"/>
      <c r="AD202" s="377"/>
      <c r="AE202" s="377"/>
      <c r="AF202" s="377"/>
      <c r="AG202" s="377"/>
      <c r="AH202" s="377"/>
      <c r="AI202" s="377"/>
      <c r="AJ202" s="377"/>
      <c r="AK202" s="377"/>
      <c r="AL202" s="377"/>
      <c r="AM202" s="377"/>
      <c r="AN202" s="377"/>
      <c r="AO202" s="377"/>
      <c r="AP202" s="377"/>
      <c r="AQ202" s="377"/>
      <c r="AR202" s="377"/>
      <c r="AS202" s="377"/>
      <c r="AT202" s="377"/>
      <c r="AU202" s="377"/>
      <c r="AV202" s="377"/>
      <c r="AW202" s="377"/>
      <c r="AX202" s="377"/>
      <c r="AY202" s="377"/>
      <c r="AZ202" s="377"/>
      <c r="BA202" s="377"/>
      <c r="BB202" s="377"/>
      <c r="BC202" s="377"/>
      <c r="BD202" s="377"/>
      <c r="BE202" s="377"/>
      <c r="BF202" s="377"/>
      <c r="BG202" s="377"/>
      <c r="BH202" s="377"/>
      <c r="BI202" s="377"/>
      <c r="BJ202" s="377"/>
      <c r="BK202" s="377"/>
      <c r="BL202" s="377"/>
      <c r="BM202" s="377"/>
      <c r="BN202" s="377"/>
      <c r="BO202" s="377"/>
      <c r="BP202" s="377"/>
      <c r="BQ202" s="377"/>
      <c r="BR202" s="377"/>
    </row>
    <row r="203" spans="1:70" outlineLevel="1">
      <c r="A203" s="374">
        <f t="shared" si="53"/>
        <v>0</v>
      </c>
      <c r="B203" s="359">
        <v>5202</v>
      </c>
      <c r="C203" s="359">
        <v>2</v>
      </c>
      <c r="D203" s="360" t="s">
        <v>919</v>
      </c>
      <c r="E203" s="360" t="s">
        <v>492</v>
      </c>
      <c r="F203" s="373" t="s">
        <v>454</v>
      </c>
      <c r="G203" s="360"/>
      <c r="H203" s="377"/>
      <c r="I203" s="537">
        <v>-7000000</v>
      </c>
      <c r="J203" s="546"/>
      <c r="K203" s="383"/>
      <c r="L203" s="383"/>
      <c r="M203" s="383"/>
      <c r="N203" s="383"/>
      <c r="O203" s="383"/>
      <c r="P203" s="383"/>
      <c r="Q203" s="383"/>
      <c r="R203" s="383"/>
      <c r="S203" s="377">
        <v>0</v>
      </c>
      <c r="T203" s="377">
        <v>0</v>
      </c>
      <c r="U203" s="377">
        <v>0</v>
      </c>
      <c r="V203" s="377">
        <v>0</v>
      </c>
      <c r="W203" s="377">
        <v>0</v>
      </c>
      <c r="X203" s="377">
        <v>0</v>
      </c>
      <c r="Y203" s="377">
        <v>0</v>
      </c>
      <c r="Z203" s="377">
        <v>-2500000</v>
      </c>
      <c r="AA203" s="377">
        <v>-4500000</v>
      </c>
      <c r="AB203" s="377">
        <v>0</v>
      </c>
      <c r="AC203" s="377"/>
      <c r="AD203" s="377"/>
      <c r="AE203" s="377"/>
      <c r="AF203" s="377"/>
      <c r="AG203" s="377"/>
      <c r="AH203" s="377"/>
      <c r="AI203" s="377"/>
      <c r="AJ203" s="377"/>
      <c r="AK203" s="377"/>
      <c r="AL203" s="377"/>
      <c r="AM203" s="377"/>
      <c r="AN203" s="377"/>
      <c r="AO203" s="377"/>
      <c r="AP203" s="377"/>
      <c r="AQ203" s="377"/>
      <c r="AR203" s="377"/>
      <c r="AS203" s="377"/>
      <c r="AT203" s="377"/>
      <c r="AU203" s="377"/>
      <c r="AV203" s="377"/>
      <c r="AW203" s="377"/>
      <c r="AX203" s="377"/>
      <c r="AY203" s="377"/>
      <c r="AZ203" s="377"/>
      <c r="BA203" s="377"/>
      <c r="BB203" s="377"/>
      <c r="BC203" s="377"/>
      <c r="BD203" s="377"/>
      <c r="BE203" s="377"/>
      <c r="BF203" s="377"/>
      <c r="BG203" s="377"/>
      <c r="BH203" s="377"/>
      <c r="BI203" s="377"/>
      <c r="BJ203" s="377"/>
      <c r="BK203" s="377"/>
      <c r="BL203" s="377"/>
      <c r="BM203" s="377"/>
      <c r="BN203" s="377"/>
      <c r="BO203" s="377"/>
      <c r="BP203" s="377"/>
      <c r="BQ203" s="377"/>
      <c r="BR203" s="377"/>
    </row>
    <row r="204" spans="1:70" outlineLevel="1">
      <c r="A204" s="374">
        <f t="shared" si="53"/>
        <v>0</v>
      </c>
      <c r="B204" s="359"/>
      <c r="C204" s="359"/>
      <c r="D204" s="360"/>
      <c r="E204" s="360"/>
      <c r="F204" s="373"/>
      <c r="G204" s="360"/>
      <c r="H204" s="377"/>
      <c r="I204" s="537"/>
      <c r="J204" s="546"/>
      <c r="K204" s="383"/>
      <c r="L204" s="383"/>
      <c r="M204" s="383"/>
      <c r="N204" s="383"/>
      <c r="O204" s="383"/>
      <c r="P204" s="383"/>
      <c r="Q204" s="383"/>
      <c r="R204" s="383"/>
      <c r="S204" s="377"/>
      <c r="T204" s="377"/>
      <c r="U204" s="377"/>
      <c r="V204" s="377"/>
      <c r="W204" s="377"/>
      <c r="X204" s="377"/>
      <c r="Y204" s="377"/>
      <c r="Z204" s="377"/>
      <c r="AA204" s="377"/>
      <c r="AB204" s="377"/>
      <c r="AC204" s="377"/>
      <c r="AD204" s="377"/>
      <c r="AE204" s="377"/>
      <c r="AF204" s="377"/>
      <c r="AG204" s="377"/>
      <c r="AH204" s="377"/>
      <c r="AI204" s="377"/>
      <c r="AJ204" s="377"/>
      <c r="AK204" s="377"/>
      <c r="AL204" s="377"/>
      <c r="AM204" s="377"/>
      <c r="AN204" s="377"/>
      <c r="AO204" s="377"/>
      <c r="AP204" s="377"/>
      <c r="AQ204" s="377"/>
      <c r="AR204" s="377"/>
      <c r="AS204" s="377"/>
      <c r="AT204" s="377"/>
      <c r="AU204" s="377"/>
      <c r="AV204" s="377"/>
      <c r="AW204" s="377"/>
      <c r="AX204" s="377"/>
      <c r="AY204" s="377"/>
      <c r="AZ204" s="377"/>
      <c r="BA204" s="377"/>
      <c r="BB204" s="377"/>
      <c r="BC204" s="377"/>
      <c r="BD204" s="377"/>
      <c r="BE204" s="377"/>
      <c r="BF204" s="377"/>
      <c r="BG204" s="377"/>
      <c r="BH204" s="377"/>
      <c r="BI204" s="377"/>
      <c r="BJ204" s="377"/>
      <c r="BK204" s="377"/>
      <c r="BL204" s="377"/>
      <c r="BM204" s="377"/>
      <c r="BN204" s="377"/>
      <c r="BO204" s="377"/>
      <c r="BP204" s="377"/>
      <c r="BQ204" s="377"/>
      <c r="BR204" s="377"/>
    </row>
    <row r="205" spans="1:70" outlineLevel="1">
      <c r="A205" s="374">
        <f t="shared" si="53"/>
        <v>0</v>
      </c>
      <c r="B205" s="359">
        <v>5202</v>
      </c>
      <c r="C205" s="359">
        <v>2</v>
      </c>
      <c r="D205" s="360" t="s">
        <v>907</v>
      </c>
      <c r="E205" s="360" t="s">
        <v>492</v>
      </c>
      <c r="F205" s="373" t="s">
        <v>454</v>
      </c>
      <c r="G205" s="360"/>
      <c r="H205" s="377"/>
      <c r="I205" s="537">
        <v>-7000000</v>
      </c>
      <c r="J205" s="546"/>
      <c r="K205" s="383"/>
      <c r="L205" s="383"/>
      <c r="M205" s="383"/>
      <c r="N205" s="383"/>
      <c r="O205" s="383"/>
      <c r="P205" s="383"/>
      <c r="Q205" s="383"/>
      <c r="R205" s="383"/>
      <c r="S205" s="377">
        <v>0</v>
      </c>
      <c r="T205" s="377">
        <v>0</v>
      </c>
      <c r="U205" s="377">
        <v>0</v>
      </c>
      <c r="V205" s="377">
        <v>0</v>
      </c>
      <c r="W205" s="377">
        <v>0</v>
      </c>
      <c r="X205" s="377">
        <v>0</v>
      </c>
      <c r="Y205" s="377">
        <v>0</v>
      </c>
      <c r="Z205" s="377">
        <v>-2500000</v>
      </c>
      <c r="AA205" s="377">
        <v>-4500000</v>
      </c>
      <c r="AB205" s="377">
        <v>0</v>
      </c>
      <c r="AC205" s="377"/>
      <c r="AD205" s="377"/>
      <c r="AE205" s="377"/>
      <c r="AF205" s="377"/>
      <c r="AG205" s="377"/>
      <c r="AH205" s="377"/>
      <c r="AI205" s="377"/>
      <c r="AJ205" s="377"/>
      <c r="AK205" s="377"/>
      <c r="AL205" s="377"/>
      <c r="AM205" s="377"/>
      <c r="AN205" s="377"/>
      <c r="AO205" s="377"/>
      <c r="AP205" s="377"/>
      <c r="AQ205" s="377"/>
      <c r="AR205" s="377"/>
      <c r="AS205" s="377"/>
      <c r="AT205" s="377"/>
      <c r="AU205" s="377"/>
      <c r="AV205" s="377"/>
      <c r="AW205" s="377"/>
      <c r="AX205" s="377"/>
      <c r="AY205" s="377"/>
      <c r="AZ205" s="377"/>
      <c r="BA205" s="377"/>
      <c r="BB205" s="377"/>
      <c r="BC205" s="377"/>
      <c r="BD205" s="377"/>
      <c r="BE205" s="377"/>
      <c r="BF205" s="377"/>
      <c r="BG205" s="377"/>
      <c r="BH205" s="377"/>
      <c r="BI205" s="377"/>
      <c r="BJ205" s="377"/>
      <c r="BK205" s="377"/>
      <c r="BL205" s="377"/>
      <c r="BM205" s="377"/>
      <c r="BN205" s="377"/>
      <c r="BO205" s="377"/>
      <c r="BP205" s="377"/>
      <c r="BQ205" s="377"/>
      <c r="BR205" s="377"/>
    </row>
    <row r="206" spans="1:70" outlineLevel="1">
      <c r="A206" s="374">
        <f t="shared" si="53"/>
        <v>0</v>
      </c>
      <c r="B206" s="359">
        <v>5202</v>
      </c>
      <c r="C206" s="359">
        <v>2</v>
      </c>
      <c r="D206" s="360" t="s">
        <v>908</v>
      </c>
      <c r="E206" s="360" t="s">
        <v>492</v>
      </c>
      <c r="F206" s="373" t="s">
        <v>454</v>
      </c>
      <c r="G206" s="360"/>
      <c r="H206" s="377"/>
      <c r="I206" s="537">
        <v>-7000000</v>
      </c>
      <c r="J206" s="546"/>
      <c r="K206" s="383"/>
      <c r="L206" s="383"/>
      <c r="M206" s="383"/>
      <c r="N206" s="383"/>
      <c r="O206" s="383"/>
      <c r="P206" s="383"/>
      <c r="Q206" s="383"/>
      <c r="R206" s="383"/>
      <c r="S206" s="377">
        <v>0</v>
      </c>
      <c r="T206" s="377">
        <v>0</v>
      </c>
      <c r="U206" s="377">
        <v>0</v>
      </c>
      <c r="V206" s="377">
        <v>0</v>
      </c>
      <c r="W206" s="377">
        <v>0</v>
      </c>
      <c r="X206" s="377">
        <v>0</v>
      </c>
      <c r="Y206" s="377">
        <v>0</v>
      </c>
      <c r="Z206" s="377">
        <v>-2500000</v>
      </c>
      <c r="AA206" s="377">
        <v>-4500000</v>
      </c>
      <c r="AB206" s="377">
        <v>0</v>
      </c>
      <c r="AC206" s="377"/>
      <c r="AD206" s="377"/>
      <c r="AE206" s="377"/>
      <c r="AF206" s="377"/>
      <c r="AG206" s="377"/>
      <c r="AH206" s="377"/>
      <c r="AI206" s="377"/>
      <c r="AJ206" s="377"/>
      <c r="AK206" s="377"/>
      <c r="AL206" s="377"/>
      <c r="AM206" s="377"/>
      <c r="AN206" s="377"/>
      <c r="AO206" s="377"/>
      <c r="AP206" s="377"/>
      <c r="AQ206" s="377"/>
      <c r="AR206" s="377"/>
      <c r="AS206" s="377"/>
      <c r="AT206" s="377"/>
      <c r="AU206" s="377"/>
      <c r="AV206" s="377"/>
      <c r="AW206" s="377"/>
      <c r="AX206" s="377"/>
      <c r="AY206" s="377"/>
      <c r="AZ206" s="377"/>
      <c r="BA206" s="377"/>
      <c r="BB206" s="377"/>
      <c r="BC206" s="377"/>
      <c r="BD206" s="377"/>
      <c r="BE206" s="377"/>
      <c r="BF206" s="377"/>
      <c r="BG206" s="377"/>
      <c r="BH206" s="377"/>
      <c r="BI206" s="377"/>
      <c r="BJ206" s="377"/>
      <c r="BK206" s="377"/>
      <c r="BL206" s="377"/>
      <c r="BM206" s="377"/>
      <c r="BN206" s="377"/>
      <c r="BO206" s="377"/>
      <c r="BP206" s="377"/>
      <c r="BQ206" s="377"/>
      <c r="BR206" s="377"/>
    </row>
    <row r="207" spans="1:70" outlineLevel="1">
      <c r="A207" s="374">
        <f t="shared" si="53"/>
        <v>0</v>
      </c>
      <c r="B207" s="359">
        <v>5202</v>
      </c>
      <c r="C207" s="359">
        <v>2</v>
      </c>
      <c r="D207" s="360" t="s">
        <v>909</v>
      </c>
      <c r="E207" s="360" t="s">
        <v>492</v>
      </c>
      <c r="F207" s="373" t="s">
        <v>454</v>
      </c>
      <c r="G207" s="360"/>
      <c r="H207" s="377"/>
      <c r="I207" s="537">
        <v>-7000000</v>
      </c>
      <c r="J207" s="546"/>
      <c r="K207" s="383"/>
      <c r="L207" s="383"/>
      <c r="M207" s="383"/>
      <c r="N207" s="383"/>
      <c r="O207" s="383"/>
      <c r="P207" s="383"/>
      <c r="Q207" s="383"/>
      <c r="R207" s="383"/>
      <c r="S207" s="377">
        <v>0</v>
      </c>
      <c r="T207" s="377">
        <v>0</v>
      </c>
      <c r="U207" s="377">
        <v>0</v>
      </c>
      <c r="V207" s="377">
        <v>0</v>
      </c>
      <c r="W207" s="377">
        <v>0</v>
      </c>
      <c r="X207" s="377">
        <v>0</v>
      </c>
      <c r="Y207" s="377">
        <v>0</v>
      </c>
      <c r="Z207" s="377">
        <v>-2500000</v>
      </c>
      <c r="AA207" s="377">
        <v>-4500000</v>
      </c>
      <c r="AB207" s="377">
        <v>0</v>
      </c>
      <c r="AC207" s="377"/>
      <c r="AD207" s="377"/>
      <c r="AE207" s="377"/>
      <c r="AF207" s="377"/>
      <c r="AG207" s="377"/>
      <c r="AH207" s="377"/>
      <c r="AI207" s="377"/>
      <c r="AJ207" s="377"/>
      <c r="AK207" s="377"/>
      <c r="AL207" s="377"/>
      <c r="AM207" s="377"/>
      <c r="AN207" s="377"/>
      <c r="AO207" s="377"/>
      <c r="AP207" s="377"/>
      <c r="AQ207" s="377"/>
      <c r="AR207" s="377"/>
      <c r="AS207" s="377"/>
      <c r="AT207" s="377"/>
      <c r="AU207" s="377"/>
      <c r="AV207" s="377"/>
      <c r="AW207" s="377"/>
      <c r="AX207" s="377"/>
      <c r="AY207" s="377"/>
      <c r="AZ207" s="377"/>
      <c r="BA207" s="377"/>
      <c r="BB207" s="377"/>
      <c r="BC207" s="377"/>
      <c r="BD207" s="377"/>
      <c r="BE207" s="377"/>
      <c r="BF207" s="377"/>
      <c r="BG207" s="377"/>
      <c r="BH207" s="377"/>
      <c r="BI207" s="377"/>
      <c r="BJ207" s="377"/>
      <c r="BK207" s="377"/>
      <c r="BL207" s="377"/>
      <c r="BM207" s="377"/>
      <c r="BN207" s="377"/>
      <c r="BO207" s="377"/>
      <c r="BP207" s="377"/>
      <c r="BQ207" s="377"/>
      <c r="BR207" s="377"/>
    </row>
    <row r="208" spans="1:70" outlineLevel="1">
      <c r="A208" s="374">
        <f t="shared" si="53"/>
        <v>0</v>
      </c>
      <c r="B208" s="359">
        <v>5202</v>
      </c>
      <c r="C208" s="359">
        <v>2</v>
      </c>
      <c r="D208" s="360" t="s">
        <v>910</v>
      </c>
      <c r="E208" s="360" t="s">
        <v>492</v>
      </c>
      <c r="F208" s="373" t="s">
        <v>454</v>
      </c>
      <c r="G208" s="360"/>
      <c r="H208" s="377"/>
      <c r="I208" s="537">
        <v>-7000000</v>
      </c>
      <c r="J208" s="546"/>
      <c r="K208" s="383"/>
      <c r="L208" s="383"/>
      <c r="M208" s="383"/>
      <c r="N208" s="383"/>
      <c r="O208" s="383"/>
      <c r="P208" s="383"/>
      <c r="Q208" s="383"/>
      <c r="R208" s="383"/>
      <c r="S208" s="377">
        <v>0</v>
      </c>
      <c r="T208" s="377">
        <v>0</v>
      </c>
      <c r="U208" s="377">
        <v>0</v>
      </c>
      <c r="V208" s="377">
        <v>0</v>
      </c>
      <c r="W208" s="377">
        <v>0</v>
      </c>
      <c r="X208" s="377">
        <v>0</v>
      </c>
      <c r="Y208" s="377">
        <v>0</v>
      </c>
      <c r="Z208" s="377">
        <v>-2500000</v>
      </c>
      <c r="AA208" s="377">
        <v>-4500000</v>
      </c>
      <c r="AB208" s="377">
        <v>0</v>
      </c>
      <c r="AC208" s="377"/>
      <c r="AD208" s="377"/>
      <c r="AE208" s="377"/>
      <c r="AF208" s="377"/>
      <c r="AG208" s="377"/>
      <c r="AH208" s="377"/>
      <c r="AI208" s="377"/>
      <c r="AJ208" s="377"/>
      <c r="AK208" s="377"/>
      <c r="AL208" s="377"/>
      <c r="AM208" s="377"/>
      <c r="AN208" s="377"/>
      <c r="AO208" s="377"/>
      <c r="AP208" s="377"/>
      <c r="AQ208" s="377"/>
      <c r="AR208" s="377"/>
      <c r="AS208" s="377"/>
      <c r="AT208" s="377"/>
      <c r="AU208" s="377"/>
      <c r="AV208" s="377"/>
      <c r="AW208" s="377"/>
      <c r="AX208" s="377"/>
      <c r="AY208" s="377"/>
      <c r="AZ208" s="377"/>
      <c r="BA208" s="377"/>
      <c r="BB208" s="377"/>
      <c r="BC208" s="377"/>
      <c r="BD208" s="377"/>
      <c r="BE208" s="377"/>
      <c r="BF208" s="377"/>
      <c r="BG208" s="377"/>
      <c r="BH208" s="377"/>
      <c r="BI208" s="377"/>
      <c r="BJ208" s="377"/>
      <c r="BK208" s="377"/>
      <c r="BL208" s="377"/>
      <c r="BM208" s="377"/>
      <c r="BN208" s="377"/>
      <c r="BO208" s="377"/>
      <c r="BP208" s="377"/>
      <c r="BQ208" s="377"/>
      <c r="BR208" s="377"/>
    </row>
    <row r="209" spans="1:70" outlineLevel="1">
      <c r="A209" s="374">
        <f t="shared" si="53"/>
        <v>0</v>
      </c>
      <c r="B209" s="359"/>
      <c r="C209" s="359"/>
      <c r="D209" s="360"/>
      <c r="E209" s="360"/>
      <c r="F209" s="373"/>
      <c r="G209" s="360"/>
      <c r="H209" s="377"/>
      <c r="I209" s="537"/>
      <c r="J209" s="546"/>
      <c r="K209" s="383"/>
      <c r="L209" s="383"/>
      <c r="M209" s="383"/>
      <c r="N209" s="383"/>
      <c r="O209" s="383"/>
      <c r="P209" s="383"/>
      <c r="Q209" s="383"/>
      <c r="R209" s="383"/>
      <c r="S209" s="377"/>
      <c r="T209" s="377"/>
      <c r="U209" s="377"/>
      <c r="V209" s="377"/>
      <c r="W209" s="377"/>
      <c r="X209" s="377"/>
      <c r="Y209" s="377"/>
      <c r="Z209" s="377"/>
      <c r="AA209" s="377"/>
      <c r="AB209" s="377"/>
      <c r="AC209" s="377"/>
      <c r="AD209" s="377"/>
      <c r="AE209" s="377"/>
      <c r="AF209" s="377"/>
      <c r="AG209" s="377"/>
      <c r="AH209" s="377"/>
      <c r="AI209" s="377"/>
      <c r="AJ209" s="377"/>
      <c r="AK209" s="377"/>
      <c r="AL209" s="377"/>
      <c r="AM209" s="377"/>
      <c r="AN209" s="377"/>
      <c r="AO209" s="377"/>
      <c r="AP209" s="377"/>
      <c r="AQ209" s="377"/>
      <c r="AR209" s="377"/>
      <c r="AS209" s="377"/>
      <c r="AT209" s="377"/>
      <c r="AU209" s="377"/>
      <c r="AV209" s="377"/>
      <c r="AW209" s="377"/>
      <c r="AX209" s="377"/>
      <c r="AY209" s="377"/>
      <c r="AZ209" s="377"/>
      <c r="BA209" s="377"/>
      <c r="BB209" s="377"/>
      <c r="BC209" s="377"/>
      <c r="BD209" s="377"/>
      <c r="BE209" s="377"/>
      <c r="BF209" s="377"/>
      <c r="BG209" s="377"/>
      <c r="BH209" s="377"/>
      <c r="BI209" s="377"/>
      <c r="BJ209" s="377"/>
      <c r="BK209" s="377"/>
      <c r="BL209" s="377"/>
      <c r="BM209" s="377"/>
      <c r="BN209" s="377"/>
      <c r="BO209" s="377"/>
      <c r="BP209" s="377"/>
      <c r="BQ209" s="377"/>
      <c r="BR209" s="377"/>
    </row>
    <row r="210" spans="1:70" outlineLevel="1">
      <c r="A210" s="374">
        <f t="shared" si="53"/>
        <v>0</v>
      </c>
      <c r="B210" s="359"/>
      <c r="C210" s="359"/>
      <c r="D210" s="360"/>
      <c r="E210" s="360"/>
      <c r="F210" s="373"/>
      <c r="G210" s="360"/>
      <c r="H210" s="377"/>
      <c r="I210" s="537"/>
      <c r="J210" s="546"/>
      <c r="K210" s="383"/>
      <c r="L210" s="383"/>
      <c r="M210" s="383"/>
      <c r="N210" s="383"/>
      <c r="O210" s="383"/>
      <c r="P210" s="383"/>
      <c r="Q210" s="383"/>
      <c r="R210" s="383"/>
      <c r="S210" s="377"/>
      <c r="T210" s="377"/>
      <c r="U210" s="377"/>
      <c r="V210" s="377"/>
      <c r="W210" s="377"/>
      <c r="X210" s="377"/>
      <c r="Y210" s="377"/>
      <c r="Z210" s="377"/>
      <c r="AA210" s="377"/>
      <c r="AB210" s="377"/>
      <c r="AC210" s="377"/>
      <c r="AD210" s="377"/>
      <c r="AE210" s="377"/>
      <c r="AF210" s="377"/>
      <c r="AG210" s="377"/>
      <c r="AH210" s="377"/>
      <c r="AI210" s="377"/>
      <c r="AJ210" s="377"/>
      <c r="AK210" s="377"/>
      <c r="AL210" s="377"/>
      <c r="AM210" s="377"/>
      <c r="AN210" s="377"/>
      <c r="AO210" s="377"/>
      <c r="AP210" s="377"/>
      <c r="AQ210" s="377"/>
      <c r="AR210" s="377"/>
      <c r="AS210" s="377"/>
      <c r="AT210" s="377"/>
      <c r="AU210" s="377"/>
      <c r="AV210" s="377"/>
      <c r="AW210" s="377"/>
      <c r="AX210" s="377"/>
      <c r="AY210" s="377"/>
      <c r="AZ210" s="377"/>
      <c r="BA210" s="377"/>
      <c r="BB210" s="377"/>
      <c r="BC210" s="377"/>
      <c r="BD210" s="377"/>
      <c r="BE210" s="377"/>
      <c r="BF210" s="377"/>
      <c r="BG210" s="377"/>
      <c r="BH210" s="377"/>
      <c r="BI210" s="377"/>
      <c r="BJ210" s="377"/>
      <c r="BK210" s="377"/>
      <c r="BL210" s="377"/>
      <c r="BM210" s="377"/>
      <c r="BN210" s="377"/>
      <c r="BO210" s="377"/>
      <c r="BP210" s="377"/>
      <c r="BQ210" s="377"/>
      <c r="BR210" s="377"/>
    </row>
    <row r="211" spans="1:70" outlineLevel="1">
      <c r="A211" s="374">
        <f t="shared" si="53"/>
        <v>0</v>
      </c>
      <c r="B211" s="359"/>
      <c r="C211" s="359"/>
      <c r="D211" s="360"/>
      <c r="E211" s="360"/>
      <c r="F211" s="373"/>
      <c r="G211" s="360"/>
      <c r="H211" s="377"/>
      <c r="I211" s="537"/>
      <c r="J211" s="546"/>
      <c r="K211" s="383"/>
      <c r="L211" s="383"/>
      <c r="M211" s="383"/>
      <c r="N211" s="383"/>
      <c r="O211" s="383"/>
      <c r="P211" s="383"/>
      <c r="Q211" s="383"/>
      <c r="R211" s="383"/>
      <c r="S211" s="377"/>
      <c r="T211" s="377"/>
      <c r="U211" s="377"/>
      <c r="V211" s="377"/>
      <c r="W211" s="377"/>
      <c r="X211" s="377"/>
      <c r="Y211" s="377"/>
      <c r="Z211" s="377"/>
      <c r="AA211" s="377"/>
      <c r="AB211" s="377"/>
      <c r="AC211" s="377"/>
      <c r="AD211" s="377"/>
      <c r="AE211" s="377"/>
      <c r="AF211" s="377"/>
      <c r="AG211" s="377"/>
      <c r="AH211" s="377"/>
      <c r="AI211" s="377"/>
      <c r="AJ211" s="377"/>
      <c r="AK211" s="377"/>
      <c r="AL211" s="377"/>
      <c r="AM211" s="377"/>
      <c r="AN211" s="377"/>
      <c r="AO211" s="377"/>
      <c r="AP211" s="377"/>
      <c r="AQ211" s="377"/>
      <c r="AR211" s="377"/>
      <c r="AS211" s="377"/>
      <c r="AT211" s="377"/>
      <c r="AU211" s="377"/>
      <c r="AV211" s="377"/>
      <c r="AW211" s="377"/>
      <c r="AX211" s="377"/>
      <c r="AY211" s="377"/>
      <c r="AZ211" s="377"/>
      <c r="BA211" s="377"/>
      <c r="BB211" s="377"/>
      <c r="BC211" s="377"/>
      <c r="BD211" s="377"/>
      <c r="BE211" s="377"/>
      <c r="BF211" s="377"/>
      <c r="BG211" s="377"/>
      <c r="BH211" s="377"/>
      <c r="BI211" s="377"/>
      <c r="BJ211" s="377"/>
      <c r="BK211" s="377"/>
      <c r="BL211" s="377"/>
      <c r="BM211" s="377"/>
      <c r="BN211" s="377"/>
      <c r="BO211" s="377"/>
      <c r="BP211" s="377"/>
      <c r="BQ211" s="377"/>
      <c r="BR211" s="377"/>
    </row>
    <row r="212" spans="1:70" outlineLevel="1">
      <c r="A212" s="374">
        <f t="shared" si="53"/>
        <v>0</v>
      </c>
      <c r="B212" s="359">
        <v>5203</v>
      </c>
      <c r="C212" s="359">
        <v>2</v>
      </c>
      <c r="D212" s="360" t="s">
        <v>940</v>
      </c>
      <c r="E212" s="360" t="s">
        <v>492</v>
      </c>
      <c r="F212" s="366" t="s">
        <v>461</v>
      </c>
      <c r="G212" s="367">
        <f>SUM(I212:I222)/'DB2'!$G$18</f>
        <v>-2820.6566947792858</v>
      </c>
      <c r="H212" s="377"/>
      <c r="I212" s="540">
        <f>'DB1'!$G$18*-2400-SUMIFS($I$213:$I$222,$C$213:$C$222,$C$212)</f>
        <v>-45683640</v>
      </c>
      <c r="J212" s="546"/>
      <c r="K212" s="383"/>
      <c r="L212" s="383"/>
      <c r="M212" s="383"/>
      <c r="N212" s="383"/>
      <c r="O212" s="383"/>
      <c r="P212" s="383"/>
      <c r="Q212" s="383"/>
      <c r="R212" s="383"/>
      <c r="S212" s="377">
        <f>$I212*'TS2'!N$25</f>
        <v>0</v>
      </c>
      <c r="T212" s="377">
        <f>$I212*'TS2'!O$25</f>
        <v>0</v>
      </c>
      <c r="U212" s="377">
        <f>$I212*'TS2'!P$25</f>
        <v>0</v>
      </c>
      <c r="V212" s="377">
        <f>$I212*'TS2'!Q$25</f>
        <v>0</v>
      </c>
      <c r="W212" s="377">
        <f>$I212*'TS2'!R$25</f>
        <v>0</v>
      </c>
      <c r="X212" s="377">
        <f>$I212*'TS2'!S$25</f>
        <v>0</v>
      </c>
      <c r="Y212" s="377">
        <f>$I212*'TS2'!T$25</f>
        <v>0</v>
      </c>
      <c r="Z212" s="377">
        <f>$I212*'TS2'!U$25</f>
        <v>0</v>
      </c>
      <c r="AA212" s="377">
        <f>$I212*'TS2'!V$25</f>
        <v>0</v>
      </c>
      <c r="AB212" s="377">
        <f>$I212*'TS2'!W$25</f>
        <v>0</v>
      </c>
      <c r="AC212" s="377">
        <f>$I212*'TS2'!X$25</f>
        <v>-3806970</v>
      </c>
      <c r="AD212" s="377">
        <f>$I212*'TS2'!Y$25</f>
        <v>-3806970</v>
      </c>
      <c r="AE212" s="377">
        <f>$I212*'TS2'!Z$25</f>
        <v>-3806970</v>
      </c>
      <c r="AF212" s="377">
        <f>$I212*'TS2'!AA$25</f>
        <v>-3806970</v>
      </c>
      <c r="AG212" s="377">
        <f>$I212*'TS2'!AB$25</f>
        <v>-3806970</v>
      </c>
      <c r="AH212" s="377">
        <f>$I212*'TS2'!AC$25</f>
        <v>-3806970</v>
      </c>
      <c r="AI212" s="377">
        <f>$I212*'TS2'!AD$25</f>
        <v>-3806970</v>
      </c>
      <c r="AJ212" s="377">
        <f>$I212*'TS2'!AE$25</f>
        <v>-3806970</v>
      </c>
      <c r="AK212" s="377">
        <f>$I212*'TS2'!AF$25</f>
        <v>-3806970</v>
      </c>
      <c r="AL212" s="377">
        <f>$I212*'TS2'!AG$25</f>
        <v>-3806970</v>
      </c>
      <c r="AM212" s="377">
        <f>$I212*'TS2'!AH$25</f>
        <v>-3806970</v>
      </c>
      <c r="AN212" s="377">
        <f>$I212*'TS2'!AI$25</f>
        <v>-3806970</v>
      </c>
      <c r="AO212" s="377">
        <f>$I212*'TS2'!AJ$25</f>
        <v>0</v>
      </c>
      <c r="AP212" s="377">
        <f>$I212*'TS2'!AK$25</f>
        <v>0</v>
      </c>
      <c r="AQ212" s="377">
        <f>$I212*'TS2'!AL$25</f>
        <v>0</v>
      </c>
      <c r="AR212" s="377">
        <f>$I212*'TS2'!AM$25</f>
        <v>0</v>
      </c>
      <c r="AS212" s="377">
        <f>$I212*'TS2'!AN$25</f>
        <v>0</v>
      </c>
      <c r="AT212" s="377">
        <f>$I212*'TS2'!AO$25</f>
        <v>0</v>
      </c>
      <c r="AU212" s="377">
        <f>$I212*'TS2'!AP$25</f>
        <v>0</v>
      </c>
      <c r="AV212" s="377">
        <f>$I212*'TS2'!AQ$25</f>
        <v>0</v>
      </c>
      <c r="AW212" s="377">
        <f>$I212*'TS2'!AR$25</f>
        <v>0</v>
      </c>
      <c r="AX212" s="377">
        <f>$I212*'TS2'!AS$25</f>
        <v>0</v>
      </c>
      <c r="AY212" s="377">
        <f>$I212*'TS2'!AT$25</f>
        <v>0</v>
      </c>
      <c r="AZ212" s="377">
        <f>$I212*'TS2'!AU$25</f>
        <v>0</v>
      </c>
      <c r="BA212" s="377">
        <f>$I212*'TS2'!AV$25</f>
        <v>0</v>
      </c>
      <c r="BB212" s="377">
        <f>$I212*'TS2'!AW$25</f>
        <v>0</v>
      </c>
      <c r="BC212" s="377">
        <f>$I212*'TS2'!AX$25</f>
        <v>0</v>
      </c>
      <c r="BD212" s="377">
        <f>$I212*'TS2'!AY$25</f>
        <v>0</v>
      </c>
      <c r="BE212" s="377">
        <f>$I212*'TS2'!AZ$25</f>
        <v>0</v>
      </c>
      <c r="BF212" s="377">
        <f>$I212*'TS2'!BA$25</f>
        <v>0</v>
      </c>
      <c r="BG212" s="377">
        <f>$I212*'TS2'!BB$25</f>
        <v>0</v>
      </c>
      <c r="BH212" s="377">
        <f>$I212*'TS2'!BC$25</f>
        <v>0</v>
      </c>
      <c r="BI212" s="377">
        <f>$I212*'TS2'!BD$25</f>
        <v>0</v>
      </c>
      <c r="BJ212" s="377">
        <f>$I212*'TS2'!BE$25</f>
        <v>0</v>
      </c>
      <c r="BK212" s="377">
        <f>$I212*'TS2'!BF$25</f>
        <v>0</v>
      </c>
      <c r="BL212" s="377">
        <f>$I212*'TS2'!BG$25</f>
        <v>0</v>
      </c>
      <c r="BM212" s="377">
        <f>$I212*'TS2'!BH$25</f>
        <v>0</v>
      </c>
      <c r="BN212" s="377">
        <f>$I212*'TS2'!BI$25</f>
        <v>0</v>
      </c>
      <c r="BO212" s="377">
        <f>$I212*'TS2'!BJ$25</f>
        <v>0</v>
      </c>
      <c r="BP212" s="377">
        <f>$I212*'TS2'!BK$25</f>
        <v>0</v>
      </c>
      <c r="BQ212" s="377">
        <f>$I212*'TS2'!BL$25</f>
        <v>0</v>
      </c>
      <c r="BR212" s="377">
        <f>$I212*'TS2'!BM$25</f>
        <v>0</v>
      </c>
    </row>
    <row r="213" spans="1:70" outlineLevel="1">
      <c r="A213" s="374">
        <f t="shared" si="53"/>
        <v>0</v>
      </c>
      <c r="B213" s="359"/>
      <c r="C213" s="359"/>
      <c r="D213" s="360"/>
      <c r="E213" s="360"/>
      <c r="F213" s="373"/>
      <c r="G213" s="360"/>
      <c r="H213" s="377"/>
      <c r="I213" s="537"/>
      <c r="J213" s="546"/>
      <c r="K213" s="383"/>
      <c r="L213" s="383"/>
      <c r="M213" s="383"/>
      <c r="N213" s="383"/>
      <c r="O213" s="383"/>
      <c r="P213" s="383"/>
      <c r="Q213" s="383"/>
      <c r="R213" s="383"/>
      <c r="S213" s="377"/>
      <c r="T213" s="377"/>
      <c r="U213" s="377"/>
      <c r="V213" s="377"/>
      <c r="W213" s="377"/>
      <c r="X213" s="377"/>
      <c r="Y213" s="377"/>
      <c r="Z213" s="377"/>
      <c r="AA213" s="377"/>
      <c r="AB213" s="377"/>
      <c r="AC213" s="377"/>
      <c r="AD213" s="377"/>
      <c r="AE213" s="377"/>
      <c r="AF213" s="377"/>
      <c r="AG213" s="377"/>
      <c r="AH213" s="377"/>
      <c r="AI213" s="377"/>
      <c r="AJ213" s="377"/>
      <c r="AK213" s="377"/>
      <c r="AL213" s="377"/>
      <c r="AM213" s="377"/>
      <c r="AN213" s="377"/>
      <c r="AO213" s="377"/>
      <c r="AP213" s="377"/>
      <c r="AQ213" s="377"/>
      <c r="AR213" s="377"/>
      <c r="AS213" s="377"/>
      <c r="AT213" s="377"/>
      <c r="AU213" s="377"/>
      <c r="AV213" s="377"/>
      <c r="AW213" s="377"/>
      <c r="AX213" s="377"/>
      <c r="AY213" s="377"/>
      <c r="AZ213" s="377"/>
      <c r="BA213" s="377"/>
      <c r="BB213" s="377"/>
      <c r="BC213" s="377"/>
      <c r="BD213" s="377"/>
      <c r="BE213" s="377"/>
      <c r="BF213" s="377"/>
      <c r="BG213" s="377"/>
      <c r="BH213" s="377"/>
      <c r="BI213" s="377"/>
      <c r="BJ213" s="377"/>
      <c r="BK213" s="377"/>
      <c r="BL213" s="377"/>
      <c r="BM213" s="377"/>
      <c r="BN213" s="377"/>
      <c r="BO213" s="377"/>
      <c r="BP213" s="377"/>
      <c r="BQ213" s="377"/>
      <c r="BR213" s="377"/>
    </row>
    <row r="214" spans="1:70" outlineLevel="1">
      <c r="A214" s="374">
        <f t="shared" si="53"/>
        <v>0</v>
      </c>
      <c r="B214" s="359">
        <v>5203</v>
      </c>
      <c r="C214" s="359">
        <v>2</v>
      </c>
      <c r="D214" s="360" t="s">
        <v>923</v>
      </c>
      <c r="E214" s="360" t="s">
        <v>492</v>
      </c>
      <c r="F214" s="373" t="s">
        <v>454</v>
      </c>
      <c r="G214" s="360"/>
      <c r="H214" s="377"/>
      <c r="I214" s="537">
        <v>-7200000</v>
      </c>
      <c r="J214" s="546"/>
      <c r="K214" s="383"/>
      <c r="L214" s="383"/>
      <c r="M214" s="383"/>
      <c r="N214" s="383"/>
      <c r="O214" s="383"/>
      <c r="P214" s="383"/>
      <c r="Q214" s="383"/>
      <c r="R214" s="383"/>
      <c r="S214" s="377">
        <v>0</v>
      </c>
      <c r="T214" s="377">
        <v>0</v>
      </c>
      <c r="U214" s="377">
        <v>0</v>
      </c>
      <c r="V214" s="377">
        <v>0</v>
      </c>
      <c r="W214" s="377">
        <v>0</v>
      </c>
      <c r="X214" s="377">
        <v>0</v>
      </c>
      <c r="Y214" s="377">
        <v>0</v>
      </c>
      <c r="Z214" s="377">
        <v>0</v>
      </c>
      <c r="AA214" s="377">
        <v>-7200000</v>
      </c>
      <c r="AB214" s="377"/>
      <c r="AC214" s="377"/>
      <c r="AD214" s="377"/>
      <c r="AE214" s="377"/>
      <c r="AF214" s="377"/>
      <c r="AG214" s="377"/>
      <c r="AH214" s="377"/>
      <c r="AI214" s="377"/>
      <c r="AJ214" s="377"/>
      <c r="AK214" s="377"/>
      <c r="AL214" s="377"/>
      <c r="AM214" s="377"/>
      <c r="AN214" s="377"/>
      <c r="AO214" s="377"/>
      <c r="AP214" s="377"/>
      <c r="AQ214" s="377"/>
      <c r="AR214" s="377"/>
      <c r="AS214" s="377"/>
      <c r="AT214" s="377"/>
      <c r="AU214" s="377"/>
      <c r="AV214" s="377"/>
      <c r="AW214" s="377"/>
      <c r="AX214" s="377"/>
      <c r="AY214" s="377"/>
      <c r="AZ214" s="377"/>
      <c r="BA214" s="377"/>
      <c r="BB214" s="377"/>
      <c r="BC214" s="377"/>
      <c r="BD214" s="377"/>
      <c r="BE214" s="377"/>
      <c r="BF214" s="377"/>
      <c r="BG214" s="377"/>
      <c r="BH214" s="377"/>
      <c r="BI214" s="377"/>
      <c r="BJ214" s="377"/>
      <c r="BK214" s="377"/>
      <c r="BL214" s="377"/>
      <c r="BM214" s="377"/>
      <c r="BN214" s="377"/>
      <c r="BO214" s="377"/>
      <c r="BP214" s="377"/>
      <c r="BQ214" s="377"/>
      <c r="BR214" s="377"/>
    </row>
    <row r="215" spans="1:70" outlineLevel="1">
      <c r="A215" s="374">
        <f t="shared" si="53"/>
        <v>0</v>
      </c>
      <c r="B215" s="359">
        <v>5203</v>
      </c>
      <c r="C215" s="359">
        <v>2</v>
      </c>
      <c r="D215" s="360" t="s">
        <v>924</v>
      </c>
      <c r="E215" s="360" t="s">
        <v>492</v>
      </c>
      <c r="F215" s="373" t="s">
        <v>454</v>
      </c>
      <c r="G215" s="360"/>
      <c r="H215" s="377"/>
      <c r="I215" s="537">
        <v>-12000000</v>
      </c>
      <c r="J215" s="546"/>
      <c r="K215" s="383"/>
      <c r="L215" s="383"/>
      <c r="M215" s="383"/>
      <c r="N215" s="383"/>
      <c r="O215" s="383"/>
      <c r="P215" s="383"/>
      <c r="Q215" s="383"/>
      <c r="R215" s="383"/>
      <c r="S215" s="377">
        <v>0</v>
      </c>
      <c r="T215" s="377">
        <v>0</v>
      </c>
      <c r="U215" s="377">
        <v>0</v>
      </c>
      <c r="V215" s="377">
        <v>0</v>
      </c>
      <c r="W215" s="377">
        <v>0</v>
      </c>
      <c r="X215" s="377">
        <v>0</v>
      </c>
      <c r="Y215" s="377">
        <v>0</v>
      </c>
      <c r="Z215" s="377">
        <v>0</v>
      </c>
      <c r="AA215" s="377">
        <v>-12000000</v>
      </c>
      <c r="AB215" s="377"/>
      <c r="AC215" s="377"/>
      <c r="AD215" s="377"/>
      <c r="AE215" s="377"/>
      <c r="AF215" s="377"/>
      <c r="AG215" s="377"/>
      <c r="AH215" s="377"/>
      <c r="AI215" s="377"/>
      <c r="AJ215" s="377"/>
      <c r="AK215" s="377"/>
      <c r="AL215" s="377"/>
      <c r="AM215" s="377"/>
      <c r="AN215" s="377"/>
      <c r="AO215" s="377"/>
      <c r="AP215" s="377"/>
      <c r="AQ215" s="377"/>
      <c r="AR215" s="377"/>
      <c r="AS215" s="377"/>
      <c r="AT215" s="377"/>
      <c r="AU215" s="377"/>
      <c r="AV215" s="377"/>
      <c r="AW215" s="377"/>
      <c r="AX215" s="377"/>
      <c r="AY215" s="377"/>
      <c r="AZ215" s="377"/>
      <c r="BA215" s="377"/>
      <c r="BB215" s="377"/>
      <c r="BC215" s="377"/>
      <c r="BD215" s="377"/>
      <c r="BE215" s="377"/>
      <c r="BF215" s="377"/>
      <c r="BG215" s="377"/>
      <c r="BH215" s="377"/>
      <c r="BI215" s="377"/>
      <c r="BJ215" s="377"/>
      <c r="BK215" s="377"/>
      <c r="BL215" s="377"/>
      <c r="BM215" s="377"/>
      <c r="BN215" s="377"/>
      <c r="BO215" s="377"/>
      <c r="BP215" s="377"/>
      <c r="BQ215" s="377"/>
      <c r="BR215" s="377"/>
    </row>
    <row r="216" spans="1:70" outlineLevel="1">
      <c r="A216" s="374">
        <f t="shared" si="53"/>
        <v>0</v>
      </c>
      <c r="B216" s="359">
        <v>5203</v>
      </c>
      <c r="C216" s="359">
        <v>2</v>
      </c>
      <c r="D216" s="360" t="s">
        <v>925</v>
      </c>
      <c r="E216" s="360" t="s">
        <v>492</v>
      </c>
      <c r="F216" s="373" t="s">
        <v>454</v>
      </c>
      <c r="G216" s="360"/>
      <c r="H216" s="377"/>
      <c r="I216" s="537">
        <v>-7200000</v>
      </c>
      <c r="J216" s="546"/>
      <c r="K216" s="383"/>
      <c r="L216" s="383"/>
      <c r="M216" s="383"/>
      <c r="N216" s="383"/>
      <c r="O216" s="383"/>
      <c r="P216" s="383"/>
      <c r="Q216" s="383"/>
      <c r="R216" s="383"/>
      <c r="S216" s="377">
        <v>0</v>
      </c>
      <c r="T216" s="377">
        <v>0</v>
      </c>
      <c r="U216" s="377">
        <v>0</v>
      </c>
      <c r="V216" s="377">
        <v>0</v>
      </c>
      <c r="W216" s="377">
        <v>0</v>
      </c>
      <c r="X216" s="377">
        <v>-2200000</v>
      </c>
      <c r="Y216" s="377">
        <v>-5000000</v>
      </c>
      <c r="Z216" s="377">
        <v>0</v>
      </c>
      <c r="AA216" s="377">
        <v>0</v>
      </c>
      <c r="AB216" s="377"/>
      <c r="AC216" s="377"/>
      <c r="AD216" s="377"/>
      <c r="AE216" s="377"/>
      <c r="AF216" s="377"/>
      <c r="AG216" s="377"/>
      <c r="AH216" s="377"/>
      <c r="AI216" s="377"/>
      <c r="AJ216" s="377"/>
      <c r="AK216" s="377"/>
      <c r="AL216" s="377"/>
      <c r="AM216" s="377"/>
      <c r="AN216" s="377"/>
      <c r="AO216" s="377"/>
      <c r="AP216" s="377"/>
      <c r="AQ216" s="377"/>
      <c r="AR216" s="377"/>
      <c r="AS216" s="377"/>
      <c r="AT216" s="377"/>
      <c r="AU216" s="377"/>
      <c r="AV216" s="377"/>
      <c r="AW216" s="377"/>
      <c r="AX216" s="377"/>
      <c r="AY216" s="377"/>
      <c r="AZ216" s="377"/>
      <c r="BA216" s="377"/>
      <c r="BB216" s="377"/>
      <c r="BC216" s="377"/>
      <c r="BD216" s="377"/>
      <c r="BE216" s="377"/>
      <c r="BF216" s="377"/>
      <c r="BG216" s="377"/>
      <c r="BH216" s="377"/>
      <c r="BI216" s="377"/>
      <c r="BJ216" s="377"/>
      <c r="BK216" s="377"/>
      <c r="BL216" s="377"/>
      <c r="BM216" s="377"/>
      <c r="BN216" s="377"/>
      <c r="BO216" s="377"/>
      <c r="BP216" s="377"/>
      <c r="BQ216" s="377"/>
      <c r="BR216" s="377"/>
    </row>
    <row r="217" spans="1:70" outlineLevel="1">
      <c r="A217" s="374">
        <f t="shared" si="53"/>
        <v>0</v>
      </c>
      <c r="B217" s="359">
        <v>5203</v>
      </c>
      <c r="C217" s="359">
        <v>2</v>
      </c>
      <c r="D217" s="360" t="s">
        <v>926</v>
      </c>
      <c r="E217" s="360" t="s">
        <v>492</v>
      </c>
      <c r="F217" s="373" t="s">
        <v>454</v>
      </c>
      <c r="G217" s="360"/>
      <c r="H217" s="377"/>
      <c r="I217" s="537">
        <v>-7200000</v>
      </c>
      <c r="J217" s="546"/>
      <c r="K217" s="383"/>
      <c r="L217" s="383"/>
      <c r="M217" s="383"/>
      <c r="N217" s="383"/>
      <c r="O217" s="383"/>
      <c r="P217" s="383"/>
      <c r="Q217" s="383"/>
      <c r="R217" s="383"/>
      <c r="S217" s="377">
        <v>0</v>
      </c>
      <c r="T217" s="377">
        <v>0</v>
      </c>
      <c r="U217" s="377">
        <v>0</v>
      </c>
      <c r="V217" s="377">
        <v>0</v>
      </c>
      <c r="W217" s="377">
        <v>0</v>
      </c>
      <c r="X217" s="377">
        <v>0</v>
      </c>
      <c r="Y217" s="377">
        <v>0</v>
      </c>
      <c r="Z217" s="377">
        <v>-7200000</v>
      </c>
      <c r="AA217" s="377">
        <v>0</v>
      </c>
      <c r="AB217" s="377"/>
      <c r="AC217" s="377"/>
      <c r="AD217" s="377"/>
      <c r="AE217" s="377"/>
      <c r="AF217" s="377"/>
      <c r="AG217" s="377"/>
      <c r="AH217" s="377"/>
      <c r="AI217" s="377"/>
      <c r="AJ217" s="377"/>
      <c r="AK217" s="377"/>
      <c r="AL217" s="377"/>
      <c r="AM217" s="377"/>
      <c r="AN217" s="377"/>
      <c r="AO217" s="377"/>
      <c r="AP217" s="377"/>
      <c r="AQ217" s="377"/>
      <c r="AR217" s="377"/>
      <c r="AS217" s="377"/>
      <c r="AT217" s="377"/>
      <c r="AU217" s="377"/>
      <c r="AV217" s="377"/>
      <c r="AW217" s="377"/>
      <c r="AX217" s="377"/>
      <c r="AY217" s="377"/>
      <c r="AZ217" s="377"/>
      <c r="BA217" s="377"/>
      <c r="BB217" s="377"/>
      <c r="BC217" s="377"/>
      <c r="BD217" s="377"/>
      <c r="BE217" s="377"/>
      <c r="BF217" s="377"/>
      <c r="BG217" s="377"/>
      <c r="BH217" s="377"/>
      <c r="BI217" s="377"/>
      <c r="BJ217" s="377"/>
      <c r="BK217" s="377"/>
      <c r="BL217" s="377"/>
      <c r="BM217" s="377"/>
      <c r="BN217" s="377"/>
      <c r="BO217" s="377"/>
      <c r="BP217" s="377"/>
      <c r="BQ217" s="377"/>
      <c r="BR217" s="377"/>
    </row>
    <row r="218" spans="1:70" outlineLevel="1">
      <c r="A218" s="374">
        <f t="shared" si="53"/>
        <v>0</v>
      </c>
      <c r="B218" s="359">
        <v>5203</v>
      </c>
      <c r="C218" s="359">
        <v>2</v>
      </c>
      <c r="D218" s="360" t="s">
        <v>978</v>
      </c>
      <c r="E218" s="360" t="s">
        <v>492</v>
      </c>
      <c r="F218" s="373" t="s">
        <v>454</v>
      </c>
      <c r="G218" s="360">
        <f>I218/'DB2'!G18</f>
        <v>-2000</v>
      </c>
      <c r="H218" s="377"/>
      <c r="I218" s="537">
        <f>'DB2'!$G$18*-2000</f>
        <v>-193219992</v>
      </c>
      <c r="J218" s="546"/>
      <c r="K218" s="383"/>
      <c r="L218" s="383"/>
      <c r="M218" s="383"/>
      <c r="N218" s="383"/>
      <c r="O218" s="383"/>
      <c r="P218" s="383"/>
      <c r="Q218" s="383"/>
      <c r="R218" s="383"/>
      <c r="S218" s="377">
        <f>$I218*'TS2'!N$25</f>
        <v>0</v>
      </c>
      <c r="T218" s="377">
        <f>$I218*'TS2'!O$25</f>
        <v>0</v>
      </c>
      <c r="U218" s="377">
        <f>$I218*'TS2'!P$25</f>
        <v>0</v>
      </c>
      <c r="V218" s="377">
        <f>$I218*'TS2'!Q$25</f>
        <v>0</v>
      </c>
      <c r="W218" s="377">
        <f>$I218*'TS2'!R$25</f>
        <v>0</v>
      </c>
      <c r="X218" s="377">
        <f>$I218*'TS2'!S$25</f>
        <v>0</v>
      </c>
      <c r="Y218" s="377">
        <f>$I218*'TS2'!T$25</f>
        <v>0</v>
      </c>
      <c r="Z218" s="377">
        <f>$I218*'TS2'!U$25</f>
        <v>0</v>
      </c>
      <c r="AA218" s="377">
        <f>$I218*'TS2'!V$25</f>
        <v>0</v>
      </c>
      <c r="AB218" s="377">
        <f>$I218*'TS2'!W$25</f>
        <v>0</v>
      </c>
      <c r="AC218" s="377">
        <f>$I218*'TS2'!X$25</f>
        <v>-16101666</v>
      </c>
      <c r="AD218" s="377">
        <f>$I218*'TS2'!Y$25</f>
        <v>-16101666</v>
      </c>
      <c r="AE218" s="377">
        <f>$I218*'TS2'!Z$25</f>
        <v>-16101666</v>
      </c>
      <c r="AF218" s="377">
        <f>$I218*'TS2'!AA$25</f>
        <v>-16101666</v>
      </c>
      <c r="AG218" s="377">
        <f>$I218*'TS2'!AB$25</f>
        <v>-16101666</v>
      </c>
      <c r="AH218" s="377">
        <f>$I218*'TS2'!AC$25</f>
        <v>-16101666</v>
      </c>
      <c r="AI218" s="377">
        <f>$I218*'TS2'!AD$25</f>
        <v>-16101666</v>
      </c>
      <c r="AJ218" s="377">
        <f>$I218*'TS2'!AE$25</f>
        <v>-16101666</v>
      </c>
      <c r="AK218" s="377">
        <f>$I218*'TS2'!AF$25</f>
        <v>-16101666</v>
      </c>
      <c r="AL218" s="377">
        <f>$I218*'TS2'!AG$25</f>
        <v>-16101666</v>
      </c>
      <c r="AM218" s="377">
        <f>$I218*'TS2'!AH$25</f>
        <v>-16101666</v>
      </c>
      <c r="AN218" s="377">
        <f>$I218*'TS2'!AI$25</f>
        <v>-16101666</v>
      </c>
      <c r="AO218" s="377">
        <f>$I218*'TS2'!AJ$25</f>
        <v>0</v>
      </c>
      <c r="AP218" s="377">
        <f>$I218*'TS2'!AK$25</f>
        <v>0</v>
      </c>
      <c r="AQ218" s="377">
        <f>$I218*'TS2'!AL$25</f>
        <v>0</v>
      </c>
      <c r="AR218" s="377">
        <f>$I218*'TS2'!AM$25</f>
        <v>0</v>
      </c>
      <c r="AS218" s="377">
        <f>$I218*'TS2'!AN$25</f>
        <v>0</v>
      </c>
      <c r="AT218" s="377">
        <f>$I218*'TS2'!AO$25</f>
        <v>0</v>
      </c>
      <c r="AU218" s="377">
        <f>$I218*'TS2'!AP$25</f>
        <v>0</v>
      </c>
      <c r="AV218" s="377">
        <f>$I218*'TS2'!AQ$25</f>
        <v>0</v>
      </c>
      <c r="AW218" s="377">
        <f>$I218*'TS2'!AR$25</f>
        <v>0</v>
      </c>
      <c r="AX218" s="377">
        <f>$I218*'TS2'!AS$25</f>
        <v>0</v>
      </c>
      <c r="AY218" s="377">
        <f>$I218*'TS2'!AT$25</f>
        <v>0</v>
      </c>
      <c r="AZ218" s="377">
        <f>$I218*'TS2'!AU$25</f>
        <v>0</v>
      </c>
      <c r="BA218" s="377">
        <f>$I218*'TS2'!AV$25</f>
        <v>0</v>
      </c>
      <c r="BB218" s="377">
        <f>$I218*'TS2'!AW$25</f>
        <v>0</v>
      </c>
      <c r="BC218" s="377">
        <f>$I218*'TS2'!AX$25</f>
        <v>0</v>
      </c>
      <c r="BD218" s="377">
        <f>$I218*'TS2'!AY$25</f>
        <v>0</v>
      </c>
      <c r="BE218" s="377">
        <f>$I218*'TS2'!AZ$25</f>
        <v>0</v>
      </c>
      <c r="BF218" s="377">
        <f>$I218*'TS2'!BA$25</f>
        <v>0</v>
      </c>
      <c r="BG218" s="377">
        <f>$I218*'TS2'!BB$25</f>
        <v>0</v>
      </c>
      <c r="BH218" s="377">
        <f>$I218*'TS2'!BC$25</f>
        <v>0</v>
      </c>
      <c r="BI218" s="377">
        <f>$I218*'TS2'!BD$25</f>
        <v>0</v>
      </c>
      <c r="BJ218" s="377">
        <f>$I218*'TS2'!BE$25</f>
        <v>0</v>
      </c>
      <c r="BK218" s="377">
        <f>$I218*'TS2'!BF$25</f>
        <v>0</v>
      </c>
      <c r="BL218" s="377">
        <f>$I218*'TS2'!BG$25</f>
        <v>0</v>
      </c>
      <c r="BM218" s="377">
        <f>$I218*'TS2'!BH$25</f>
        <v>0</v>
      </c>
      <c r="BN218" s="377">
        <f>$I218*'TS2'!BI$25</f>
        <v>0</v>
      </c>
      <c r="BO218" s="377">
        <f>$I218*'TS2'!BJ$25</f>
        <v>0</v>
      </c>
      <c r="BP218" s="377">
        <f>$I218*'TS2'!BK$25</f>
        <v>0</v>
      </c>
      <c r="BQ218" s="377">
        <f>$I218*'TS2'!BL$25</f>
        <v>0</v>
      </c>
      <c r="BR218" s="377">
        <f>$I218*'TS2'!BM$25</f>
        <v>0</v>
      </c>
    </row>
    <row r="219" spans="1:70" outlineLevel="1">
      <c r="A219" s="374">
        <f t="shared" si="53"/>
        <v>0</v>
      </c>
      <c r="B219" s="359"/>
      <c r="C219" s="359"/>
      <c r="D219" s="360"/>
      <c r="E219" s="360"/>
      <c r="F219" s="373"/>
      <c r="G219" s="360"/>
      <c r="H219" s="377"/>
      <c r="I219" s="537"/>
      <c r="J219" s="546"/>
      <c r="K219" s="383"/>
      <c r="L219" s="383"/>
      <c r="M219" s="383"/>
      <c r="N219" s="383"/>
      <c r="O219" s="383"/>
      <c r="P219" s="383"/>
      <c r="Q219" s="383"/>
      <c r="R219" s="383"/>
      <c r="S219" s="377"/>
      <c r="T219" s="377"/>
      <c r="U219" s="377"/>
      <c r="V219" s="377"/>
      <c r="W219" s="377"/>
      <c r="X219" s="377"/>
      <c r="Y219" s="377"/>
      <c r="Z219" s="377"/>
      <c r="AA219" s="377"/>
      <c r="AB219" s="377"/>
      <c r="AC219" s="377"/>
      <c r="AD219" s="377"/>
      <c r="AE219" s="377"/>
      <c r="AF219" s="377"/>
      <c r="AG219" s="377"/>
      <c r="AH219" s="377"/>
      <c r="AI219" s="377"/>
      <c r="AJ219" s="377"/>
      <c r="AK219" s="377"/>
      <c r="AL219" s="377"/>
      <c r="AM219" s="377"/>
      <c r="AN219" s="377"/>
      <c r="AO219" s="377"/>
      <c r="AP219" s="377"/>
      <c r="AQ219" s="377"/>
      <c r="AR219" s="377"/>
      <c r="AS219" s="377"/>
      <c r="AT219" s="377"/>
      <c r="AU219" s="377"/>
      <c r="AV219" s="377"/>
      <c r="AW219" s="377"/>
      <c r="AX219" s="377"/>
      <c r="AY219" s="377"/>
      <c r="AZ219" s="377"/>
      <c r="BA219" s="377"/>
      <c r="BB219" s="377"/>
      <c r="BC219" s="377"/>
      <c r="BD219" s="377"/>
      <c r="BE219" s="377"/>
      <c r="BF219" s="377"/>
      <c r="BG219" s="377"/>
      <c r="BH219" s="377"/>
      <c r="BI219" s="377"/>
      <c r="BJ219" s="377"/>
      <c r="BK219" s="377"/>
      <c r="BL219" s="377"/>
      <c r="BM219" s="377"/>
      <c r="BN219" s="377"/>
      <c r="BO219" s="377"/>
      <c r="BP219" s="377"/>
      <c r="BQ219" s="377"/>
      <c r="BR219" s="377"/>
    </row>
    <row r="220" spans="1:70" outlineLevel="1">
      <c r="A220" s="374">
        <f t="shared" si="53"/>
        <v>0</v>
      </c>
      <c r="B220" s="359"/>
      <c r="C220" s="359"/>
      <c r="D220" s="360"/>
      <c r="E220" s="360"/>
      <c r="F220" s="373"/>
      <c r="G220" s="360"/>
      <c r="H220" s="377"/>
      <c r="I220" s="537"/>
      <c r="J220" s="546"/>
      <c r="K220" s="383"/>
      <c r="L220" s="383"/>
      <c r="M220" s="383"/>
      <c r="N220" s="383"/>
      <c r="O220" s="383"/>
      <c r="P220" s="383"/>
      <c r="Q220" s="383"/>
      <c r="R220" s="383"/>
      <c r="S220" s="377"/>
      <c r="T220" s="377"/>
      <c r="U220" s="377"/>
      <c r="V220" s="377"/>
      <c r="W220" s="377"/>
      <c r="X220" s="377"/>
      <c r="Y220" s="377"/>
      <c r="Z220" s="377"/>
      <c r="AA220" s="377"/>
      <c r="AB220" s="377"/>
      <c r="AC220" s="377"/>
      <c r="AD220" s="377"/>
      <c r="AE220" s="377"/>
      <c r="AF220" s="377"/>
      <c r="AG220" s="377"/>
      <c r="AH220" s="377"/>
      <c r="AI220" s="377"/>
      <c r="AJ220" s="377"/>
      <c r="AK220" s="377"/>
      <c r="AL220" s="377"/>
      <c r="AM220" s="377"/>
      <c r="AN220" s="377"/>
      <c r="AO220" s="377"/>
      <c r="AP220" s="377"/>
      <c r="AQ220" s="377"/>
      <c r="AR220" s="377"/>
      <c r="AS220" s="377"/>
      <c r="AT220" s="377"/>
      <c r="AU220" s="377"/>
      <c r="AV220" s="377"/>
      <c r="AW220" s="377"/>
      <c r="AX220" s="377"/>
      <c r="AY220" s="377"/>
      <c r="AZ220" s="377"/>
      <c r="BA220" s="377"/>
      <c r="BB220" s="377"/>
      <c r="BC220" s="377"/>
      <c r="BD220" s="377"/>
      <c r="BE220" s="377"/>
      <c r="BF220" s="377"/>
      <c r="BG220" s="377"/>
      <c r="BH220" s="377"/>
      <c r="BI220" s="377"/>
      <c r="BJ220" s="377"/>
      <c r="BK220" s="377"/>
      <c r="BL220" s="377"/>
      <c r="BM220" s="377"/>
      <c r="BN220" s="377"/>
      <c r="BO220" s="377"/>
      <c r="BP220" s="377"/>
      <c r="BQ220" s="377"/>
      <c r="BR220" s="377"/>
    </row>
    <row r="221" spans="1:70" outlineLevel="1">
      <c r="A221" s="374">
        <f t="shared" si="53"/>
        <v>0</v>
      </c>
      <c r="B221" s="359"/>
      <c r="C221" s="359"/>
      <c r="D221" s="360"/>
      <c r="E221" s="360"/>
      <c r="F221" s="373"/>
      <c r="G221" s="360"/>
      <c r="H221" s="377"/>
      <c r="I221" s="537"/>
      <c r="J221" s="546"/>
      <c r="K221" s="383"/>
      <c r="L221" s="383"/>
      <c r="M221" s="383"/>
      <c r="N221" s="383"/>
      <c r="O221" s="383"/>
      <c r="P221" s="383"/>
      <c r="Q221" s="383"/>
      <c r="R221" s="383"/>
      <c r="S221" s="377"/>
      <c r="T221" s="377"/>
      <c r="U221" s="377"/>
      <c r="V221" s="377"/>
      <c r="W221" s="377"/>
      <c r="X221" s="377"/>
      <c r="Y221" s="377"/>
      <c r="Z221" s="377"/>
      <c r="AA221" s="377"/>
      <c r="AB221" s="377"/>
      <c r="AC221" s="377"/>
      <c r="AD221" s="377"/>
      <c r="AE221" s="377"/>
      <c r="AF221" s="377"/>
      <c r="AG221" s="377"/>
      <c r="AH221" s="377"/>
      <c r="AI221" s="377"/>
      <c r="AJ221" s="377"/>
      <c r="AK221" s="377"/>
      <c r="AL221" s="377"/>
      <c r="AM221" s="377"/>
      <c r="AN221" s="377"/>
      <c r="AO221" s="377"/>
      <c r="AP221" s="377"/>
      <c r="AQ221" s="377"/>
      <c r="AR221" s="377"/>
      <c r="AS221" s="377"/>
      <c r="AT221" s="377"/>
      <c r="AU221" s="377"/>
      <c r="AV221" s="377"/>
      <c r="AW221" s="377"/>
      <c r="AX221" s="377"/>
      <c r="AY221" s="377"/>
      <c r="AZ221" s="377"/>
      <c r="BA221" s="377"/>
      <c r="BB221" s="377"/>
      <c r="BC221" s="377"/>
      <c r="BD221" s="377"/>
      <c r="BE221" s="377"/>
      <c r="BF221" s="377"/>
      <c r="BG221" s="377"/>
      <c r="BH221" s="377"/>
      <c r="BI221" s="377"/>
      <c r="BJ221" s="377"/>
      <c r="BK221" s="377"/>
      <c r="BL221" s="377"/>
      <c r="BM221" s="377"/>
      <c r="BN221" s="377"/>
      <c r="BO221" s="377"/>
      <c r="BP221" s="377"/>
      <c r="BQ221" s="377"/>
      <c r="BR221" s="377"/>
    </row>
    <row r="222" spans="1:70" outlineLevel="1">
      <c r="A222" s="374">
        <f t="shared" si="53"/>
        <v>0</v>
      </c>
      <c r="B222" s="359"/>
      <c r="C222" s="359"/>
      <c r="D222" s="360"/>
      <c r="E222" s="360"/>
      <c r="F222" s="373"/>
      <c r="G222" s="360"/>
      <c r="H222" s="377"/>
      <c r="I222" s="537"/>
      <c r="J222" s="546"/>
      <c r="K222" s="383"/>
      <c r="L222" s="383"/>
      <c r="M222" s="383"/>
      <c r="N222" s="383"/>
      <c r="O222" s="383"/>
      <c r="P222" s="383"/>
      <c r="Q222" s="383"/>
      <c r="R222" s="383"/>
      <c r="S222" s="377"/>
      <c r="T222" s="377"/>
      <c r="U222" s="377"/>
      <c r="V222" s="377"/>
      <c r="W222" s="377"/>
      <c r="X222" s="377"/>
      <c r="Y222" s="377"/>
      <c r="Z222" s="377"/>
      <c r="AA222" s="377"/>
      <c r="AB222" s="377"/>
      <c r="AC222" s="377"/>
      <c r="AD222" s="377"/>
      <c r="AE222" s="377"/>
      <c r="AF222" s="377"/>
      <c r="AG222" s="377"/>
      <c r="AH222" s="377"/>
      <c r="AI222" s="377"/>
      <c r="AJ222" s="377"/>
      <c r="AK222" s="377"/>
      <c r="AL222" s="377"/>
      <c r="AM222" s="377"/>
      <c r="AN222" s="377"/>
      <c r="AO222" s="377"/>
      <c r="AP222" s="377"/>
      <c r="AQ222" s="377"/>
      <c r="AR222" s="377"/>
      <c r="AS222" s="377"/>
      <c r="AT222" s="377"/>
      <c r="AU222" s="377"/>
      <c r="AV222" s="377"/>
      <c r="AW222" s="377"/>
      <c r="AX222" s="377"/>
      <c r="AY222" s="377"/>
      <c r="AZ222" s="377"/>
      <c r="BA222" s="377"/>
      <c r="BB222" s="377"/>
      <c r="BC222" s="377"/>
      <c r="BD222" s="377"/>
      <c r="BE222" s="377"/>
      <c r="BF222" s="377"/>
      <c r="BG222" s="377"/>
      <c r="BH222" s="377"/>
      <c r="BI222" s="377"/>
      <c r="BJ222" s="377"/>
      <c r="BK222" s="377"/>
      <c r="BL222" s="377"/>
      <c r="BM222" s="377"/>
      <c r="BN222" s="377"/>
      <c r="BO222" s="377"/>
      <c r="BP222" s="377"/>
      <c r="BQ222" s="377"/>
      <c r="BR222" s="377"/>
    </row>
    <row r="223" spans="1:70" s="353" customFormat="1" outlineLevel="1">
      <c r="A223" s="374">
        <f t="shared" si="53"/>
        <v>0</v>
      </c>
      <c r="B223" s="363">
        <v>5312</v>
      </c>
      <c r="C223" s="363"/>
      <c r="D223" s="364" t="s">
        <v>429</v>
      </c>
      <c r="E223" s="364"/>
      <c r="F223" s="364"/>
      <c r="G223" s="364"/>
      <c r="H223" s="378">
        <f t="shared" ref="H223:AM223" si="78">SUM(H224:H263)</f>
        <v>0</v>
      </c>
      <c r="I223" s="538">
        <f t="shared" si="78"/>
        <v>-210153176</v>
      </c>
      <c r="J223" s="547">
        <f t="shared" si="78"/>
        <v>0</v>
      </c>
      <c r="K223" s="378">
        <f t="shared" si="78"/>
        <v>0</v>
      </c>
      <c r="L223" s="378">
        <f t="shared" si="78"/>
        <v>0</v>
      </c>
      <c r="M223" s="378">
        <f t="shared" si="78"/>
        <v>0</v>
      </c>
      <c r="N223" s="378">
        <f t="shared" si="78"/>
        <v>0</v>
      </c>
      <c r="O223" s="378">
        <f t="shared" si="78"/>
        <v>0</v>
      </c>
      <c r="P223" s="378">
        <f t="shared" si="78"/>
        <v>0</v>
      </c>
      <c r="Q223" s="378">
        <f t="shared" si="78"/>
        <v>0</v>
      </c>
      <c r="R223" s="378">
        <f t="shared" si="78"/>
        <v>0</v>
      </c>
      <c r="S223" s="378">
        <f t="shared" si="78"/>
        <v>-10844764.800000001</v>
      </c>
      <c r="T223" s="378">
        <f t="shared" si="78"/>
        <v>-23868764.800000001</v>
      </c>
      <c r="U223" s="378">
        <f t="shared" si="78"/>
        <v>-10658764.800000001</v>
      </c>
      <c r="V223" s="378">
        <f t="shared" si="78"/>
        <v>-26538764.800000001</v>
      </c>
      <c r="W223" s="378">
        <f t="shared" si="78"/>
        <v>-16698764.800000001</v>
      </c>
      <c r="X223" s="378">
        <f t="shared" si="78"/>
        <v>-18898764.800000001</v>
      </c>
      <c r="Y223" s="378">
        <f t="shared" si="78"/>
        <v>-4622632.3000000007</v>
      </c>
      <c r="Z223" s="378">
        <f t="shared" si="78"/>
        <v>-5822632.3000000007</v>
      </c>
      <c r="AA223" s="378">
        <f t="shared" si="78"/>
        <v>-30782632.300000001</v>
      </c>
      <c r="AB223" s="378">
        <f t="shared" si="78"/>
        <v>-19022632.300000001</v>
      </c>
      <c r="AC223" s="378">
        <f t="shared" si="78"/>
        <v>-4171549</v>
      </c>
      <c r="AD223" s="378">
        <f t="shared" si="78"/>
        <v>-4171549</v>
      </c>
      <c r="AE223" s="378">
        <f t="shared" si="78"/>
        <v>-4171549</v>
      </c>
      <c r="AF223" s="378">
        <f t="shared" si="78"/>
        <v>-4171549</v>
      </c>
      <c r="AG223" s="378">
        <f t="shared" si="78"/>
        <v>-4171549</v>
      </c>
      <c r="AH223" s="378">
        <f t="shared" si="78"/>
        <v>-4171549</v>
      </c>
      <c r="AI223" s="378">
        <f t="shared" si="78"/>
        <v>-4171549</v>
      </c>
      <c r="AJ223" s="378">
        <f t="shared" si="78"/>
        <v>-4171549</v>
      </c>
      <c r="AK223" s="378">
        <f t="shared" si="78"/>
        <v>-2255416.5</v>
      </c>
      <c r="AL223" s="378">
        <f t="shared" si="78"/>
        <v>-2255416.5</v>
      </c>
      <c r="AM223" s="378">
        <f t="shared" si="78"/>
        <v>-2255416.5</v>
      </c>
      <c r="AN223" s="378">
        <f t="shared" ref="AN223:BR223" si="79">SUM(AN224:AN263)</f>
        <v>-2255416.5</v>
      </c>
      <c r="AO223" s="378">
        <f t="shared" si="79"/>
        <v>0</v>
      </c>
      <c r="AP223" s="378">
        <f t="shared" si="79"/>
        <v>0</v>
      </c>
      <c r="AQ223" s="378">
        <f t="shared" si="79"/>
        <v>0</v>
      </c>
      <c r="AR223" s="378">
        <f t="shared" si="79"/>
        <v>0</v>
      </c>
      <c r="AS223" s="378">
        <f t="shared" si="79"/>
        <v>0</v>
      </c>
      <c r="AT223" s="378">
        <f t="shared" si="79"/>
        <v>0</v>
      </c>
      <c r="AU223" s="378">
        <f t="shared" si="79"/>
        <v>0</v>
      </c>
      <c r="AV223" s="378">
        <f t="shared" si="79"/>
        <v>0</v>
      </c>
      <c r="AW223" s="378">
        <f t="shared" si="79"/>
        <v>0</v>
      </c>
      <c r="AX223" s="378">
        <f t="shared" si="79"/>
        <v>0</v>
      </c>
      <c r="AY223" s="378">
        <f t="shared" si="79"/>
        <v>0</v>
      </c>
      <c r="AZ223" s="378">
        <f t="shared" si="79"/>
        <v>0</v>
      </c>
      <c r="BA223" s="378">
        <f t="shared" si="79"/>
        <v>0</v>
      </c>
      <c r="BB223" s="378">
        <f t="shared" si="79"/>
        <v>0</v>
      </c>
      <c r="BC223" s="378">
        <f t="shared" si="79"/>
        <v>0</v>
      </c>
      <c r="BD223" s="378">
        <f t="shared" si="79"/>
        <v>0</v>
      </c>
      <c r="BE223" s="378">
        <f t="shared" si="79"/>
        <v>0</v>
      </c>
      <c r="BF223" s="378">
        <f t="shared" si="79"/>
        <v>0</v>
      </c>
      <c r="BG223" s="378">
        <f t="shared" si="79"/>
        <v>0</v>
      </c>
      <c r="BH223" s="378">
        <f t="shared" si="79"/>
        <v>0</v>
      </c>
      <c r="BI223" s="378">
        <f t="shared" si="79"/>
        <v>0</v>
      </c>
      <c r="BJ223" s="378">
        <f t="shared" si="79"/>
        <v>0</v>
      </c>
      <c r="BK223" s="378">
        <f t="shared" si="79"/>
        <v>0</v>
      </c>
      <c r="BL223" s="378">
        <f t="shared" si="79"/>
        <v>0</v>
      </c>
      <c r="BM223" s="378">
        <f t="shared" si="79"/>
        <v>0</v>
      </c>
      <c r="BN223" s="378">
        <f t="shared" si="79"/>
        <v>0</v>
      </c>
      <c r="BO223" s="378">
        <f t="shared" si="79"/>
        <v>0</v>
      </c>
      <c r="BP223" s="378">
        <f t="shared" si="79"/>
        <v>0</v>
      </c>
      <c r="BQ223" s="378">
        <f t="shared" si="79"/>
        <v>0</v>
      </c>
      <c r="BR223" s="378">
        <f t="shared" si="79"/>
        <v>0</v>
      </c>
    </row>
    <row r="224" spans="1:70" outlineLevel="1">
      <c r="A224" s="374">
        <f t="shared" si="53"/>
        <v>0</v>
      </c>
      <c r="B224" s="359">
        <v>5312</v>
      </c>
      <c r="C224" s="359">
        <v>1</v>
      </c>
      <c r="D224" s="360" t="s">
        <v>946</v>
      </c>
      <c r="E224" s="360" t="s">
        <v>492</v>
      </c>
      <c r="F224" s="555" t="s">
        <v>461</v>
      </c>
      <c r="G224" s="360"/>
      <c r="H224" s="377"/>
      <c r="I224" s="540">
        <f>'DB1'!$G$18*-'DB1'!$F$32-SUMIFS($I$225:$I$248,$C$225:$C$248,$C$224)</f>
        <v>-45987180</v>
      </c>
      <c r="J224" s="546"/>
      <c r="K224" s="383"/>
      <c r="L224" s="383"/>
      <c r="M224" s="383"/>
      <c r="N224" s="383"/>
      <c r="O224" s="383"/>
      <c r="P224" s="383"/>
      <c r="Q224" s="383"/>
      <c r="R224" s="383"/>
      <c r="S224" s="377">
        <f>$I224*'TS1'!N$22</f>
        <v>-3832265</v>
      </c>
      <c r="T224" s="377">
        <f>$I224*'TS1'!O$22</f>
        <v>-3832265</v>
      </c>
      <c r="U224" s="377">
        <f>$I224*'TS1'!P$22</f>
        <v>-3832265</v>
      </c>
      <c r="V224" s="377">
        <f>$I224*'TS1'!Q$22</f>
        <v>-3832265</v>
      </c>
      <c r="W224" s="377">
        <f>$I224*'TS1'!R$22</f>
        <v>-3832265</v>
      </c>
      <c r="X224" s="377">
        <f>$I224*'TS1'!S$22</f>
        <v>-3832265</v>
      </c>
      <c r="Y224" s="377">
        <f>$I224*'TS1'!T$22</f>
        <v>-1916132.5</v>
      </c>
      <c r="Z224" s="377">
        <f>$I224*'TS1'!U$22</f>
        <v>-1916132.5</v>
      </c>
      <c r="AA224" s="377">
        <f>$I224*'TS1'!V$22</f>
        <v>-1916132.5</v>
      </c>
      <c r="AB224" s="377">
        <f>$I224*'TS1'!W$22</f>
        <v>-1916132.5</v>
      </c>
      <c r="AC224" s="377">
        <f>$I224*'TS1'!X$22</f>
        <v>-1916132.5</v>
      </c>
      <c r="AD224" s="377">
        <f>$I224*'TS1'!Y$22</f>
        <v>-1916132.5</v>
      </c>
      <c r="AE224" s="377">
        <f>$I224*'TS1'!Z$22</f>
        <v>-1916132.5</v>
      </c>
      <c r="AF224" s="377">
        <f>$I224*'TS1'!AA$22</f>
        <v>-1916132.5</v>
      </c>
      <c r="AG224" s="377">
        <f>$I224*'TS1'!AB$22</f>
        <v>-1916132.5</v>
      </c>
      <c r="AH224" s="377">
        <f>$I224*'TS1'!AC$22</f>
        <v>-1916132.5</v>
      </c>
      <c r="AI224" s="377">
        <f>$I224*'TS1'!AD$22</f>
        <v>-1916132.5</v>
      </c>
      <c r="AJ224" s="377">
        <f>$I224*'TS1'!AE$22</f>
        <v>-1916132.5</v>
      </c>
      <c r="AK224" s="377">
        <f>$I224*'TS1'!AF$22</f>
        <v>0</v>
      </c>
      <c r="AL224" s="377">
        <f>$I224*'TS1'!AG$22</f>
        <v>0</v>
      </c>
      <c r="AM224" s="377">
        <f>$I224*'TS1'!AH$22</f>
        <v>0</v>
      </c>
      <c r="AN224" s="377">
        <f>$I224*'TS1'!AI$22</f>
        <v>0</v>
      </c>
      <c r="AO224" s="377">
        <f>$I224*'TS1'!AJ$22</f>
        <v>0</v>
      </c>
      <c r="AP224" s="377">
        <f>$I224*'TS1'!AK$22</f>
        <v>0</v>
      </c>
      <c r="AQ224" s="377">
        <f>$I224*'TS1'!AL$22</f>
        <v>0</v>
      </c>
      <c r="AR224" s="377">
        <f>$I224*'TS1'!AM$22</f>
        <v>0</v>
      </c>
      <c r="AS224" s="377">
        <f>$I224*'TS1'!AN$22</f>
        <v>0</v>
      </c>
      <c r="AT224" s="377">
        <f>$I224*'TS1'!AO$22</f>
        <v>0</v>
      </c>
      <c r="AU224" s="377">
        <f>$I224*'TS1'!AP$22</f>
        <v>0</v>
      </c>
      <c r="AV224" s="377">
        <f>$I224*'TS1'!AQ$22</f>
        <v>0</v>
      </c>
      <c r="AW224" s="377">
        <f>$I224*'TS1'!AR$22</f>
        <v>0</v>
      </c>
      <c r="AX224" s="377">
        <f>$I224*'TS1'!AS$22</f>
        <v>0</v>
      </c>
      <c r="AY224" s="377">
        <f>$I224*'TS1'!AT$22</f>
        <v>0</v>
      </c>
      <c r="AZ224" s="377">
        <f>$I224*'TS1'!AU$22</f>
        <v>0</v>
      </c>
      <c r="BA224" s="377">
        <f>$I224*'TS1'!AV$22</f>
        <v>0</v>
      </c>
      <c r="BB224" s="377">
        <f>$I224*'TS1'!AW$22</f>
        <v>0</v>
      </c>
      <c r="BC224" s="377">
        <f>$I224*'TS1'!AX$22</f>
        <v>0</v>
      </c>
      <c r="BD224" s="377">
        <f>$I224*'TS1'!AY$22</f>
        <v>0</v>
      </c>
      <c r="BE224" s="377">
        <f>$I224*'TS1'!AZ$22</f>
        <v>0</v>
      </c>
      <c r="BF224" s="377">
        <f>$I224*'TS1'!BA$22</f>
        <v>0</v>
      </c>
      <c r="BG224" s="377">
        <f>$I224*'TS1'!BB$22</f>
        <v>0</v>
      </c>
      <c r="BH224" s="377">
        <f>$I224*'TS1'!BC$22</f>
        <v>0</v>
      </c>
      <c r="BI224" s="377">
        <f>$I224*'TS1'!BD$22</f>
        <v>0</v>
      </c>
      <c r="BJ224" s="377">
        <f>$I224*'TS1'!BE$22</f>
        <v>0</v>
      </c>
      <c r="BK224" s="377">
        <f>$I224*'TS1'!BF$22</f>
        <v>0</v>
      </c>
      <c r="BL224" s="377">
        <f>$I224*'TS1'!BG$22</f>
        <v>0</v>
      </c>
      <c r="BM224" s="377">
        <f>$I224*'TS1'!BH$22</f>
        <v>0</v>
      </c>
      <c r="BN224" s="377">
        <f>$I224*'TS1'!BI$22</f>
        <v>0</v>
      </c>
      <c r="BO224" s="377">
        <f>$I224*'TS1'!BJ$22</f>
        <v>0</v>
      </c>
      <c r="BP224" s="377">
        <f>$I224*'TS1'!BK$22</f>
        <v>0</v>
      </c>
      <c r="BQ224" s="377">
        <f>$I224*'TS1'!BL$22</f>
        <v>0</v>
      </c>
      <c r="BR224" s="377">
        <f>$I224*'TS1'!BM$22</f>
        <v>0</v>
      </c>
    </row>
    <row r="225" spans="1:70" outlineLevel="1">
      <c r="A225" s="374">
        <f t="shared" si="53"/>
        <v>0</v>
      </c>
      <c r="B225" s="359"/>
      <c r="C225" s="359"/>
      <c r="D225" s="360"/>
      <c r="E225" s="360"/>
      <c r="F225" s="373"/>
      <c r="G225" s="360"/>
      <c r="H225" s="377"/>
      <c r="I225" s="537"/>
      <c r="J225" s="546"/>
      <c r="K225" s="383"/>
      <c r="L225" s="383"/>
      <c r="M225" s="383"/>
      <c r="N225" s="383"/>
      <c r="O225" s="383"/>
      <c r="P225" s="383"/>
      <c r="Q225" s="383"/>
      <c r="R225" s="383"/>
      <c r="S225" s="377"/>
      <c r="T225" s="377"/>
      <c r="U225" s="377"/>
      <c r="V225" s="377"/>
      <c r="W225" s="377"/>
      <c r="X225" s="377"/>
      <c r="Y225" s="377"/>
      <c r="Z225" s="377"/>
      <c r="AA225" s="377"/>
      <c r="AB225" s="377"/>
      <c r="AC225" s="377"/>
      <c r="AD225" s="377"/>
      <c r="AE225" s="377"/>
      <c r="AF225" s="377"/>
      <c r="AG225" s="377"/>
      <c r="AH225" s="377"/>
      <c r="AI225" s="377"/>
      <c r="AJ225" s="377"/>
      <c r="AK225" s="377"/>
      <c r="AL225" s="377"/>
      <c r="AM225" s="377"/>
      <c r="AN225" s="377"/>
      <c r="AO225" s="377"/>
      <c r="AP225" s="377"/>
      <c r="AQ225" s="377"/>
      <c r="AR225" s="377"/>
      <c r="AS225" s="377"/>
      <c r="AT225" s="377"/>
      <c r="AU225" s="377"/>
      <c r="AV225" s="377"/>
      <c r="AW225" s="377"/>
      <c r="AX225" s="377"/>
      <c r="AY225" s="377"/>
      <c r="AZ225" s="377"/>
      <c r="BA225" s="377"/>
      <c r="BB225" s="377"/>
      <c r="BC225" s="377"/>
      <c r="BD225" s="377"/>
      <c r="BE225" s="377"/>
      <c r="BF225" s="377"/>
      <c r="BG225" s="377"/>
      <c r="BH225" s="377"/>
      <c r="BI225" s="377"/>
      <c r="BJ225" s="377"/>
      <c r="BK225" s="377"/>
      <c r="BL225" s="377"/>
      <c r="BM225" s="377"/>
      <c r="BN225" s="377"/>
      <c r="BO225" s="377"/>
      <c r="BP225" s="377"/>
      <c r="BQ225" s="377"/>
      <c r="BR225" s="377"/>
    </row>
    <row r="226" spans="1:70" outlineLevel="1">
      <c r="A226" s="374">
        <f t="shared" si="53"/>
        <v>0</v>
      </c>
      <c r="B226" s="359">
        <v>5312</v>
      </c>
      <c r="C226" s="359">
        <v>1</v>
      </c>
      <c r="D226" s="360" t="s">
        <v>865</v>
      </c>
      <c r="E226" s="360" t="s">
        <v>492</v>
      </c>
      <c r="F226" s="373" t="s">
        <v>885</v>
      </c>
      <c r="G226" s="360"/>
      <c r="H226" s="377"/>
      <c r="I226" s="537">
        <v>-10000000</v>
      </c>
      <c r="J226" s="546"/>
      <c r="K226" s="383"/>
      <c r="L226" s="383"/>
      <c r="M226" s="383"/>
      <c r="N226" s="383"/>
      <c r="O226" s="383"/>
      <c r="P226" s="383"/>
      <c r="Q226" s="383"/>
      <c r="R226" s="383"/>
      <c r="S226" s="377">
        <v>-1500000</v>
      </c>
      <c r="T226" s="377">
        <v>-7000000</v>
      </c>
      <c r="U226" s="377">
        <v>-1500000</v>
      </c>
      <c r="V226" s="377"/>
      <c r="W226" s="377"/>
      <c r="X226" s="377"/>
      <c r="Y226" s="377"/>
      <c r="Z226" s="377"/>
      <c r="AA226" s="377"/>
      <c r="AB226" s="377"/>
      <c r="AC226" s="377"/>
      <c r="AD226" s="377"/>
      <c r="AE226" s="377"/>
      <c r="AF226" s="377"/>
      <c r="AG226" s="377"/>
      <c r="AH226" s="377"/>
      <c r="AI226" s="377"/>
      <c r="AJ226" s="377"/>
      <c r="AK226" s="377"/>
      <c r="AL226" s="377"/>
      <c r="AM226" s="377"/>
      <c r="AN226" s="377"/>
      <c r="AO226" s="377"/>
      <c r="AP226" s="377"/>
      <c r="AQ226" s="377"/>
      <c r="AR226" s="377"/>
      <c r="AS226" s="377"/>
      <c r="AT226" s="377"/>
      <c r="AU226" s="377"/>
      <c r="AV226" s="377"/>
      <c r="AW226" s="377"/>
      <c r="AX226" s="377"/>
      <c r="AY226" s="377"/>
      <c r="AZ226" s="377"/>
      <c r="BA226" s="377"/>
      <c r="BB226" s="377"/>
      <c r="BC226" s="377"/>
      <c r="BD226" s="377"/>
      <c r="BE226" s="377"/>
      <c r="BF226" s="377"/>
      <c r="BG226" s="377"/>
      <c r="BH226" s="377"/>
      <c r="BI226" s="377"/>
      <c r="BJ226" s="377"/>
      <c r="BK226" s="377"/>
      <c r="BL226" s="377"/>
      <c r="BM226" s="377"/>
      <c r="BN226" s="377"/>
      <c r="BO226" s="377"/>
      <c r="BP226" s="377"/>
      <c r="BQ226" s="377"/>
      <c r="BR226" s="377"/>
    </row>
    <row r="227" spans="1:70" outlineLevel="1">
      <c r="A227" s="374">
        <f t="shared" si="53"/>
        <v>0</v>
      </c>
      <c r="B227" s="359">
        <v>5312</v>
      </c>
      <c r="C227" s="359">
        <v>1</v>
      </c>
      <c r="D227" s="360" t="s">
        <v>866</v>
      </c>
      <c r="E227" s="360" t="s">
        <v>492</v>
      </c>
      <c r="F227" s="373" t="s">
        <v>885</v>
      </c>
      <c r="G227" s="360"/>
      <c r="H227" s="377"/>
      <c r="I227" s="537">
        <v>-500000</v>
      </c>
      <c r="J227" s="546"/>
      <c r="K227" s="383"/>
      <c r="L227" s="383"/>
      <c r="M227" s="383"/>
      <c r="N227" s="383"/>
      <c r="O227" s="383"/>
      <c r="P227" s="383"/>
      <c r="Q227" s="383"/>
      <c r="R227" s="383"/>
      <c r="S227" s="377">
        <v>-500000</v>
      </c>
      <c r="T227" s="377"/>
      <c r="U227" s="377"/>
      <c r="V227" s="377"/>
      <c r="W227" s="377"/>
      <c r="X227" s="377"/>
      <c r="Y227" s="377"/>
      <c r="Z227" s="377"/>
      <c r="AA227" s="377"/>
      <c r="AB227" s="377"/>
      <c r="AC227" s="377"/>
      <c r="AD227" s="377"/>
      <c r="AE227" s="377"/>
      <c r="AF227" s="377"/>
      <c r="AG227" s="377"/>
      <c r="AH227" s="377"/>
      <c r="AI227" s="377"/>
      <c r="AJ227" s="377"/>
      <c r="AK227" s="377"/>
      <c r="AL227" s="377"/>
      <c r="AM227" s="377"/>
      <c r="AN227" s="377"/>
      <c r="AO227" s="377"/>
      <c r="AP227" s="377"/>
      <c r="AQ227" s="377"/>
      <c r="AR227" s="377"/>
      <c r="AS227" s="377"/>
      <c r="AT227" s="377"/>
      <c r="AU227" s="377"/>
      <c r="AV227" s="377"/>
      <c r="AW227" s="377"/>
      <c r="AX227" s="377"/>
      <c r="AY227" s="377"/>
      <c r="AZ227" s="377"/>
      <c r="BA227" s="377"/>
      <c r="BB227" s="377"/>
      <c r="BC227" s="377"/>
      <c r="BD227" s="377"/>
      <c r="BE227" s="377"/>
      <c r="BF227" s="377"/>
      <c r="BG227" s="377"/>
      <c r="BH227" s="377"/>
      <c r="BI227" s="377"/>
      <c r="BJ227" s="377"/>
      <c r="BK227" s="377"/>
      <c r="BL227" s="377"/>
      <c r="BM227" s="377"/>
      <c r="BN227" s="377"/>
      <c r="BO227" s="377"/>
      <c r="BP227" s="377"/>
      <c r="BQ227" s="377"/>
      <c r="BR227" s="377"/>
    </row>
    <row r="228" spans="1:70" outlineLevel="1">
      <c r="A228" s="374">
        <f t="shared" si="53"/>
        <v>0</v>
      </c>
      <c r="B228" s="359">
        <v>5312</v>
      </c>
      <c r="C228" s="359">
        <v>1</v>
      </c>
      <c r="D228" s="360" t="s">
        <v>867</v>
      </c>
      <c r="E228" s="360" t="s">
        <v>492</v>
      </c>
      <c r="F228" s="373" t="s">
        <v>454</v>
      </c>
      <c r="G228" s="360"/>
      <c r="H228" s="377"/>
      <c r="I228" s="537">
        <v>-900000</v>
      </c>
      <c r="J228" s="546"/>
      <c r="K228" s="383"/>
      <c r="L228" s="383"/>
      <c r="M228" s="383"/>
      <c r="N228" s="383"/>
      <c r="O228" s="383"/>
      <c r="P228" s="383"/>
      <c r="Q228" s="383"/>
      <c r="R228" s="383"/>
      <c r="S228" s="377">
        <v>-300000</v>
      </c>
      <c r="T228" s="377">
        <v>-600000</v>
      </c>
      <c r="U228" s="377"/>
      <c r="V228" s="377"/>
      <c r="W228" s="377"/>
      <c r="X228" s="377"/>
      <c r="Y228" s="377"/>
      <c r="Z228" s="377"/>
      <c r="AA228" s="377"/>
      <c r="AB228" s="377"/>
      <c r="AC228" s="377"/>
      <c r="AD228" s="377"/>
      <c r="AE228" s="377"/>
      <c r="AF228" s="377"/>
      <c r="AG228" s="377"/>
      <c r="AH228" s="377"/>
      <c r="AI228" s="377"/>
      <c r="AJ228" s="377"/>
      <c r="AK228" s="377"/>
      <c r="AL228" s="377"/>
      <c r="AM228" s="377"/>
      <c r="AN228" s="377"/>
      <c r="AO228" s="377"/>
      <c r="AP228" s="377"/>
      <c r="AQ228" s="377"/>
      <c r="AR228" s="377"/>
      <c r="AS228" s="377"/>
      <c r="AT228" s="377"/>
      <c r="AU228" s="377"/>
      <c r="AV228" s="377"/>
      <c r="AW228" s="377"/>
      <c r="AX228" s="377"/>
      <c r="AY228" s="377"/>
      <c r="AZ228" s="377"/>
      <c r="BA228" s="377"/>
      <c r="BB228" s="377"/>
      <c r="BC228" s="377"/>
      <c r="BD228" s="377"/>
      <c r="BE228" s="377"/>
      <c r="BF228" s="377"/>
      <c r="BG228" s="377"/>
      <c r="BH228" s="377"/>
      <c r="BI228" s="377"/>
      <c r="BJ228" s="377"/>
      <c r="BK228" s="377"/>
      <c r="BL228" s="377"/>
      <c r="BM228" s="377"/>
      <c r="BN228" s="377"/>
      <c r="BO228" s="377"/>
      <c r="BP228" s="377"/>
      <c r="BQ228" s="377"/>
      <c r="BR228" s="377"/>
    </row>
    <row r="229" spans="1:70" outlineLevel="1">
      <c r="A229" s="374">
        <f t="shared" si="53"/>
        <v>0</v>
      </c>
      <c r="B229" s="359">
        <v>5312</v>
      </c>
      <c r="C229" s="359">
        <v>1</v>
      </c>
      <c r="D229" s="360" t="s">
        <v>868</v>
      </c>
      <c r="E229" s="360" t="s">
        <v>492</v>
      </c>
      <c r="F229" s="373" t="s">
        <v>454</v>
      </c>
      <c r="G229" s="360"/>
      <c r="H229" s="377"/>
      <c r="I229" s="537">
        <v>-600000</v>
      </c>
      <c r="J229" s="546"/>
      <c r="K229" s="383"/>
      <c r="L229" s="383"/>
      <c r="M229" s="383"/>
      <c r="N229" s="383"/>
      <c r="O229" s="383"/>
      <c r="P229" s="383"/>
      <c r="Q229" s="383"/>
      <c r="R229" s="383"/>
      <c r="S229" s="377"/>
      <c r="T229" s="377">
        <v>-180000</v>
      </c>
      <c r="U229" s="377">
        <v>-420000</v>
      </c>
      <c r="V229" s="377"/>
      <c r="W229" s="377"/>
      <c r="X229" s="377"/>
      <c r="Y229" s="377"/>
      <c r="Z229" s="377"/>
      <c r="AA229" s="377"/>
      <c r="AB229" s="377"/>
      <c r="AC229" s="377"/>
      <c r="AD229" s="377"/>
      <c r="AE229" s="377"/>
      <c r="AF229" s="377"/>
      <c r="AG229" s="377"/>
      <c r="AH229" s="377"/>
      <c r="AI229" s="377"/>
      <c r="AJ229" s="377"/>
      <c r="AK229" s="377"/>
      <c r="AL229" s="377"/>
      <c r="AM229" s="377"/>
      <c r="AN229" s="377"/>
      <c r="AO229" s="377"/>
      <c r="AP229" s="377"/>
      <c r="AQ229" s="377"/>
      <c r="AR229" s="377"/>
      <c r="AS229" s="377"/>
      <c r="AT229" s="377"/>
      <c r="AU229" s="377"/>
      <c r="AV229" s="377"/>
      <c r="AW229" s="377"/>
      <c r="AX229" s="377"/>
      <c r="AY229" s="377"/>
      <c r="AZ229" s="377"/>
      <c r="BA229" s="377"/>
      <c r="BB229" s="377"/>
      <c r="BC229" s="377"/>
      <c r="BD229" s="377"/>
      <c r="BE229" s="377"/>
      <c r="BF229" s="377"/>
      <c r="BG229" s="377"/>
      <c r="BH229" s="377"/>
      <c r="BI229" s="377"/>
      <c r="BJ229" s="377"/>
      <c r="BK229" s="377"/>
      <c r="BL229" s="377"/>
      <c r="BM229" s="377"/>
      <c r="BN229" s="377"/>
      <c r="BO229" s="377"/>
      <c r="BP229" s="377"/>
      <c r="BQ229" s="377"/>
      <c r="BR229" s="377"/>
    </row>
    <row r="230" spans="1:70" outlineLevel="1">
      <c r="A230" s="374">
        <f t="shared" si="53"/>
        <v>0</v>
      </c>
      <c r="B230" s="359">
        <v>5312</v>
      </c>
      <c r="C230" s="359">
        <v>1</v>
      </c>
      <c r="D230" s="360" t="s">
        <v>869</v>
      </c>
      <c r="E230" s="360" t="s">
        <v>492</v>
      </c>
      <c r="F230" s="373" t="s">
        <v>454</v>
      </c>
      <c r="G230" s="360"/>
      <c r="H230" s="377"/>
      <c r="I230" s="537">
        <v>-9000000</v>
      </c>
      <c r="J230" s="546"/>
      <c r="K230" s="383"/>
      <c r="L230" s="383"/>
      <c r="M230" s="383"/>
      <c r="N230" s="383"/>
      <c r="O230" s="383"/>
      <c r="P230" s="383"/>
      <c r="Q230" s="383"/>
      <c r="R230" s="383"/>
      <c r="S230" s="377"/>
      <c r="T230" s="377"/>
      <c r="U230" s="377"/>
      <c r="V230" s="377">
        <v>-9000000</v>
      </c>
      <c r="W230" s="377"/>
      <c r="X230" s="377"/>
      <c r="Y230" s="377"/>
      <c r="Z230" s="377"/>
      <c r="AA230" s="377"/>
      <c r="AB230" s="377"/>
      <c r="AC230" s="377"/>
      <c r="AD230" s="377"/>
      <c r="AE230" s="377"/>
      <c r="AF230" s="377"/>
      <c r="AG230" s="377"/>
      <c r="AH230" s="377"/>
      <c r="AI230" s="377"/>
      <c r="AJ230" s="377"/>
      <c r="AK230" s="377"/>
      <c r="AL230" s="377"/>
      <c r="AM230" s="377"/>
      <c r="AN230" s="377"/>
      <c r="AO230" s="377"/>
      <c r="AP230" s="377"/>
      <c r="AQ230" s="377"/>
      <c r="AR230" s="377"/>
      <c r="AS230" s="377"/>
      <c r="AT230" s="377"/>
      <c r="AU230" s="377"/>
      <c r="AV230" s="377"/>
      <c r="AW230" s="377"/>
      <c r="AX230" s="377"/>
      <c r="AY230" s="377"/>
      <c r="AZ230" s="377"/>
      <c r="BA230" s="377"/>
      <c r="BB230" s="377"/>
      <c r="BC230" s="377"/>
      <c r="BD230" s="377"/>
      <c r="BE230" s="377"/>
      <c r="BF230" s="377"/>
      <c r="BG230" s="377"/>
      <c r="BH230" s="377"/>
      <c r="BI230" s="377"/>
      <c r="BJ230" s="377"/>
      <c r="BK230" s="377"/>
      <c r="BL230" s="377"/>
      <c r="BM230" s="377"/>
      <c r="BN230" s="377"/>
      <c r="BO230" s="377"/>
      <c r="BP230" s="377"/>
      <c r="BQ230" s="377"/>
      <c r="BR230" s="377"/>
    </row>
    <row r="231" spans="1:70" outlineLevel="1">
      <c r="A231" s="374">
        <f t="shared" si="53"/>
        <v>0</v>
      </c>
      <c r="B231" s="359">
        <v>5312</v>
      </c>
      <c r="C231" s="359">
        <v>1</v>
      </c>
      <c r="D231" s="360" t="s">
        <v>870</v>
      </c>
      <c r="E231" s="360" t="s">
        <v>492</v>
      </c>
      <c r="F231" s="373" t="s">
        <v>886</v>
      </c>
      <c r="G231" s="360"/>
      <c r="H231" s="377"/>
      <c r="I231" s="537">
        <v>-1500000</v>
      </c>
      <c r="J231" s="546"/>
      <c r="K231" s="383"/>
      <c r="L231" s="383"/>
      <c r="M231" s="383"/>
      <c r="N231" s="383"/>
      <c r="O231" s="383"/>
      <c r="P231" s="383"/>
      <c r="Q231" s="383"/>
      <c r="R231" s="383"/>
      <c r="S231" s="377"/>
      <c r="T231" s="377"/>
      <c r="U231" s="377">
        <v>-1500000</v>
      </c>
      <c r="V231" s="377"/>
      <c r="W231" s="377"/>
      <c r="X231" s="377"/>
      <c r="Y231" s="377"/>
      <c r="Z231" s="377"/>
      <c r="AA231" s="377"/>
      <c r="AB231" s="377"/>
      <c r="AC231" s="377"/>
      <c r="AD231" s="377"/>
      <c r="AE231" s="377"/>
      <c r="AF231" s="377"/>
      <c r="AG231" s="377"/>
      <c r="AH231" s="377"/>
      <c r="AI231" s="377"/>
      <c r="AJ231" s="377"/>
      <c r="AK231" s="377"/>
      <c r="AL231" s="377"/>
      <c r="AM231" s="377"/>
      <c r="AN231" s="377"/>
      <c r="AO231" s="377"/>
      <c r="AP231" s="377"/>
      <c r="AQ231" s="377"/>
      <c r="AR231" s="377"/>
      <c r="AS231" s="377"/>
      <c r="AT231" s="377"/>
      <c r="AU231" s="377"/>
      <c r="AV231" s="377"/>
      <c r="AW231" s="377"/>
      <c r="AX231" s="377"/>
      <c r="AY231" s="377"/>
      <c r="AZ231" s="377"/>
      <c r="BA231" s="377"/>
      <c r="BB231" s="377"/>
      <c r="BC231" s="377"/>
      <c r="BD231" s="377"/>
      <c r="BE231" s="377"/>
      <c r="BF231" s="377"/>
      <c r="BG231" s="377"/>
      <c r="BH231" s="377"/>
      <c r="BI231" s="377"/>
      <c r="BJ231" s="377"/>
      <c r="BK231" s="377"/>
      <c r="BL231" s="377"/>
      <c r="BM231" s="377"/>
      <c r="BN231" s="377"/>
      <c r="BO231" s="377"/>
      <c r="BP231" s="377"/>
      <c r="BQ231" s="377"/>
      <c r="BR231" s="377"/>
    </row>
    <row r="232" spans="1:70" outlineLevel="1">
      <c r="A232" s="374">
        <f t="shared" si="53"/>
        <v>0</v>
      </c>
      <c r="B232" s="359">
        <v>5312</v>
      </c>
      <c r="C232" s="359">
        <v>1</v>
      </c>
      <c r="D232" s="360" t="s">
        <v>871</v>
      </c>
      <c r="E232" s="360" t="s">
        <v>492</v>
      </c>
      <c r="F232" s="373" t="s">
        <v>454</v>
      </c>
      <c r="G232" s="360"/>
      <c r="H232" s="377"/>
      <c r="I232" s="537">
        <v>-1000000</v>
      </c>
      <c r="J232" s="546"/>
      <c r="K232" s="383"/>
      <c r="L232" s="383"/>
      <c r="M232" s="383"/>
      <c r="N232" s="383"/>
      <c r="O232" s="383"/>
      <c r="P232" s="383"/>
      <c r="Q232" s="383"/>
      <c r="R232" s="383"/>
      <c r="S232" s="377"/>
      <c r="T232" s="377">
        <v>-300000</v>
      </c>
      <c r="U232" s="377">
        <v>-700000</v>
      </c>
      <c r="V232" s="377"/>
      <c r="W232" s="377"/>
      <c r="X232" s="377"/>
      <c r="Y232" s="377"/>
      <c r="Z232" s="377"/>
      <c r="AA232" s="377"/>
      <c r="AB232" s="377"/>
      <c r="AC232" s="377"/>
      <c r="AD232" s="377"/>
      <c r="AE232" s="377"/>
      <c r="AF232" s="377"/>
      <c r="AG232" s="377"/>
      <c r="AH232" s="377"/>
      <c r="AI232" s="377"/>
      <c r="AJ232" s="377"/>
      <c r="AK232" s="377"/>
      <c r="AL232" s="377"/>
      <c r="AM232" s="377"/>
      <c r="AN232" s="377"/>
      <c r="AO232" s="377"/>
      <c r="AP232" s="377"/>
      <c r="AQ232" s="377"/>
      <c r="AR232" s="377"/>
      <c r="AS232" s="377"/>
      <c r="AT232" s="377"/>
      <c r="AU232" s="377"/>
      <c r="AV232" s="377"/>
      <c r="AW232" s="377"/>
      <c r="AX232" s="377"/>
      <c r="AY232" s="377"/>
      <c r="AZ232" s="377"/>
      <c r="BA232" s="377"/>
      <c r="BB232" s="377"/>
      <c r="BC232" s="377"/>
      <c r="BD232" s="377"/>
      <c r="BE232" s="377"/>
      <c r="BF232" s="377"/>
      <c r="BG232" s="377"/>
      <c r="BH232" s="377"/>
      <c r="BI232" s="377"/>
      <c r="BJ232" s="377"/>
      <c r="BK232" s="377"/>
      <c r="BL232" s="377"/>
      <c r="BM232" s="377"/>
      <c r="BN232" s="377"/>
      <c r="BO232" s="377"/>
      <c r="BP232" s="377"/>
      <c r="BQ232" s="377"/>
      <c r="BR232" s="377"/>
    </row>
    <row r="233" spans="1:70" outlineLevel="1">
      <c r="A233" s="374">
        <f t="shared" si="53"/>
        <v>0</v>
      </c>
      <c r="B233" s="359">
        <v>5312</v>
      </c>
      <c r="C233" s="359">
        <v>1</v>
      </c>
      <c r="D233" s="360" t="s">
        <v>878</v>
      </c>
      <c r="E233" s="360" t="s">
        <v>492</v>
      </c>
      <c r="F233" s="373" t="s">
        <v>1100</v>
      </c>
      <c r="G233" s="553" t="s">
        <v>367</v>
      </c>
      <c r="H233" s="377"/>
      <c r="I233" s="537">
        <v>-156000</v>
      </c>
      <c r="J233" s="546"/>
      <c r="K233" s="383"/>
      <c r="L233" s="383"/>
      <c r="M233" s="383"/>
      <c r="N233" s="383"/>
      <c r="O233" s="383"/>
      <c r="P233" s="383"/>
      <c r="Q233" s="383"/>
      <c r="R233" s="383"/>
      <c r="S233" s="377">
        <v>-156000</v>
      </c>
      <c r="T233" s="377">
        <v>0</v>
      </c>
      <c r="U233" s="377">
        <v>0</v>
      </c>
      <c r="V233" s="377">
        <v>0</v>
      </c>
      <c r="W233" s="377"/>
      <c r="X233" s="377"/>
      <c r="Y233" s="377"/>
      <c r="Z233" s="377"/>
      <c r="AA233" s="377"/>
      <c r="AB233" s="377"/>
      <c r="AC233" s="377"/>
      <c r="AD233" s="377"/>
      <c r="AE233" s="377"/>
      <c r="AF233" s="377"/>
      <c r="AG233" s="377"/>
      <c r="AH233" s="377"/>
      <c r="AI233" s="377"/>
      <c r="AJ233" s="377"/>
      <c r="AK233" s="377"/>
      <c r="AL233" s="377"/>
      <c r="AM233" s="377"/>
      <c r="AN233" s="377"/>
      <c r="AO233" s="377"/>
      <c r="AP233" s="377"/>
      <c r="AQ233" s="377"/>
      <c r="AR233" s="377"/>
      <c r="AS233" s="377"/>
      <c r="AT233" s="377"/>
      <c r="AU233" s="377"/>
      <c r="AV233" s="377"/>
      <c r="AW233" s="377"/>
      <c r="AX233" s="377"/>
      <c r="AY233" s="377"/>
      <c r="AZ233" s="377"/>
      <c r="BA233" s="377"/>
      <c r="BB233" s="377"/>
      <c r="BC233" s="377"/>
      <c r="BD233" s="377"/>
      <c r="BE233" s="377"/>
      <c r="BF233" s="377"/>
      <c r="BG233" s="377"/>
      <c r="BH233" s="377"/>
      <c r="BI233" s="377"/>
      <c r="BJ233" s="377"/>
      <c r="BK233" s="377"/>
      <c r="BL233" s="377"/>
      <c r="BM233" s="377"/>
      <c r="BN233" s="377"/>
      <c r="BO233" s="377"/>
      <c r="BP233" s="377"/>
      <c r="BQ233" s="377"/>
      <c r="BR233" s="377"/>
    </row>
    <row r="234" spans="1:70" outlineLevel="1">
      <c r="A234" s="374">
        <f t="shared" si="53"/>
        <v>0</v>
      </c>
      <c r="B234" s="359">
        <v>5312</v>
      </c>
      <c r="C234" s="359">
        <v>1</v>
      </c>
      <c r="D234" s="360" t="s">
        <v>879</v>
      </c>
      <c r="E234" s="360" t="s">
        <v>492</v>
      </c>
      <c r="F234" s="373" t="s">
        <v>454</v>
      </c>
      <c r="G234" s="360"/>
      <c r="H234" s="377"/>
      <c r="I234" s="537">
        <v>-9000000</v>
      </c>
      <c r="J234" s="546"/>
      <c r="K234" s="383"/>
      <c r="L234" s="383"/>
      <c r="M234" s="383"/>
      <c r="N234" s="383"/>
      <c r="O234" s="383"/>
      <c r="P234" s="383"/>
      <c r="Q234" s="383"/>
      <c r="R234" s="383"/>
      <c r="S234" s="377">
        <v>-1550000</v>
      </c>
      <c r="T234" s="377">
        <v>-7450000</v>
      </c>
      <c r="U234" s="377">
        <v>0</v>
      </c>
      <c r="V234" s="377">
        <v>0</v>
      </c>
      <c r="W234" s="377"/>
      <c r="X234" s="377"/>
      <c r="Y234" s="377"/>
      <c r="Z234" s="377"/>
      <c r="AA234" s="377"/>
      <c r="AB234" s="377"/>
      <c r="AC234" s="377"/>
      <c r="AD234" s="377"/>
      <c r="AE234" s="377"/>
      <c r="AF234" s="377"/>
      <c r="AG234" s="377"/>
      <c r="AH234" s="377"/>
      <c r="AI234" s="377"/>
      <c r="AJ234" s="377"/>
      <c r="AK234" s="377"/>
      <c r="AL234" s="377"/>
      <c r="AM234" s="377"/>
      <c r="AN234" s="377"/>
      <c r="AO234" s="377"/>
      <c r="AP234" s="377"/>
      <c r="AQ234" s="377"/>
      <c r="AR234" s="377"/>
      <c r="AS234" s="377"/>
      <c r="AT234" s="377"/>
      <c r="AU234" s="377"/>
      <c r="AV234" s="377"/>
      <c r="AW234" s="377"/>
      <c r="AX234" s="377"/>
      <c r="AY234" s="377"/>
      <c r="AZ234" s="377"/>
      <c r="BA234" s="377"/>
      <c r="BB234" s="377"/>
      <c r="BC234" s="377"/>
      <c r="BD234" s="377"/>
      <c r="BE234" s="377"/>
      <c r="BF234" s="377"/>
      <c r="BG234" s="377"/>
      <c r="BH234" s="377"/>
      <c r="BI234" s="377"/>
      <c r="BJ234" s="377"/>
      <c r="BK234" s="377"/>
      <c r="BL234" s="377"/>
      <c r="BM234" s="377"/>
      <c r="BN234" s="377"/>
      <c r="BO234" s="377"/>
      <c r="BP234" s="377"/>
      <c r="BQ234" s="377"/>
      <c r="BR234" s="377"/>
    </row>
    <row r="235" spans="1:70" outlineLevel="1">
      <c r="A235" s="374">
        <f t="shared" ref="A235" si="80">I235-SUM(K235:BR235)</f>
        <v>0</v>
      </c>
      <c r="B235" s="359">
        <v>5312</v>
      </c>
      <c r="C235" s="359">
        <v>1</v>
      </c>
      <c r="D235" s="360" t="s">
        <v>880</v>
      </c>
      <c r="E235" s="360" t="s">
        <v>492</v>
      </c>
      <c r="F235" s="373" t="s">
        <v>454</v>
      </c>
      <c r="G235" s="360"/>
      <c r="H235" s="377"/>
      <c r="I235" s="537">
        <v>-1500000</v>
      </c>
      <c r="J235" s="546"/>
      <c r="K235" s="383"/>
      <c r="L235" s="383"/>
      <c r="M235" s="383"/>
      <c r="N235" s="383"/>
      <c r="O235" s="383"/>
      <c r="P235" s="383"/>
      <c r="Q235" s="383"/>
      <c r="R235" s="383"/>
      <c r="S235" s="377"/>
      <c r="T235" s="377">
        <v>-1500000</v>
      </c>
      <c r="U235" s="377"/>
      <c r="V235" s="377"/>
      <c r="W235" s="377"/>
      <c r="X235" s="377"/>
      <c r="Y235" s="377"/>
      <c r="Z235" s="377"/>
      <c r="AA235" s="377"/>
      <c r="AB235" s="377"/>
      <c r="AC235" s="377"/>
      <c r="AD235" s="377"/>
      <c r="AE235" s="377"/>
      <c r="AF235" s="377"/>
      <c r="AG235" s="377"/>
      <c r="AH235" s="377"/>
      <c r="AI235" s="377"/>
      <c r="AJ235" s="377"/>
      <c r="AK235" s="377"/>
      <c r="AL235" s="377"/>
      <c r="AM235" s="377"/>
      <c r="AN235" s="377"/>
      <c r="AO235" s="377"/>
      <c r="AP235" s="377"/>
      <c r="AQ235" s="377"/>
      <c r="AR235" s="377"/>
      <c r="AS235" s="377"/>
      <c r="AT235" s="377"/>
      <c r="AU235" s="377"/>
      <c r="AV235" s="377"/>
      <c r="AW235" s="377"/>
      <c r="AX235" s="377"/>
      <c r="AY235" s="377"/>
      <c r="AZ235" s="377"/>
      <c r="BA235" s="377"/>
      <c r="BB235" s="377"/>
      <c r="BC235" s="377"/>
      <c r="BD235" s="377"/>
      <c r="BE235" s="377"/>
      <c r="BF235" s="377"/>
      <c r="BG235" s="377"/>
      <c r="BH235" s="377"/>
      <c r="BI235" s="377"/>
      <c r="BJ235" s="377"/>
      <c r="BK235" s="377"/>
      <c r="BL235" s="377"/>
      <c r="BM235" s="377"/>
      <c r="BN235" s="377"/>
      <c r="BO235" s="377"/>
      <c r="BP235" s="377"/>
      <c r="BQ235" s="377"/>
      <c r="BR235" s="377"/>
    </row>
    <row r="236" spans="1:70" outlineLevel="1">
      <c r="A236" s="374">
        <f t="shared" ref="A236:A296" si="81">I236-SUM(K236:BR236)</f>
        <v>0</v>
      </c>
      <c r="B236" s="359"/>
      <c r="C236" s="359"/>
      <c r="D236" s="360"/>
      <c r="E236" s="360"/>
      <c r="F236" s="373"/>
      <c r="G236" s="360"/>
      <c r="H236" s="377"/>
      <c r="I236" s="537"/>
      <c r="J236" s="546"/>
      <c r="K236" s="383"/>
      <c r="L236" s="383"/>
      <c r="M236" s="383"/>
      <c r="N236" s="383"/>
      <c r="O236" s="383"/>
      <c r="P236" s="383"/>
      <c r="Q236" s="383"/>
      <c r="R236" s="383"/>
      <c r="S236" s="377"/>
      <c r="T236" s="377"/>
      <c r="U236" s="377"/>
      <c r="V236" s="377"/>
      <c r="W236" s="377"/>
      <c r="X236" s="377"/>
      <c r="Y236" s="377"/>
      <c r="Z236" s="377"/>
      <c r="AA236" s="377"/>
      <c r="AB236" s="377"/>
      <c r="AC236" s="377"/>
      <c r="AD236" s="377"/>
      <c r="AE236" s="377"/>
      <c r="AF236" s="377"/>
      <c r="AG236" s="377"/>
      <c r="AH236" s="377"/>
      <c r="AI236" s="377"/>
      <c r="AJ236" s="377"/>
      <c r="AK236" s="377"/>
      <c r="AL236" s="377"/>
      <c r="AM236" s="377"/>
      <c r="AN236" s="377"/>
      <c r="AO236" s="377"/>
      <c r="AP236" s="377"/>
      <c r="AQ236" s="377"/>
      <c r="AR236" s="377"/>
      <c r="AS236" s="377"/>
      <c r="AT236" s="377"/>
      <c r="AU236" s="377"/>
      <c r="AV236" s="377"/>
      <c r="AW236" s="377"/>
      <c r="AX236" s="377"/>
      <c r="AY236" s="377"/>
      <c r="AZ236" s="377"/>
      <c r="BA236" s="377"/>
      <c r="BB236" s="377"/>
      <c r="BC236" s="377"/>
      <c r="BD236" s="377"/>
      <c r="BE236" s="377"/>
      <c r="BF236" s="377"/>
      <c r="BG236" s="377"/>
      <c r="BH236" s="377"/>
      <c r="BI236" s="377"/>
      <c r="BJ236" s="377"/>
      <c r="BK236" s="377"/>
      <c r="BL236" s="377"/>
      <c r="BM236" s="377"/>
      <c r="BN236" s="377"/>
      <c r="BO236" s="377"/>
      <c r="BP236" s="377"/>
      <c r="BQ236" s="377"/>
      <c r="BR236" s="377"/>
    </row>
    <row r="237" spans="1:70" outlineLevel="1">
      <c r="A237" s="374"/>
      <c r="B237" s="359"/>
      <c r="C237" s="359"/>
      <c r="D237" s="360"/>
      <c r="E237" s="360"/>
      <c r="F237" s="373"/>
      <c r="G237" s="360"/>
      <c r="H237" s="377"/>
      <c r="I237" s="537"/>
      <c r="J237" s="546"/>
      <c r="K237" s="383"/>
      <c r="L237" s="383"/>
      <c r="M237" s="383"/>
      <c r="N237" s="383"/>
      <c r="O237" s="383"/>
      <c r="P237" s="383"/>
      <c r="Q237" s="383"/>
      <c r="R237" s="383"/>
      <c r="S237" s="377"/>
      <c r="T237" s="377"/>
      <c r="U237" s="377"/>
      <c r="V237" s="377"/>
      <c r="W237" s="377"/>
      <c r="X237" s="377"/>
      <c r="Y237" s="377"/>
      <c r="Z237" s="377"/>
      <c r="AA237" s="377"/>
      <c r="AB237" s="377"/>
      <c r="AC237" s="377"/>
      <c r="AD237" s="377"/>
      <c r="AE237" s="377"/>
      <c r="AF237" s="377"/>
      <c r="AG237" s="377"/>
      <c r="AH237" s="377"/>
      <c r="AI237" s="377"/>
      <c r="AJ237" s="377"/>
      <c r="AK237" s="377"/>
      <c r="AL237" s="377"/>
      <c r="AM237" s="377"/>
      <c r="AN237" s="377"/>
      <c r="AO237" s="377"/>
      <c r="AP237" s="377"/>
      <c r="AQ237" s="377"/>
      <c r="AR237" s="377"/>
      <c r="AS237" s="377"/>
      <c r="AT237" s="377"/>
      <c r="AU237" s="377"/>
      <c r="AV237" s="377"/>
      <c r="AW237" s="377"/>
      <c r="AX237" s="377"/>
      <c r="AY237" s="377"/>
      <c r="AZ237" s="377"/>
      <c r="BA237" s="377"/>
      <c r="BB237" s="377"/>
      <c r="BC237" s="377"/>
      <c r="BD237" s="377"/>
      <c r="BE237" s="377"/>
      <c r="BF237" s="377"/>
      <c r="BG237" s="377"/>
      <c r="BH237" s="377"/>
      <c r="BI237" s="377"/>
      <c r="BJ237" s="377"/>
      <c r="BK237" s="377"/>
      <c r="BL237" s="377"/>
      <c r="BM237" s="377"/>
      <c r="BN237" s="377"/>
      <c r="BO237" s="377"/>
      <c r="BP237" s="377"/>
      <c r="BQ237" s="377"/>
      <c r="BR237" s="377"/>
    </row>
    <row r="238" spans="1:70" outlineLevel="1">
      <c r="A238" s="374">
        <f t="shared" si="81"/>
        <v>0</v>
      </c>
      <c r="B238" s="359">
        <v>5312</v>
      </c>
      <c r="C238" s="359">
        <v>1</v>
      </c>
      <c r="D238" s="360" t="s">
        <v>911</v>
      </c>
      <c r="E238" s="360" t="s">
        <v>492</v>
      </c>
      <c r="F238" s="373" t="s">
        <v>454</v>
      </c>
      <c r="G238" s="360"/>
      <c r="H238" s="377"/>
      <c r="I238" s="537">
        <v>-300000</v>
      </c>
      <c r="J238" s="546"/>
      <c r="K238" s="383"/>
      <c r="L238" s="383"/>
      <c r="M238" s="383"/>
      <c r="N238" s="383"/>
      <c r="O238" s="383"/>
      <c r="P238" s="383"/>
      <c r="Q238" s="383"/>
      <c r="R238" s="383"/>
      <c r="S238" s="377">
        <v>0</v>
      </c>
      <c r="T238" s="377">
        <v>0</v>
      </c>
      <c r="U238" s="377">
        <v>0</v>
      </c>
      <c r="V238" s="377">
        <v>0</v>
      </c>
      <c r="W238" s="377">
        <v>-300000</v>
      </c>
      <c r="X238" s="377">
        <v>0</v>
      </c>
      <c r="Y238" s="377"/>
      <c r="Z238" s="377"/>
      <c r="AA238" s="377"/>
      <c r="AB238" s="377"/>
      <c r="AC238" s="377"/>
      <c r="AD238" s="377"/>
      <c r="AE238" s="377"/>
      <c r="AF238" s="377"/>
      <c r="AG238" s="377"/>
      <c r="AH238" s="377"/>
      <c r="AI238" s="377"/>
      <c r="AJ238" s="377"/>
      <c r="AK238" s="377"/>
      <c r="AL238" s="377"/>
      <c r="AM238" s="377"/>
      <c r="AN238" s="377"/>
      <c r="AO238" s="377"/>
      <c r="AP238" s="377"/>
      <c r="AQ238" s="377"/>
      <c r="AR238" s="377"/>
      <c r="AS238" s="377"/>
      <c r="AT238" s="377"/>
      <c r="AU238" s="377"/>
      <c r="AV238" s="377"/>
      <c r="AW238" s="377"/>
      <c r="AX238" s="377"/>
      <c r="AY238" s="377"/>
      <c r="AZ238" s="377"/>
      <c r="BA238" s="377"/>
      <c r="BB238" s="377"/>
      <c r="BC238" s="377"/>
      <c r="BD238" s="377"/>
      <c r="BE238" s="377"/>
      <c r="BF238" s="377"/>
      <c r="BG238" s="377"/>
      <c r="BH238" s="377"/>
      <c r="BI238" s="377"/>
      <c r="BJ238" s="377"/>
      <c r="BK238" s="377"/>
      <c r="BL238" s="377"/>
      <c r="BM238" s="377"/>
      <c r="BN238" s="377"/>
      <c r="BO238" s="377"/>
      <c r="BP238" s="377"/>
      <c r="BQ238" s="377"/>
      <c r="BR238" s="377"/>
    </row>
    <row r="239" spans="1:70" outlineLevel="1">
      <c r="A239" s="374">
        <f t="shared" ref="A239:A246" si="82">I239-SUM(K239:BR239)</f>
        <v>0</v>
      </c>
      <c r="B239" s="359">
        <v>5312</v>
      </c>
      <c r="C239" s="359">
        <v>1</v>
      </c>
      <c r="D239" s="360" t="s">
        <v>912</v>
      </c>
      <c r="E239" s="360" t="s">
        <v>492</v>
      </c>
      <c r="F239" s="373" t="s">
        <v>454</v>
      </c>
      <c r="G239" s="360"/>
      <c r="H239" s="377"/>
      <c r="I239" s="537">
        <v>-1000000</v>
      </c>
      <c r="J239" s="546"/>
      <c r="K239" s="383"/>
      <c r="L239" s="383"/>
      <c r="M239" s="383"/>
      <c r="N239" s="383"/>
      <c r="O239" s="383"/>
      <c r="P239" s="383"/>
      <c r="Q239" s="383"/>
      <c r="R239" s="383"/>
      <c r="S239" s="377">
        <v>-300000</v>
      </c>
      <c r="T239" s="377">
        <v>-300000</v>
      </c>
      <c r="U239" s="377">
        <v>0</v>
      </c>
      <c r="V239" s="377">
        <v>-400000</v>
      </c>
      <c r="W239" s="377">
        <v>0</v>
      </c>
      <c r="X239" s="377">
        <v>0</v>
      </c>
      <c r="Y239" s="377"/>
      <c r="Z239" s="377"/>
      <c r="AA239" s="377"/>
      <c r="AB239" s="377"/>
      <c r="AC239" s="377"/>
      <c r="AD239" s="377"/>
      <c r="AE239" s="377"/>
      <c r="AF239" s="377"/>
      <c r="AG239" s="377"/>
      <c r="AH239" s="377"/>
      <c r="AI239" s="377"/>
      <c r="AJ239" s="377"/>
      <c r="AK239" s="377"/>
      <c r="AL239" s="377"/>
      <c r="AM239" s="377"/>
      <c r="AN239" s="377"/>
      <c r="AO239" s="377"/>
      <c r="AP239" s="377"/>
      <c r="AQ239" s="377"/>
      <c r="AR239" s="377"/>
      <c r="AS239" s="377"/>
      <c r="AT239" s="377"/>
      <c r="AU239" s="377"/>
      <c r="AV239" s="377"/>
      <c r="AW239" s="377"/>
      <c r="AX239" s="377"/>
      <c r="AY239" s="377"/>
      <c r="AZ239" s="377"/>
      <c r="BA239" s="377"/>
      <c r="BB239" s="377"/>
      <c r="BC239" s="377"/>
      <c r="BD239" s="377"/>
      <c r="BE239" s="377"/>
      <c r="BF239" s="377"/>
      <c r="BG239" s="377"/>
      <c r="BH239" s="377"/>
      <c r="BI239" s="377"/>
      <c r="BJ239" s="377"/>
      <c r="BK239" s="377"/>
      <c r="BL239" s="377"/>
      <c r="BM239" s="377"/>
      <c r="BN239" s="377"/>
      <c r="BO239" s="377"/>
      <c r="BP239" s="377"/>
      <c r="BQ239" s="377"/>
      <c r="BR239" s="377"/>
    </row>
    <row r="240" spans="1:70" outlineLevel="1">
      <c r="A240" s="374">
        <f t="shared" si="82"/>
        <v>0</v>
      </c>
      <c r="B240" s="359">
        <v>5312</v>
      </c>
      <c r="C240" s="359">
        <v>1</v>
      </c>
      <c r="D240" s="360" t="s">
        <v>913</v>
      </c>
      <c r="E240" s="360" t="s">
        <v>492</v>
      </c>
      <c r="F240" s="373" t="s">
        <v>454</v>
      </c>
      <c r="G240" s="360"/>
      <c r="H240" s="377"/>
      <c r="I240" s="537">
        <v>-10000000</v>
      </c>
      <c r="J240" s="546"/>
      <c r="K240" s="383"/>
      <c r="L240" s="383"/>
      <c r="M240" s="383"/>
      <c r="N240" s="383"/>
      <c r="O240" s="383"/>
      <c r="P240" s="383"/>
      <c r="Q240" s="383"/>
      <c r="R240" s="383"/>
      <c r="S240" s="377">
        <v>0</v>
      </c>
      <c r="T240" s="377">
        <v>0</v>
      </c>
      <c r="U240" s="377">
        <v>0</v>
      </c>
      <c r="V240" s="377">
        <v>-10000000</v>
      </c>
      <c r="W240" s="377">
        <v>0</v>
      </c>
      <c r="X240" s="377">
        <v>0</v>
      </c>
      <c r="Y240" s="377"/>
      <c r="Z240" s="377"/>
      <c r="AA240" s="377"/>
      <c r="AB240" s="377"/>
      <c r="AC240" s="377"/>
      <c r="AD240" s="377"/>
      <c r="AE240" s="377"/>
      <c r="AF240" s="377"/>
      <c r="AG240" s="377"/>
      <c r="AH240" s="377"/>
      <c r="AI240" s="377"/>
      <c r="AJ240" s="377"/>
      <c r="AK240" s="377"/>
      <c r="AL240" s="377"/>
      <c r="AM240" s="377"/>
      <c r="AN240" s="377"/>
      <c r="AO240" s="377"/>
      <c r="AP240" s="377"/>
      <c r="AQ240" s="377"/>
      <c r="AR240" s="377"/>
      <c r="AS240" s="377"/>
      <c r="AT240" s="377"/>
      <c r="AU240" s="377"/>
      <c r="AV240" s="377"/>
      <c r="AW240" s="377"/>
      <c r="AX240" s="377"/>
      <c r="AY240" s="377"/>
      <c r="AZ240" s="377"/>
      <c r="BA240" s="377"/>
      <c r="BB240" s="377"/>
      <c r="BC240" s="377"/>
      <c r="BD240" s="377"/>
      <c r="BE240" s="377"/>
      <c r="BF240" s="377"/>
      <c r="BG240" s="377"/>
      <c r="BH240" s="377"/>
      <c r="BI240" s="377"/>
      <c r="BJ240" s="377"/>
      <c r="BK240" s="377"/>
      <c r="BL240" s="377"/>
      <c r="BM240" s="377"/>
      <c r="BN240" s="377"/>
      <c r="BO240" s="377"/>
      <c r="BP240" s="377"/>
      <c r="BQ240" s="377"/>
      <c r="BR240" s="377"/>
    </row>
    <row r="241" spans="1:70" outlineLevel="1">
      <c r="A241" s="374">
        <f t="shared" si="82"/>
        <v>0</v>
      </c>
      <c r="B241" s="359">
        <v>5312</v>
      </c>
      <c r="C241" s="359">
        <v>1</v>
      </c>
      <c r="D241" s="360" t="s">
        <v>914</v>
      </c>
      <c r="E241" s="360" t="s">
        <v>492</v>
      </c>
      <c r="F241" s="373" t="s">
        <v>454</v>
      </c>
      <c r="G241" s="360"/>
      <c r="H241" s="377"/>
      <c r="I241" s="537">
        <v>-1500000</v>
      </c>
      <c r="J241" s="546"/>
      <c r="K241" s="383"/>
      <c r="L241" s="383"/>
      <c r="M241" s="383"/>
      <c r="N241" s="383"/>
      <c r="O241" s="383"/>
      <c r="P241" s="383"/>
      <c r="Q241" s="383"/>
      <c r="R241" s="383"/>
      <c r="S241" s="377">
        <v>0</v>
      </c>
      <c r="T241" s="377">
        <v>0</v>
      </c>
      <c r="U241" s="377">
        <v>0</v>
      </c>
      <c r="V241" s="377">
        <v>0</v>
      </c>
      <c r="W241" s="377">
        <v>-1500000</v>
      </c>
      <c r="X241" s="377">
        <v>0</v>
      </c>
      <c r="Y241" s="377"/>
      <c r="Z241" s="377"/>
      <c r="AA241" s="377"/>
      <c r="AB241" s="377"/>
      <c r="AC241" s="377"/>
      <c r="AD241" s="377"/>
      <c r="AE241" s="377"/>
      <c r="AF241" s="377"/>
      <c r="AG241" s="377"/>
      <c r="AH241" s="377"/>
      <c r="AI241" s="377"/>
      <c r="AJ241" s="377"/>
      <c r="AK241" s="377"/>
      <c r="AL241" s="377"/>
      <c r="AM241" s="377"/>
      <c r="AN241" s="377"/>
      <c r="AO241" s="377"/>
      <c r="AP241" s="377"/>
      <c r="AQ241" s="377"/>
      <c r="AR241" s="377"/>
      <c r="AS241" s="377"/>
      <c r="AT241" s="377"/>
      <c r="AU241" s="377"/>
      <c r="AV241" s="377"/>
      <c r="AW241" s="377"/>
      <c r="AX241" s="377"/>
      <c r="AY241" s="377"/>
      <c r="AZ241" s="377"/>
      <c r="BA241" s="377"/>
      <c r="BB241" s="377"/>
      <c r="BC241" s="377"/>
      <c r="BD241" s="377"/>
      <c r="BE241" s="377"/>
      <c r="BF241" s="377"/>
      <c r="BG241" s="377"/>
      <c r="BH241" s="377"/>
      <c r="BI241" s="377"/>
      <c r="BJ241" s="377"/>
      <c r="BK241" s="377"/>
      <c r="BL241" s="377"/>
      <c r="BM241" s="377"/>
      <c r="BN241" s="377"/>
      <c r="BO241" s="377"/>
      <c r="BP241" s="377"/>
      <c r="BQ241" s="377"/>
      <c r="BR241" s="377"/>
    </row>
    <row r="242" spans="1:70" outlineLevel="1">
      <c r="A242" s="374">
        <f t="shared" si="82"/>
        <v>0</v>
      </c>
      <c r="B242" s="359">
        <v>5312</v>
      </c>
      <c r="C242" s="359">
        <v>1</v>
      </c>
      <c r="D242" s="360" t="s">
        <v>915</v>
      </c>
      <c r="E242" s="360" t="s">
        <v>492</v>
      </c>
      <c r="F242" s="373" t="s">
        <v>454</v>
      </c>
      <c r="G242" s="360"/>
      <c r="H242" s="377"/>
      <c r="I242" s="537">
        <v>-8000000</v>
      </c>
      <c r="J242" s="546"/>
      <c r="K242" s="383"/>
      <c r="L242" s="383"/>
      <c r="M242" s="383"/>
      <c r="N242" s="383"/>
      <c r="O242" s="383"/>
      <c r="P242" s="383"/>
      <c r="Q242" s="383"/>
      <c r="R242" s="383"/>
      <c r="S242" s="377">
        <v>0</v>
      </c>
      <c r="T242" s="377">
        <v>0</v>
      </c>
      <c r="U242" s="377">
        <v>0</v>
      </c>
      <c r="V242" s="377">
        <v>0</v>
      </c>
      <c r="W242" s="377">
        <v>-8000000</v>
      </c>
      <c r="X242" s="377">
        <v>0</v>
      </c>
      <c r="Y242" s="377"/>
      <c r="Z242" s="377"/>
      <c r="AA242" s="377"/>
      <c r="AB242" s="377"/>
      <c r="AC242" s="377"/>
      <c r="AD242" s="377"/>
      <c r="AE242" s="377"/>
      <c r="AF242" s="377"/>
      <c r="AG242" s="377"/>
      <c r="AH242" s="377"/>
      <c r="AI242" s="377"/>
      <c r="AJ242" s="377"/>
      <c r="AK242" s="377"/>
      <c r="AL242" s="377"/>
      <c r="AM242" s="377"/>
      <c r="AN242" s="377"/>
      <c r="AO242" s="377"/>
      <c r="AP242" s="377"/>
      <c r="AQ242" s="377"/>
      <c r="AR242" s="377"/>
      <c r="AS242" s="377"/>
      <c r="AT242" s="377"/>
      <c r="AU242" s="377"/>
      <c r="AV242" s="377"/>
      <c r="AW242" s="377"/>
      <c r="AX242" s="377"/>
      <c r="AY242" s="377"/>
      <c r="AZ242" s="377"/>
      <c r="BA242" s="377"/>
      <c r="BB242" s="377"/>
      <c r="BC242" s="377"/>
      <c r="BD242" s="377"/>
      <c r="BE242" s="377"/>
      <c r="BF242" s="377"/>
      <c r="BG242" s="377"/>
      <c r="BH242" s="377"/>
      <c r="BI242" s="377"/>
      <c r="BJ242" s="377"/>
      <c r="BK242" s="377"/>
      <c r="BL242" s="377"/>
      <c r="BM242" s="377"/>
      <c r="BN242" s="377"/>
      <c r="BO242" s="377"/>
      <c r="BP242" s="377"/>
      <c r="BQ242" s="377"/>
      <c r="BR242" s="377"/>
    </row>
    <row r="243" spans="1:70" outlineLevel="1">
      <c r="A243" s="374">
        <f t="shared" si="82"/>
        <v>0</v>
      </c>
      <c r="B243" s="359">
        <v>5312</v>
      </c>
      <c r="C243" s="359">
        <v>1</v>
      </c>
      <c r="D243" s="360" t="s">
        <v>916</v>
      </c>
      <c r="E243" s="360" t="s">
        <v>492</v>
      </c>
      <c r="F243" s="373" t="s">
        <v>454</v>
      </c>
      <c r="G243" s="360"/>
      <c r="H243" s="377"/>
      <c r="I243" s="537">
        <v>-600000</v>
      </c>
      <c r="J243" s="546"/>
      <c r="K243" s="383"/>
      <c r="L243" s="383"/>
      <c r="M243" s="383"/>
      <c r="N243" s="383"/>
      <c r="O243" s="383"/>
      <c r="P243" s="383"/>
      <c r="Q243" s="383"/>
      <c r="R243" s="383"/>
      <c r="S243" s="377">
        <v>0</v>
      </c>
      <c r="T243" s="377">
        <v>0</v>
      </c>
      <c r="U243" s="377">
        <v>0</v>
      </c>
      <c r="V243" s="377">
        <v>-600000</v>
      </c>
      <c r="W243" s="377">
        <v>0</v>
      </c>
      <c r="X243" s="377">
        <v>0</v>
      </c>
      <c r="Y243" s="377"/>
      <c r="Z243" s="377"/>
      <c r="AA243" s="377"/>
      <c r="AB243" s="377"/>
      <c r="AC243" s="377"/>
      <c r="AD243" s="377"/>
      <c r="AE243" s="377"/>
      <c r="AF243" s="377"/>
      <c r="AG243" s="377"/>
      <c r="AH243" s="377"/>
      <c r="AI243" s="377"/>
      <c r="AJ243" s="377"/>
      <c r="AK243" s="377"/>
      <c r="AL243" s="377"/>
      <c r="AM243" s="377"/>
      <c r="AN243" s="377"/>
      <c r="AO243" s="377"/>
      <c r="AP243" s="377"/>
      <c r="AQ243" s="377"/>
      <c r="AR243" s="377"/>
      <c r="AS243" s="377"/>
      <c r="AT243" s="377"/>
      <c r="AU243" s="377"/>
      <c r="AV243" s="377"/>
      <c r="AW243" s="377"/>
      <c r="AX243" s="377"/>
      <c r="AY243" s="377"/>
      <c r="AZ243" s="377"/>
      <c r="BA243" s="377"/>
      <c r="BB243" s="377"/>
      <c r="BC243" s="377"/>
      <c r="BD243" s="377"/>
      <c r="BE243" s="377"/>
      <c r="BF243" s="377"/>
      <c r="BG243" s="377"/>
      <c r="BH243" s="377"/>
      <c r="BI243" s="377"/>
      <c r="BJ243" s="377"/>
      <c r="BK243" s="377"/>
      <c r="BL243" s="377"/>
      <c r="BM243" s="377"/>
      <c r="BN243" s="377"/>
      <c r="BO243" s="377"/>
      <c r="BP243" s="377"/>
      <c r="BQ243" s="377"/>
      <c r="BR243" s="377"/>
    </row>
    <row r="244" spans="1:70" outlineLevel="1">
      <c r="A244" s="374">
        <f t="shared" si="82"/>
        <v>0</v>
      </c>
      <c r="B244" s="359">
        <v>5312</v>
      </c>
      <c r="C244" s="359">
        <v>1</v>
      </c>
      <c r="D244" s="360" t="s">
        <v>917</v>
      </c>
      <c r="E244" s="360" t="s">
        <v>492</v>
      </c>
      <c r="F244" s="373" t="s">
        <v>454</v>
      </c>
      <c r="G244" s="360"/>
      <c r="H244" s="377"/>
      <c r="I244" s="537">
        <v>-12000000</v>
      </c>
      <c r="J244" s="546"/>
      <c r="K244" s="383"/>
      <c r="L244" s="383"/>
      <c r="M244" s="383"/>
      <c r="N244" s="383"/>
      <c r="O244" s="383"/>
      <c r="P244" s="383"/>
      <c r="Q244" s="383"/>
      <c r="R244" s="383"/>
      <c r="S244" s="377">
        <v>0</v>
      </c>
      <c r="T244" s="377">
        <v>0</v>
      </c>
      <c r="U244" s="377">
        <v>0</v>
      </c>
      <c r="V244" s="377">
        <v>0</v>
      </c>
      <c r="W244" s="377">
        <v>0</v>
      </c>
      <c r="X244" s="377">
        <v>-12000000</v>
      </c>
      <c r="Y244" s="377"/>
      <c r="Z244" s="377"/>
      <c r="AA244" s="377"/>
      <c r="AB244" s="377"/>
      <c r="AC244" s="377"/>
      <c r="AD244" s="377"/>
      <c r="AE244" s="377"/>
      <c r="AF244" s="377"/>
      <c r="AG244" s="377"/>
      <c r="AH244" s="377"/>
      <c r="AI244" s="377"/>
      <c r="AJ244" s="377"/>
      <c r="AK244" s="377"/>
      <c r="AL244" s="377"/>
      <c r="AM244" s="377"/>
      <c r="AN244" s="377"/>
      <c r="AO244" s="377"/>
      <c r="AP244" s="377"/>
      <c r="AQ244" s="377"/>
      <c r="AR244" s="377"/>
      <c r="AS244" s="377"/>
      <c r="AT244" s="377"/>
      <c r="AU244" s="377"/>
      <c r="AV244" s="377"/>
      <c r="AW244" s="377"/>
      <c r="AX244" s="377"/>
      <c r="AY244" s="377"/>
      <c r="AZ244" s="377"/>
      <c r="BA244" s="377"/>
      <c r="BB244" s="377"/>
      <c r="BC244" s="377"/>
      <c r="BD244" s="377"/>
      <c r="BE244" s="377"/>
      <c r="BF244" s="377"/>
      <c r="BG244" s="377"/>
      <c r="BH244" s="377"/>
      <c r="BI244" s="377"/>
      <c r="BJ244" s="377"/>
      <c r="BK244" s="377"/>
      <c r="BL244" s="377"/>
      <c r="BM244" s="377"/>
      <c r="BN244" s="377"/>
      <c r="BO244" s="377"/>
      <c r="BP244" s="377"/>
      <c r="BQ244" s="377"/>
      <c r="BR244" s="377"/>
    </row>
    <row r="245" spans="1:70" outlineLevel="1">
      <c r="A245" s="374">
        <f t="shared" si="82"/>
        <v>0</v>
      </c>
      <c r="B245" s="359">
        <v>5312</v>
      </c>
      <c r="C245" s="359">
        <v>1</v>
      </c>
      <c r="D245" s="360"/>
      <c r="E245" s="360" t="s">
        <v>492</v>
      </c>
      <c r="F245" s="373" t="s">
        <v>454</v>
      </c>
      <c r="G245" s="360"/>
      <c r="H245" s="377"/>
      <c r="I245" s="537"/>
      <c r="J245" s="546"/>
      <c r="K245" s="383"/>
      <c r="L245" s="383"/>
      <c r="M245" s="383"/>
      <c r="N245" s="383"/>
      <c r="O245" s="383"/>
      <c r="P245" s="383"/>
      <c r="Q245" s="383"/>
      <c r="R245" s="383"/>
      <c r="S245" s="377"/>
      <c r="T245" s="377"/>
      <c r="U245" s="377"/>
      <c r="V245" s="377"/>
      <c r="W245" s="377"/>
      <c r="X245" s="377"/>
      <c r="Y245" s="377"/>
      <c r="Z245" s="377"/>
      <c r="AA245" s="377"/>
      <c r="AB245" s="377"/>
      <c r="AC245" s="377"/>
      <c r="AD245" s="377"/>
      <c r="AE245" s="377"/>
      <c r="AF245" s="377"/>
      <c r="AG245" s="377"/>
      <c r="AH245" s="377"/>
      <c r="AI245" s="377"/>
      <c r="AJ245" s="377"/>
      <c r="AK245" s="377"/>
      <c r="AL245" s="377"/>
      <c r="AM245" s="377"/>
      <c r="AN245" s="377"/>
      <c r="AO245" s="377"/>
      <c r="AP245" s="377"/>
      <c r="AQ245" s="377"/>
      <c r="AR245" s="377"/>
      <c r="AS245" s="377"/>
      <c r="AT245" s="377"/>
      <c r="AU245" s="377"/>
      <c r="AV245" s="377"/>
      <c r="AW245" s="377"/>
      <c r="AX245" s="377"/>
      <c r="AY245" s="377"/>
      <c r="AZ245" s="377"/>
      <c r="BA245" s="377"/>
      <c r="BB245" s="377"/>
      <c r="BC245" s="377"/>
      <c r="BD245" s="377"/>
      <c r="BE245" s="377"/>
      <c r="BF245" s="377"/>
      <c r="BG245" s="377"/>
      <c r="BH245" s="377"/>
      <c r="BI245" s="377"/>
      <c r="BJ245" s="377"/>
      <c r="BK245" s="377"/>
      <c r="BL245" s="377"/>
      <c r="BM245" s="377"/>
      <c r="BN245" s="377"/>
      <c r="BO245" s="377"/>
      <c r="BP245" s="377"/>
      <c r="BQ245" s="377"/>
      <c r="BR245" s="377"/>
    </row>
    <row r="246" spans="1:70" outlineLevel="1">
      <c r="A246" s="374">
        <f t="shared" si="82"/>
        <v>0</v>
      </c>
      <c r="B246" s="359">
        <v>5312</v>
      </c>
      <c r="C246" s="359">
        <v>1</v>
      </c>
      <c r="D246" s="360"/>
      <c r="E246" s="360" t="s">
        <v>492</v>
      </c>
      <c r="F246" s="373" t="s">
        <v>454</v>
      </c>
      <c r="G246" s="360"/>
      <c r="H246" s="377"/>
      <c r="I246" s="537"/>
      <c r="J246" s="546"/>
      <c r="K246" s="383"/>
      <c r="L246" s="383"/>
      <c r="M246" s="383"/>
      <c r="N246" s="383"/>
      <c r="O246" s="383"/>
      <c r="P246" s="383"/>
      <c r="Q246" s="383"/>
      <c r="R246" s="383"/>
      <c r="S246" s="377"/>
      <c r="T246" s="377"/>
      <c r="U246" s="377"/>
      <c r="V246" s="377"/>
      <c r="W246" s="377"/>
      <c r="X246" s="377"/>
      <c r="Y246" s="377"/>
      <c r="Z246" s="377"/>
      <c r="AA246" s="377"/>
      <c r="AB246" s="377"/>
      <c r="AC246" s="377"/>
      <c r="AD246" s="377"/>
      <c r="AE246" s="377"/>
      <c r="AF246" s="377"/>
      <c r="AG246" s="377"/>
      <c r="AH246" s="377"/>
      <c r="AI246" s="377"/>
      <c r="AJ246" s="377"/>
      <c r="AK246" s="377"/>
      <c r="AL246" s="377"/>
      <c r="AM246" s="377"/>
      <c r="AN246" s="377"/>
      <c r="AO246" s="377"/>
      <c r="AP246" s="377"/>
      <c r="AQ246" s="377"/>
      <c r="AR246" s="377"/>
      <c r="AS246" s="377"/>
      <c r="AT246" s="377"/>
      <c r="AU246" s="377"/>
      <c r="AV246" s="377"/>
      <c r="AW246" s="377"/>
      <c r="AX246" s="377"/>
      <c r="AY246" s="377"/>
      <c r="AZ246" s="377"/>
      <c r="BA246" s="377"/>
      <c r="BB246" s="377"/>
      <c r="BC246" s="377"/>
      <c r="BD246" s="377"/>
      <c r="BE246" s="377"/>
      <c r="BF246" s="377"/>
      <c r="BG246" s="377"/>
      <c r="BH246" s="377"/>
      <c r="BI246" s="377"/>
      <c r="BJ246" s="377"/>
      <c r="BK246" s="377"/>
      <c r="BL246" s="377"/>
      <c r="BM246" s="377"/>
      <c r="BN246" s="377"/>
      <c r="BO246" s="377"/>
      <c r="BP246" s="377"/>
      <c r="BQ246" s="377"/>
      <c r="BR246" s="377"/>
    </row>
    <row r="247" spans="1:70" outlineLevel="1">
      <c r="A247" s="374">
        <f t="shared" si="81"/>
        <v>0</v>
      </c>
      <c r="B247" s="359"/>
      <c r="C247" s="359"/>
      <c r="D247" s="360"/>
      <c r="E247" s="360"/>
      <c r="F247" s="373"/>
      <c r="G247" s="360"/>
      <c r="H247" s="377"/>
      <c r="I247" s="537"/>
      <c r="J247" s="546"/>
      <c r="K247" s="383"/>
      <c r="L247" s="383"/>
      <c r="M247" s="383"/>
      <c r="N247" s="383"/>
      <c r="O247" s="383"/>
      <c r="P247" s="383"/>
      <c r="Q247" s="383"/>
      <c r="R247" s="383"/>
      <c r="S247" s="377"/>
      <c r="T247" s="377"/>
      <c r="U247" s="377"/>
      <c r="V247" s="377"/>
      <c r="W247" s="377"/>
      <c r="X247" s="377"/>
      <c r="Y247" s="377"/>
      <c r="Z247" s="377"/>
      <c r="AA247" s="377"/>
      <c r="AB247" s="377"/>
      <c r="AC247" s="377"/>
      <c r="AD247" s="377"/>
      <c r="AE247" s="377"/>
      <c r="AF247" s="377"/>
      <c r="AG247" s="377"/>
      <c r="AH247" s="377"/>
      <c r="AI247" s="377"/>
      <c r="AJ247" s="377"/>
      <c r="AK247" s="377"/>
      <c r="AL247" s="377"/>
      <c r="AM247" s="377"/>
      <c r="AN247" s="377"/>
      <c r="AO247" s="377"/>
      <c r="AP247" s="377"/>
      <c r="AQ247" s="377"/>
      <c r="AR247" s="377"/>
      <c r="AS247" s="377"/>
      <c r="AT247" s="377"/>
      <c r="AU247" s="377"/>
      <c r="AV247" s="377"/>
      <c r="AW247" s="377"/>
      <c r="AX247" s="377"/>
      <c r="AY247" s="377"/>
      <c r="AZ247" s="377"/>
      <c r="BA247" s="377"/>
      <c r="BB247" s="377"/>
      <c r="BC247" s="377"/>
      <c r="BD247" s="377"/>
      <c r="BE247" s="377"/>
      <c r="BF247" s="377"/>
      <c r="BG247" s="377"/>
      <c r="BH247" s="377"/>
      <c r="BI247" s="377"/>
      <c r="BJ247" s="377"/>
      <c r="BK247" s="377"/>
      <c r="BL247" s="377"/>
      <c r="BM247" s="377"/>
      <c r="BN247" s="377"/>
      <c r="BO247" s="377"/>
      <c r="BP247" s="377"/>
      <c r="BQ247" s="377"/>
      <c r="BR247" s="377"/>
    </row>
    <row r="248" spans="1:70" outlineLevel="1">
      <c r="A248" s="374">
        <f t="shared" si="81"/>
        <v>0</v>
      </c>
      <c r="B248" s="359"/>
      <c r="C248" s="359"/>
      <c r="D248" s="360"/>
      <c r="E248" s="360"/>
      <c r="F248" s="373"/>
      <c r="G248" s="360"/>
      <c r="H248" s="377"/>
      <c r="I248" s="537"/>
      <c r="J248" s="546"/>
      <c r="K248" s="383"/>
      <c r="L248" s="383"/>
      <c r="M248" s="383"/>
      <c r="N248" s="383"/>
      <c r="O248" s="383"/>
      <c r="P248" s="383"/>
      <c r="Q248" s="383"/>
      <c r="R248" s="383"/>
      <c r="S248" s="377"/>
      <c r="T248" s="377"/>
      <c r="U248" s="377"/>
      <c r="V248" s="377"/>
      <c r="W248" s="377"/>
      <c r="X248" s="377"/>
      <c r="Y248" s="377"/>
      <c r="Z248" s="377"/>
      <c r="AA248" s="377"/>
      <c r="AB248" s="377"/>
      <c r="AC248" s="377"/>
      <c r="AD248" s="377"/>
      <c r="AE248" s="377"/>
      <c r="AF248" s="377"/>
      <c r="AG248" s="377"/>
      <c r="AH248" s="377"/>
      <c r="AI248" s="377"/>
      <c r="AJ248" s="377"/>
      <c r="AK248" s="377"/>
      <c r="AL248" s="377"/>
      <c r="AM248" s="377"/>
      <c r="AN248" s="377"/>
      <c r="AO248" s="377"/>
      <c r="AP248" s="377"/>
      <c r="AQ248" s="377"/>
      <c r="AR248" s="377"/>
      <c r="AS248" s="377"/>
      <c r="AT248" s="377"/>
      <c r="AU248" s="377"/>
      <c r="AV248" s="377"/>
      <c r="AW248" s="377"/>
      <c r="AX248" s="377"/>
      <c r="AY248" s="377"/>
      <c r="AZ248" s="377"/>
      <c r="BA248" s="377"/>
      <c r="BB248" s="377"/>
      <c r="BC248" s="377"/>
      <c r="BD248" s="377"/>
      <c r="BE248" s="377"/>
      <c r="BF248" s="377"/>
      <c r="BG248" s="377"/>
      <c r="BH248" s="377"/>
      <c r="BI248" s="377"/>
      <c r="BJ248" s="377"/>
      <c r="BK248" s="377"/>
      <c r="BL248" s="377"/>
      <c r="BM248" s="377"/>
      <c r="BN248" s="377"/>
      <c r="BO248" s="377"/>
      <c r="BP248" s="377"/>
      <c r="BQ248" s="377"/>
      <c r="BR248" s="377"/>
    </row>
    <row r="249" spans="1:70" outlineLevel="1">
      <c r="A249" s="374">
        <f t="shared" si="81"/>
        <v>0</v>
      </c>
      <c r="B249" s="359">
        <v>5312</v>
      </c>
      <c r="C249" s="359">
        <v>2</v>
      </c>
      <c r="D249" s="360" t="s">
        <v>946</v>
      </c>
      <c r="E249" s="360" t="s">
        <v>492</v>
      </c>
      <c r="F249" s="366" t="s">
        <v>461</v>
      </c>
      <c r="G249" s="360"/>
      <c r="H249" s="377"/>
      <c r="I249" s="540">
        <f>'DB2'!$G$18*-'DB2'!$F$32-SUMIFS($I$250:$I$263,$C$250:$C$263,$C$249)</f>
        <v>-54129996</v>
      </c>
      <c r="J249" s="546"/>
      <c r="K249" s="383"/>
      <c r="L249" s="383"/>
      <c r="M249" s="383"/>
      <c r="N249" s="383"/>
      <c r="O249" s="383"/>
      <c r="P249" s="383"/>
      <c r="Q249" s="383"/>
      <c r="R249" s="383"/>
      <c r="S249" s="377">
        <f>$I249*'TS2'!N$22</f>
        <v>-2706499.8000000003</v>
      </c>
      <c r="T249" s="377">
        <f>$I249*'TS2'!O$22</f>
        <v>-2706499.8000000003</v>
      </c>
      <c r="U249" s="377">
        <f>$I249*'TS2'!P$22</f>
        <v>-2706499.8000000003</v>
      </c>
      <c r="V249" s="377">
        <f>$I249*'TS2'!Q$22</f>
        <v>-2706499.8000000003</v>
      </c>
      <c r="W249" s="377">
        <f>$I249*'TS2'!R$22</f>
        <v>-2706499.8000000003</v>
      </c>
      <c r="X249" s="377">
        <f>$I249*'TS2'!S$22</f>
        <v>-2706499.8000000003</v>
      </c>
      <c r="Y249" s="377">
        <f>$I249*'TS2'!T$22</f>
        <v>-2706499.8000000003</v>
      </c>
      <c r="Z249" s="377">
        <f>$I249*'TS2'!U$22</f>
        <v>-2706499.8000000003</v>
      </c>
      <c r="AA249" s="377">
        <f>$I249*'TS2'!V$22</f>
        <v>-2706499.8000000003</v>
      </c>
      <c r="AB249" s="377">
        <f>$I249*'TS2'!W$22</f>
        <v>-2706499.8000000003</v>
      </c>
      <c r="AC249" s="377">
        <f>$I249*'TS2'!X$22</f>
        <v>-2255416.5</v>
      </c>
      <c r="AD249" s="377">
        <f>$I249*'TS2'!Y$22</f>
        <v>-2255416.5</v>
      </c>
      <c r="AE249" s="377">
        <f>$I249*'TS2'!Z$22</f>
        <v>-2255416.5</v>
      </c>
      <c r="AF249" s="377">
        <f>$I249*'TS2'!AA$22</f>
        <v>-2255416.5</v>
      </c>
      <c r="AG249" s="377">
        <f>$I249*'TS2'!AB$22</f>
        <v>-2255416.5</v>
      </c>
      <c r="AH249" s="377">
        <f>$I249*'TS2'!AC$22</f>
        <v>-2255416.5</v>
      </c>
      <c r="AI249" s="377">
        <f>$I249*'TS2'!AD$22</f>
        <v>-2255416.5</v>
      </c>
      <c r="AJ249" s="377">
        <f>$I249*'TS2'!AE$22</f>
        <v>-2255416.5</v>
      </c>
      <c r="AK249" s="377">
        <f>$I249*'TS2'!AF$22</f>
        <v>-2255416.5</v>
      </c>
      <c r="AL249" s="377">
        <f>$I249*'TS2'!AG$22</f>
        <v>-2255416.5</v>
      </c>
      <c r="AM249" s="377">
        <f>$I249*'TS2'!AH$22</f>
        <v>-2255416.5</v>
      </c>
      <c r="AN249" s="377">
        <f>$I249*'TS2'!AI$22</f>
        <v>-2255416.5</v>
      </c>
      <c r="AO249" s="377">
        <f>$I249*'TS2'!AJ$22</f>
        <v>0</v>
      </c>
      <c r="AP249" s="377">
        <f>$I249*'TS2'!AK$22</f>
        <v>0</v>
      </c>
      <c r="AQ249" s="377">
        <f>$I249*'TS2'!AL$22</f>
        <v>0</v>
      </c>
      <c r="AR249" s="377">
        <f>$I249*'TS2'!AM$22</f>
        <v>0</v>
      </c>
      <c r="AS249" s="377">
        <f>$I249*'TS2'!AN$22</f>
        <v>0</v>
      </c>
      <c r="AT249" s="377">
        <f>$I249*'TS2'!AO$22</f>
        <v>0</v>
      </c>
      <c r="AU249" s="377">
        <f>$I249*'TS2'!AP$22</f>
        <v>0</v>
      </c>
      <c r="AV249" s="377">
        <f>$I249*'TS2'!AQ$22</f>
        <v>0</v>
      </c>
      <c r="AW249" s="377">
        <f>$I249*'TS2'!AR$22</f>
        <v>0</v>
      </c>
      <c r="AX249" s="377">
        <f>$I249*'TS2'!AS$22</f>
        <v>0</v>
      </c>
      <c r="AY249" s="377">
        <f>$I249*'TS2'!AT$22</f>
        <v>0</v>
      </c>
      <c r="AZ249" s="377">
        <f>$I249*'TS2'!AU$22</f>
        <v>0</v>
      </c>
      <c r="BA249" s="377">
        <f>$I249*'TS2'!AV$22</f>
        <v>0</v>
      </c>
      <c r="BB249" s="377">
        <f>$I249*'TS2'!AW$22</f>
        <v>0</v>
      </c>
      <c r="BC249" s="377">
        <f>$I249*'TS2'!AX$22</f>
        <v>0</v>
      </c>
      <c r="BD249" s="377">
        <f>$I249*'TS2'!AY$22</f>
        <v>0</v>
      </c>
      <c r="BE249" s="377">
        <f>$I249*'TS2'!AZ$22</f>
        <v>0</v>
      </c>
      <c r="BF249" s="377">
        <f>$I249*'TS2'!BA$22</f>
        <v>0</v>
      </c>
      <c r="BG249" s="377">
        <f>$I249*'TS2'!BB$22</f>
        <v>0</v>
      </c>
      <c r="BH249" s="377">
        <f>$I249*'TS2'!BC$22</f>
        <v>0</v>
      </c>
      <c r="BI249" s="377">
        <f>$I249*'TS2'!BD$22</f>
        <v>0</v>
      </c>
      <c r="BJ249" s="377">
        <f>$I249*'TS2'!BE$22</f>
        <v>0</v>
      </c>
      <c r="BK249" s="377">
        <f>$I249*'TS2'!BF$22</f>
        <v>0</v>
      </c>
      <c r="BL249" s="377">
        <f>$I249*'TS2'!BG$22</f>
        <v>0</v>
      </c>
      <c r="BM249" s="377">
        <f>$I249*'TS2'!BH$22</f>
        <v>0</v>
      </c>
      <c r="BN249" s="377">
        <f>$I249*'TS2'!BI$22</f>
        <v>0</v>
      </c>
      <c r="BO249" s="377">
        <f>$I249*'TS2'!BJ$22</f>
        <v>0</v>
      </c>
      <c r="BP249" s="377">
        <f>$I249*'TS2'!BK$22</f>
        <v>0</v>
      </c>
      <c r="BQ249" s="377">
        <f>$I249*'TS2'!BL$22</f>
        <v>0</v>
      </c>
      <c r="BR249" s="377">
        <f>$I249*'TS2'!BM$22</f>
        <v>0</v>
      </c>
    </row>
    <row r="250" spans="1:70" outlineLevel="1">
      <c r="A250" s="374">
        <f t="shared" si="81"/>
        <v>0</v>
      </c>
      <c r="B250" s="359"/>
      <c r="C250" s="359"/>
      <c r="D250" s="360"/>
      <c r="E250" s="360"/>
      <c r="F250" s="373"/>
      <c r="G250" s="360"/>
      <c r="H250" s="377"/>
      <c r="I250" s="537"/>
      <c r="J250" s="546"/>
      <c r="K250" s="383"/>
      <c r="L250" s="383"/>
      <c r="M250" s="383"/>
      <c r="N250" s="383"/>
      <c r="O250" s="383"/>
      <c r="P250" s="383"/>
      <c r="Q250" s="383"/>
      <c r="R250" s="383"/>
      <c r="S250" s="377"/>
      <c r="T250" s="377"/>
      <c r="U250" s="377"/>
      <c r="V250" s="377"/>
      <c r="W250" s="377"/>
      <c r="X250" s="377"/>
      <c r="Y250" s="377"/>
      <c r="Z250" s="377"/>
      <c r="AA250" s="377"/>
      <c r="AB250" s="377"/>
      <c r="AC250" s="377"/>
      <c r="AD250" s="377"/>
      <c r="AE250" s="377"/>
      <c r="AF250" s="377"/>
      <c r="AG250" s="377"/>
      <c r="AH250" s="377"/>
      <c r="AI250" s="377"/>
      <c r="AJ250" s="377"/>
      <c r="AK250" s="377"/>
      <c r="AL250" s="377"/>
      <c r="AM250" s="377"/>
      <c r="AN250" s="377"/>
      <c r="AO250" s="377"/>
      <c r="AP250" s="377"/>
      <c r="AQ250" s="377"/>
      <c r="AR250" s="377"/>
      <c r="AS250" s="377"/>
      <c r="AT250" s="377"/>
      <c r="AU250" s="377"/>
      <c r="AV250" s="377"/>
      <c r="AW250" s="377"/>
      <c r="AX250" s="377"/>
      <c r="AY250" s="377"/>
      <c r="AZ250" s="377"/>
      <c r="BA250" s="377"/>
      <c r="BB250" s="377"/>
      <c r="BC250" s="377"/>
      <c r="BD250" s="377"/>
      <c r="BE250" s="377"/>
      <c r="BF250" s="377"/>
      <c r="BG250" s="377"/>
      <c r="BH250" s="377"/>
      <c r="BI250" s="377"/>
      <c r="BJ250" s="377"/>
      <c r="BK250" s="377"/>
      <c r="BL250" s="377"/>
      <c r="BM250" s="377"/>
      <c r="BN250" s="377"/>
      <c r="BO250" s="377"/>
      <c r="BP250" s="377"/>
      <c r="BQ250" s="377"/>
      <c r="BR250" s="377"/>
    </row>
    <row r="251" spans="1:70" outlineLevel="1">
      <c r="A251" s="374">
        <f t="shared" si="81"/>
        <v>0</v>
      </c>
      <c r="B251" s="359">
        <v>5312</v>
      </c>
      <c r="C251" s="359">
        <v>2</v>
      </c>
      <c r="D251" s="360" t="s">
        <v>899</v>
      </c>
      <c r="E251" s="360" t="s">
        <v>492</v>
      </c>
      <c r="F251" s="373" t="s">
        <v>942</v>
      </c>
      <c r="G251" s="360"/>
      <c r="H251" s="377"/>
      <c r="I251" s="537">
        <v>-7200000</v>
      </c>
      <c r="J251" s="546"/>
      <c r="K251" s="383"/>
      <c r="L251" s="383"/>
      <c r="M251" s="383"/>
      <c r="N251" s="383"/>
      <c r="O251" s="383"/>
      <c r="P251" s="383"/>
      <c r="Q251" s="383"/>
      <c r="R251" s="383"/>
      <c r="S251" s="377">
        <v>0</v>
      </c>
      <c r="T251" s="377">
        <v>0</v>
      </c>
      <c r="U251" s="377">
        <v>0</v>
      </c>
      <c r="V251" s="377">
        <v>0</v>
      </c>
      <c r="W251" s="377">
        <v>0</v>
      </c>
      <c r="X251" s="377">
        <v>0</v>
      </c>
      <c r="Y251" s="377">
        <v>0</v>
      </c>
      <c r="Z251" s="377">
        <v>0</v>
      </c>
      <c r="AA251" s="377">
        <v>-7200000</v>
      </c>
      <c r="AB251" s="377">
        <v>0</v>
      </c>
      <c r="AC251" s="377"/>
      <c r="AD251" s="377"/>
      <c r="AE251" s="377"/>
      <c r="AF251" s="377"/>
      <c r="AG251" s="377"/>
      <c r="AH251" s="377"/>
      <c r="AI251" s="377"/>
      <c r="AJ251" s="377"/>
      <c r="AK251" s="377"/>
      <c r="AL251" s="377"/>
      <c r="AM251" s="377"/>
      <c r="AN251" s="377"/>
      <c r="AO251" s="377"/>
      <c r="AP251" s="377"/>
      <c r="AQ251" s="377"/>
      <c r="AR251" s="377"/>
      <c r="AS251" s="377"/>
      <c r="AT251" s="377"/>
      <c r="AU251" s="377"/>
      <c r="AV251" s="377"/>
      <c r="AW251" s="377"/>
      <c r="AX251" s="377"/>
      <c r="AY251" s="377"/>
      <c r="AZ251" s="377"/>
      <c r="BA251" s="377"/>
      <c r="BB251" s="377"/>
      <c r="BC251" s="377"/>
      <c r="BD251" s="377"/>
      <c r="BE251" s="377"/>
      <c r="BF251" s="377"/>
      <c r="BG251" s="377"/>
      <c r="BH251" s="377"/>
      <c r="BI251" s="377"/>
      <c r="BJ251" s="377"/>
      <c r="BK251" s="377"/>
      <c r="BL251" s="377"/>
      <c r="BM251" s="377"/>
      <c r="BN251" s="377"/>
      <c r="BO251" s="377"/>
      <c r="BP251" s="377"/>
      <c r="BQ251" s="377"/>
      <c r="BR251" s="377"/>
    </row>
    <row r="252" spans="1:70" outlineLevel="1">
      <c r="A252" s="374"/>
      <c r="B252" s="359">
        <v>5312</v>
      </c>
      <c r="C252" s="359">
        <v>2</v>
      </c>
      <c r="D252" s="360" t="s">
        <v>900</v>
      </c>
      <c r="E252" s="360" t="s">
        <v>492</v>
      </c>
      <c r="F252" s="373" t="s">
        <v>942</v>
      </c>
      <c r="G252" s="360"/>
      <c r="H252" s="377"/>
      <c r="I252" s="537">
        <v>-7200000</v>
      </c>
      <c r="J252" s="546"/>
      <c r="K252" s="383"/>
      <c r="L252" s="383"/>
      <c r="M252" s="383"/>
      <c r="N252" s="383"/>
      <c r="O252" s="383"/>
      <c r="P252" s="383"/>
      <c r="Q252" s="383"/>
      <c r="R252" s="383"/>
      <c r="S252" s="377">
        <v>0</v>
      </c>
      <c r="T252" s="377">
        <v>0</v>
      </c>
      <c r="U252" s="377">
        <v>0</v>
      </c>
      <c r="V252" s="377">
        <v>0</v>
      </c>
      <c r="W252" s="377">
        <v>0</v>
      </c>
      <c r="X252" s="377">
        <v>0</v>
      </c>
      <c r="Y252" s="377">
        <v>0</v>
      </c>
      <c r="Z252" s="377">
        <v>0</v>
      </c>
      <c r="AA252" s="377">
        <v>-7200000</v>
      </c>
      <c r="AB252" s="377">
        <v>0</v>
      </c>
      <c r="AC252" s="377"/>
      <c r="AD252" s="377"/>
      <c r="AE252" s="377"/>
      <c r="AF252" s="377"/>
      <c r="AG252" s="377"/>
      <c r="AH252" s="377"/>
      <c r="AI252" s="377"/>
      <c r="AJ252" s="377"/>
      <c r="AK252" s="377"/>
      <c r="AL252" s="377"/>
      <c r="AM252" s="377"/>
      <c r="AN252" s="377"/>
      <c r="AO252" s="377"/>
      <c r="AP252" s="377"/>
      <c r="AQ252" s="377"/>
      <c r="AR252" s="377"/>
      <c r="AS252" s="377"/>
      <c r="AT252" s="377"/>
      <c r="AU252" s="377"/>
      <c r="AV252" s="377"/>
      <c r="AW252" s="377"/>
      <c r="AX252" s="377"/>
      <c r="AY252" s="377"/>
      <c r="AZ252" s="377"/>
      <c r="BA252" s="377"/>
      <c r="BB252" s="377"/>
      <c r="BC252" s="377"/>
      <c r="BD252" s="377"/>
      <c r="BE252" s="377"/>
      <c r="BF252" s="377"/>
      <c r="BG252" s="377"/>
      <c r="BH252" s="377"/>
      <c r="BI252" s="377"/>
      <c r="BJ252" s="377"/>
      <c r="BK252" s="377"/>
      <c r="BL252" s="377"/>
      <c r="BM252" s="377"/>
      <c r="BN252" s="377"/>
      <c r="BO252" s="377"/>
      <c r="BP252" s="377"/>
      <c r="BQ252" s="377"/>
      <c r="BR252" s="377"/>
    </row>
    <row r="253" spans="1:70" outlineLevel="1">
      <c r="A253" s="374"/>
      <c r="B253" s="359">
        <v>5312</v>
      </c>
      <c r="C253" s="359">
        <v>2</v>
      </c>
      <c r="D253" s="360" t="s">
        <v>915</v>
      </c>
      <c r="E253" s="360" t="s">
        <v>492</v>
      </c>
      <c r="F253" s="373" t="s">
        <v>454</v>
      </c>
      <c r="G253" s="360"/>
      <c r="H253" s="377"/>
      <c r="I253" s="537">
        <v>-9600000</v>
      </c>
      <c r="J253" s="546"/>
      <c r="K253" s="383"/>
      <c r="L253" s="383"/>
      <c r="M253" s="383"/>
      <c r="N253" s="383"/>
      <c r="O253" s="383"/>
      <c r="P253" s="383"/>
      <c r="Q253" s="383"/>
      <c r="R253" s="383"/>
      <c r="S253" s="377">
        <v>0</v>
      </c>
      <c r="T253" s="377">
        <v>0</v>
      </c>
      <c r="U253" s="377">
        <v>0</v>
      </c>
      <c r="V253" s="377">
        <v>0</v>
      </c>
      <c r="W253" s="377">
        <v>0</v>
      </c>
      <c r="X253" s="377">
        <v>0</v>
      </c>
      <c r="Y253" s="377">
        <v>0</v>
      </c>
      <c r="Z253" s="377">
        <v>0</v>
      </c>
      <c r="AA253" s="377">
        <v>-9600000</v>
      </c>
      <c r="AB253" s="377">
        <v>0</v>
      </c>
      <c r="AC253" s="377"/>
      <c r="AD253" s="377"/>
      <c r="AE253" s="377"/>
      <c r="AF253" s="377"/>
      <c r="AG253" s="377"/>
      <c r="AH253" s="377"/>
      <c r="AI253" s="377"/>
      <c r="AJ253" s="377"/>
      <c r="AK253" s="377"/>
      <c r="AL253" s="377"/>
      <c r="AM253" s="377"/>
      <c r="AN253" s="377"/>
      <c r="AO253" s="377"/>
      <c r="AP253" s="377"/>
      <c r="AQ253" s="377"/>
      <c r="AR253" s="377"/>
      <c r="AS253" s="377"/>
      <c r="AT253" s="377"/>
      <c r="AU253" s="377"/>
      <c r="AV253" s="377"/>
      <c r="AW253" s="377"/>
      <c r="AX253" s="377"/>
      <c r="AY253" s="377"/>
      <c r="AZ253" s="377"/>
      <c r="BA253" s="377"/>
      <c r="BB253" s="377"/>
      <c r="BC253" s="377"/>
      <c r="BD253" s="377"/>
      <c r="BE253" s="377"/>
      <c r="BF253" s="377"/>
      <c r="BG253" s="377"/>
      <c r="BH253" s="377"/>
      <c r="BI253" s="377"/>
      <c r="BJ253" s="377"/>
      <c r="BK253" s="377"/>
      <c r="BL253" s="377"/>
      <c r="BM253" s="377"/>
      <c r="BN253" s="377"/>
      <c r="BO253" s="377"/>
      <c r="BP253" s="377"/>
      <c r="BQ253" s="377"/>
      <c r="BR253" s="377"/>
    </row>
    <row r="254" spans="1:70" outlineLevel="1">
      <c r="A254" s="374"/>
      <c r="B254" s="359">
        <v>5312</v>
      </c>
      <c r="C254" s="359">
        <v>2</v>
      </c>
      <c r="D254" s="360" t="s">
        <v>914</v>
      </c>
      <c r="E254" s="360" t="s">
        <v>492</v>
      </c>
      <c r="F254" s="373" t="s">
        <v>454</v>
      </c>
      <c r="G254" s="360"/>
      <c r="H254" s="377"/>
      <c r="I254" s="537">
        <v>-1800000</v>
      </c>
      <c r="J254" s="546"/>
      <c r="K254" s="383"/>
      <c r="L254" s="383"/>
      <c r="M254" s="383"/>
      <c r="N254" s="383"/>
      <c r="O254" s="383"/>
      <c r="P254" s="383"/>
      <c r="Q254" s="383"/>
      <c r="R254" s="383"/>
      <c r="S254" s="377">
        <v>0</v>
      </c>
      <c r="T254" s="377">
        <v>0</v>
      </c>
      <c r="U254" s="377">
        <v>0</v>
      </c>
      <c r="V254" s="377">
        <v>0</v>
      </c>
      <c r="W254" s="377">
        <v>0</v>
      </c>
      <c r="X254" s="377">
        <v>0</v>
      </c>
      <c r="Y254" s="377">
        <v>0</v>
      </c>
      <c r="Z254" s="377">
        <v>0</v>
      </c>
      <c r="AA254" s="377">
        <v>-1800000</v>
      </c>
      <c r="AB254" s="377">
        <v>0</v>
      </c>
      <c r="AC254" s="377"/>
      <c r="AD254" s="377"/>
      <c r="AE254" s="377"/>
      <c r="AF254" s="377"/>
      <c r="AG254" s="377"/>
      <c r="AH254" s="377"/>
      <c r="AI254" s="377"/>
      <c r="AJ254" s="377"/>
      <c r="AK254" s="377"/>
      <c r="AL254" s="377"/>
      <c r="AM254" s="377"/>
      <c r="AN254" s="377"/>
      <c r="AO254" s="377"/>
      <c r="AP254" s="377"/>
      <c r="AQ254" s="377"/>
      <c r="AR254" s="377"/>
      <c r="AS254" s="377"/>
      <c r="AT254" s="377"/>
      <c r="AU254" s="377"/>
      <c r="AV254" s="377"/>
      <c r="AW254" s="377"/>
      <c r="AX254" s="377"/>
      <c r="AY254" s="377"/>
      <c r="AZ254" s="377"/>
      <c r="BA254" s="377"/>
      <c r="BB254" s="377"/>
      <c r="BC254" s="377"/>
      <c r="BD254" s="377"/>
      <c r="BE254" s="377"/>
      <c r="BF254" s="377"/>
      <c r="BG254" s="377"/>
      <c r="BH254" s="377"/>
      <c r="BI254" s="377"/>
      <c r="BJ254" s="377"/>
      <c r="BK254" s="377"/>
      <c r="BL254" s="377"/>
      <c r="BM254" s="377"/>
      <c r="BN254" s="377"/>
      <c r="BO254" s="377"/>
      <c r="BP254" s="377"/>
      <c r="BQ254" s="377"/>
      <c r="BR254" s="377"/>
    </row>
    <row r="255" spans="1:70" outlineLevel="1">
      <c r="A255" s="374"/>
      <c r="B255" s="359">
        <v>5312</v>
      </c>
      <c r="C255" s="359">
        <v>2</v>
      </c>
      <c r="D255" s="360" t="s">
        <v>911</v>
      </c>
      <c r="E255" s="360" t="s">
        <v>492</v>
      </c>
      <c r="F255" s="373" t="s">
        <v>454</v>
      </c>
      <c r="G255" s="360"/>
      <c r="H255" s="377"/>
      <c r="I255" s="537">
        <v>-360000</v>
      </c>
      <c r="J255" s="546"/>
      <c r="K255" s="383"/>
      <c r="L255" s="383"/>
      <c r="M255" s="383"/>
      <c r="N255" s="383"/>
      <c r="O255" s="383"/>
      <c r="P255" s="383"/>
      <c r="Q255" s="383"/>
      <c r="R255" s="383"/>
      <c r="S255" s="377">
        <v>0</v>
      </c>
      <c r="T255" s="377">
        <v>0</v>
      </c>
      <c r="U255" s="377">
        <v>0</v>
      </c>
      <c r="V255" s="377">
        <v>0</v>
      </c>
      <c r="W255" s="377">
        <v>0</v>
      </c>
      <c r="X255" s="377">
        <v>0</v>
      </c>
      <c r="Y255" s="377">
        <v>0</v>
      </c>
      <c r="Z255" s="377">
        <v>0</v>
      </c>
      <c r="AA255" s="377">
        <v>-360000</v>
      </c>
      <c r="AB255" s="377">
        <v>0</v>
      </c>
      <c r="AC255" s="377"/>
      <c r="AD255" s="377"/>
      <c r="AE255" s="377"/>
      <c r="AF255" s="377"/>
      <c r="AG255" s="377"/>
      <c r="AH255" s="377"/>
      <c r="AI255" s="377"/>
      <c r="AJ255" s="377"/>
      <c r="AK255" s="377"/>
      <c r="AL255" s="377"/>
      <c r="AM255" s="377"/>
      <c r="AN255" s="377"/>
      <c r="AO255" s="377"/>
      <c r="AP255" s="377"/>
      <c r="AQ255" s="377"/>
      <c r="AR255" s="377"/>
      <c r="AS255" s="377"/>
      <c r="AT255" s="377"/>
      <c r="AU255" s="377"/>
      <c r="AV255" s="377"/>
      <c r="AW255" s="377"/>
      <c r="AX255" s="377"/>
      <c r="AY255" s="377"/>
      <c r="AZ255" s="377"/>
      <c r="BA255" s="377"/>
      <c r="BB255" s="377"/>
      <c r="BC255" s="377"/>
      <c r="BD255" s="377"/>
      <c r="BE255" s="377"/>
      <c r="BF255" s="377"/>
      <c r="BG255" s="377"/>
      <c r="BH255" s="377"/>
      <c r="BI255" s="377"/>
      <c r="BJ255" s="377"/>
      <c r="BK255" s="377"/>
      <c r="BL255" s="377"/>
      <c r="BM255" s="377"/>
      <c r="BN255" s="377"/>
      <c r="BO255" s="377"/>
      <c r="BP255" s="377"/>
      <c r="BQ255" s="377"/>
      <c r="BR255" s="377"/>
    </row>
    <row r="256" spans="1:70" outlineLevel="1">
      <c r="A256" s="374"/>
      <c r="B256" s="359">
        <v>5312</v>
      </c>
      <c r="C256" s="359">
        <v>2</v>
      </c>
      <c r="D256" s="360" t="s">
        <v>912</v>
      </c>
      <c r="E256" s="360" t="s">
        <v>492</v>
      </c>
      <c r="F256" s="373" t="s">
        <v>454</v>
      </c>
      <c r="G256" s="360"/>
      <c r="H256" s="377"/>
      <c r="I256" s="537">
        <v>-1200000</v>
      </c>
      <c r="J256" s="546"/>
      <c r="K256" s="383"/>
      <c r="L256" s="383"/>
      <c r="M256" s="383"/>
      <c r="N256" s="383"/>
      <c r="O256" s="383"/>
      <c r="P256" s="383"/>
      <c r="Q256" s="383"/>
      <c r="R256" s="383"/>
      <c r="S256" s="377">
        <v>0</v>
      </c>
      <c r="T256" s="377">
        <v>0</v>
      </c>
      <c r="U256" s="377">
        <v>0</v>
      </c>
      <c r="V256" s="377">
        <v>0</v>
      </c>
      <c r="W256" s="377">
        <v>-360000</v>
      </c>
      <c r="X256" s="377">
        <v>-360000</v>
      </c>
      <c r="Y256" s="377">
        <v>0</v>
      </c>
      <c r="Z256" s="377">
        <v>-480000</v>
      </c>
      <c r="AA256" s="377">
        <v>0</v>
      </c>
      <c r="AB256" s="377">
        <v>0</v>
      </c>
      <c r="AC256" s="377"/>
      <c r="AD256" s="377"/>
      <c r="AE256" s="377"/>
      <c r="AF256" s="377"/>
      <c r="AG256" s="377"/>
      <c r="AH256" s="377"/>
      <c r="AI256" s="377"/>
      <c r="AJ256" s="377"/>
      <c r="AK256" s="377"/>
      <c r="AL256" s="377"/>
      <c r="AM256" s="377"/>
      <c r="AN256" s="377"/>
      <c r="AO256" s="377"/>
      <c r="AP256" s="377"/>
      <c r="AQ256" s="377"/>
      <c r="AR256" s="377"/>
      <c r="AS256" s="377"/>
      <c r="AT256" s="377"/>
      <c r="AU256" s="377"/>
      <c r="AV256" s="377"/>
      <c r="AW256" s="377"/>
      <c r="AX256" s="377"/>
      <c r="AY256" s="377"/>
      <c r="AZ256" s="377"/>
      <c r="BA256" s="377"/>
      <c r="BB256" s="377"/>
      <c r="BC256" s="377"/>
      <c r="BD256" s="377"/>
      <c r="BE256" s="377"/>
      <c r="BF256" s="377"/>
      <c r="BG256" s="377"/>
      <c r="BH256" s="377"/>
      <c r="BI256" s="377"/>
      <c r="BJ256" s="377"/>
      <c r="BK256" s="377"/>
      <c r="BL256" s="377"/>
      <c r="BM256" s="377"/>
      <c r="BN256" s="377"/>
      <c r="BO256" s="377"/>
      <c r="BP256" s="377"/>
      <c r="BQ256" s="377"/>
      <c r="BR256" s="377"/>
    </row>
    <row r="257" spans="1:70" outlineLevel="1">
      <c r="A257" s="374"/>
      <c r="B257" s="359">
        <v>5312</v>
      </c>
      <c r="C257" s="359">
        <v>2</v>
      </c>
      <c r="D257" s="360" t="s">
        <v>916</v>
      </c>
      <c r="E257" s="360" t="s">
        <v>492</v>
      </c>
      <c r="F257" s="373" t="s">
        <v>454</v>
      </c>
      <c r="G257" s="360"/>
      <c r="H257" s="377"/>
      <c r="I257" s="537">
        <v>-720000</v>
      </c>
      <c r="J257" s="546"/>
      <c r="K257" s="383"/>
      <c r="L257" s="383"/>
      <c r="M257" s="383"/>
      <c r="N257" s="383"/>
      <c r="O257" s="383"/>
      <c r="P257" s="383"/>
      <c r="Q257" s="383"/>
      <c r="R257" s="383"/>
      <c r="S257" s="377">
        <v>0</v>
      </c>
      <c r="T257" s="377">
        <v>0</v>
      </c>
      <c r="U257" s="377">
        <v>0</v>
      </c>
      <c r="V257" s="377">
        <v>0</v>
      </c>
      <c r="W257" s="377">
        <v>0</v>
      </c>
      <c r="X257" s="377">
        <v>0</v>
      </c>
      <c r="Y257" s="377">
        <v>0</v>
      </c>
      <c r="Z257" s="377">
        <v>-720000</v>
      </c>
      <c r="AA257" s="377">
        <v>0</v>
      </c>
      <c r="AB257" s="377">
        <v>0</v>
      </c>
      <c r="AC257" s="377"/>
      <c r="AD257" s="377"/>
      <c r="AE257" s="377"/>
      <c r="AF257" s="377"/>
      <c r="AG257" s="377"/>
      <c r="AH257" s="377"/>
      <c r="AI257" s="377"/>
      <c r="AJ257" s="377"/>
      <c r="AK257" s="377"/>
      <c r="AL257" s="377"/>
      <c r="AM257" s="377"/>
      <c r="AN257" s="377"/>
      <c r="AO257" s="377"/>
      <c r="AP257" s="377"/>
      <c r="AQ257" s="377"/>
      <c r="AR257" s="377"/>
      <c r="AS257" s="377"/>
      <c r="AT257" s="377"/>
      <c r="AU257" s="377"/>
      <c r="AV257" s="377"/>
      <c r="AW257" s="377"/>
      <c r="AX257" s="377"/>
      <c r="AY257" s="377"/>
      <c r="AZ257" s="377"/>
      <c r="BA257" s="377"/>
      <c r="BB257" s="377"/>
      <c r="BC257" s="377"/>
      <c r="BD257" s="377"/>
      <c r="BE257" s="377"/>
      <c r="BF257" s="377"/>
      <c r="BG257" s="377"/>
      <c r="BH257" s="377"/>
      <c r="BI257" s="377"/>
      <c r="BJ257" s="377"/>
      <c r="BK257" s="377"/>
      <c r="BL257" s="377"/>
      <c r="BM257" s="377"/>
      <c r="BN257" s="377"/>
      <c r="BO257" s="377"/>
      <c r="BP257" s="377"/>
      <c r="BQ257" s="377"/>
      <c r="BR257" s="377"/>
    </row>
    <row r="258" spans="1:70" outlineLevel="1">
      <c r="A258" s="374"/>
      <c r="B258" s="359">
        <v>5312</v>
      </c>
      <c r="C258" s="359">
        <v>2</v>
      </c>
      <c r="D258" s="360" t="s">
        <v>917</v>
      </c>
      <c r="E258" s="360" t="s">
        <v>492</v>
      </c>
      <c r="F258" s="373" t="s">
        <v>454</v>
      </c>
      <c r="G258" s="360"/>
      <c r="H258" s="377"/>
      <c r="I258" s="537">
        <v>-14400000</v>
      </c>
      <c r="J258" s="546"/>
      <c r="K258" s="383"/>
      <c r="L258" s="383"/>
      <c r="M258" s="383"/>
      <c r="N258" s="383"/>
      <c r="O258" s="383"/>
      <c r="P258" s="383"/>
      <c r="Q258" s="383"/>
      <c r="R258" s="383"/>
      <c r="S258" s="377">
        <v>0</v>
      </c>
      <c r="T258" s="377">
        <v>0</v>
      </c>
      <c r="U258" s="377">
        <v>0</v>
      </c>
      <c r="V258" s="377">
        <v>0</v>
      </c>
      <c r="W258" s="377">
        <v>0</v>
      </c>
      <c r="X258" s="377">
        <v>0</v>
      </c>
      <c r="Y258" s="377">
        <v>0</v>
      </c>
      <c r="Z258" s="377">
        <v>0</v>
      </c>
      <c r="AA258" s="377">
        <v>0</v>
      </c>
      <c r="AB258" s="377">
        <v>-14400000</v>
      </c>
      <c r="AC258" s="377"/>
      <c r="AD258" s="377"/>
      <c r="AE258" s="377"/>
      <c r="AF258" s="377"/>
      <c r="AG258" s="377"/>
      <c r="AH258" s="377"/>
      <c r="AI258" s="377"/>
      <c r="AJ258" s="377"/>
      <c r="AK258" s="377"/>
      <c r="AL258" s="377"/>
      <c r="AM258" s="377"/>
      <c r="AN258" s="377"/>
      <c r="AO258" s="377"/>
      <c r="AP258" s="377"/>
      <c r="AQ258" s="377"/>
      <c r="AR258" s="377"/>
      <c r="AS258" s="377"/>
      <c r="AT258" s="377"/>
      <c r="AU258" s="377"/>
      <c r="AV258" s="377"/>
      <c r="AW258" s="377"/>
      <c r="AX258" s="377"/>
      <c r="AY258" s="377"/>
      <c r="AZ258" s="377"/>
      <c r="BA258" s="377"/>
      <c r="BB258" s="377"/>
      <c r="BC258" s="377"/>
      <c r="BD258" s="377"/>
      <c r="BE258" s="377"/>
      <c r="BF258" s="377"/>
      <c r="BG258" s="377"/>
      <c r="BH258" s="377"/>
      <c r="BI258" s="377"/>
      <c r="BJ258" s="377"/>
      <c r="BK258" s="377"/>
      <c r="BL258" s="377"/>
      <c r="BM258" s="377"/>
      <c r="BN258" s="377"/>
      <c r="BO258" s="377"/>
      <c r="BP258" s="377"/>
      <c r="BQ258" s="377"/>
      <c r="BR258" s="377"/>
    </row>
    <row r="259" spans="1:70" outlineLevel="1">
      <c r="A259" s="374"/>
      <c r="B259" s="359"/>
      <c r="C259" s="359"/>
      <c r="D259" s="360"/>
      <c r="E259" s="360"/>
      <c r="F259" s="373"/>
      <c r="G259" s="360"/>
      <c r="H259" s="377"/>
      <c r="I259" s="537"/>
      <c r="J259" s="546"/>
      <c r="K259" s="383"/>
      <c r="L259" s="383"/>
      <c r="M259" s="383"/>
      <c r="N259" s="383"/>
      <c r="O259" s="383"/>
      <c r="P259" s="383"/>
      <c r="Q259" s="383"/>
      <c r="R259" s="383"/>
      <c r="S259" s="377"/>
      <c r="T259" s="377"/>
      <c r="U259" s="377"/>
      <c r="V259" s="377"/>
      <c r="W259" s="377"/>
      <c r="X259" s="377"/>
      <c r="Y259" s="377"/>
      <c r="Z259" s="377"/>
      <c r="AA259" s="377"/>
      <c r="AB259" s="377"/>
      <c r="AC259" s="377"/>
      <c r="AD259" s="377"/>
      <c r="AE259" s="377"/>
      <c r="AF259" s="377"/>
      <c r="AG259" s="377"/>
      <c r="AH259" s="377"/>
      <c r="AI259" s="377"/>
      <c r="AJ259" s="377"/>
      <c r="AK259" s="377"/>
      <c r="AL259" s="377"/>
      <c r="AM259" s="377"/>
      <c r="AN259" s="377"/>
      <c r="AO259" s="377"/>
      <c r="AP259" s="377"/>
      <c r="AQ259" s="377"/>
      <c r="AR259" s="377"/>
      <c r="AS259" s="377"/>
      <c r="AT259" s="377"/>
      <c r="AU259" s="377"/>
      <c r="AV259" s="377"/>
      <c r="AW259" s="377"/>
      <c r="AX259" s="377"/>
      <c r="AY259" s="377"/>
      <c r="AZ259" s="377"/>
      <c r="BA259" s="377"/>
      <c r="BB259" s="377"/>
      <c r="BC259" s="377"/>
      <c r="BD259" s="377"/>
      <c r="BE259" s="377"/>
      <c r="BF259" s="377"/>
      <c r="BG259" s="377"/>
      <c r="BH259" s="377"/>
      <c r="BI259" s="377"/>
      <c r="BJ259" s="377"/>
      <c r="BK259" s="377"/>
      <c r="BL259" s="377"/>
      <c r="BM259" s="377"/>
      <c r="BN259" s="377"/>
      <c r="BO259" s="377"/>
      <c r="BP259" s="377"/>
      <c r="BQ259" s="377"/>
      <c r="BR259" s="377"/>
    </row>
    <row r="260" spans="1:70" outlineLevel="1">
      <c r="A260" s="374">
        <f t="shared" si="81"/>
        <v>0</v>
      </c>
      <c r="B260" s="359"/>
      <c r="C260" s="359"/>
      <c r="D260" s="360"/>
      <c r="E260" s="360"/>
      <c r="F260" s="373"/>
      <c r="G260" s="360"/>
      <c r="H260" s="377"/>
      <c r="I260" s="537"/>
      <c r="J260" s="546"/>
      <c r="K260" s="383"/>
      <c r="L260" s="383"/>
      <c r="M260" s="383"/>
      <c r="N260" s="383"/>
      <c r="O260" s="383"/>
      <c r="P260" s="383"/>
      <c r="Q260" s="383"/>
      <c r="R260" s="383"/>
      <c r="S260" s="377"/>
      <c r="T260" s="377"/>
      <c r="U260" s="377"/>
      <c r="V260" s="377"/>
      <c r="W260" s="377"/>
      <c r="X260" s="377"/>
      <c r="Y260" s="377"/>
      <c r="Z260" s="377"/>
      <c r="AA260" s="377"/>
      <c r="AB260" s="377"/>
      <c r="AC260" s="377"/>
      <c r="AD260" s="377"/>
      <c r="AE260" s="377"/>
      <c r="AF260" s="377"/>
      <c r="AG260" s="377"/>
      <c r="AH260" s="377"/>
      <c r="AI260" s="377"/>
      <c r="AJ260" s="377"/>
      <c r="AK260" s="377"/>
      <c r="AL260" s="377"/>
      <c r="AM260" s="377"/>
      <c r="AN260" s="377"/>
      <c r="AO260" s="377"/>
      <c r="AP260" s="377"/>
      <c r="AQ260" s="377"/>
      <c r="AR260" s="377"/>
      <c r="AS260" s="377"/>
      <c r="AT260" s="377"/>
      <c r="AU260" s="377"/>
      <c r="AV260" s="377"/>
      <c r="AW260" s="377"/>
      <c r="AX260" s="377"/>
      <c r="AY260" s="377"/>
      <c r="AZ260" s="377"/>
      <c r="BA260" s="377"/>
      <c r="BB260" s="377"/>
      <c r="BC260" s="377"/>
      <c r="BD260" s="377"/>
      <c r="BE260" s="377"/>
      <c r="BF260" s="377"/>
      <c r="BG260" s="377"/>
      <c r="BH260" s="377"/>
      <c r="BI260" s="377"/>
      <c r="BJ260" s="377"/>
      <c r="BK260" s="377"/>
      <c r="BL260" s="377"/>
      <c r="BM260" s="377"/>
      <c r="BN260" s="377"/>
      <c r="BO260" s="377"/>
      <c r="BP260" s="377"/>
      <c r="BQ260" s="377"/>
      <c r="BR260" s="377"/>
    </row>
    <row r="261" spans="1:70" outlineLevel="1">
      <c r="A261" s="374">
        <f t="shared" si="81"/>
        <v>0</v>
      </c>
      <c r="B261" s="359"/>
      <c r="C261" s="359"/>
      <c r="D261" s="360"/>
      <c r="E261" s="360"/>
      <c r="F261" s="373"/>
      <c r="G261" s="360"/>
      <c r="H261" s="377"/>
      <c r="I261" s="537"/>
      <c r="J261" s="546"/>
      <c r="K261" s="383"/>
      <c r="L261" s="383"/>
      <c r="M261" s="383"/>
      <c r="N261" s="383"/>
      <c r="O261" s="383"/>
      <c r="P261" s="383"/>
      <c r="Q261" s="383"/>
      <c r="R261" s="383"/>
      <c r="S261" s="377"/>
      <c r="T261" s="377"/>
      <c r="U261" s="377"/>
      <c r="V261" s="377"/>
      <c r="W261" s="377"/>
      <c r="X261" s="377"/>
      <c r="Y261" s="377"/>
      <c r="Z261" s="377"/>
      <c r="AA261" s="377"/>
      <c r="AB261" s="377"/>
      <c r="AC261" s="377"/>
      <c r="AD261" s="377"/>
      <c r="AE261" s="377"/>
      <c r="AF261" s="377"/>
      <c r="AG261" s="377"/>
      <c r="AH261" s="377"/>
      <c r="AI261" s="377"/>
      <c r="AJ261" s="377"/>
      <c r="AK261" s="377"/>
      <c r="AL261" s="377"/>
      <c r="AM261" s="377"/>
      <c r="AN261" s="377"/>
      <c r="AO261" s="377"/>
      <c r="AP261" s="377"/>
      <c r="AQ261" s="377"/>
      <c r="AR261" s="377"/>
      <c r="AS261" s="377"/>
      <c r="AT261" s="377"/>
      <c r="AU261" s="377"/>
      <c r="AV261" s="377"/>
      <c r="AW261" s="377"/>
      <c r="AX261" s="377"/>
      <c r="AY261" s="377"/>
      <c r="AZ261" s="377"/>
      <c r="BA261" s="377"/>
      <c r="BB261" s="377"/>
      <c r="BC261" s="377"/>
      <c r="BD261" s="377"/>
      <c r="BE261" s="377"/>
      <c r="BF261" s="377"/>
      <c r="BG261" s="377"/>
      <c r="BH261" s="377"/>
      <c r="BI261" s="377"/>
      <c r="BJ261" s="377"/>
      <c r="BK261" s="377"/>
      <c r="BL261" s="377"/>
      <c r="BM261" s="377"/>
      <c r="BN261" s="377"/>
      <c r="BO261" s="377"/>
      <c r="BP261" s="377"/>
      <c r="BQ261" s="377"/>
      <c r="BR261" s="377"/>
    </row>
    <row r="262" spans="1:70" outlineLevel="1">
      <c r="A262" s="374">
        <f t="shared" si="81"/>
        <v>0</v>
      </c>
      <c r="B262" s="359"/>
      <c r="C262" s="359"/>
      <c r="D262" s="360"/>
      <c r="E262" s="360"/>
      <c r="F262" s="373"/>
      <c r="G262" s="360"/>
      <c r="H262" s="377"/>
      <c r="I262" s="537"/>
      <c r="J262" s="546"/>
      <c r="K262" s="383"/>
      <c r="L262" s="383"/>
      <c r="M262" s="383"/>
      <c r="N262" s="383"/>
      <c r="O262" s="383"/>
      <c r="P262" s="383"/>
      <c r="Q262" s="383"/>
      <c r="R262" s="383"/>
      <c r="S262" s="377"/>
      <c r="T262" s="377"/>
      <c r="U262" s="377"/>
      <c r="V262" s="377"/>
      <c r="W262" s="377"/>
      <c r="X262" s="377"/>
      <c r="Y262" s="377"/>
      <c r="Z262" s="377"/>
      <c r="AA262" s="377"/>
      <c r="AB262" s="377"/>
      <c r="AC262" s="377"/>
      <c r="AD262" s="377"/>
      <c r="AE262" s="377"/>
      <c r="AF262" s="377"/>
      <c r="AG262" s="377"/>
      <c r="AH262" s="377"/>
      <c r="AI262" s="377"/>
      <c r="AJ262" s="377"/>
      <c r="AK262" s="377"/>
      <c r="AL262" s="377"/>
      <c r="AM262" s="377"/>
      <c r="AN262" s="377"/>
      <c r="AO262" s="377"/>
      <c r="AP262" s="377"/>
      <c r="AQ262" s="377"/>
      <c r="AR262" s="377"/>
      <c r="AS262" s="377"/>
      <c r="AT262" s="377"/>
      <c r="AU262" s="377"/>
      <c r="AV262" s="377"/>
      <c r="AW262" s="377"/>
      <c r="AX262" s="377"/>
      <c r="AY262" s="377"/>
      <c r="AZ262" s="377"/>
      <c r="BA262" s="377"/>
      <c r="BB262" s="377"/>
      <c r="BC262" s="377"/>
      <c r="BD262" s="377"/>
      <c r="BE262" s="377"/>
      <c r="BF262" s="377"/>
      <c r="BG262" s="377"/>
      <c r="BH262" s="377"/>
      <c r="BI262" s="377"/>
      <c r="BJ262" s="377"/>
      <c r="BK262" s="377"/>
      <c r="BL262" s="377"/>
      <c r="BM262" s="377"/>
      <c r="BN262" s="377"/>
      <c r="BO262" s="377"/>
      <c r="BP262" s="377"/>
      <c r="BQ262" s="377"/>
      <c r="BR262" s="377"/>
    </row>
    <row r="263" spans="1:70" outlineLevel="1">
      <c r="A263" s="374">
        <f t="shared" si="81"/>
        <v>0</v>
      </c>
      <c r="B263" s="359"/>
      <c r="C263" s="359"/>
      <c r="D263" s="360"/>
      <c r="E263" s="360"/>
      <c r="F263" s="373"/>
      <c r="G263" s="360"/>
      <c r="H263" s="377"/>
      <c r="I263" s="537"/>
      <c r="J263" s="546"/>
      <c r="K263" s="383"/>
      <c r="L263" s="383"/>
      <c r="M263" s="383"/>
      <c r="N263" s="383"/>
      <c r="O263" s="383"/>
      <c r="P263" s="383"/>
      <c r="Q263" s="383"/>
      <c r="R263" s="383"/>
      <c r="S263" s="377"/>
      <c r="T263" s="377"/>
      <c r="U263" s="377"/>
      <c r="V263" s="377"/>
      <c r="W263" s="377"/>
      <c r="X263" s="377"/>
      <c r="Y263" s="377"/>
      <c r="Z263" s="377"/>
      <c r="AA263" s="377"/>
      <c r="AB263" s="377"/>
      <c r="AC263" s="377"/>
      <c r="AD263" s="377"/>
      <c r="AE263" s="377"/>
      <c r="AF263" s="377"/>
      <c r="AG263" s="377"/>
      <c r="AH263" s="377"/>
      <c r="AI263" s="377"/>
      <c r="AJ263" s="377"/>
      <c r="AK263" s="377"/>
      <c r="AL263" s="377"/>
      <c r="AM263" s="377"/>
      <c r="AN263" s="377"/>
      <c r="AO263" s="377"/>
      <c r="AP263" s="377"/>
      <c r="AQ263" s="377"/>
      <c r="AR263" s="377"/>
      <c r="AS263" s="377"/>
      <c r="AT263" s="377"/>
      <c r="AU263" s="377"/>
      <c r="AV263" s="377"/>
      <c r="AW263" s="377"/>
      <c r="AX263" s="377"/>
      <c r="AY263" s="377"/>
      <c r="AZ263" s="377"/>
      <c r="BA263" s="377"/>
      <c r="BB263" s="377"/>
      <c r="BC263" s="377"/>
      <c r="BD263" s="377"/>
      <c r="BE263" s="377"/>
      <c r="BF263" s="377"/>
      <c r="BG263" s="377"/>
      <c r="BH263" s="377"/>
      <c r="BI263" s="377"/>
      <c r="BJ263" s="377"/>
      <c r="BK263" s="377"/>
      <c r="BL263" s="377"/>
      <c r="BM263" s="377"/>
      <c r="BN263" s="377"/>
      <c r="BO263" s="377"/>
      <c r="BP263" s="377"/>
      <c r="BQ263" s="377"/>
      <c r="BR263" s="377"/>
    </row>
    <row r="264" spans="1:70" s="353" customFormat="1" outlineLevel="1">
      <c r="A264" s="374">
        <f t="shared" si="81"/>
        <v>0</v>
      </c>
      <c r="B264" s="363">
        <v>5320</v>
      </c>
      <c r="C264" s="363"/>
      <c r="D264" s="364" t="s">
        <v>426</v>
      </c>
      <c r="E264" s="364"/>
      <c r="F264" s="364"/>
      <c r="G264" s="364"/>
      <c r="H264" s="378">
        <f t="shared" ref="H264:AM264" si="83">SUM(H265:H286)</f>
        <v>0</v>
      </c>
      <c r="I264" s="538">
        <f t="shared" si="83"/>
        <v>-4957814290.987215</v>
      </c>
      <c r="J264" s="547">
        <f t="shared" si="83"/>
        <v>0</v>
      </c>
      <c r="K264" s="378">
        <f t="shared" si="83"/>
        <v>0</v>
      </c>
      <c r="L264" s="378">
        <f t="shared" si="83"/>
        <v>0</v>
      </c>
      <c r="M264" s="378">
        <f t="shared" si="83"/>
        <v>0</v>
      </c>
      <c r="N264" s="378">
        <f t="shared" si="83"/>
        <v>0</v>
      </c>
      <c r="O264" s="378">
        <f t="shared" si="83"/>
        <v>0</v>
      </c>
      <c r="P264" s="378">
        <f t="shared" si="83"/>
        <v>0</v>
      </c>
      <c r="Q264" s="378">
        <f t="shared" si="83"/>
        <v>0</v>
      </c>
      <c r="R264" s="378">
        <f t="shared" si="83"/>
        <v>0</v>
      </c>
      <c r="S264" s="378">
        <f t="shared" si="83"/>
        <v>-4564009.2615</v>
      </c>
      <c r="T264" s="378">
        <f t="shared" si="83"/>
        <v>-4856009.2615</v>
      </c>
      <c r="U264" s="378">
        <f t="shared" si="83"/>
        <v>-9856009.261500001</v>
      </c>
      <c r="V264" s="378">
        <f t="shared" si="83"/>
        <v>-4856009.2615</v>
      </c>
      <c r="W264" s="378">
        <f t="shared" si="83"/>
        <v>-5148009.2615</v>
      </c>
      <c r="X264" s="378">
        <f t="shared" si="83"/>
        <v>-601912574.57319808</v>
      </c>
      <c r="Y264" s="378">
        <f t="shared" si="83"/>
        <v>-599852581.38519812</v>
      </c>
      <c r="Z264" s="378">
        <f t="shared" si="83"/>
        <v>-599852581.38519812</v>
      </c>
      <c r="AA264" s="378">
        <f t="shared" si="83"/>
        <v>-599852581.38519812</v>
      </c>
      <c r="AB264" s="378">
        <f t="shared" si="83"/>
        <v>-445948071.56146705</v>
      </c>
      <c r="AC264" s="378">
        <f t="shared" si="83"/>
        <v>-452859970.96396708</v>
      </c>
      <c r="AD264" s="378">
        <f t="shared" si="83"/>
        <v>-452859970.96396708</v>
      </c>
      <c r="AE264" s="378">
        <f t="shared" si="83"/>
        <v>-452859970.96396708</v>
      </c>
      <c r="AF264" s="378">
        <f t="shared" si="83"/>
        <v>-61572566.332533494</v>
      </c>
      <c r="AG264" s="378">
        <f t="shared" si="83"/>
        <v>-77872524.468033493</v>
      </c>
      <c r="AH264" s="378">
        <f t="shared" si="83"/>
        <v>-77872524.468033493</v>
      </c>
      <c r="AI264" s="378">
        <f t="shared" si="83"/>
        <v>-77872524.468033493</v>
      </c>
      <c r="AJ264" s="378">
        <f t="shared" si="83"/>
        <v>-77872524.468033493</v>
      </c>
      <c r="AK264" s="378">
        <f t="shared" si="83"/>
        <v>-76756651.651533499</v>
      </c>
      <c r="AL264" s="378">
        <f t="shared" si="83"/>
        <v>-76756651.651533499</v>
      </c>
      <c r="AM264" s="378">
        <f t="shared" si="83"/>
        <v>-68048736.175533503</v>
      </c>
      <c r="AN264" s="378">
        <f t="shared" ref="AN264:BR264" si="84">SUM(AN265:AN286)</f>
        <v>-39569852.11307168</v>
      </c>
      <c r="AO264" s="378">
        <f t="shared" si="84"/>
        <v>-31977809.453571681</v>
      </c>
      <c r="AP264" s="378">
        <f t="shared" si="84"/>
        <v>-31977809.453571681</v>
      </c>
      <c r="AQ264" s="378">
        <f t="shared" si="84"/>
        <v>-24385766.794071682</v>
      </c>
      <c r="AR264" s="378">
        <f t="shared" si="84"/>
        <v>0</v>
      </c>
      <c r="AS264" s="378">
        <f t="shared" si="84"/>
        <v>0</v>
      </c>
      <c r="AT264" s="378">
        <f t="shared" si="84"/>
        <v>0</v>
      </c>
      <c r="AU264" s="378">
        <f t="shared" si="84"/>
        <v>0</v>
      </c>
      <c r="AV264" s="378">
        <f t="shared" si="84"/>
        <v>0</v>
      </c>
      <c r="AW264" s="378">
        <f t="shared" si="84"/>
        <v>0</v>
      </c>
      <c r="AX264" s="378">
        <f t="shared" si="84"/>
        <v>0</v>
      </c>
      <c r="AY264" s="378">
        <f t="shared" si="84"/>
        <v>0</v>
      </c>
      <c r="AZ264" s="378">
        <f t="shared" si="84"/>
        <v>0</v>
      </c>
      <c r="BA264" s="378">
        <f t="shared" si="84"/>
        <v>0</v>
      </c>
      <c r="BB264" s="378">
        <f t="shared" si="84"/>
        <v>0</v>
      </c>
      <c r="BC264" s="378">
        <f t="shared" si="84"/>
        <v>0</v>
      </c>
      <c r="BD264" s="378">
        <f t="shared" si="84"/>
        <v>0</v>
      </c>
      <c r="BE264" s="378">
        <f t="shared" si="84"/>
        <v>0</v>
      </c>
      <c r="BF264" s="378">
        <f t="shared" si="84"/>
        <v>0</v>
      </c>
      <c r="BG264" s="378">
        <f t="shared" si="84"/>
        <v>0</v>
      </c>
      <c r="BH264" s="378">
        <f t="shared" si="84"/>
        <v>0</v>
      </c>
      <c r="BI264" s="378">
        <f t="shared" si="84"/>
        <v>0</v>
      </c>
      <c r="BJ264" s="378">
        <f t="shared" si="84"/>
        <v>0</v>
      </c>
      <c r="BK264" s="378">
        <f t="shared" si="84"/>
        <v>0</v>
      </c>
      <c r="BL264" s="378">
        <f t="shared" si="84"/>
        <v>0</v>
      </c>
      <c r="BM264" s="378">
        <f t="shared" si="84"/>
        <v>0</v>
      </c>
      <c r="BN264" s="378">
        <f t="shared" si="84"/>
        <v>0</v>
      </c>
      <c r="BO264" s="378">
        <f t="shared" si="84"/>
        <v>0</v>
      </c>
      <c r="BP264" s="378">
        <f t="shared" si="84"/>
        <v>0</v>
      </c>
      <c r="BQ264" s="378">
        <f t="shared" si="84"/>
        <v>0</v>
      </c>
      <c r="BR264" s="378">
        <f t="shared" si="84"/>
        <v>0</v>
      </c>
    </row>
    <row r="265" spans="1:70" outlineLevel="1">
      <c r="A265" s="374">
        <f t="shared" si="81"/>
        <v>0</v>
      </c>
      <c r="B265" s="359"/>
      <c r="C265" s="359">
        <v>1</v>
      </c>
      <c r="D265" s="360" t="s">
        <v>87</v>
      </c>
      <c r="E265" s="360" t="s">
        <v>492</v>
      </c>
      <c r="F265" s="366" t="s">
        <v>448</v>
      </c>
      <c r="G265" s="360"/>
      <c r="H265" s="377"/>
      <c r="I265" s="540">
        <f t="shared" ref="I265:I269" si="85">SUM(K265:BR265)</f>
        <v>0</v>
      </c>
      <c r="J265" s="546"/>
      <c r="K265" s="383"/>
      <c r="L265" s="383"/>
      <c r="M265" s="383"/>
      <c r="N265" s="383"/>
      <c r="O265" s="383"/>
      <c r="P265" s="383"/>
      <c r="Q265" s="383"/>
      <c r="R265" s="383"/>
      <c r="S265" s="377">
        <f>-SUMIFS('TS1'!$U$63:$U$112,'TS1'!$O$63:$O$112,S$4)*1000000</f>
        <v>0</v>
      </c>
      <c r="T265" s="377">
        <f>-SUMIFS('TS1'!$U$63:$U$112,'TS1'!$O$63:$O$112,T$4)*1000000</f>
        <v>0</v>
      </c>
      <c r="U265" s="377">
        <f>-SUMIFS('TS1'!$U$63:$U$112,'TS1'!$O$63:$O$112,U$4)*1000000</f>
        <v>0</v>
      </c>
      <c r="V265" s="377">
        <f>-SUMIFS('TS1'!$U$63:$U$112,'TS1'!$O$63:$O$112,V$4)*1000000</f>
        <v>0</v>
      </c>
      <c r="W265" s="377">
        <f>-SUMIFS('TS1'!$U$63:$U$112,'TS1'!$O$63:$O$112,W$4)*1000000</f>
        <v>0</v>
      </c>
      <c r="X265" s="377">
        <f>-SUMIFS('TS1'!$U$63:$U$112,'TS1'!$O$63:$O$112,X$4)*1000000</f>
        <v>0</v>
      </c>
      <c r="Y265" s="377">
        <f>-SUMIFS('TS1'!$U$63:$U$112,'TS1'!$O$63:$O$112,Y$4)*1000000</f>
        <v>0</v>
      </c>
      <c r="Z265" s="377">
        <f>-SUMIFS('TS1'!$U$63:$U$112,'TS1'!$O$63:$O$112,Z$4)*1000000</f>
        <v>0</v>
      </c>
      <c r="AA265" s="377">
        <f>-SUMIFS('TS1'!$U$63:$U$112,'TS1'!$O$63:$O$112,AA$4)*1000000</f>
        <v>0</v>
      </c>
      <c r="AB265" s="377">
        <f>-SUMIFS('TS1'!$U$63:$U$112,'TS1'!$O$63:$O$112,AB$4)*1000000</f>
        <v>0</v>
      </c>
      <c r="AC265" s="377">
        <f>-SUMIFS('TS1'!$U$63:$U$112,'TS1'!$O$63:$O$112,AC$4)*1000000</f>
        <v>0</v>
      </c>
      <c r="AD265" s="377">
        <f>-SUMIFS('TS1'!$U$63:$U$112,'TS1'!$O$63:$O$112,AD$4)*1000000</f>
        <v>0</v>
      </c>
      <c r="AE265" s="377">
        <f>-SUMIFS('TS1'!$U$63:$U$112,'TS1'!$O$63:$O$112,AE$4)*1000000</f>
        <v>0</v>
      </c>
      <c r="AF265" s="377">
        <f>-SUMIFS('TS1'!$U$63:$U$112,'TS1'!$O$63:$O$112,AF$4)*1000000</f>
        <v>0</v>
      </c>
      <c r="AG265" s="377">
        <f>-SUMIFS('TS1'!$U$63:$U$112,'TS1'!$O$63:$O$112,AG$4)*1000000</f>
        <v>0</v>
      </c>
      <c r="AH265" s="377">
        <f>-SUMIFS('TS1'!$U$63:$U$112,'TS1'!$O$63:$O$112,AH$4)*1000000</f>
        <v>0</v>
      </c>
      <c r="AI265" s="377">
        <f>-SUMIFS('TS1'!$U$63:$U$112,'TS1'!$O$63:$O$112,AI$4)*1000000</f>
        <v>0</v>
      </c>
      <c r="AJ265" s="377">
        <f>-SUMIFS('TS1'!$U$63:$U$112,'TS1'!$O$63:$O$112,AJ$4)*1000000</f>
        <v>0</v>
      </c>
      <c r="AK265" s="377">
        <f>-SUMIFS('TS1'!$U$63:$U$112,'TS1'!$O$63:$O$112,AK$4)*1000000</f>
        <v>0</v>
      </c>
      <c r="AL265" s="377">
        <f>-SUMIFS('TS1'!$U$63:$U$112,'TS1'!$O$63:$O$112,AL$4)*1000000</f>
        <v>0</v>
      </c>
      <c r="AM265" s="377">
        <f>-SUMIFS('TS1'!$U$63:$U$112,'TS1'!$O$63:$O$112,AM$4)*1000000</f>
        <v>0</v>
      </c>
      <c r="AN265" s="377">
        <f>-SUMIFS('TS1'!$U$63:$U$112,'TS1'!$O$63:$O$112,AN$4)*1000000</f>
        <v>0</v>
      </c>
      <c r="AO265" s="377">
        <f>-SUMIFS('TS1'!$U$63:$U$112,'TS1'!$O$63:$O$112,AO$4)*1000000</f>
        <v>0</v>
      </c>
      <c r="AP265" s="377">
        <f>-SUMIFS('TS1'!$U$63:$U$112,'TS1'!$O$63:$O$112,AP$4)*1000000</f>
        <v>0</v>
      </c>
      <c r="AQ265" s="377">
        <f>-SUMIFS('TS1'!$U$63:$U$112,'TS1'!$O$63:$O$112,AQ$4)*1000000</f>
        <v>0</v>
      </c>
      <c r="AR265" s="377">
        <f>-SUMIFS('TS1'!$U$63:$U$112,'TS1'!$O$63:$O$112,AR$4)*1000000</f>
        <v>0</v>
      </c>
      <c r="AS265" s="377">
        <f>-SUMIFS('TS1'!$U$63:$U$112,'TS1'!$O$63:$O$112,AS$4)*1000000</f>
        <v>0</v>
      </c>
      <c r="AT265" s="377">
        <f>-SUMIFS('TS1'!$U$63:$U$112,'TS1'!$O$63:$O$112,AT$4)*1000000</f>
        <v>0</v>
      </c>
      <c r="AU265" s="377">
        <f>-SUMIFS('TS1'!$U$63:$U$112,'TS1'!$O$63:$O$112,AU$4)*1000000</f>
        <v>0</v>
      </c>
      <c r="AV265" s="377">
        <f>-SUMIFS('TS1'!$U$63:$U$112,'TS1'!$O$63:$O$112,AV$4)*1000000</f>
        <v>0</v>
      </c>
      <c r="AW265" s="377">
        <f>-SUMIFS('TS1'!$U$63:$U$112,'TS1'!$O$63:$O$112,AW$4)*1000000</f>
        <v>0</v>
      </c>
      <c r="AX265" s="377">
        <f>-SUMIFS('TS1'!$U$63:$U$112,'TS1'!$O$63:$O$112,AX$4)*1000000</f>
        <v>0</v>
      </c>
      <c r="AY265" s="377">
        <f>-SUMIFS('TS1'!$U$63:$U$112,'TS1'!$O$63:$O$112,AY$4)*1000000</f>
        <v>0</v>
      </c>
      <c r="AZ265" s="377">
        <f>-SUMIFS('TS1'!$U$63:$U$112,'TS1'!$O$63:$O$112,AZ$4)*1000000</f>
        <v>0</v>
      </c>
      <c r="BA265" s="377">
        <f>-SUMIFS('TS1'!$U$63:$U$112,'TS1'!$O$63:$O$112,BA$4)*1000000</f>
        <v>0</v>
      </c>
      <c r="BB265" s="377">
        <f>-SUMIFS('TS1'!$U$63:$U$112,'TS1'!$O$63:$O$112,BB$4)*1000000</f>
        <v>0</v>
      </c>
      <c r="BC265" s="377">
        <f>-SUMIFS('TS1'!$U$63:$U$112,'TS1'!$O$63:$O$112,BC$4)*1000000</f>
        <v>0</v>
      </c>
      <c r="BD265" s="377">
        <f>-SUMIFS('TS1'!$U$63:$U$112,'TS1'!$O$63:$O$112,BD$4)*1000000</f>
        <v>0</v>
      </c>
      <c r="BE265" s="377">
        <f>-SUMIFS('TS1'!$U$63:$U$112,'TS1'!$O$63:$O$112,BE$4)*1000000</f>
        <v>0</v>
      </c>
      <c r="BF265" s="377">
        <f>-SUMIFS('TS1'!$U$63:$U$112,'TS1'!$O$63:$O$112,BF$4)*1000000</f>
        <v>0</v>
      </c>
      <c r="BG265" s="377">
        <f>-SUMIFS('TS1'!$U$63:$U$112,'TS1'!$O$63:$O$112,BG$4)*1000000</f>
        <v>0</v>
      </c>
      <c r="BH265" s="377">
        <f>-SUMIFS('TS1'!$U$63:$U$112,'TS1'!$O$63:$O$112,BH$4)*1000000</f>
        <v>0</v>
      </c>
      <c r="BI265" s="377">
        <f>-SUMIFS('TS1'!$U$63:$U$112,'TS1'!$O$63:$O$112,BI$4)*1000000</f>
        <v>0</v>
      </c>
      <c r="BJ265" s="377">
        <f>-SUMIFS('TS1'!$U$63:$U$112,'TS1'!$O$63:$O$112,BJ$4)*1000000</f>
        <v>0</v>
      </c>
      <c r="BK265" s="377">
        <f>-SUMIFS('TS1'!$U$63:$U$112,'TS1'!$O$63:$O$112,BK$4)*1000000</f>
        <v>0</v>
      </c>
      <c r="BL265" s="377">
        <f>-SUMIFS('TS1'!$U$63:$U$112,'TS1'!$O$63:$O$112,BL$4)*1000000</f>
        <v>0</v>
      </c>
      <c r="BM265" s="377">
        <f>-SUMIFS('TS1'!$U$63:$U$112,'TS1'!$O$63:$O$112,BM$4)*1000000</f>
        <v>0</v>
      </c>
      <c r="BN265" s="377">
        <f>-SUMIFS('TS1'!$U$63:$U$112,'TS1'!$O$63:$O$112,BN$4)*1000000</f>
        <v>0</v>
      </c>
      <c r="BO265" s="377">
        <f>-SUMIFS('TS1'!$U$63:$U$112,'TS1'!$O$63:$O$112,BO$4)*1000000</f>
        <v>0</v>
      </c>
      <c r="BP265" s="377">
        <f>-SUMIFS('TS1'!$U$63:$U$112,'TS1'!$O$63:$O$112,BP$4)*1000000</f>
        <v>0</v>
      </c>
      <c r="BQ265" s="377">
        <f>-SUMIFS('TS1'!$U$63:$U$112,'TS1'!$O$63:$O$112,BQ$4)*1000000</f>
        <v>0</v>
      </c>
      <c r="BR265" s="377">
        <f>-SUMIFS('TS1'!$U$63:$U$112,'TS1'!$O$63:$O$112,BR$4)*1000000</f>
        <v>0</v>
      </c>
    </row>
    <row r="266" spans="1:70" outlineLevel="1">
      <c r="A266" s="374">
        <f t="shared" si="81"/>
        <v>0</v>
      </c>
      <c r="B266" s="359"/>
      <c r="C266" s="359">
        <v>1</v>
      </c>
      <c r="D266" s="360" t="s">
        <v>373</v>
      </c>
      <c r="E266" s="360" t="s">
        <v>492</v>
      </c>
      <c r="F266" s="366" t="s">
        <v>448</v>
      </c>
      <c r="G266" s="360"/>
      <c r="H266" s="377"/>
      <c r="I266" s="540">
        <f t="shared" si="85"/>
        <v>-2278310724.9969449</v>
      </c>
      <c r="J266" s="546"/>
      <c r="K266" s="383"/>
      <c r="L266" s="383"/>
      <c r="M266" s="383"/>
      <c r="N266" s="383"/>
      <c r="O266" s="383"/>
      <c r="P266" s="383"/>
      <c r="Q266" s="383"/>
      <c r="R266" s="383"/>
      <c r="S266" s="377">
        <f>-SUMIFS('TS1'!$AA$63:$AA$112,'TS1'!$Y$63:$Y$112,S$4)*1000000</f>
        <v>0</v>
      </c>
      <c r="T266" s="377">
        <f>-SUMIFS('TS1'!$AA$63:$AA$112,'TS1'!$Y$63:$Y$112,T$4)*1000000</f>
        <v>0</v>
      </c>
      <c r="U266" s="377">
        <f>-SUMIFS('TS1'!$AA$63:$AA$112,'TS1'!$Y$63:$Y$112,U$4)*1000000</f>
        <v>0</v>
      </c>
      <c r="V266" s="377">
        <f>-SUMIFS('TS1'!$AA$63:$AA$112,'TS1'!$Y$63:$Y$112,V$4)*1000000</f>
        <v>0</v>
      </c>
      <c r="W266" s="377">
        <f>-SUMIFS('TS1'!$AA$63:$AA$112,'TS1'!$Y$63:$Y$112,W$4)*1000000</f>
        <v>0</v>
      </c>
      <c r="X266" s="377">
        <f>-SUMIFS('TS1'!$AA$63:$AA$112,'TS1'!$Y$63:$Y$112,X$4)*1000000</f>
        <v>-569577681.24923623</v>
      </c>
      <c r="Y266" s="377">
        <f>-SUMIFS('TS1'!$AA$63:$AA$112,'TS1'!$Y$63:$Y$112,Y$4)*1000000</f>
        <v>-569577681.24923623</v>
      </c>
      <c r="Z266" s="377">
        <f>-SUMIFS('TS1'!$AA$63:$AA$112,'TS1'!$Y$63:$Y$112,Z$4)*1000000</f>
        <v>-569577681.24923623</v>
      </c>
      <c r="AA266" s="377">
        <f>-SUMIFS('TS1'!$AA$63:$AA$112,'TS1'!$Y$63:$Y$112,AA$4)*1000000</f>
        <v>-569577681.24923623</v>
      </c>
      <c r="AB266" s="377">
        <f>-SUMIFS('TS1'!$AA$63:$AA$112,'TS1'!$Y$63:$Y$112,AB$4)*1000000</f>
        <v>0</v>
      </c>
      <c r="AC266" s="377">
        <f>-SUMIFS('TS1'!$AA$63:$AA$112,'TS1'!$Y$63:$Y$112,AC$4)*1000000</f>
        <v>0</v>
      </c>
      <c r="AD266" s="377">
        <f>-SUMIFS('TS1'!$AA$63:$AA$112,'TS1'!$Y$63:$Y$112,AD$4)*1000000</f>
        <v>0</v>
      </c>
      <c r="AE266" s="377">
        <f>-SUMIFS('TS1'!$AA$63:$AA$112,'TS1'!$Y$63:$Y$112,AE$4)*1000000</f>
        <v>0</v>
      </c>
      <c r="AF266" s="377">
        <f>-SUMIFS('TS1'!$AA$63:$AA$112,'TS1'!$Y$63:$Y$112,AF$4)*1000000</f>
        <v>0</v>
      </c>
      <c r="AG266" s="377">
        <f>-SUMIFS('TS1'!$AA$63:$AA$112,'TS1'!$Y$63:$Y$112,AG$4)*1000000</f>
        <v>0</v>
      </c>
      <c r="AH266" s="377">
        <f>-SUMIFS('TS1'!$AA$63:$AA$112,'TS1'!$Y$63:$Y$112,AH$4)*1000000</f>
        <v>0</v>
      </c>
      <c r="AI266" s="377">
        <f>-SUMIFS('TS1'!$AA$63:$AA$112,'TS1'!$Y$63:$Y$112,AI$4)*1000000</f>
        <v>0</v>
      </c>
      <c r="AJ266" s="377">
        <f>-SUMIFS('TS1'!$AA$63:$AA$112,'TS1'!$Y$63:$Y$112,AJ$4)*1000000</f>
        <v>0</v>
      </c>
      <c r="AK266" s="377">
        <f>-SUMIFS('TS1'!$AA$63:$AA$112,'TS1'!$Y$63:$Y$112,AK$4)*1000000</f>
        <v>0</v>
      </c>
      <c r="AL266" s="377">
        <f>-SUMIFS('TS1'!$AA$63:$AA$112,'TS1'!$Y$63:$Y$112,AL$4)*1000000</f>
        <v>0</v>
      </c>
      <c r="AM266" s="377">
        <f>-SUMIFS('TS1'!$AA$63:$AA$112,'TS1'!$Y$63:$Y$112,AM$4)*1000000</f>
        <v>0</v>
      </c>
      <c r="AN266" s="377">
        <f>-SUMIFS('TS1'!$AA$63:$AA$112,'TS1'!$Y$63:$Y$112,AN$4)*1000000</f>
        <v>0</v>
      </c>
      <c r="AO266" s="377">
        <f>-SUMIFS('TS1'!$AA$63:$AA$112,'TS1'!$Y$63:$Y$112,AO$4)*1000000</f>
        <v>0</v>
      </c>
      <c r="AP266" s="377">
        <f>-SUMIFS('TS1'!$AA$63:$AA$112,'TS1'!$Y$63:$Y$112,AP$4)*1000000</f>
        <v>0</v>
      </c>
      <c r="AQ266" s="377">
        <f>-SUMIFS('TS1'!$AA$63:$AA$112,'TS1'!$Y$63:$Y$112,AQ$4)*1000000</f>
        <v>0</v>
      </c>
      <c r="AR266" s="377">
        <f>-SUMIFS('TS1'!$AA$63:$AA$112,'TS1'!$Y$63:$Y$112,AR$4)*1000000</f>
        <v>0</v>
      </c>
      <c r="AS266" s="377">
        <f>-SUMIFS('TS1'!$AA$63:$AA$112,'TS1'!$Y$63:$Y$112,AS$4)*1000000</f>
        <v>0</v>
      </c>
      <c r="AT266" s="377">
        <f>-SUMIFS('TS1'!$AA$63:$AA$112,'TS1'!$Y$63:$Y$112,AT$4)*1000000</f>
        <v>0</v>
      </c>
      <c r="AU266" s="377">
        <f>-SUMIFS('TS1'!$AA$63:$AA$112,'TS1'!$Y$63:$Y$112,AU$4)*1000000</f>
        <v>0</v>
      </c>
      <c r="AV266" s="377">
        <f>-SUMIFS('TS1'!$AA$63:$AA$112,'TS1'!$Y$63:$Y$112,AV$4)*1000000</f>
        <v>0</v>
      </c>
      <c r="AW266" s="377">
        <f>-SUMIFS('TS1'!$AA$63:$AA$112,'TS1'!$Y$63:$Y$112,AW$4)*1000000</f>
        <v>0</v>
      </c>
      <c r="AX266" s="377">
        <f>-SUMIFS('TS1'!$AA$63:$AA$112,'TS1'!$Y$63:$Y$112,AX$4)*1000000</f>
        <v>0</v>
      </c>
      <c r="AY266" s="377">
        <f>-SUMIFS('TS1'!$AA$63:$AA$112,'TS1'!$Y$63:$Y$112,AY$4)*1000000</f>
        <v>0</v>
      </c>
      <c r="AZ266" s="377">
        <f>-SUMIFS('TS1'!$AA$63:$AA$112,'TS1'!$Y$63:$Y$112,AZ$4)*1000000</f>
        <v>0</v>
      </c>
      <c r="BA266" s="377">
        <f>-SUMIFS('TS1'!$AA$63:$AA$112,'TS1'!$Y$63:$Y$112,BA$4)*1000000</f>
        <v>0</v>
      </c>
      <c r="BB266" s="377">
        <f>-SUMIFS('TS1'!$AA$63:$AA$112,'TS1'!$Y$63:$Y$112,BB$4)*1000000</f>
        <v>0</v>
      </c>
      <c r="BC266" s="377">
        <f>-SUMIFS('TS1'!$AA$63:$AA$112,'TS1'!$Y$63:$Y$112,BC$4)*1000000</f>
        <v>0</v>
      </c>
      <c r="BD266" s="377">
        <f>-SUMIFS('TS1'!$AA$63:$AA$112,'TS1'!$Y$63:$Y$112,BD$4)*1000000</f>
        <v>0</v>
      </c>
      <c r="BE266" s="377">
        <f>-SUMIFS('TS1'!$AA$63:$AA$112,'TS1'!$Y$63:$Y$112,BE$4)*1000000</f>
        <v>0</v>
      </c>
      <c r="BF266" s="377">
        <f>-SUMIFS('TS1'!$AA$63:$AA$112,'TS1'!$Y$63:$Y$112,BF$4)*1000000</f>
        <v>0</v>
      </c>
      <c r="BG266" s="377">
        <f>-SUMIFS('TS1'!$AA$63:$AA$112,'TS1'!$Y$63:$Y$112,BG$4)*1000000</f>
        <v>0</v>
      </c>
      <c r="BH266" s="377">
        <f>-SUMIFS('TS1'!$AA$63:$AA$112,'TS1'!$Y$63:$Y$112,BH$4)*1000000</f>
        <v>0</v>
      </c>
      <c r="BI266" s="377">
        <f>-SUMIFS('TS1'!$AA$63:$AA$112,'TS1'!$Y$63:$Y$112,BI$4)*1000000</f>
        <v>0</v>
      </c>
      <c r="BJ266" s="377">
        <f>-SUMIFS('TS1'!$AA$63:$AA$112,'TS1'!$Y$63:$Y$112,BJ$4)*1000000</f>
        <v>0</v>
      </c>
      <c r="BK266" s="377">
        <f>-SUMIFS('TS1'!$AA$63:$AA$112,'TS1'!$Y$63:$Y$112,BK$4)*1000000</f>
        <v>0</v>
      </c>
      <c r="BL266" s="377">
        <f>-SUMIFS('TS1'!$AA$63:$AA$112,'TS1'!$Y$63:$Y$112,BL$4)*1000000</f>
        <v>0</v>
      </c>
      <c r="BM266" s="377">
        <f>-SUMIFS('TS1'!$AA$63:$AA$112,'TS1'!$Y$63:$Y$112,BM$4)*1000000</f>
        <v>0</v>
      </c>
      <c r="BN266" s="377">
        <f>-SUMIFS('TS1'!$AA$63:$AA$112,'TS1'!$Y$63:$Y$112,BN$4)*1000000</f>
        <v>0</v>
      </c>
      <c r="BO266" s="377">
        <f>-SUMIFS('TS1'!$AA$63:$AA$112,'TS1'!$Y$63:$Y$112,BO$4)*1000000</f>
        <v>0</v>
      </c>
      <c r="BP266" s="377">
        <f>-SUMIFS('TS1'!$AA$63:$AA$112,'TS1'!$Y$63:$Y$112,BP$4)*1000000</f>
        <v>0</v>
      </c>
      <c r="BQ266" s="377">
        <f>-SUMIFS('TS1'!$AA$63:$AA$112,'TS1'!$Y$63:$Y$112,BQ$4)*1000000</f>
        <v>0</v>
      </c>
      <c r="BR266" s="377">
        <f>-SUMIFS('TS1'!$AA$63:$AA$112,'TS1'!$Y$63:$Y$112,BR$4)*1000000</f>
        <v>0</v>
      </c>
    </row>
    <row r="267" spans="1:70" outlineLevel="1">
      <c r="A267" s="374">
        <f t="shared" si="81"/>
        <v>0</v>
      </c>
      <c r="B267" s="359"/>
      <c r="C267" s="359">
        <v>1</v>
      </c>
      <c r="D267" s="360" t="s">
        <v>452</v>
      </c>
      <c r="E267" s="360" t="s">
        <v>492</v>
      </c>
      <c r="F267" s="366" t="s">
        <v>448</v>
      </c>
      <c r="G267" s="360"/>
      <c r="H267" s="377"/>
      <c r="I267" s="540">
        <f t="shared" si="85"/>
        <v>-455662144.99938893</v>
      </c>
      <c r="J267" s="546"/>
      <c r="K267" s="383"/>
      <c r="L267" s="383"/>
      <c r="M267" s="383"/>
      <c r="N267" s="383"/>
      <c r="O267" s="383"/>
      <c r="P267" s="383"/>
      <c r="Q267" s="383"/>
      <c r="R267" s="383"/>
      <c r="S267" s="377">
        <f>-SUMIFS('TS1'!$AC$63:$AC$112,'TS1'!$Y$63:$Y$112,S$4)*1000000</f>
        <v>0</v>
      </c>
      <c r="T267" s="377">
        <f>-SUMIFS('TS1'!$AC$63:$AC$112,'TS1'!$Y$63:$Y$112,T$4)*1000000</f>
        <v>0</v>
      </c>
      <c r="U267" s="377">
        <f>-SUMIFS('TS1'!$AC$63:$AC$112,'TS1'!$Y$63:$Y$112,U$4)*1000000</f>
        <v>0</v>
      </c>
      <c r="V267" s="377">
        <f>-SUMIFS('TS1'!$AC$63:$AC$112,'TS1'!$Y$63:$Y$112,V$4)*1000000</f>
        <v>0</v>
      </c>
      <c r="W267" s="377">
        <f>-SUMIFS('TS1'!$AC$63:$AC$112,'TS1'!$Y$63:$Y$112,W$4)*1000000</f>
        <v>0</v>
      </c>
      <c r="X267" s="377">
        <f>-SUMIFS('TS1'!$AC$63:$AC$112,'TS1'!$Y$63:$Y$112,X$4)*1000000</f>
        <v>-28478884.062461812</v>
      </c>
      <c r="Y267" s="377">
        <f>-SUMIFS('TS1'!$AC$63:$AC$112,'TS1'!$Y$63:$Y$112,Y$4)*1000000</f>
        <v>-28478884.062461812</v>
      </c>
      <c r="Z267" s="377">
        <f>-SUMIFS('TS1'!$AC$63:$AC$112,'TS1'!$Y$63:$Y$112,Z$4)*1000000</f>
        <v>-28478884.062461812</v>
      </c>
      <c r="AA267" s="377">
        <f>-SUMIFS('TS1'!$AC$63:$AC$112,'TS1'!$Y$63:$Y$112,AA$4)*1000000</f>
        <v>-28478884.062461812</v>
      </c>
      <c r="AB267" s="377">
        <f>-SUMIFS('TS1'!$AC$63:$AC$112,'TS1'!$Y$63:$Y$112,AB$4)*1000000</f>
        <v>-28478884.062461812</v>
      </c>
      <c r="AC267" s="377">
        <f>-SUMIFS('TS1'!$AC$63:$AC$112,'TS1'!$Y$63:$Y$112,AC$4)*1000000</f>
        <v>-28478884.062461812</v>
      </c>
      <c r="AD267" s="377">
        <f>-SUMIFS('TS1'!$AC$63:$AC$112,'TS1'!$Y$63:$Y$112,AD$4)*1000000</f>
        <v>-28478884.062461812</v>
      </c>
      <c r="AE267" s="377">
        <f>-SUMIFS('TS1'!$AC$63:$AC$112,'TS1'!$Y$63:$Y$112,AE$4)*1000000</f>
        <v>-28478884.062461812</v>
      </c>
      <c r="AF267" s="377">
        <f>-SUMIFS('TS1'!$AC$63:$AC$112,'TS1'!$Y$63:$Y$112,AF$4)*1000000</f>
        <v>-28478884.062461812</v>
      </c>
      <c r="AG267" s="377">
        <f>-SUMIFS('TS1'!$AC$63:$AC$112,'TS1'!$Y$63:$Y$112,AG$4)*1000000</f>
        <v>-28478884.062461812</v>
      </c>
      <c r="AH267" s="377">
        <f>-SUMIFS('TS1'!$AC$63:$AC$112,'TS1'!$Y$63:$Y$112,AH$4)*1000000</f>
        <v>-28478884.062461812</v>
      </c>
      <c r="AI267" s="377">
        <f>-SUMIFS('TS1'!$AC$63:$AC$112,'TS1'!$Y$63:$Y$112,AI$4)*1000000</f>
        <v>-28478884.062461812</v>
      </c>
      <c r="AJ267" s="377">
        <f>-SUMIFS('TS1'!$AC$63:$AC$112,'TS1'!$Y$63:$Y$112,AJ$4)*1000000</f>
        <v>-28478884.062461812</v>
      </c>
      <c r="AK267" s="377">
        <f>-SUMIFS('TS1'!$AC$63:$AC$112,'TS1'!$Y$63:$Y$112,AK$4)*1000000</f>
        <v>-28478884.062461812</v>
      </c>
      <c r="AL267" s="377">
        <f>-SUMIFS('TS1'!$AC$63:$AC$112,'TS1'!$Y$63:$Y$112,AL$4)*1000000</f>
        <v>-28478884.062461812</v>
      </c>
      <c r="AM267" s="377">
        <f>-SUMIFS('TS1'!$AC$63:$AC$112,'TS1'!$Y$63:$Y$112,AM$4)*1000000</f>
        <v>-28478884.062461812</v>
      </c>
      <c r="AN267" s="377">
        <f>-SUMIFS('TS1'!$AC$63:$AC$112,'TS1'!$Y$63:$Y$112,AN$4)*1000000</f>
        <v>0</v>
      </c>
      <c r="AO267" s="377">
        <f>-SUMIFS('TS1'!$AC$63:$AC$112,'TS1'!$Y$63:$Y$112,AO$4)*1000000</f>
        <v>0</v>
      </c>
      <c r="AP267" s="377">
        <f>-SUMIFS('TS1'!$AC$63:$AC$112,'TS1'!$Y$63:$Y$112,AP$4)*1000000</f>
        <v>0</v>
      </c>
      <c r="AQ267" s="377">
        <f>-SUMIFS('TS1'!$AC$63:$AC$112,'TS1'!$Y$63:$Y$112,AQ$4)*1000000</f>
        <v>0</v>
      </c>
      <c r="AR267" s="377">
        <f>-SUMIFS('TS1'!$AC$63:$AC$112,'TS1'!$Y$63:$Y$112,AR$4)*1000000</f>
        <v>0</v>
      </c>
      <c r="AS267" s="377">
        <f>-SUMIFS('TS1'!$AC$63:$AC$112,'TS1'!$Y$63:$Y$112,AS$4)*1000000</f>
        <v>0</v>
      </c>
      <c r="AT267" s="377">
        <f>-SUMIFS('TS1'!$AC$63:$AC$112,'TS1'!$Y$63:$Y$112,AT$4)*1000000</f>
        <v>0</v>
      </c>
      <c r="AU267" s="377">
        <f>-SUMIFS('TS1'!$AC$63:$AC$112,'TS1'!$Y$63:$Y$112,AU$4)*1000000</f>
        <v>0</v>
      </c>
      <c r="AV267" s="377">
        <f>-SUMIFS('TS1'!$AC$63:$AC$112,'TS1'!$Y$63:$Y$112,AV$4)*1000000</f>
        <v>0</v>
      </c>
      <c r="AW267" s="377">
        <f>-SUMIFS('TS1'!$AC$63:$AC$112,'TS1'!$Y$63:$Y$112,AW$4)*1000000</f>
        <v>0</v>
      </c>
      <c r="AX267" s="377">
        <f>-SUMIFS('TS1'!$AC$63:$AC$112,'TS1'!$Y$63:$Y$112,AX$4)*1000000</f>
        <v>0</v>
      </c>
      <c r="AY267" s="377">
        <f>-SUMIFS('TS1'!$AC$63:$AC$112,'TS1'!$Y$63:$Y$112,AY$4)*1000000</f>
        <v>0</v>
      </c>
      <c r="AZ267" s="377">
        <f>-SUMIFS('TS1'!$AC$63:$AC$112,'TS1'!$Y$63:$Y$112,AZ$4)*1000000</f>
        <v>0</v>
      </c>
      <c r="BA267" s="377">
        <f>-SUMIFS('TS1'!$AC$63:$AC$112,'TS1'!$Y$63:$Y$112,BA$4)*1000000</f>
        <v>0</v>
      </c>
      <c r="BB267" s="377">
        <f>-SUMIFS('TS1'!$AC$63:$AC$112,'TS1'!$Y$63:$Y$112,BB$4)*1000000</f>
        <v>0</v>
      </c>
      <c r="BC267" s="377">
        <f>-SUMIFS('TS1'!$AC$63:$AC$112,'TS1'!$Y$63:$Y$112,BC$4)*1000000</f>
        <v>0</v>
      </c>
      <c r="BD267" s="377">
        <f>-SUMIFS('TS1'!$AC$63:$AC$112,'TS1'!$Y$63:$Y$112,BD$4)*1000000</f>
        <v>0</v>
      </c>
      <c r="BE267" s="377">
        <f>-SUMIFS('TS1'!$AC$63:$AC$112,'TS1'!$Y$63:$Y$112,BE$4)*1000000</f>
        <v>0</v>
      </c>
      <c r="BF267" s="377">
        <f>-SUMIFS('TS1'!$AC$63:$AC$112,'TS1'!$Y$63:$Y$112,BF$4)*1000000</f>
        <v>0</v>
      </c>
      <c r="BG267" s="377">
        <f>-SUMIFS('TS1'!$AC$63:$AC$112,'TS1'!$Y$63:$Y$112,BG$4)*1000000</f>
        <v>0</v>
      </c>
      <c r="BH267" s="377">
        <f>-SUMIFS('TS1'!$AC$63:$AC$112,'TS1'!$Y$63:$Y$112,BH$4)*1000000</f>
        <v>0</v>
      </c>
      <c r="BI267" s="377">
        <f>-SUMIFS('TS1'!$AC$63:$AC$112,'TS1'!$Y$63:$Y$112,BI$4)*1000000</f>
        <v>0</v>
      </c>
      <c r="BJ267" s="377">
        <f>-SUMIFS('TS1'!$AC$63:$AC$112,'TS1'!$Y$63:$Y$112,BJ$4)*1000000</f>
        <v>0</v>
      </c>
      <c r="BK267" s="377">
        <f>-SUMIFS('TS1'!$AC$63:$AC$112,'TS1'!$Y$63:$Y$112,BK$4)*1000000</f>
        <v>0</v>
      </c>
      <c r="BL267" s="377">
        <f>-SUMIFS('TS1'!$AC$63:$AC$112,'TS1'!$Y$63:$Y$112,BL$4)*1000000</f>
        <v>0</v>
      </c>
      <c r="BM267" s="377">
        <f>-SUMIFS('TS1'!$AC$63:$AC$112,'TS1'!$Y$63:$Y$112,BM$4)*1000000</f>
        <v>0</v>
      </c>
      <c r="BN267" s="377">
        <f>-SUMIFS('TS1'!$AC$63:$AC$112,'TS1'!$Y$63:$Y$112,BN$4)*1000000</f>
        <v>0</v>
      </c>
      <c r="BO267" s="377">
        <f>-SUMIFS('TS1'!$AC$63:$AC$112,'TS1'!$Y$63:$Y$112,BO$4)*1000000</f>
        <v>0</v>
      </c>
      <c r="BP267" s="377">
        <f>-SUMIFS('TS1'!$AC$63:$AC$112,'TS1'!$Y$63:$Y$112,BP$4)*1000000</f>
        <v>0</v>
      </c>
      <c r="BQ267" s="377">
        <f>-SUMIFS('TS1'!$AC$63:$AC$112,'TS1'!$Y$63:$Y$112,BQ$4)*1000000</f>
        <v>0</v>
      </c>
      <c r="BR267" s="377">
        <f>-SUMIFS('TS1'!$AC$63:$AC$112,'TS1'!$Y$63:$Y$112,BR$4)*1000000</f>
        <v>0</v>
      </c>
    </row>
    <row r="268" spans="1:70" outlineLevel="1">
      <c r="A268" s="374">
        <f t="shared" si="81"/>
        <v>0</v>
      </c>
      <c r="B268" s="359"/>
      <c r="C268" s="359"/>
      <c r="D268" s="360"/>
      <c r="E268" s="360"/>
      <c r="F268" s="373"/>
      <c r="G268" s="360"/>
      <c r="H268" s="377"/>
      <c r="I268" s="540"/>
      <c r="J268" s="546"/>
      <c r="K268" s="383"/>
      <c r="L268" s="383"/>
      <c r="M268" s="383"/>
      <c r="N268" s="383"/>
      <c r="O268" s="383"/>
      <c r="P268" s="383"/>
      <c r="Q268" s="383"/>
      <c r="R268" s="383"/>
      <c r="S268" s="377"/>
      <c r="T268" s="377"/>
      <c r="U268" s="377"/>
      <c r="V268" s="377"/>
      <c r="W268" s="377"/>
      <c r="X268" s="377"/>
      <c r="Y268" s="377"/>
      <c r="Z268" s="377"/>
      <c r="AA268" s="377"/>
      <c r="AB268" s="377"/>
      <c r="AC268" s="377"/>
      <c r="AD268" s="377"/>
      <c r="AE268" s="377"/>
      <c r="AF268" s="377"/>
      <c r="AG268" s="377"/>
      <c r="AH268" s="377"/>
      <c r="AI268" s="377"/>
      <c r="AJ268" s="377"/>
      <c r="AK268" s="377"/>
      <c r="AL268" s="377"/>
      <c r="AM268" s="377"/>
      <c r="AN268" s="377"/>
      <c r="AO268" s="377"/>
      <c r="AP268" s="377"/>
      <c r="AQ268" s="377"/>
      <c r="AR268" s="377"/>
      <c r="AS268" s="377"/>
      <c r="AT268" s="377"/>
      <c r="AU268" s="377"/>
      <c r="AV268" s="377"/>
      <c r="AW268" s="377"/>
      <c r="AX268" s="377"/>
      <c r="AY268" s="377"/>
      <c r="AZ268" s="377"/>
      <c r="BA268" s="377"/>
      <c r="BB268" s="377"/>
      <c r="BC268" s="377"/>
      <c r="BD268" s="377"/>
      <c r="BE268" s="377"/>
      <c r="BF268" s="377"/>
      <c r="BG268" s="377"/>
      <c r="BH268" s="377"/>
      <c r="BI268" s="377"/>
      <c r="BJ268" s="377"/>
      <c r="BK268" s="377"/>
      <c r="BL268" s="377"/>
      <c r="BM268" s="377"/>
      <c r="BN268" s="377"/>
      <c r="BO268" s="377"/>
      <c r="BP268" s="377"/>
      <c r="BQ268" s="377"/>
      <c r="BR268" s="377"/>
    </row>
    <row r="269" spans="1:70" outlineLevel="1">
      <c r="A269" s="374">
        <f t="shared" si="81"/>
        <v>0</v>
      </c>
      <c r="B269" s="359"/>
      <c r="C269" s="359">
        <v>1</v>
      </c>
      <c r="D269" s="360" t="s">
        <v>39</v>
      </c>
      <c r="E269" s="360" t="s">
        <v>492</v>
      </c>
      <c r="F269" s="366" t="s">
        <v>448</v>
      </c>
      <c r="G269" s="360"/>
      <c r="H269" s="377"/>
      <c r="I269" s="540">
        <f t="shared" si="85"/>
        <v>-134270775.792</v>
      </c>
      <c r="J269" s="546"/>
      <c r="K269" s="383"/>
      <c r="L269" s="383"/>
      <c r="M269" s="383"/>
      <c r="N269" s="383"/>
      <c r="O269" s="383"/>
      <c r="P269" s="383"/>
      <c r="Q269" s="383"/>
      <c r="R269" s="383"/>
      <c r="S269" s="377">
        <f>-SUMIFS('TS1'!$AL$63:$AL$122,'TS1'!$AF$63:$AF$122,S$4)*1000000</f>
        <v>-2059993.1880000001</v>
      </c>
      <c r="T269" s="377">
        <f>-SUMIFS('TS1'!$AL$63:$AL$122,'TS1'!$AF$63:$AF$122,T$4)*1000000</f>
        <v>-2059993.1880000001</v>
      </c>
      <c r="U269" s="377">
        <f>-SUMIFS('TS1'!$AL$63:$AL$122,'TS1'!$AF$63:$AF$122,U$4)*1000000</f>
        <v>-2059993.1880000001</v>
      </c>
      <c r="V269" s="377">
        <f>-SUMIFS('TS1'!$AL$63:$AL$122,'TS1'!$AF$63:$AF$122,V$4)*1000000</f>
        <v>-2059993.1880000001</v>
      </c>
      <c r="W269" s="377">
        <f>-SUMIFS('TS1'!$AL$63:$AL$122,'TS1'!$AF$63:$AF$122,W$4)*1000000</f>
        <v>-2059993.1880000001</v>
      </c>
      <c r="X269" s="377">
        <f>-SUMIFS('TS1'!$AL$63:$AL$122,'TS1'!$AF$63:$AF$122,X$4)*1000000</f>
        <v>-2059993.1880000001</v>
      </c>
      <c r="Y269" s="377">
        <f>-SUMIFS('TS1'!$AL$63:$AL$122,'TS1'!$AF$63:$AF$122,Y$4)*1000000</f>
        <v>0</v>
      </c>
      <c r="Z269" s="377">
        <f>-SUMIFS('TS1'!$AL$63:$AL$122,'TS1'!$AF$63:$AF$122,Z$4)*1000000</f>
        <v>0</v>
      </c>
      <c r="AA269" s="377">
        <f>-SUMIFS('TS1'!$AL$63:$AL$122,'TS1'!$AF$63:$AF$122,AA$4)*1000000</f>
        <v>0</v>
      </c>
      <c r="AB269" s="377">
        <f>-SUMIFS('TS1'!$AL$63:$AL$122,'TS1'!$AF$63:$AF$122,AB$4)*1000000</f>
        <v>0</v>
      </c>
      <c r="AC269" s="377">
        <f>-SUMIFS('TS1'!$AL$63:$AL$122,'TS1'!$AF$63:$AF$122,AC$4)*1000000</f>
        <v>-8707915.4759999998</v>
      </c>
      <c r="AD269" s="377">
        <f>-SUMIFS('TS1'!$AL$63:$AL$122,'TS1'!$AF$63:$AF$122,AD$4)*1000000</f>
        <v>-8707915.4759999998</v>
      </c>
      <c r="AE269" s="377">
        <f>-SUMIFS('TS1'!$AL$63:$AL$122,'TS1'!$AF$63:$AF$122,AE$4)*1000000</f>
        <v>-8707915.4759999998</v>
      </c>
      <c r="AF269" s="377">
        <f>-SUMIFS('TS1'!$AL$63:$AL$122,'TS1'!$AF$63:$AF$122,AF$4)*1000000</f>
        <v>-8707915.4759999998</v>
      </c>
      <c r="AG269" s="377">
        <f>-SUMIFS('TS1'!$AL$63:$AL$122,'TS1'!$AF$63:$AF$122,AG$4)*1000000</f>
        <v>-17415830.952</v>
      </c>
      <c r="AH269" s="377">
        <f>-SUMIFS('TS1'!$AL$63:$AL$122,'TS1'!$AF$63:$AF$122,AH$4)*1000000</f>
        <v>-17415830.952</v>
      </c>
      <c r="AI269" s="377">
        <f>-SUMIFS('TS1'!$AL$63:$AL$122,'TS1'!$AF$63:$AF$122,AI$4)*1000000</f>
        <v>-17415830.952</v>
      </c>
      <c r="AJ269" s="377">
        <f>-SUMIFS('TS1'!$AL$63:$AL$122,'TS1'!$AF$63:$AF$122,AJ$4)*1000000</f>
        <v>-17415830.952</v>
      </c>
      <c r="AK269" s="377">
        <f>-SUMIFS('TS1'!$AL$63:$AL$122,'TS1'!$AF$63:$AF$122,AK$4)*1000000</f>
        <v>-8707915.4759999998</v>
      </c>
      <c r="AL269" s="377">
        <f>-SUMIFS('TS1'!$AL$63:$AL$122,'TS1'!$AF$63:$AF$122,AL$4)*1000000</f>
        <v>-8707915.4759999998</v>
      </c>
      <c r="AM269" s="377">
        <f>-SUMIFS('TS1'!$AL$63:$AL$122,'TS1'!$AF$63:$AF$122,AM$4)*1000000</f>
        <v>0</v>
      </c>
      <c r="AN269" s="377">
        <f>-SUMIFS('TS1'!$AL$63:$AL$122,'TS1'!$AF$63:$AF$122,AN$4)*1000000</f>
        <v>0</v>
      </c>
      <c r="AO269" s="377">
        <f>-SUMIFS('TS1'!$AL$63:$AL$122,'TS1'!$AF$63:$AF$122,AO$4)*1000000</f>
        <v>0</v>
      </c>
      <c r="AP269" s="377">
        <f>-SUMIFS('TS1'!$AL$63:$AL$122,'TS1'!$AF$63:$AF$122,AP$4)*1000000</f>
        <v>0</v>
      </c>
      <c r="AQ269" s="377">
        <f>-SUMIFS('TS1'!$AL$63:$AL$122,'TS1'!$AF$63:$AF$122,AQ$4)*1000000</f>
        <v>0</v>
      </c>
      <c r="AR269" s="377">
        <f>-SUMIFS('TS1'!$AL$63:$AL$122,'TS1'!$AF$63:$AF$122,AR$4)*1000000</f>
        <v>0</v>
      </c>
      <c r="AS269" s="377">
        <f>-SUMIFS('TS1'!$AL$63:$AL$122,'TS1'!$AF$63:$AF$122,AS$4)*1000000</f>
        <v>0</v>
      </c>
      <c r="AT269" s="377">
        <f>-SUMIFS('TS1'!$AL$63:$AL$122,'TS1'!$AF$63:$AF$122,AT$4)*1000000</f>
        <v>0</v>
      </c>
      <c r="AU269" s="377">
        <f>-SUMIFS('TS1'!$AL$63:$AL$122,'TS1'!$AF$63:$AF$122,AU$4)*1000000</f>
        <v>0</v>
      </c>
      <c r="AV269" s="377">
        <f>-SUMIFS('TS1'!$AL$63:$AL$122,'TS1'!$AF$63:$AF$122,AV$4)*1000000</f>
        <v>0</v>
      </c>
      <c r="AW269" s="377">
        <f>-SUMIFS('TS1'!$AL$63:$AL$122,'TS1'!$AF$63:$AF$122,AW$4)*1000000</f>
        <v>0</v>
      </c>
      <c r="AX269" s="377">
        <f>-SUMIFS('TS1'!$AL$63:$AL$122,'TS1'!$AF$63:$AF$122,AX$4)*1000000</f>
        <v>0</v>
      </c>
      <c r="AY269" s="377">
        <f>-SUMIFS('TS1'!$AL$63:$AL$122,'TS1'!$AF$63:$AF$122,AY$4)*1000000</f>
        <v>0</v>
      </c>
      <c r="AZ269" s="377">
        <f>-SUMIFS('TS1'!$AL$63:$AL$122,'TS1'!$AF$63:$AF$122,AZ$4)*1000000</f>
        <v>0</v>
      </c>
      <c r="BA269" s="377">
        <f>-SUMIFS('TS1'!$AL$63:$AL$122,'TS1'!$AF$63:$AF$122,BA$4)*1000000</f>
        <v>0</v>
      </c>
      <c r="BB269" s="377">
        <f>-SUMIFS('TS1'!$AL$63:$AL$122,'TS1'!$AF$63:$AF$122,BB$4)*1000000</f>
        <v>0</v>
      </c>
      <c r="BC269" s="377">
        <f>-SUMIFS('TS1'!$AL$63:$AL$122,'TS1'!$AF$63:$AF$122,BC$4)*1000000</f>
        <v>0</v>
      </c>
      <c r="BD269" s="377">
        <f>-SUMIFS('TS1'!$AL$63:$AL$122,'TS1'!$AF$63:$AF$122,BD$4)*1000000</f>
        <v>0</v>
      </c>
      <c r="BE269" s="377">
        <f>-SUMIFS('TS1'!$AL$63:$AL$122,'TS1'!$AF$63:$AF$122,BE$4)*1000000</f>
        <v>0</v>
      </c>
      <c r="BF269" s="377">
        <f>-SUMIFS('TS1'!$AL$63:$AL$122,'TS1'!$AF$63:$AF$122,BF$4)*1000000</f>
        <v>0</v>
      </c>
      <c r="BG269" s="377">
        <f>-SUMIFS('TS1'!$AL$63:$AL$122,'TS1'!$AF$63:$AF$122,BG$4)*1000000</f>
        <v>0</v>
      </c>
      <c r="BH269" s="377">
        <f>-SUMIFS('TS1'!$AL$63:$AL$122,'TS1'!$AF$63:$AF$122,BH$4)*1000000</f>
        <v>0</v>
      </c>
      <c r="BI269" s="377">
        <f>-SUMIFS('TS1'!$AL$63:$AL$122,'TS1'!$AF$63:$AF$122,BI$4)*1000000</f>
        <v>0</v>
      </c>
      <c r="BJ269" s="377">
        <f>-SUMIFS('TS1'!$AL$63:$AL$122,'TS1'!$AF$63:$AF$122,BJ$4)*1000000</f>
        <v>0</v>
      </c>
      <c r="BK269" s="377">
        <f>-SUMIFS('TS1'!$AL$63:$AL$122,'TS1'!$AF$63:$AF$122,BK$4)*1000000</f>
        <v>0</v>
      </c>
      <c r="BL269" s="377">
        <f>-SUMIFS('TS1'!$AL$63:$AL$122,'TS1'!$AF$63:$AF$122,BL$4)*1000000</f>
        <v>0</v>
      </c>
      <c r="BM269" s="377">
        <f>-SUMIFS('TS1'!$AL$63:$AL$122,'TS1'!$AF$63:$AF$122,BM$4)*1000000</f>
        <v>0</v>
      </c>
      <c r="BN269" s="377">
        <f>-SUMIFS('TS1'!$AL$63:$AL$122,'TS1'!$AF$63:$AF$122,BN$4)*1000000</f>
        <v>0</v>
      </c>
      <c r="BO269" s="377">
        <f>-SUMIFS('TS1'!$AL$63:$AL$122,'TS1'!$AF$63:$AF$122,BO$4)*1000000</f>
        <v>0</v>
      </c>
      <c r="BP269" s="377">
        <f>-SUMIFS('TS1'!$AL$63:$AL$122,'TS1'!$AF$63:$AF$122,BP$4)*1000000</f>
        <v>0</v>
      </c>
      <c r="BQ269" s="377">
        <f>-SUMIFS('TS1'!$AL$63:$AL$122,'TS1'!$AF$63:$AF$122,BQ$4)*1000000</f>
        <v>0</v>
      </c>
      <c r="BR269" s="377">
        <f>-SUMIFS('TS1'!$AL$63:$AL$122,'TS1'!$AF$63:$AF$122,BR$4)*1000000</f>
        <v>0</v>
      </c>
    </row>
    <row r="270" spans="1:70" outlineLevel="1">
      <c r="A270" s="374">
        <f t="shared" si="81"/>
        <v>0</v>
      </c>
      <c r="B270" s="359"/>
      <c r="C270" s="359">
        <v>1</v>
      </c>
      <c r="D270" s="360" t="s">
        <v>888</v>
      </c>
      <c r="E270" s="360" t="s">
        <v>492</v>
      </c>
      <c r="F270" s="366" t="s">
        <v>448</v>
      </c>
      <c r="G270" s="360"/>
      <c r="H270" s="377"/>
      <c r="I270" s="540">
        <f>-5000000-SUMIFS($I$271:$I$276,$C$271:$C$276,$C$270)</f>
        <v>-4292000</v>
      </c>
      <c r="J270" s="546"/>
      <c r="K270" s="383"/>
      <c r="L270" s="383"/>
      <c r="M270" s="383"/>
      <c r="N270" s="383"/>
      <c r="O270" s="383"/>
      <c r="P270" s="383"/>
      <c r="Q270" s="383"/>
      <c r="R270" s="383"/>
      <c r="S270" s="377"/>
      <c r="T270" s="377">
        <v>-1000000</v>
      </c>
      <c r="U270" s="377">
        <v>-1000000</v>
      </c>
      <c r="V270" s="377">
        <v>-1000000</v>
      </c>
      <c r="W270" s="377">
        <v>-1292000</v>
      </c>
      <c r="X270" s="377"/>
      <c r="Y270" s="377"/>
      <c r="Z270" s="377"/>
      <c r="AA270" s="377"/>
      <c r="AB270" s="377"/>
      <c r="AC270" s="377"/>
      <c r="AD270" s="377"/>
      <c r="AE270" s="377"/>
      <c r="AF270" s="377"/>
      <c r="AG270" s="377"/>
      <c r="AH270" s="377"/>
      <c r="AI270" s="377"/>
      <c r="AJ270" s="377"/>
      <c r="AK270" s="377"/>
      <c r="AL270" s="377"/>
      <c r="AM270" s="377"/>
      <c r="AN270" s="377"/>
      <c r="AO270" s="377"/>
      <c r="AP270" s="377"/>
      <c r="AQ270" s="377"/>
      <c r="AR270" s="377"/>
      <c r="AS270" s="377"/>
      <c r="AT270" s="377"/>
      <c r="AU270" s="377"/>
      <c r="AV270" s="377"/>
      <c r="AW270" s="377"/>
      <c r="AX270" s="377"/>
      <c r="AY270" s="377"/>
      <c r="AZ270" s="377"/>
      <c r="BA270" s="377"/>
      <c r="BB270" s="377"/>
      <c r="BC270" s="377"/>
      <c r="BD270" s="377"/>
      <c r="BE270" s="377"/>
      <c r="BF270" s="377"/>
      <c r="BG270" s="377"/>
      <c r="BH270" s="377"/>
      <c r="BI270" s="377"/>
      <c r="BJ270" s="377"/>
      <c r="BK270" s="377"/>
      <c r="BL270" s="377"/>
      <c r="BM270" s="377"/>
      <c r="BN270" s="377"/>
      <c r="BO270" s="377"/>
      <c r="BP270" s="377"/>
      <c r="BQ270" s="377"/>
      <c r="BR270" s="377"/>
    </row>
    <row r="271" spans="1:70" outlineLevel="1">
      <c r="A271" s="374">
        <f t="shared" si="81"/>
        <v>0</v>
      </c>
      <c r="B271" s="359"/>
      <c r="C271" s="359">
        <v>1</v>
      </c>
      <c r="D271" s="360" t="s">
        <v>891</v>
      </c>
      <c r="E271" s="360" t="s">
        <v>492</v>
      </c>
      <c r="F271" s="373" t="s">
        <v>890</v>
      </c>
      <c r="G271" s="553" t="s">
        <v>367</v>
      </c>
      <c r="H271" s="377"/>
      <c r="I271" s="537">
        <v>-483000</v>
      </c>
      <c r="J271" s="546"/>
      <c r="K271" s="383"/>
      <c r="L271" s="383"/>
      <c r="M271" s="383"/>
      <c r="N271" s="383"/>
      <c r="O271" s="383"/>
      <c r="P271" s="383"/>
      <c r="Q271" s="383"/>
      <c r="R271" s="383"/>
      <c r="S271" s="377">
        <v>-483000</v>
      </c>
      <c r="T271" s="377"/>
      <c r="U271" s="377"/>
      <c r="V271" s="377"/>
      <c r="W271" s="377"/>
      <c r="X271" s="377"/>
      <c r="Y271" s="377"/>
      <c r="Z271" s="377"/>
      <c r="AA271" s="377"/>
      <c r="AB271" s="377"/>
      <c r="AC271" s="377"/>
      <c r="AD271" s="377"/>
      <c r="AE271" s="377"/>
      <c r="AF271" s="377"/>
      <c r="AG271" s="377"/>
      <c r="AH271" s="377"/>
      <c r="AI271" s="377"/>
      <c r="AJ271" s="377"/>
      <c r="AK271" s="377"/>
      <c r="AL271" s="377"/>
      <c r="AM271" s="377"/>
      <c r="AN271" s="377"/>
      <c r="AO271" s="377"/>
      <c r="AP271" s="377"/>
      <c r="AQ271" s="377"/>
      <c r="AR271" s="377"/>
      <c r="AS271" s="377"/>
      <c r="AT271" s="377"/>
      <c r="AU271" s="377"/>
      <c r="AV271" s="377"/>
      <c r="AW271" s="377"/>
      <c r="AX271" s="377"/>
      <c r="AY271" s="377"/>
      <c r="AZ271" s="377"/>
      <c r="BA271" s="377"/>
      <c r="BB271" s="377"/>
      <c r="BC271" s="377"/>
      <c r="BD271" s="377"/>
      <c r="BE271" s="377"/>
      <c r="BF271" s="377"/>
      <c r="BG271" s="377"/>
      <c r="BH271" s="377"/>
      <c r="BI271" s="377"/>
      <c r="BJ271" s="377"/>
      <c r="BK271" s="377"/>
      <c r="BL271" s="377"/>
      <c r="BM271" s="377"/>
      <c r="BN271" s="377"/>
      <c r="BO271" s="377"/>
      <c r="BP271" s="377"/>
      <c r="BQ271" s="377"/>
      <c r="BR271" s="377"/>
    </row>
    <row r="272" spans="1:70" outlineLevel="1">
      <c r="A272" s="374">
        <f t="shared" si="81"/>
        <v>0</v>
      </c>
      <c r="B272" s="359"/>
      <c r="C272" s="359">
        <v>1</v>
      </c>
      <c r="D272" s="360" t="s">
        <v>891</v>
      </c>
      <c r="E272" s="360" t="s">
        <v>492</v>
      </c>
      <c r="F272" s="373" t="s">
        <v>892</v>
      </c>
      <c r="G272" s="553" t="s">
        <v>367</v>
      </c>
      <c r="H272" s="377"/>
      <c r="I272" s="537">
        <v>-75000</v>
      </c>
      <c r="J272" s="546"/>
      <c r="K272" s="383"/>
      <c r="L272" s="383"/>
      <c r="M272" s="383"/>
      <c r="N272" s="383"/>
      <c r="O272" s="383"/>
      <c r="P272" s="383"/>
      <c r="Q272" s="383"/>
      <c r="R272" s="383"/>
      <c r="S272" s="377">
        <v>-75000</v>
      </c>
      <c r="T272" s="377"/>
      <c r="U272" s="377"/>
      <c r="V272" s="377"/>
      <c r="W272" s="377"/>
      <c r="X272" s="377"/>
      <c r="Y272" s="377"/>
      <c r="Z272" s="377"/>
      <c r="AA272" s="377"/>
      <c r="AB272" s="377"/>
      <c r="AC272" s="377"/>
      <c r="AD272" s="377"/>
      <c r="AE272" s="377"/>
      <c r="AF272" s="377"/>
      <c r="AG272" s="377"/>
      <c r="AH272" s="377"/>
      <c r="AI272" s="377"/>
      <c r="AJ272" s="377"/>
      <c r="AK272" s="377"/>
      <c r="AL272" s="377"/>
      <c r="AM272" s="377"/>
      <c r="AN272" s="377"/>
      <c r="AO272" s="377"/>
      <c r="AP272" s="377"/>
      <c r="AQ272" s="377"/>
      <c r="AR272" s="377"/>
      <c r="AS272" s="377"/>
      <c r="AT272" s="377"/>
      <c r="AU272" s="377"/>
      <c r="AV272" s="377"/>
      <c r="AW272" s="377"/>
      <c r="AX272" s="377"/>
      <c r="AY272" s="377"/>
      <c r="AZ272" s="377"/>
      <c r="BA272" s="377"/>
      <c r="BB272" s="377"/>
      <c r="BC272" s="377"/>
      <c r="BD272" s="377"/>
      <c r="BE272" s="377"/>
      <c r="BF272" s="377"/>
      <c r="BG272" s="377"/>
      <c r="BH272" s="377"/>
      <c r="BI272" s="377"/>
      <c r="BJ272" s="377"/>
      <c r="BK272" s="377"/>
      <c r="BL272" s="377"/>
      <c r="BM272" s="377"/>
      <c r="BN272" s="377"/>
      <c r="BO272" s="377"/>
      <c r="BP272" s="377"/>
      <c r="BQ272" s="377"/>
      <c r="BR272" s="377"/>
    </row>
    <row r="273" spans="1:70" outlineLevel="1">
      <c r="A273" s="374">
        <f t="shared" si="81"/>
        <v>0</v>
      </c>
      <c r="B273" s="359">
        <v>5321</v>
      </c>
      <c r="C273" s="359">
        <v>1</v>
      </c>
      <c r="D273" s="360" t="s">
        <v>985</v>
      </c>
      <c r="E273" s="360" t="s">
        <v>492</v>
      </c>
      <c r="F273" s="373" t="s">
        <v>892</v>
      </c>
      <c r="G273" s="553" t="s">
        <v>367</v>
      </c>
      <c r="H273" s="377"/>
      <c r="I273" s="537">
        <v>-150000</v>
      </c>
      <c r="J273" s="546"/>
      <c r="K273" s="383"/>
      <c r="L273" s="383"/>
      <c r="M273" s="383"/>
      <c r="N273" s="383"/>
      <c r="O273" s="383"/>
      <c r="P273" s="383"/>
      <c r="Q273" s="383"/>
      <c r="R273" s="383"/>
      <c r="S273" s="377">
        <v>-150000</v>
      </c>
      <c r="T273" s="377"/>
      <c r="U273" s="377"/>
      <c r="V273" s="377"/>
      <c r="W273" s="377"/>
      <c r="X273" s="377"/>
      <c r="Y273" s="377"/>
      <c r="Z273" s="377"/>
      <c r="AA273" s="377"/>
      <c r="AB273" s="377"/>
      <c r="AC273" s="377"/>
      <c r="AD273" s="377"/>
      <c r="AE273" s="377"/>
      <c r="AF273" s="377"/>
      <c r="AG273" s="377"/>
      <c r="AH273" s="377"/>
      <c r="AI273" s="377"/>
      <c r="AJ273" s="377"/>
      <c r="AK273" s="377"/>
      <c r="AL273" s="377"/>
      <c r="AM273" s="377"/>
      <c r="AN273" s="377"/>
      <c r="AO273" s="377"/>
      <c r="AP273" s="377"/>
      <c r="AQ273" s="377"/>
      <c r="AR273" s="377"/>
      <c r="AS273" s="377"/>
      <c r="AT273" s="377"/>
      <c r="AU273" s="377"/>
      <c r="AV273" s="377"/>
      <c r="AW273" s="377"/>
      <c r="AX273" s="377"/>
      <c r="AY273" s="377"/>
      <c r="AZ273" s="377"/>
      <c r="BA273" s="377"/>
      <c r="BB273" s="377"/>
      <c r="BC273" s="377"/>
      <c r="BD273" s="377"/>
      <c r="BE273" s="377"/>
      <c r="BF273" s="377"/>
      <c r="BG273" s="377"/>
      <c r="BH273" s="377"/>
      <c r="BI273" s="377"/>
      <c r="BJ273" s="377"/>
      <c r="BK273" s="377"/>
      <c r="BL273" s="377"/>
      <c r="BM273" s="377"/>
      <c r="BN273" s="377"/>
      <c r="BO273" s="377"/>
      <c r="BP273" s="377"/>
      <c r="BQ273" s="377"/>
      <c r="BR273" s="377"/>
    </row>
    <row r="274" spans="1:70" outlineLevel="1">
      <c r="A274" s="374">
        <f t="shared" si="81"/>
        <v>0</v>
      </c>
      <c r="B274" s="359"/>
      <c r="C274" s="359"/>
      <c r="D274" s="360"/>
      <c r="E274" s="360"/>
      <c r="F274" s="373"/>
      <c r="G274" s="360"/>
      <c r="H274" s="377"/>
      <c r="I274" s="537"/>
      <c r="J274" s="546"/>
      <c r="K274" s="383"/>
      <c r="L274" s="383"/>
      <c r="M274" s="383"/>
      <c r="N274" s="383"/>
      <c r="O274" s="383"/>
      <c r="P274" s="383"/>
      <c r="Q274" s="383"/>
      <c r="R274" s="383"/>
      <c r="S274" s="377"/>
      <c r="T274" s="377"/>
      <c r="U274" s="377"/>
      <c r="V274" s="377"/>
      <c r="W274" s="377"/>
      <c r="X274" s="377"/>
      <c r="Y274" s="377"/>
      <c r="Z274" s="377"/>
      <c r="AA274" s="377"/>
      <c r="AB274" s="377"/>
      <c r="AC274" s="377"/>
      <c r="AD274" s="377"/>
      <c r="AE274" s="377"/>
      <c r="AF274" s="377"/>
      <c r="AG274" s="377"/>
      <c r="AH274" s="377"/>
      <c r="AI274" s="377"/>
      <c r="AJ274" s="377"/>
      <c r="AK274" s="377"/>
      <c r="AL274" s="377"/>
      <c r="AM274" s="377"/>
      <c r="AN274" s="377"/>
      <c r="AO274" s="377"/>
      <c r="AP274" s="377"/>
      <c r="AQ274" s="377"/>
      <c r="AR274" s="377"/>
      <c r="AS274" s="377"/>
      <c r="AT274" s="377"/>
      <c r="AU274" s="377"/>
      <c r="AV274" s="377"/>
      <c r="AW274" s="377"/>
      <c r="AX274" s="377"/>
      <c r="AY274" s="377"/>
      <c r="AZ274" s="377"/>
      <c r="BA274" s="377"/>
      <c r="BB274" s="377"/>
      <c r="BC274" s="377"/>
      <c r="BD274" s="377"/>
      <c r="BE274" s="377"/>
      <c r="BF274" s="377"/>
      <c r="BG274" s="377"/>
      <c r="BH274" s="377"/>
      <c r="BI274" s="377"/>
      <c r="BJ274" s="377"/>
      <c r="BK274" s="377"/>
      <c r="BL274" s="377"/>
      <c r="BM274" s="377"/>
      <c r="BN274" s="377"/>
      <c r="BO274" s="377"/>
      <c r="BP274" s="377"/>
      <c r="BQ274" s="377"/>
      <c r="BR274" s="377"/>
    </row>
    <row r="275" spans="1:70" outlineLevel="1">
      <c r="A275" s="374">
        <f t="shared" si="81"/>
        <v>0</v>
      </c>
      <c r="B275" s="359"/>
      <c r="C275" s="359"/>
      <c r="D275" s="360"/>
      <c r="E275" s="360"/>
      <c r="F275" s="373"/>
      <c r="G275" s="360"/>
      <c r="H275" s="377"/>
      <c r="I275" s="537"/>
      <c r="J275" s="546"/>
      <c r="K275" s="383"/>
      <c r="L275" s="383"/>
      <c r="M275" s="383"/>
      <c r="N275" s="383"/>
      <c r="O275" s="383"/>
      <c r="P275" s="383"/>
      <c r="Q275" s="383"/>
      <c r="R275" s="383"/>
      <c r="S275" s="377"/>
      <c r="T275" s="377"/>
      <c r="U275" s="377"/>
      <c r="V275" s="377"/>
      <c r="W275" s="377"/>
      <c r="X275" s="377"/>
      <c r="Y275" s="377"/>
      <c r="Z275" s="377"/>
      <c r="AA275" s="377"/>
      <c r="AB275" s="377"/>
      <c r="AC275" s="377"/>
      <c r="AD275" s="377"/>
      <c r="AE275" s="377"/>
      <c r="AF275" s="377"/>
      <c r="AG275" s="377"/>
      <c r="AH275" s="377"/>
      <c r="AI275" s="377"/>
      <c r="AJ275" s="377"/>
      <c r="AK275" s="377"/>
      <c r="AL275" s="377"/>
      <c r="AM275" s="377"/>
      <c r="AN275" s="377"/>
      <c r="AO275" s="377"/>
      <c r="AP275" s="377"/>
      <c r="AQ275" s="377"/>
      <c r="AR275" s="377"/>
      <c r="AS275" s="377"/>
      <c r="AT275" s="377"/>
      <c r="AU275" s="377"/>
      <c r="AV275" s="377"/>
      <c r="AW275" s="377"/>
      <c r="AX275" s="377"/>
      <c r="AY275" s="377"/>
      <c r="AZ275" s="377"/>
      <c r="BA275" s="377"/>
      <c r="BB275" s="377"/>
      <c r="BC275" s="377"/>
      <c r="BD275" s="377"/>
      <c r="BE275" s="377"/>
      <c r="BF275" s="377"/>
      <c r="BG275" s="377"/>
      <c r="BH275" s="377"/>
      <c r="BI275" s="377"/>
      <c r="BJ275" s="377"/>
      <c r="BK275" s="377"/>
      <c r="BL275" s="377"/>
      <c r="BM275" s="377"/>
      <c r="BN275" s="377"/>
      <c r="BO275" s="377"/>
      <c r="BP275" s="377"/>
      <c r="BQ275" s="377"/>
      <c r="BR275" s="377"/>
    </row>
    <row r="276" spans="1:70" outlineLevel="1">
      <c r="A276" s="374">
        <f t="shared" si="81"/>
        <v>0</v>
      </c>
      <c r="B276" s="359"/>
      <c r="C276" s="359"/>
      <c r="D276" s="360"/>
      <c r="E276" s="360"/>
      <c r="F276" s="373"/>
      <c r="G276" s="360"/>
      <c r="H276" s="377"/>
      <c r="I276" s="537"/>
      <c r="J276" s="546"/>
      <c r="K276" s="383"/>
      <c r="L276" s="383"/>
      <c r="M276" s="383"/>
      <c r="N276" s="383"/>
      <c r="O276" s="383"/>
      <c r="P276" s="383"/>
      <c r="Q276" s="383"/>
      <c r="R276" s="383"/>
      <c r="S276" s="377"/>
      <c r="T276" s="377"/>
      <c r="U276" s="377"/>
      <c r="V276" s="377"/>
      <c r="W276" s="377"/>
      <c r="X276" s="377"/>
      <c r="Y276" s="377"/>
      <c r="Z276" s="377"/>
      <c r="AA276" s="377"/>
      <c r="AB276" s="377"/>
      <c r="AC276" s="377"/>
      <c r="AD276" s="377"/>
      <c r="AE276" s="377"/>
      <c r="AF276" s="377"/>
      <c r="AG276" s="377"/>
      <c r="AH276" s="377"/>
      <c r="AI276" s="377"/>
      <c r="AJ276" s="377"/>
      <c r="AK276" s="377"/>
      <c r="AL276" s="377"/>
      <c r="AM276" s="377"/>
      <c r="AN276" s="377"/>
      <c r="AO276" s="377"/>
      <c r="AP276" s="377"/>
      <c r="AQ276" s="377"/>
      <c r="AR276" s="377"/>
      <c r="AS276" s="377"/>
      <c r="AT276" s="377"/>
      <c r="AU276" s="377"/>
      <c r="AV276" s="377"/>
      <c r="AW276" s="377"/>
      <c r="AX276" s="377"/>
      <c r="AY276" s="377"/>
      <c r="AZ276" s="377"/>
      <c r="BA276" s="377"/>
      <c r="BB276" s="377"/>
      <c r="BC276" s="377"/>
      <c r="BD276" s="377"/>
      <c r="BE276" s="377"/>
      <c r="BF276" s="377"/>
      <c r="BG276" s="377"/>
      <c r="BH276" s="377"/>
      <c r="BI276" s="377"/>
      <c r="BJ276" s="377"/>
      <c r="BK276" s="377"/>
      <c r="BL276" s="377"/>
      <c r="BM276" s="377"/>
      <c r="BN276" s="377"/>
      <c r="BO276" s="377"/>
      <c r="BP276" s="377"/>
      <c r="BQ276" s="377"/>
      <c r="BR276" s="377"/>
    </row>
    <row r="277" spans="1:70" outlineLevel="1">
      <c r="A277" s="374">
        <f t="shared" si="81"/>
        <v>0</v>
      </c>
      <c r="B277" s="359"/>
      <c r="C277" s="359">
        <v>2</v>
      </c>
      <c r="D277" s="360" t="s">
        <v>87</v>
      </c>
      <c r="E277" s="360" t="s">
        <v>492</v>
      </c>
      <c r="F277" s="366" t="s">
        <v>448</v>
      </c>
      <c r="G277" s="360"/>
      <c r="H277" s="377"/>
      <c r="I277" s="540">
        <f t="shared" ref="I277:I281" si="86">SUM(K277:BR277)</f>
        <v>0</v>
      </c>
      <c r="J277" s="546"/>
      <c r="K277" s="383"/>
      <c r="L277" s="383"/>
      <c r="M277" s="383"/>
      <c r="N277" s="383"/>
      <c r="O277" s="383"/>
      <c r="P277" s="383"/>
      <c r="Q277" s="383"/>
      <c r="R277" s="383"/>
      <c r="S277" s="377">
        <f>-SUMIFS('TS2'!$U$63:$U$112,'TS2'!$O$63:$O$112,S$4)*1000000</f>
        <v>0</v>
      </c>
      <c r="T277" s="377">
        <f>-SUMIFS('TS2'!$U$63:$U$112,'TS2'!$O$63:$O$112,T$4)*1000000</f>
        <v>0</v>
      </c>
      <c r="U277" s="377">
        <f>-SUMIFS('TS2'!$U$63:$U$112,'TS2'!$O$63:$O$112,U$4)*1000000</f>
        <v>0</v>
      </c>
      <c r="V277" s="377">
        <f>-SUMIFS('TS2'!$U$63:$U$112,'TS2'!$O$63:$O$112,V$4)*1000000</f>
        <v>0</v>
      </c>
      <c r="W277" s="377">
        <f>-SUMIFS('TS2'!$U$63:$U$112,'TS2'!$O$63:$O$112,W$4)*1000000</f>
        <v>0</v>
      </c>
      <c r="X277" s="377">
        <f>-SUMIFS('TS2'!$U$63:$U$112,'TS2'!$O$63:$O$112,X$4)*1000000</f>
        <v>0</v>
      </c>
      <c r="Y277" s="377">
        <f>-SUMIFS('TS2'!$U$63:$U$112,'TS2'!$O$63:$O$112,Y$4)*1000000</f>
        <v>0</v>
      </c>
      <c r="Z277" s="377">
        <f>-SUMIFS('TS2'!$U$63:$U$112,'TS2'!$O$63:$O$112,Z$4)*1000000</f>
        <v>0</v>
      </c>
      <c r="AA277" s="377">
        <f>-SUMIFS('TS2'!$U$63:$U$112,'TS2'!$O$63:$O$112,AA$4)*1000000</f>
        <v>0</v>
      </c>
      <c r="AB277" s="377">
        <f>-SUMIFS('TS2'!$U$63:$U$112,'TS2'!$O$63:$O$112,AB$4)*1000000</f>
        <v>0</v>
      </c>
      <c r="AC277" s="377">
        <f>-SUMIFS('TS2'!$U$63:$U$112,'TS2'!$O$63:$O$112,AC$4)*1000000</f>
        <v>0</v>
      </c>
      <c r="AD277" s="377">
        <f>-SUMIFS('TS2'!$U$63:$U$112,'TS2'!$O$63:$O$112,AD$4)*1000000</f>
        <v>0</v>
      </c>
      <c r="AE277" s="377">
        <f>-SUMIFS('TS2'!$U$63:$U$112,'TS2'!$O$63:$O$112,AE$4)*1000000</f>
        <v>0</v>
      </c>
      <c r="AF277" s="377">
        <f>-SUMIFS('TS2'!$U$63:$U$112,'TS2'!$O$63:$O$112,AF$4)*1000000</f>
        <v>0</v>
      </c>
      <c r="AG277" s="377">
        <f>-SUMIFS('TS2'!$U$63:$U$112,'TS2'!$O$63:$O$112,AG$4)*1000000</f>
        <v>0</v>
      </c>
      <c r="AH277" s="377">
        <f>-SUMIFS('TS2'!$U$63:$U$112,'TS2'!$O$63:$O$112,AH$4)*1000000</f>
        <v>0</v>
      </c>
      <c r="AI277" s="377">
        <f>-SUMIFS('TS2'!$U$63:$U$112,'TS2'!$O$63:$O$112,AI$4)*1000000</f>
        <v>0</v>
      </c>
      <c r="AJ277" s="377">
        <f>-SUMIFS('TS2'!$U$63:$U$112,'TS2'!$O$63:$O$112,AJ$4)*1000000</f>
        <v>0</v>
      </c>
      <c r="AK277" s="377">
        <f>-SUMIFS('TS2'!$U$63:$U$112,'TS2'!$O$63:$O$112,AK$4)*1000000</f>
        <v>0</v>
      </c>
      <c r="AL277" s="377">
        <f>-SUMIFS('TS2'!$U$63:$U$112,'TS2'!$O$63:$O$112,AL$4)*1000000</f>
        <v>0</v>
      </c>
      <c r="AM277" s="377">
        <f>-SUMIFS('TS2'!$U$63:$U$112,'TS2'!$O$63:$O$112,AM$4)*1000000</f>
        <v>0</v>
      </c>
      <c r="AN277" s="377">
        <f>-SUMIFS('TS2'!$U$63:$U$112,'TS2'!$O$63:$O$112,AN$4)*1000000</f>
        <v>0</v>
      </c>
      <c r="AO277" s="377">
        <f>-SUMIFS('TS2'!$U$63:$U$112,'TS2'!$O$63:$O$112,AO$4)*1000000</f>
        <v>0</v>
      </c>
      <c r="AP277" s="377">
        <f>-SUMIFS('TS2'!$U$63:$U$112,'TS2'!$O$63:$O$112,AP$4)*1000000</f>
        <v>0</v>
      </c>
      <c r="AQ277" s="377">
        <f>-SUMIFS('TS2'!$U$63:$U$112,'TS2'!$O$63:$O$112,AQ$4)*1000000</f>
        <v>0</v>
      </c>
      <c r="AR277" s="377">
        <f>-SUMIFS('TS2'!$U$63:$U$112,'TS2'!$O$63:$O$112,AR$4)*1000000</f>
        <v>0</v>
      </c>
      <c r="AS277" s="377">
        <f>-SUMIFS('TS2'!$U$63:$U$112,'TS2'!$O$63:$O$112,AS$4)*1000000</f>
        <v>0</v>
      </c>
      <c r="AT277" s="377">
        <f>-SUMIFS('TS2'!$U$63:$U$112,'TS2'!$O$63:$O$112,AT$4)*1000000</f>
        <v>0</v>
      </c>
      <c r="AU277" s="377">
        <f>-SUMIFS('TS2'!$U$63:$U$112,'TS2'!$O$63:$O$112,AU$4)*1000000</f>
        <v>0</v>
      </c>
      <c r="AV277" s="377">
        <f>-SUMIFS('TS2'!$U$63:$U$112,'TS2'!$O$63:$O$112,AV$4)*1000000</f>
        <v>0</v>
      </c>
      <c r="AW277" s="377">
        <f>-SUMIFS('TS2'!$U$63:$U$112,'TS2'!$O$63:$O$112,AW$4)*1000000</f>
        <v>0</v>
      </c>
      <c r="AX277" s="377">
        <f>-SUMIFS('TS2'!$U$63:$U$112,'TS2'!$O$63:$O$112,AX$4)*1000000</f>
        <v>0</v>
      </c>
      <c r="AY277" s="377">
        <f>-SUMIFS('TS2'!$U$63:$U$112,'TS2'!$O$63:$O$112,AY$4)*1000000</f>
        <v>0</v>
      </c>
      <c r="AZ277" s="377">
        <f>-SUMIFS('TS2'!$U$63:$U$112,'TS2'!$O$63:$O$112,AZ$4)*1000000</f>
        <v>0</v>
      </c>
      <c r="BA277" s="377">
        <f>-SUMIFS('TS2'!$U$63:$U$112,'TS2'!$O$63:$O$112,BA$4)*1000000</f>
        <v>0</v>
      </c>
      <c r="BB277" s="377">
        <f>-SUMIFS('TS2'!$U$63:$U$112,'TS2'!$O$63:$O$112,BB$4)*1000000</f>
        <v>0</v>
      </c>
      <c r="BC277" s="377">
        <f>-SUMIFS('TS2'!$U$63:$U$112,'TS2'!$O$63:$O$112,BC$4)*1000000</f>
        <v>0</v>
      </c>
      <c r="BD277" s="377">
        <f>-SUMIFS('TS2'!$U$63:$U$112,'TS2'!$O$63:$O$112,BD$4)*1000000</f>
        <v>0</v>
      </c>
      <c r="BE277" s="377">
        <f>-SUMIFS('TS2'!$U$63:$U$112,'TS2'!$O$63:$O$112,BE$4)*1000000</f>
        <v>0</v>
      </c>
      <c r="BF277" s="377">
        <f>-SUMIFS('TS2'!$U$63:$U$112,'TS2'!$O$63:$O$112,BF$4)*1000000</f>
        <v>0</v>
      </c>
      <c r="BG277" s="377">
        <f>-SUMIFS('TS2'!$U$63:$U$112,'TS2'!$O$63:$O$112,BG$4)*1000000</f>
        <v>0</v>
      </c>
      <c r="BH277" s="377">
        <f>-SUMIFS('TS2'!$U$63:$U$112,'TS2'!$O$63:$O$112,BH$4)*1000000</f>
        <v>0</v>
      </c>
      <c r="BI277" s="377">
        <f>-SUMIFS('TS2'!$U$63:$U$112,'TS2'!$O$63:$O$112,BI$4)*1000000</f>
        <v>0</v>
      </c>
      <c r="BJ277" s="377">
        <f>-SUMIFS('TS2'!$U$63:$U$112,'TS2'!$O$63:$O$112,BJ$4)*1000000</f>
        <v>0</v>
      </c>
      <c r="BK277" s="377">
        <f>-SUMIFS('TS2'!$U$63:$U$112,'TS2'!$O$63:$O$112,BK$4)*1000000</f>
        <v>0</v>
      </c>
      <c r="BL277" s="377">
        <f>-SUMIFS('TS2'!$U$63:$U$112,'TS2'!$O$63:$O$112,BL$4)*1000000</f>
        <v>0</v>
      </c>
      <c r="BM277" s="377">
        <f>-SUMIFS('TS2'!$U$63:$U$112,'TS2'!$O$63:$O$112,BM$4)*1000000</f>
        <v>0</v>
      </c>
      <c r="BN277" s="377">
        <f>-SUMIFS('TS2'!$U$63:$U$112,'TS2'!$O$63:$O$112,BN$4)*1000000</f>
        <v>0</v>
      </c>
      <c r="BO277" s="377">
        <f>-SUMIFS('TS2'!$U$63:$U$112,'TS2'!$O$63:$O$112,BO$4)*1000000</f>
        <v>0</v>
      </c>
      <c r="BP277" s="377">
        <f>-SUMIFS('TS2'!$U$63:$U$112,'TS2'!$O$63:$O$112,BP$4)*1000000</f>
        <v>0</v>
      </c>
      <c r="BQ277" s="377">
        <f>-SUMIFS('TS2'!$U$63:$U$112,'TS2'!$O$63:$O$112,BQ$4)*1000000</f>
        <v>0</v>
      </c>
      <c r="BR277" s="377">
        <f>-SUMIFS('TS2'!$U$63:$U$112,'TS2'!$O$63:$O$112,BR$4)*1000000</f>
        <v>0</v>
      </c>
    </row>
    <row r="278" spans="1:70" outlineLevel="1">
      <c r="A278" s="374">
        <f t="shared" si="81"/>
        <v>0</v>
      </c>
      <c r="B278" s="359"/>
      <c r="C278" s="359">
        <v>2</v>
      </c>
      <c r="D278" s="360" t="s">
        <v>373</v>
      </c>
      <c r="E278" s="360" t="s">
        <v>492</v>
      </c>
      <c r="F278" s="366" t="s">
        <v>448</v>
      </c>
      <c r="G278" s="360"/>
      <c r="H278" s="377"/>
      <c r="I278" s="540">
        <f t="shared" si="86"/>
        <v>-1565149618.5257344</v>
      </c>
      <c r="J278" s="546"/>
      <c r="K278" s="383"/>
      <c r="L278" s="383"/>
      <c r="M278" s="383"/>
      <c r="N278" s="383"/>
      <c r="O278" s="383"/>
      <c r="P278" s="383"/>
      <c r="Q278" s="383"/>
      <c r="R278" s="383"/>
      <c r="S278" s="377">
        <f>-SUMIFS('TS2'!$AA$63:$AA$112,'TS2'!$Y$63:$Y$112,S$4)*1000000</f>
        <v>0</v>
      </c>
      <c r="T278" s="377">
        <f>-SUMIFS('TS2'!$AA$63:$AA$112,'TS2'!$Y$63:$Y$112,T$4)*1000000</f>
        <v>0</v>
      </c>
      <c r="U278" s="377">
        <f>-SUMIFS('TS2'!$AA$63:$AA$112,'TS2'!$Y$63:$Y$112,U$4)*1000000</f>
        <v>0</v>
      </c>
      <c r="V278" s="377">
        <f>-SUMIFS('TS2'!$AA$63:$AA$112,'TS2'!$Y$63:$Y$112,V$4)*1000000</f>
        <v>0</v>
      </c>
      <c r="W278" s="377">
        <f>-SUMIFS('TS2'!$AA$63:$AA$112,'TS2'!$Y$63:$Y$112,W$4)*1000000</f>
        <v>0</v>
      </c>
      <c r="X278" s="377">
        <f>-SUMIFS('TS2'!$AA$63:$AA$112,'TS2'!$Y$63:$Y$112,X$4)*1000000</f>
        <v>0</v>
      </c>
      <c r="Y278" s="377">
        <f>-SUMIFS('TS2'!$AA$63:$AA$112,'TS2'!$Y$63:$Y$112,Y$4)*1000000</f>
        <v>0</v>
      </c>
      <c r="Z278" s="377">
        <f>-SUMIFS('TS2'!$AA$63:$AA$112,'TS2'!$Y$63:$Y$112,Z$4)*1000000</f>
        <v>0</v>
      </c>
      <c r="AA278" s="377">
        <f>-SUMIFS('TS2'!$AA$63:$AA$112,'TS2'!$Y$63:$Y$112,AA$4)*1000000</f>
        <v>0</v>
      </c>
      <c r="AB278" s="377">
        <f>-SUMIFS('TS2'!$AA$63:$AA$112,'TS2'!$Y$63:$Y$112,AB$4)*1000000</f>
        <v>-391287404.63143361</v>
      </c>
      <c r="AC278" s="377">
        <f>-SUMIFS('TS2'!$AA$63:$AA$112,'TS2'!$Y$63:$Y$112,AC$4)*1000000</f>
        <v>-391287404.63143361</v>
      </c>
      <c r="AD278" s="377">
        <f>-SUMIFS('TS2'!$AA$63:$AA$112,'TS2'!$Y$63:$Y$112,AD$4)*1000000</f>
        <v>-391287404.63143361</v>
      </c>
      <c r="AE278" s="377">
        <f>-SUMIFS('TS2'!$AA$63:$AA$112,'TS2'!$Y$63:$Y$112,AE$4)*1000000</f>
        <v>-391287404.63143361</v>
      </c>
      <c r="AF278" s="377">
        <f>-SUMIFS('TS2'!$AA$63:$AA$112,'TS2'!$Y$63:$Y$112,AF$4)*1000000</f>
        <v>0</v>
      </c>
      <c r="AG278" s="377">
        <f>-SUMIFS('TS2'!$AA$63:$AA$112,'TS2'!$Y$63:$Y$112,AG$4)*1000000</f>
        <v>0</v>
      </c>
      <c r="AH278" s="377">
        <f>-SUMIFS('TS2'!$AA$63:$AA$112,'TS2'!$Y$63:$Y$112,AH$4)*1000000</f>
        <v>0</v>
      </c>
      <c r="AI278" s="377">
        <f>-SUMIFS('TS2'!$AA$63:$AA$112,'TS2'!$Y$63:$Y$112,AI$4)*1000000</f>
        <v>0</v>
      </c>
      <c r="AJ278" s="377">
        <f>-SUMIFS('TS2'!$AA$63:$AA$112,'TS2'!$Y$63:$Y$112,AJ$4)*1000000</f>
        <v>0</v>
      </c>
      <c r="AK278" s="377">
        <f>-SUMIFS('TS2'!$AA$63:$AA$112,'TS2'!$Y$63:$Y$112,AK$4)*1000000</f>
        <v>0</v>
      </c>
      <c r="AL278" s="377">
        <f>-SUMIFS('TS2'!$AA$63:$AA$112,'TS2'!$Y$63:$Y$112,AL$4)*1000000</f>
        <v>0</v>
      </c>
      <c r="AM278" s="377">
        <f>-SUMIFS('TS2'!$AA$63:$AA$112,'TS2'!$Y$63:$Y$112,AM$4)*1000000</f>
        <v>0</v>
      </c>
      <c r="AN278" s="377">
        <f>-SUMIFS('TS2'!$AA$63:$AA$112,'TS2'!$Y$63:$Y$112,AN$4)*1000000</f>
        <v>0</v>
      </c>
      <c r="AO278" s="377">
        <f>-SUMIFS('TS2'!$AA$63:$AA$112,'TS2'!$Y$63:$Y$112,AO$4)*1000000</f>
        <v>0</v>
      </c>
      <c r="AP278" s="377">
        <f>-SUMIFS('TS2'!$AA$63:$AA$112,'TS2'!$Y$63:$Y$112,AP$4)*1000000</f>
        <v>0</v>
      </c>
      <c r="AQ278" s="377">
        <f>-SUMIFS('TS2'!$AA$63:$AA$112,'TS2'!$Y$63:$Y$112,AQ$4)*1000000</f>
        <v>0</v>
      </c>
      <c r="AR278" s="377">
        <f>-SUMIFS('TS2'!$AA$63:$AA$112,'TS2'!$Y$63:$Y$112,AR$4)*1000000</f>
        <v>0</v>
      </c>
      <c r="AS278" s="377">
        <f>-SUMIFS('TS2'!$AA$63:$AA$112,'TS2'!$Y$63:$Y$112,AS$4)*1000000</f>
        <v>0</v>
      </c>
      <c r="AT278" s="377">
        <f>-SUMIFS('TS2'!$AA$63:$AA$112,'TS2'!$Y$63:$Y$112,AT$4)*1000000</f>
        <v>0</v>
      </c>
      <c r="AU278" s="377">
        <f>-SUMIFS('TS2'!$AA$63:$AA$112,'TS2'!$Y$63:$Y$112,AU$4)*1000000</f>
        <v>0</v>
      </c>
      <c r="AV278" s="377">
        <f>-SUMIFS('TS2'!$AA$63:$AA$112,'TS2'!$Y$63:$Y$112,AV$4)*1000000</f>
        <v>0</v>
      </c>
      <c r="AW278" s="377">
        <f>-SUMIFS('TS2'!$AA$63:$AA$112,'TS2'!$Y$63:$Y$112,AW$4)*1000000</f>
        <v>0</v>
      </c>
      <c r="AX278" s="377">
        <f>-SUMIFS('TS2'!$AA$63:$AA$112,'TS2'!$Y$63:$Y$112,AX$4)*1000000</f>
        <v>0</v>
      </c>
      <c r="AY278" s="377">
        <f>-SUMIFS('TS2'!$AA$63:$AA$112,'TS2'!$Y$63:$Y$112,AY$4)*1000000</f>
        <v>0</v>
      </c>
      <c r="AZ278" s="377">
        <f>-SUMIFS('TS2'!$AA$63:$AA$112,'TS2'!$Y$63:$Y$112,AZ$4)*1000000</f>
        <v>0</v>
      </c>
      <c r="BA278" s="377">
        <f>-SUMIFS('TS2'!$AA$63:$AA$112,'TS2'!$Y$63:$Y$112,BA$4)*1000000</f>
        <v>0</v>
      </c>
      <c r="BB278" s="377">
        <f>-SUMIFS('TS2'!$AA$63:$AA$112,'TS2'!$Y$63:$Y$112,BB$4)*1000000</f>
        <v>0</v>
      </c>
      <c r="BC278" s="377">
        <f>-SUMIFS('TS2'!$AA$63:$AA$112,'TS2'!$Y$63:$Y$112,BC$4)*1000000</f>
        <v>0</v>
      </c>
      <c r="BD278" s="377">
        <f>-SUMIFS('TS2'!$AA$63:$AA$112,'TS2'!$Y$63:$Y$112,BD$4)*1000000</f>
        <v>0</v>
      </c>
      <c r="BE278" s="377">
        <f>-SUMIFS('TS2'!$AA$63:$AA$112,'TS2'!$Y$63:$Y$112,BE$4)*1000000</f>
        <v>0</v>
      </c>
      <c r="BF278" s="377">
        <f>-SUMIFS('TS2'!$AA$63:$AA$112,'TS2'!$Y$63:$Y$112,BF$4)*1000000</f>
        <v>0</v>
      </c>
      <c r="BG278" s="377">
        <f>-SUMIFS('TS2'!$AA$63:$AA$112,'TS2'!$Y$63:$Y$112,BG$4)*1000000</f>
        <v>0</v>
      </c>
      <c r="BH278" s="377">
        <f>-SUMIFS('TS2'!$AA$63:$AA$112,'TS2'!$Y$63:$Y$112,BH$4)*1000000</f>
        <v>0</v>
      </c>
      <c r="BI278" s="377">
        <f>-SUMIFS('TS2'!$AA$63:$AA$112,'TS2'!$Y$63:$Y$112,BI$4)*1000000</f>
        <v>0</v>
      </c>
      <c r="BJ278" s="377">
        <f>-SUMIFS('TS2'!$AA$63:$AA$112,'TS2'!$Y$63:$Y$112,BJ$4)*1000000</f>
        <v>0</v>
      </c>
      <c r="BK278" s="377">
        <f>-SUMIFS('TS2'!$AA$63:$AA$112,'TS2'!$Y$63:$Y$112,BK$4)*1000000</f>
        <v>0</v>
      </c>
      <c r="BL278" s="377">
        <f>-SUMIFS('TS2'!$AA$63:$AA$112,'TS2'!$Y$63:$Y$112,BL$4)*1000000</f>
        <v>0</v>
      </c>
      <c r="BM278" s="377">
        <f>-SUMIFS('TS2'!$AA$63:$AA$112,'TS2'!$Y$63:$Y$112,BM$4)*1000000</f>
        <v>0</v>
      </c>
      <c r="BN278" s="377">
        <f>-SUMIFS('TS2'!$AA$63:$AA$112,'TS2'!$Y$63:$Y$112,BN$4)*1000000</f>
        <v>0</v>
      </c>
      <c r="BO278" s="377">
        <f>-SUMIFS('TS2'!$AA$63:$AA$112,'TS2'!$Y$63:$Y$112,BO$4)*1000000</f>
        <v>0</v>
      </c>
      <c r="BP278" s="377">
        <f>-SUMIFS('TS2'!$AA$63:$AA$112,'TS2'!$Y$63:$Y$112,BP$4)*1000000</f>
        <v>0</v>
      </c>
      <c r="BQ278" s="377">
        <f>-SUMIFS('TS2'!$AA$63:$AA$112,'TS2'!$Y$63:$Y$112,BQ$4)*1000000</f>
        <v>0</v>
      </c>
      <c r="BR278" s="377">
        <f>-SUMIFS('TS2'!$AA$63:$AA$112,'TS2'!$Y$63:$Y$112,BR$4)*1000000</f>
        <v>0</v>
      </c>
    </row>
    <row r="279" spans="1:70" outlineLevel="1">
      <c r="A279" s="374">
        <f t="shared" si="81"/>
        <v>0</v>
      </c>
      <c r="B279" s="359"/>
      <c r="C279" s="359">
        <v>2</v>
      </c>
      <c r="D279" s="360" t="s">
        <v>452</v>
      </c>
      <c r="E279" s="360" t="s">
        <v>492</v>
      </c>
      <c r="F279" s="366" t="s">
        <v>448</v>
      </c>
      <c r="G279" s="360"/>
      <c r="H279" s="377"/>
      <c r="I279" s="540">
        <f t="shared" si="86"/>
        <v>-390172268.70514685</v>
      </c>
      <c r="J279" s="546"/>
      <c r="K279" s="383"/>
      <c r="L279" s="383"/>
      <c r="M279" s="383"/>
      <c r="N279" s="383"/>
      <c r="O279" s="383"/>
      <c r="P279" s="383"/>
      <c r="Q279" s="383"/>
      <c r="R279" s="383"/>
      <c r="S279" s="377">
        <f>-SUMIFS('TS2'!$AC$63:$AC$112,'TS2'!$Y$63:$Y$112,S$4)*1000000</f>
        <v>0</v>
      </c>
      <c r="T279" s="377">
        <f>-SUMIFS('TS2'!$AC$63:$AC$112,'TS2'!$Y$63:$Y$112,T$4)*1000000</f>
        <v>0</v>
      </c>
      <c r="U279" s="377">
        <f>-SUMIFS('TS2'!$AC$63:$AC$112,'TS2'!$Y$63:$Y$112,U$4)*1000000</f>
        <v>0</v>
      </c>
      <c r="V279" s="377">
        <f>-SUMIFS('TS2'!$AC$63:$AC$112,'TS2'!$Y$63:$Y$112,V$4)*1000000</f>
        <v>0</v>
      </c>
      <c r="W279" s="377">
        <f>-SUMIFS('TS2'!$AC$63:$AC$112,'TS2'!$Y$63:$Y$112,W$4)*1000000</f>
        <v>0</v>
      </c>
      <c r="X279" s="377">
        <f>-SUMIFS('TS2'!$AC$63:$AC$112,'TS2'!$Y$63:$Y$112,X$4)*1000000</f>
        <v>0</v>
      </c>
      <c r="Y279" s="377">
        <f>-SUMIFS('TS2'!$AC$63:$AC$112,'TS2'!$Y$63:$Y$112,Y$4)*1000000</f>
        <v>0</v>
      </c>
      <c r="Z279" s="377">
        <f>-SUMIFS('TS2'!$AC$63:$AC$112,'TS2'!$Y$63:$Y$112,Z$4)*1000000</f>
        <v>0</v>
      </c>
      <c r="AA279" s="377">
        <f>-SUMIFS('TS2'!$AC$63:$AC$112,'TS2'!$Y$63:$Y$112,AA$4)*1000000</f>
        <v>0</v>
      </c>
      <c r="AB279" s="377">
        <f>-SUMIFS('TS2'!$AC$63:$AC$112,'TS2'!$Y$63:$Y$112,AB$4)*1000000</f>
        <v>-24385766.794071682</v>
      </c>
      <c r="AC279" s="377">
        <f>-SUMIFS('TS2'!$AC$63:$AC$112,'TS2'!$Y$63:$Y$112,AC$4)*1000000</f>
        <v>-24385766.794071682</v>
      </c>
      <c r="AD279" s="377">
        <f>-SUMIFS('TS2'!$AC$63:$AC$112,'TS2'!$Y$63:$Y$112,AD$4)*1000000</f>
        <v>-24385766.794071682</v>
      </c>
      <c r="AE279" s="377">
        <f>-SUMIFS('TS2'!$AC$63:$AC$112,'TS2'!$Y$63:$Y$112,AE$4)*1000000</f>
        <v>-24385766.794071682</v>
      </c>
      <c r="AF279" s="377">
        <f>-SUMIFS('TS2'!$AC$63:$AC$112,'TS2'!$Y$63:$Y$112,AF$4)*1000000</f>
        <v>-24385766.794071682</v>
      </c>
      <c r="AG279" s="377">
        <f>-SUMIFS('TS2'!$AC$63:$AC$112,'TS2'!$Y$63:$Y$112,AG$4)*1000000</f>
        <v>-24385766.794071682</v>
      </c>
      <c r="AH279" s="377">
        <f>-SUMIFS('TS2'!$AC$63:$AC$112,'TS2'!$Y$63:$Y$112,AH$4)*1000000</f>
        <v>-24385766.794071682</v>
      </c>
      <c r="AI279" s="377">
        <f>-SUMIFS('TS2'!$AC$63:$AC$112,'TS2'!$Y$63:$Y$112,AI$4)*1000000</f>
        <v>-24385766.794071682</v>
      </c>
      <c r="AJ279" s="377">
        <f>-SUMIFS('TS2'!$AC$63:$AC$112,'TS2'!$Y$63:$Y$112,AJ$4)*1000000</f>
        <v>-24385766.794071682</v>
      </c>
      <c r="AK279" s="377">
        <f>-SUMIFS('TS2'!$AC$63:$AC$112,'TS2'!$Y$63:$Y$112,AK$4)*1000000</f>
        <v>-24385766.794071682</v>
      </c>
      <c r="AL279" s="377">
        <f>-SUMIFS('TS2'!$AC$63:$AC$112,'TS2'!$Y$63:$Y$112,AL$4)*1000000</f>
        <v>-24385766.794071682</v>
      </c>
      <c r="AM279" s="377">
        <f>-SUMIFS('TS2'!$AC$63:$AC$112,'TS2'!$Y$63:$Y$112,AM$4)*1000000</f>
        <v>-24385766.794071682</v>
      </c>
      <c r="AN279" s="377">
        <f>-SUMIFS('TS2'!$AC$63:$AC$112,'TS2'!$Y$63:$Y$112,AN$4)*1000000</f>
        <v>-24385766.794071682</v>
      </c>
      <c r="AO279" s="377">
        <f>-SUMIFS('TS2'!$AC$63:$AC$112,'TS2'!$Y$63:$Y$112,AO$4)*1000000</f>
        <v>-24385766.794071682</v>
      </c>
      <c r="AP279" s="377">
        <f>-SUMIFS('TS2'!$AC$63:$AC$112,'TS2'!$Y$63:$Y$112,AP$4)*1000000</f>
        <v>-24385766.794071682</v>
      </c>
      <c r="AQ279" s="377">
        <f>-SUMIFS('TS2'!$AC$63:$AC$112,'TS2'!$Y$63:$Y$112,AQ$4)*1000000</f>
        <v>-24385766.794071682</v>
      </c>
      <c r="AR279" s="377">
        <f>-SUMIFS('TS2'!$AC$63:$AC$112,'TS2'!$Y$63:$Y$112,AR$4)*1000000</f>
        <v>0</v>
      </c>
      <c r="AS279" s="377">
        <f>-SUMIFS('TS2'!$AC$63:$AC$112,'TS2'!$Y$63:$Y$112,AS$4)*1000000</f>
        <v>0</v>
      </c>
      <c r="AT279" s="377">
        <f>-SUMIFS('TS2'!$AC$63:$AC$112,'TS2'!$Y$63:$Y$112,AT$4)*1000000</f>
        <v>0</v>
      </c>
      <c r="AU279" s="377">
        <f>-SUMIFS('TS2'!$AC$63:$AC$112,'TS2'!$Y$63:$Y$112,AU$4)*1000000</f>
        <v>0</v>
      </c>
      <c r="AV279" s="377">
        <f>-SUMIFS('TS2'!$AC$63:$AC$112,'TS2'!$Y$63:$Y$112,AV$4)*1000000</f>
        <v>0</v>
      </c>
      <c r="AW279" s="377">
        <f>-SUMIFS('TS2'!$AC$63:$AC$112,'TS2'!$Y$63:$Y$112,AW$4)*1000000</f>
        <v>0</v>
      </c>
      <c r="AX279" s="377">
        <f>-SUMIFS('TS2'!$AC$63:$AC$112,'TS2'!$Y$63:$Y$112,AX$4)*1000000</f>
        <v>0</v>
      </c>
      <c r="AY279" s="377">
        <f>-SUMIFS('TS2'!$AC$63:$AC$112,'TS2'!$Y$63:$Y$112,AY$4)*1000000</f>
        <v>0</v>
      </c>
      <c r="AZ279" s="377">
        <f>-SUMIFS('TS2'!$AC$63:$AC$112,'TS2'!$Y$63:$Y$112,AZ$4)*1000000</f>
        <v>0</v>
      </c>
      <c r="BA279" s="377">
        <f>-SUMIFS('TS2'!$AC$63:$AC$112,'TS2'!$Y$63:$Y$112,BA$4)*1000000</f>
        <v>0</v>
      </c>
      <c r="BB279" s="377">
        <f>-SUMIFS('TS2'!$AC$63:$AC$112,'TS2'!$Y$63:$Y$112,BB$4)*1000000</f>
        <v>0</v>
      </c>
      <c r="BC279" s="377">
        <f>-SUMIFS('TS2'!$AC$63:$AC$112,'TS2'!$Y$63:$Y$112,BC$4)*1000000</f>
        <v>0</v>
      </c>
      <c r="BD279" s="377">
        <f>-SUMIFS('TS2'!$AC$63:$AC$112,'TS2'!$Y$63:$Y$112,BD$4)*1000000</f>
        <v>0</v>
      </c>
      <c r="BE279" s="377">
        <f>-SUMIFS('TS2'!$AC$63:$AC$112,'TS2'!$Y$63:$Y$112,BE$4)*1000000</f>
        <v>0</v>
      </c>
      <c r="BF279" s="377">
        <f>-SUMIFS('TS2'!$AC$63:$AC$112,'TS2'!$Y$63:$Y$112,BF$4)*1000000</f>
        <v>0</v>
      </c>
      <c r="BG279" s="377">
        <f>-SUMIFS('TS2'!$AC$63:$AC$112,'TS2'!$Y$63:$Y$112,BG$4)*1000000</f>
        <v>0</v>
      </c>
      <c r="BH279" s="377">
        <f>-SUMIFS('TS2'!$AC$63:$AC$112,'TS2'!$Y$63:$Y$112,BH$4)*1000000</f>
        <v>0</v>
      </c>
      <c r="BI279" s="377">
        <f>-SUMIFS('TS2'!$AC$63:$AC$112,'TS2'!$Y$63:$Y$112,BI$4)*1000000</f>
        <v>0</v>
      </c>
      <c r="BJ279" s="377">
        <f>-SUMIFS('TS2'!$AC$63:$AC$112,'TS2'!$Y$63:$Y$112,BJ$4)*1000000</f>
        <v>0</v>
      </c>
      <c r="BK279" s="377">
        <f>-SUMIFS('TS2'!$AC$63:$AC$112,'TS2'!$Y$63:$Y$112,BK$4)*1000000</f>
        <v>0</v>
      </c>
      <c r="BL279" s="377">
        <f>-SUMIFS('TS2'!$AC$63:$AC$112,'TS2'!$Y$63:$Y$112,BL$4)*1000000</f>
        <v>0</v>
      </c>
      <c r="BM279" s="377">
        <f>-SUMIFS('TS2'!$AC$63:$AC$112,'TS2'!$Y$63:$Y$112,BM$4)*1000000</f>
        <v>0</v>
      </c>
      <c r="BN279" s="377">
        <f>-SUMIFS('TS2'!$AC$63:$AC$112,'TS2'!$Y$63:$Y$112,BN$4)*1000000</f>
        <v>0</v>
      </c>
      <c r="BO279" s="377">
        <f>-SUMIFS('TS2'!$AC$63:$AC$112,'TS2'!$Y$63:$Y$112,BO$4)*1000000</f>
        <v>0</v>
      </c>
      <c r="BP279" s="377">
        <f>-SUMIFS('TS2'!$AC$63:$AC$112,'TS2'!$Y$63:$Y$112,BP$4)*1000000</f>
        <v>0</v>
      </c>
      <c r="BQ279" s="377">
        <f>-SUMIFS('TS2'!$AC$63:$AC$112,'TS2'!$Y$63:$Y$112,BQ$4)*1000000</f>
        <v>0</v>
      </c>
      <c r="BR279" s="377">
        <f>-SUMIFS('TS2'!$AC$63:$AC$112,'TS2'!$Y$63:$Y$112,BR$4)*1000000</f>
        <v>0</v>
      </c>
    </row>
    <row r="280" spans="1:70" outlineLevel="1">
      <c r="A280" s="374">
        <f t="shared" si="81"/>
        <v>0</v>
      </c>
      <c r="B280" s="359"/>
      <c r="C280" s="359"/>
      <c r="D280" s="360"/>
      <c r="E280" s="360"/>
      <c r="F280" s="373"/>
      <c r="G280" s="360"/>
      <c r="H280" s="377"/>
      <c r="I280" s="537"/>
      <c r="J280" s="546"/>
      <c r="K280" s="383"/>
      <c r="L280" s="383"/>
      <c r="M280" s="383"/>
      <c r="N280" s="383"/>
      <c r="O280" s="383"/>
      <c r="P280" s="383"/>
      <c r="Q280" s="383"/>
      <c r="R280" s="383"/>
      <c r="S280" s="377"/>
      <c r="T280" s="377"/>
      <c r="U280" s="377"/>
      <c r="V280" s="377"/>
      <c r="W280" s="377"/>
      <c r="X280" s="377"/>
      <c r="Y280" s="377"/>
      <c r="Z280" s="377"/>
      <c r="AA280" s="377"/>
      <c r="AB280" s="377"/>
      <c r="AC280" s="377"/>
      <c r="AD280" s="377"/>
      <c r="AE280" s="377"/>
      <c r="AF280" s="377"/>
      <c r="AG280" s="377"/>
      <c r="AH280" s="377"/>
      <c r="AI280" s="377"/>
      <c r="AJ280" s="377"/>
      <c r="AK280" s="377"/>
      <c r="AL280" s="377"/>
      <c r="AM280" s="377"/>
      <c r="AN280" s="377"/>
      <c r="AO280" s="377"/>
      <c r="AP280" s="377"/>
      <c r="AQ280" s="377"/>
      <c r="AR280" s="377"/>
      <c r="AS280" s="377"/>
      <c r="AT280" s="377"/>
      <c r="AU280" s="377"/>
      <c r="AV280" s="377"/>
      <c r="AW280" s="377"/>
      <c r="AX280" s="377"/>
      <c r="AY280" s="377"/>
      <c r="AZ280" s="377"/>
      <c r="BA280" s="377"/>
      <c r="BB280" s="377"/>
      <c r="BC280" s="377"/>
      <c r="BD280" s="377"/>
      <c r="BE280" s="377"/>
      <c r="BF280" s="377"/>
      <c r="BG280" s="377"/>
      <c r="BH280" s="377"/>
      <c r="BI280" s="377"/>
      <c r="BJ280" s="377"/>
      <c r="BK280" s="377"/>
      <c r="BL280" s="377"/>
      <c r="BM280" s="377"/>
      <c r="BN280" s="377"/>
      <c r="BO280" s="377"/>
      <c r="BP280" s="377"/>
      <c r="BQ280" s="377"/>
      <c r="BR280" s="377"/>
    </row>
    <row r="281" spans="1:70" outlineLevel="1">
      <c r="A281" s="374">
        <f t="shared" si="81"/>
        <v>0</v>
      </c>
      <c r="B281" s="359"/>
      <c r="C281" s="359">
        <v>2</v>
      </c>
      <c r="D281" s="360" t="s">
        <v>39</v>
      </c>
      <c r="E281" s="360" t="s">
        <v>492</v>
      </c>
      <c r="F281" s="366" t="s">
        <v>448</v>
      </c>
      <c r="G281" s="360"/>
      <c r="H281" s="377"/>
      <c r="I281" s="540">
        <f t="shared" si="86"/>
        <v>-124248757.96800001</v>
      </c>
      <c r="J281" s="546"/>
      <c r="K281" s="383"/>
      <c r="L281" s="383"/>
      <c r="M281" s="383"/>
      <c r="N281" s="383"/>
      <c r="O281" s="383"/>
      <c r="P281" s="383"/>
      <c r="Q281" s="383"/>
      <c r="R281" s="383"/>
      <c r="S281" s="377">
        <f>-SUMIFS('TS2'!$AL$63:$AL$122,'TS2'!$AF$63:$AF$122,S$4)*1000000</f>
        <v>-1796016.0734999997</v>
      </c>
      <c r="T281" s="377">
        <f>-SUMIFS('TS2'!$AL$63:$AL$122,'TS2'!$AF$63:$AF$122,T$4)*1000000</f>
        <v>-1796016.0734999997</v>
      </c>
      <c r="U281" s="377">
        <f>-SUMIFS('TS2'!$AL$63:$AL$122,'TS2'!$AF$63:$AF$122,U$4)*1000000</f>
        <v>-1796016.0734999997</v>
      </c>
      <c r="V281" s="377">
        <f>-SUMIFS('TS2'!$AL$63:$AL$122,'TS2'!$AF$63:$AF$122,V$4)*1000000</f>
        <v>-1796016.0734999997</v>
      </c>
      <c r="W281" s="377">
        <f>-SUMIFS('TS2'!$AL$63:$AL$122,'TS2'!$AF$63:$AF$122,W$4)*1000000</f>
        <v>-1796016.0734999997</v>
      </c>
      <c r="X281" s="377">
        <f>-SUMIFS('TS2'!$AL$63:$AL$122,'TS2'!$AF$63:$AF$122,X$4)*1000000</f>
        <v>-1796016.0734999997</v>
      </c>
      <c r="Y281" s="377">
        <f>-SUMIFS('TS2'!$AL$63:$AL$122,'TS2'!$AF$63:$AF$122,Y$4)*1000000</f>
        <v>-1796016.0734999997</v>
      </c>
      <c r="Z281" s="377">
        <f>-SUMIFS('TS2'!$AL$63:$AL$122,'TS2'!$AF$63:$AF$122,Z$4)*1000000</f>
        <v>-1796016.0734999997</v>
      </c>
      <c r="AA281" s="377">
        <f>-SUMIFS('TS2'!$AL$63:$AL$122,'TS2'!$AF$63:$AF$122,AA$4)*1000000</f>
        <v>-1796016.0734999997</v>
      </c>
      <c r="AB281" s="377">
        <f>-SUMIFS('TS2'!$AL$63:$AL$122,'TS2'!$AF$63:$AF$122,AB$4)*1000000</f>
        <v>-1796016.0734999997</v>
      </c>
      <c r="AC281" s="377">
        <f>-SUMIFS('TS2'!$AL$63:$AL$122,'TS2'!$AF$63:$AF$122,AC$4)*1000000</f>
        <v>0</v>
      </c>
      <c r="AD281" s="377">
        <f>-SUMIFS('TS2'!$AL$63:$AL$122,'TS2'!$AF$63:$AF$122,AD$4)*1000000</f>
        <v>0</v>
      </c>
      <c r="AE281" s="377">
        <f>-SUMIFS('TS2'!$AL$63:$AL$122,'TS2'!$AF$63:$AF$122,AE$4)*1000000</f>
        <v>0</v>
      </c>
      <c r="AF281" s="377">
        <f>-SUMIFS('TS2'!$AL$63:$AL$122,'TS2'!$AF$63:$AF$122,AF$4)*1000000</f>
        <v>0</v>
      </c>
      <c r="AG281" s="377">
        <f>-SUMIFS('TS2'!$AL$63:$AL$122,'TS2'!$AF$63:$AF$122,AG$4)*1000000</f>
        <v>-7592042.6595000001</v>
      </c>
      <c r="AH281" s="377">
        <f>-SUMIFS('TS2'!$AL$63:$AL$122,'TS2'!$AF$63:$AF$122,AH$4)*1000000</f>
        <v>-7592042.6595000001</v>
      </c>
      <c r="AI281" s="377">
        <f>-SUMIFS('TS2'!$AL$63:$AL$122,'TS2'!$AF$63:$AF$122,AI$4)*1000000</f>
        <v>-7592042.6595000001</v>
      </c>
      <c r="AJ281" s="377">
        <f>-SUMIFS('TS2'!$AL$63:$AL$122,'TS2'!$AF$63:$AF$122,AJ$4)*1000000</f>
        <v>-7592042.6595000001</v>
      </c>
      <c r="AK281" s="377">
        <f>-SUMIFS('TS2'!$AL$63:$AL$122,'TS2'!$AF$63:$AF$122,AK$4)*1000000</f>
        <v>-15184085.319</v>
      </c>
      <c r="AL281" s="377">
        <f>-SUMIFS('TS2'!$AL$63:$AL$122,'TS2'!$AF$63:$AF$122,AL$4)*1000000</f>
        <v>-15184085.319</v>
      </c>
      <c r="AM281" s="377">
        <f>-SUMIFS('TS2'!$AL$63:$AL$122,'TS2'!$AF$63:$AF$122,AM$4)*1000000</f>
        <v>-15184085.319</v>
      </c>
      <c r="AN281" s="377">
        <f>-SUMIFS('TS2'!$AL$63:$AL$122,'TS2'!$AF$63:$AF$122,AN$4)*1000000</f>
        <v>-15184085.319</v>
      </c>
      <c r="AO281" s="377">
        <f>-SUMIFS('TS2'!$AL$63:$AL$122,'TS2'!$AF$63:$AF$122,AO$4)*1000000</f>
        <v>-7592042.6595000001</v>
      </c>
      <c r="AP281" s="377">
        <f>-SUMIFS('TS2'!$AL$63:$AL$122,'TS2'!$AF$63:$AF$122,AP$4)*1000000</f>
        <v>-7592042.6595000001</v>
      </c>
      <c r="AQ281" s="377">
        <f>-SUMIFS('TS2'!$AL$63:$AL$122,'TS2'!$AF$63:$AF$122,AQ$4)*1000000</f>
        <v>0</v>
      </c>
      <c r="AR281" s="377">
        <f>-SUMIFS('TS2'!$AL$63:$AL$122,'TS2'!$AF$63:$AF$122,AR$4)*1000000</f>
        <v>0</v>
      </c>
      <c r="AS281" s="377">
        <f>-SUMIFS('TS2'!$AL$63:$AL$122,'TS2'!$AF$63:$AF$122,AS$4)*1000000</f>
        <v>0</v>
      </c>
      <c r="AT281" s="377">
        <f>-SUMIFS('TS2'!$AL$63:$AL$122,'TS2'!$AF$63:$AF$122,AT$4)*1000000</f>
        <v>0</v>
      </c>
      <c r="AU281" s="377">
        <f>-SUMIFS('TS2'!$AL$63:$AL$122,'TS2'!$AF$63:$AF$122,AU$4)*1000000</f>
        <v>0</v>
      </c>
      <c r="AV281" s="377">
        <f>-SUMIFS('TS2'!$AL$63:$AL$122,'TS2'!$AF$63:$AF$122,AV$4)*1000000</f>
        <v>0</v>
      </c>
      <c r="AW281" s="377">
        <f>-SUMIFS('TS2'!$AL$63:$AL$122,'TS2'!$AF$63:$AF$122,AW$4)*1000000</f>
        <v>0</v>
      </c>
      <c r="AX281" s="377">
        <f>-SUMIFS('TS2'!$AL$63:$AL$122,'TS2'!$AF$63:$AF$122,AX$4)*1000000</f>
        <v>0</v>
      </c>
      <c r="AY281" s="377">
        <f>-SUMIFS('TS2'!$AL$63:$AL$122,'TS2'!$AF$63:$AF$122,AY$4)*1000000</f>
        <v>0</v>
      </c>
      <c r="AZ281" s="377">
        <f>-SUMIFS('TS2'!$AL$63:$AL$122,'TS2'!$AF$63:$AF$122,AZ$4)*1000000</f>
        <v>0</v>
      </c>
      <c r="BA281" s="377">
        <f>-SUMIFS('TS2'!$AL$63:$AL$122,'TS2'!$AF$63:$AF$122,BA$4)*1000000</f>
        <v>0</v>
      </c>
      <c r="BB281" s="377">
        <f>-SUMIFS('TS2'!$AL$63:$AL$122,'TS2'!$AF$63:$AF$122,BB$4)*1000000</f>
        <v>0</v>
      </c>
      <c r="BC281" s="377">
        <f>-SUMIFS('TS2'!$AL$63:$AL$122,'TS2'!$AF$63:$AF$122,BC$4)*1000000</f>
        <v>0</v>
      </c>
      <c r="BD281" s="377">
        <f>-SUMIFS('TS2'!$AL$63:$AL$122,'TS2'!$AF$63:$AF$122,BD$4)*1000000</f>
        <v>0</v>
      </c>
      <c r="BE281" s="377">
        <f>-SUMIFS('TS2'!$AL$63:$AL$122,'TS2'!$AF$63:$AF$122,BE$4)*1000000</f>
        <v>0</v>
      </c>
      <c r="BF281" s="377">
        <f>-SUMIFS('TS2'!$AL$63:$AL$122,'TS2'!$AF$63:$AF$122,BF$4)*1000000</f>
        <v>0</v>
      </c>
      <c r="BG281" s="377">
        <f>-SUMIFS('TS2'!$AL$63:$AL$122,'TS2'!$AF$63:$AF$122,BG$4)*1000000</f>
        <v>0</v>
      </c>
      <c r="BH281" s="377">
        <f>-SUMIFS('TS2'!$AL$63:$AL$122,'TS2'!$AF$63:$AF$122,BH$4)*1000000</f>
        <v>0</v>
      </c>
      <c r="BI281" s="377">
        <f>-SUMIFS('TS2'!$AL$63:$AL$122,'TS2'!$AF$63:$AF$122,BI$4)*1000000</f>
        <v>0</v>
      </c>
      <c r="BJ281" s="377">
        <f>-SUMIFS('TS2'!$AL$63:$AL$122,'TS2'!$AF$63:$AF$122,BJ$4)*1000000</f>
        <v>0</v>
      </c>
      <c r="BK281" s="377">
        <f>-SUMIFS('TS2'!$AL$63:$AL$122,'TS2'!$AF$63:$AF$122,BK$4)*1000000</f>
        <v>0</v>
      </c>
      <c r="BL281" s="377">
        <f>-SUMIFS('TS2'!$AL$63:$AL$122,'TS2'!$AF$63:$AF$122,BL$4)*1000000</f>
        <v>0</v>
      </c>
      <c r="BM281" s="377">
        <f>-SUMIFS('TS2'!$AL$63:$AL$122,'TS2'!$AF$63:$AF$122,BM$4)*1000000</f>
        <v>0</v>
      </c>
      <c r="BN281" s="377">
        <f>-SUMIFS('TS2'!$AL$63:$AL$122,'TS2'!$AF$63:$AF$122,BN$4)*1000000</f>
        <v>0</v>
      </c>
      <c r="BO281" s="377">
        <f>-SUMIFS('TS2'!$AL$63:$AL$122,'TS2'!$AF$63:$AF$122,BO$4)*1000000</f>
        <v>0</v>
      </c>
      <c r="BP281" s="377">
        <f>-SUMIFS('TS2'!$AL$63:$AL$122,'TS2'!$AF$63:$AF$122,BP$4)*1000000</f>
        <v>0</v>
      </c>
      <c r="BQ281" s="377">
        <f>-SUMIFS('TS2'!$AL$63:$AL$122,'TS2'!$AF$63:$AF$122,BQ$4)*1000000</f>
        <v>0</v>
      </c>
      <c r="BR281" s="377">
        <f>-SUMIFS('TS2'!$AL$63:$AL$122,'TS2'!$AF$63:$AF$122,BR$4)*1000000</f>
        <v>0</v>
      </c>
    </row>
    <row r="282" spans="1:70" outlineLevel="1">
      <c r="A282" s="374">
        <f t="shared" si="81"/>
        <v>0</v>
      </c>
      <c r="B282" s="359"/>
      <c r="C282" s="359">
        <v>2</v>
      </c>
      <c r="D282" s="360" t="s">
        <v>888</v>
      </c>
      <c r="E282" s="360" t="s">
        <v>492</v>
      </c>
      <c r="F282" s="366" t="s">
        <v>448</v>
      </c>
      <c r="G282" s="360"/>
      <c r="H282" s="377"/>
      <c r="I282" s="540">
        <v>-5000000</v>
      </c>
      <c r="J282" s="546"/>
      <c r="K282" s="383"/>
      <c r="L282" s="383"/>
      <c r="M282" s="383"/>
      <c r="N282" s="383"/>
      <c r="O282" s="383"/>
      <c r="P282" s="383"/>
      <c r="Q282" s="383"/>
      <c r="R282" s="383"/>
      <c r="S282" s="377"/>
      <c r="T282" s="377"/>
      <c r="U282" s="377">
        <v>-5000000</v>
      </c>
      <c r="V282" s="377"/>
      <c r="W282" s="377"/>
      <c r="X282" s="377"/>
      <c r="Y282" s="377"/>
      <c r="Z282" s="377"/>
      <c r="AA282" s="377"/>
      <c r="AB282" s="377"/>
      <c r="AC282" s="377"/>
      <c r="AD282" s="377"/>
      <c r="AE282" s="377"/>
      <c r="AF282" s="377"/>
      <c r="AG282" s="377"/>
      <c r="AH282" s="377"/>
      <c r="AI282" s="377"/>
      <c r="AJ282" s="377"/>
      <c r="AK282" s="377"/>
      <c r="AL282" s="377"/>
      <c r="AM282" s="377"/>
      <c r="AN282" s="377"/>
      <c r="AO282" s="377"/>
      <c r="AP282" s="377"/>
      <c r="AQ282" s="377"/>
      <c r="AR282" s="377"/>
      <c r="AS282" s="377"/>
      <c r="AT282" s="377"/>
      <c r="AU282" s="377"/>
      <c r="AV282" s="377"/>
      <c r="AW282" s="377"/>
      <c r="AX282" s="377"/>
      <c r="AY282" s="377"/>
      <c r="AZ282" s="377"/>
      <c r="BA282" s="377"/>
      <c r="BB282" s="377"/>
      <c r="BC282" s="377"/>
      <c r="BD282" s="377"/>
      <c r="BE282" s="377"/>
      <c r="BF282" s="377"/>
      <c r="BG282" s="377"/>
      <c r="BH282" s="377"/>
      <c r="BI282" s="377"/>
      <c r="BJ282" s="377"/>
      <c r="BK282" s="377"/>
      <c r="BL282" s="377"/>
      <c r="BM282" s="377"/>
      <c r="BN282" s="377"/>
      <c r="BO282" s="377"/>
      <c r="BP282" s="377"/>
      <c r="BQ282" s="377"/>
      <c r="BR282" s="377"/>
    </row>
    <row r="283" spans="1:70" outlineLevel="1">
      <c r="A283" s="374">
        <f t="shared" si="81"/>
        <v>0</v>
      </c>
      <c r="B283" s="359"/>
      <c r="C283" s="359"/>
      <c r="D283" s="360"/>
      <c r="E283" s="360"/>
      <c r="F283" s="373"/>
      <c r="G283" s="360"/>
      <c r="H283" s="377"/>
      <c r="I283" s="537"/>
      <c r="J283" s="546"/>
      <c r="K283" s="383"/>
      <c r="L283" s="383"/>
      <c r="M283" s="383"/>
      <c r="N283" s="383"/>
      <c r="O283" s="383"/>
      <c r="P283" s="383"/>
      <c r="Q283" s="383"/>
      <c r="R283" s="383"/>
      <c r="S283" s="377"/>
      <c r="T283" s="377"/>
      <c r="U283" s="377"/>
      <c r="V283" s="377"/>
      <c r="W283" s="377"/>
      <c r="X283" s="377"/>
      <c r="Y283" s="377"/>
      <c r="Z283" s="377"/>
      <c r="AA283" s="377"/>
      <c r="AB283" s="377"/>
      <c r="AC283" s="377"/>
      <c r="AD283" s="377"/>
      <c r="AE283" s="377"/>
      <c r="AF283" s="377"/>
      <c r="AG283" s="377"/>
      <c r="AH283" s="377"/>
      <c r="AI283" s="377"/>
      <c r="AJ283" s="377"/>
      <c r="AK283" s="377"/>
      <c r="AL283" s="377"/>
      <c r="AM283" s="377"/>
      <c r="AN283" s="377"/>
      <c r="AO283" s="377"/>
      <c r="AP283" s="377"/>
      <c r="AQ283" s="377"/>
      <c r="AR283" s="377"/>
      <c r="AS283" s="377"/>
      <c r="AT283" s="377"/>
      <c r="AU283" s="377"/>
      <c r="AV283" s="377"/>
      <c r="AW283" s="377"/>
      <c r="AX283" s="377"/>
      <c r="AY283" s="377"/>
      <c r="AZ283" s="377"/>
      <c r="BA283" s="377"/>
      <c r="BB283" s="377"/>
      <c r="BC283" s="377"/>
      <c r="BD283" s="377"/>
      <c r="BE283" s="377"/>
      <c r="BF283" s="377"/>
      <c r="BG283" s="377"/>
      <c r="BH283" s="377"/>
      <c r="BI283" s="377"/>
      <c r="BJ283" s="377"/>
      <c r="BK283" s="377"/>
      <c r="BL283" s="377"/>
      <c r="BM283" s="377"/>
      <c r="BN283" s="377"/>
      <c r="BO283" s="377"/>
      <c r="BP283" s="377"/>
      <c r="BQ283" s="377"/>
      <c r="BR283" s="377"/>
    </row>
    <row r="284" spans="1:70" outlineLevel="1">
      <c r="A284" s="374">
        <f t="shared" si="81"/>
        <v>0</v>
      </c>
      <c r="B284" s="359"/>
      <c r="C284" s="359"/>
      <c r="D284" s="360"/>
      <c r="E284" s="360"/>
      <c r="F284" s="373"/>
      <c r="G284" s="360"/>
      <c r="H284" s="377"/>
      <c r="I284" s="537"/>
      <c r="J284" s="546"/>
      <c r="K284" s="383"/>
      <c r="L284" s="383"/>
      <c r="M284" s="383"/>
      <c r="N284" s="383"/>
      <c r="O284" s="383"/>
      <c r="P284" s="383"/>
      <c r="Q284" s="383"/>
      <c r="R284" s="383"/>
      <c r="S284" s="377"/>
      <c r="T284" s="377"/>
      <c r="U284" s="377"/>
      <c r="V284" s="377"/>
      <c r="W284" s="377"/>
      <c r="X284" s="377"/>
      <c r="Y284" s="377"/>
      <c r="Z284" s="377"/>
      <c r="AA284" s="377"/>
      <c r="AB284" s="377"/>
      <c r="AC284" s="377"/>
      <c r="AD284" s="377"/>
      <c r="AE284" s="377"/>
      <c r="AF284" s="377"/>
      <c r="AG284" s="377"/>
      <c r="AH284" s="377"/>
      <c r="AI284" s="377"/>
      <c r="AJ284" s="377"/>
      <c r="AK284" s="377"/>
      <c r="AL284" s="377"/>
      <c r="AM284" s="377"/>
      <c r="AN284" s="377"/>
      <c r="AO284" s="377"/>
      <c r="AP284" s="377"/>
      <c r="AQ284" s="377"/>
      <c r="AR284" s="377"/>
      <c r="AS284" s="377"/>
      <c r="AT284" s="377"/>
      <c r="AU284" s="377"/>
      <c r="AV284" s="377"/>
      <c r="AW284" s="377"/>
      <c r="AX284" s="377"/>
      <c r="AY284" s="377"/>
      <c r="AZ284" s="377"/>
      <c r="BA284" s="377"/>
      <c r="BB284" s="377"/>
      <c r="BC284" s="377"/>
      <c r="BD284" s="377"/>
      <c r="BE284" s="377"/>
      <c r="BF284" s="377"/>
      <c r="BG284" s="377"/>
      <c r="BH284" s="377"/>
      <c r="BI284" s="377"/>
      <c r="BJ284" s="377"/>
      <c r="BK284" s="377"/>
      <c r="BL284" s="377"/>
      <c r="BM284" s="377"/>
      <c r="BN284" s="377"/>
      <c r="BO284" s="377"/>
      <c r="BP284" s="377"/>
      <c r="BQ284" s="377"/>
      <c r="BR284" s="377"/>
    </row>
    <row r="285" spans="1:70" outlineLevel="1">
      <c r="A285" s="374">
        <f t="shared" si="81"/>
        <v>0</v>
      </c>
      <c r="B285" s="359"/>
      <c r="C285" s="359"/>
      <c r="D285" s="360"/>
      <c r="E285" s="360"/>
      <c r="F285" s="373"/>
      <c r="G285" s="360"/>
      <c r="H285" s="377"/>
      <c r="I285" s="537"/>
      <c r="J285" s="546"/>
      <c r="K285" s="383"/>
      <c r="L285" s="383"/>
      <c r="M285" s="383"/>
      <c r="N285" s="383"/>
      <c r="O285" s="383"/>
      <c r="P285" s="383"/>
      <c r="Q285" s="383"/>
      <c r="R285" s="383"/>
      <c r="S285" s="377"/>
      <c r="T285" s="377"/>
      <c r="U285" s="377"/>
      <c r="V285" s="377"/>
      <c r="W285" s="377"/>
      <c r="X285" s="377"/>
      <c r="Y285" s="377"/>
      <c r="Z285" s="377"/>
      <c r="AA285" s="377"/>
      <c r="AB285" s="377"/>
      <c r="AC285" s="377"/>
      <c r="AD285" s="377"/>
      <c r="AE285" s="377"/>
      <c r="AF285" s="377"/>
      <c r="AG285" s="377"/>
      <c r="AH285" s="377"/>
      <c r="AI285" s="377"/>
      <c r="AJ285" s="377"/>
      <c r="AK285" s="377"/>
      <c r="AL285" s="377"/>
      <c r="AM285" s="377"/>
      <c r="AN285" s="377"/>
      <c r="AO285" s="377"/>
      <c r="AP285" s="377"/>
      <c r="AQ285" s="377"/>
      <c r="AR285" s="377"/>
      <c r="AS285" s="377"/>
      <c r="AT285" s="377"/>
      <c r="AU285" s="377"/>
      <c r="AV285" s="377"/>
      <c r="AW285" s="377"/>
      <c r="AX285" s="377"/>
      <c r="AY285" s="377"/>
      <c r="AZ285" s="377"/>
      <c r="BA285" s="377"/>
      <c r="BB285" s="377"/>
      <c r="BC285" s="377"/>
      <c r="BD285" s="377"/>
      <c r="BE285" s="377"/>
      <c r="BF285" s="377"/>
      <c r="BG285" s="377"/>
      <c r="BH285" s="377"/>
      <c r="BI285" s="377"/>
      <c r="BJ285" s="377"/>
      <c r="BK285" s="377"/>
      <c r="BL285" s="377"/>
      <c r="BM285" s="377"/>
      <c r="BN285" s="377"/>
      <c r="BO285" s="377"/>
      <c r="BP285" s="377"/>
      <c r="BQ285" s="377"/>
      <c r="BR285" s="377"/>
    </row>
    <row r="286" spans="1:70" outlineLevel="1">
      <c r="A286" s="374">
        <f t="shared" si="81"/>
        <v>0</v>
      </c>
      <c r="B286" s="359"/>
      <c r="C286" s="359"/>
      <c r="D286" s="360"/>
      <c r="E286" s="360"/>
      <c r="F286" s="373"/>
      <c r="G286" s="360"/>
      <c r="H286" s="377"/>
      <c r="I286" s="537"/>
      <c r="J286" s="546"/>
      <c r="K286" s="383"/>
      <c r="L286" s="383"/>
      <c r="M286" s="383"/>
      <c r="N286" s="383"/>
      <c r="O286" s="383"/>
      <c r="P286" s="383"/>
      <c r="Q286" s="383"/>
      <c r="R286" s="383"/>
      <c r="S286" s="377"/>
      <c r="T286" s="377"/>
      <c r="U286" s="377"/>
      <c r="V286" s="377"/>
      <c r="W286" s="377"/>
      <c r="X286" s="377"/>
      <c r="Y286" s="377"/>
      <c r="Z286" s="377"/>
      <c r="AA286" s="377"/>
      <c r="AB286" s="377"/>
      <c r="AC286" s="377"/>
      <c r="AD286" s="377"/>
      <c r="AE286" s="377"/>
      <c r="AF286" s="377"/>
      <c r="AG286" s="377"/>
      <c r="AH286" s="377"/>
      <c r="AI286" s="377"/>
      <c r="AJ286" s="377"/>
      <c r="AK286" s="377"/>
      <c r="AL286" s="377"/>
      <c r="AM286" s="377"/>
      <c r="AN286" s="377"/>
      <c r="AO286" s="377"/>
      <c r="AP286" s="377"/>
      <c r="AQ286" s="377"/>
      <c r="AR286" s="377"/>
      <c r="AS286" s="377"/>
      <c r="AT286" s="377"/>
      <c r="AU286" s="377"/>
      <c r="AV286" s="377"/>
      <c r="AW286" s="377"/>
      <c r="AX286" s="377"/>
      <c r="AY286" s="377"/>
      <c r="AZ286" s="377"/>
      <c r="BA286" s="377"/>
      <c r="BB286" s="377"/>
      <c r="BC286" s="377"/>
      <c r="BD286" s="377"/>
      <c r="BE286" s="377"/>
      <c r="BF286" s="377"/>
      <c r="BG286" s="377"/>
      <c r="BH286" s="377"/>
      <c r="BI286" s="377"/>
      <c r="BJ286" s="377"/>
      <c r="BK286" s="377"/>
      <c r="BL286" s="377"/>
      <c r="BM286" s="377"/>
      <c r="BN286" s="377"/>
      <c r="BO286" s="377"/>
      <c r="BP286" s="377"/>
      <c r="BQ286" s="377"/>
      <c r="BR286" s="377"/>
    </row>
    <row r="287" spans="1:70" s="353" customFormat="1" outlineLevel="1">
      <c r="A287" s="374">
        <f t="shared" si="81"/>
        <v>0</v>
      </c>
      <c r="B287" s="363">
        <v>5400</v>
      </c>
      <c r="C287" s="363"/>
      <c r="D287" s="364" t="s">
        <v>109</v>
      </c>
      <c r="E287" s="364"/>
      <c r="F287" s="364"/>
      <c r="G287" s="364"/>
      <c r="H287" s="378">
        <f t="shared" ref="H287:AM287" si="87">SUM(H288:H324)</f>
        <v>0</v>
      </c>
      <c r="I287" s="538">
        <f t="shared" si="87"/>
        <v>-33160223056.875092</v>
      </c>
      <c r="J287" s="547">
        <f t="shared" si="87"/>
        <v>0</v>
      </c>
      <c r="K287" s="378">
        <f t="shared" si="87"/>
        <v>0</v>
      </c>
      <c r="L287" s="378">
        <f t="shared" si="87"/>
        <v>0</v>
      </c>
      <c r="M287" s="378">
        <f t="shared" si="87"/>
        <v>0</v>
      </c>
      <c r="N287" s="378">
        <f t="shared" si="87"/>
        <v>0</v>
      </c>
      <c r="O287" s="378">
        <f t="shared" si="87"/>
        <v>0</v>
      </c>
      <c r="P287" s="378">
        <f t="shared" si="87"/>
        <v>0</v>
      </c>
      <c r="Q287" s="378">
        <f t="shared" si="87"/>
        <v>0</v>
      </c>
      <c r="R287" s="378">
        <f t="shared" si="87"/>
        <v>0</v>
      </c>
      <c r="S287" s="378">
        <f t="shared" si="87"/>
        <v>0</v>
      </c>
      <c r="T287" s="378">
        <f t="shared" si="87"/>
        <v>0</v>
      </c>
      <c r="U287" s="378">
        <f t="shared" si="87"/>
        <v>-174500000</v>
      </c>
      <c r="V287" s="378">
        <f t="shared" si="87"/>
        <v>-414528125</v>
      </c>
      <c r="W287" s="378">
        <f t="shared" si="87"/>
        <v>-368028125</v>
      </c>
      <c r="X287" s="378">
        <f t="shared" si="87"/>
        <v>-483005702.28000015</v>
      </c>
      <c r="Y287" s="378">
        <f t="shared" si="87"/>
        <v>-1287062763.333333</v>
      </c>
      <c r="Z287" s="378">
        <f t="shared" si="87"/>
        <v>-1534062763.333333</v>
      </c>
      <c r="AA287" s="378">
        <f t="shared" si="87"/>
        <v>-1538062763.333333</v>
      </c>
      <c r="AB287" s="378">
        <f t="shared" si="87"/>
        <v>-1276062763.333333</v>
      </c>
      <c r="AC287" s="378">
        <f t="shared" si="87"/>
        <v>-2573006394.1047993</v>
      </c>
      <c r="AD287" s="378">
        <f t="shared" si="87"/>
        <v>-2573006394.1047993</v>
      </c>
      <c r="AE287" s="378">
        <f t="shared" si="87"/>
        <v>-2573006394.1047993</v>
      </c>
      <c r="AF287" s="378">
        <f t="shared" si="87"/>
        <v>-2573006394.1047993</v>
      </c>
      <c r="AG287" s="378">
        <f t="shared" si="87"/>
        <v>-2573006394.1047993</v>
      </c>
      <c r="AH287" s="378">
        <f t="shared" si="87"/>
        <v>-2573006394.1047993</v>
      </c>
      <c r="AI287" s="378">
        <f t="shared" si="87"/>
        <v>-2573006394.1047993</v>
      </c>
      <c r="AJ287" s="378">
        <f t="shared" si="87"/>
        <v>-2573006394.1047993</v>
      </c>
      <c r="AK287" s="378">
        <f t="shared" si="87"/>
        <v>-1375971755.7714658</v>
      </c>
      <c r="AL287" s="378">
        <f t="shared" si="87"/>
        <v>-1375971755.7714658</v>
      </c>
      <c r="AM287" s="378">
        <f t="shared" si="87"/>
        <v>-1375971755.7714658</v>
      </c>
      <c r="AN287" s="378">
        <f t="shared" ref="AN287:BR287" si="88">SUM(AN288:AN324)</f>
        <v>-1372943631.1089659</v>
      </c>
      <c r="AO287" s="378">
        <f t="shared" si="88"/>
        <v>0</v>
      </c>
      <c r="AP287" s="378">
        <f t="shared" si="88"/>
        <v>0</v>
      </c>
      <c r="AQ287" s="378">
        <f t="shared" si="88"/>
        <v>0</v>
      </c>
      <c r="AR287" s="378">
        <f t="shared" si="88"/>
        <v>0</v>
      </c>
      <c r="AS287" s="378">
        <f t="shared" si="88"/>
        <v>0</v>
      </c>
      <c r="AT287" s="378">
        <f t="shared" si="88"/>
        <v>0</v>
      </c>
      <c r="AU287" s="378">
        <f t="shared" si="88"/>
        <v>0</v>
      </c>
      <c r="AV287" s="378">
        <f t="shared" si="88"/>
        <v>0</v>
      </c>
      <c r="AW287" s="378">
        <f t="shared" si="88"/>
        <v>0</v>
      </c>
      <c r="AX287" s="378">
        <f t="shared" si="88"/>
        <v>0</v>
      </c>
      <c r="AY287" s="378">
        <f t="shared" si="88"/>
        <v>0</v>
      </c>
      <c r="AZ287" s="378">
        <f t="shared" si="88"/>
        <v>0</v>
      </c>
      <c r="BA287" s="378">
        <f t="shared" si="88"/>
        <v>0</v>
      </c>
      <c r="BB287" s="378">
        <f t="shared" si="88"/>
        <v>0</v>
      </c>
      <c r="BC287" s="378">
        <f t="shared" si="88"/>
        <v>0</v>
      </c>
      <c r="BD287" s="378">
        <f t="shared" si="88"/>
        <v>0</v>
      </c>
      <c r="BE287" s="378">
        <f t="shared" si="88"/>
        <v>0</v>
      </c>
      <c r="BF287" s="378">
        <f t="shared" si="88"/>
        <v>0</v>
      </c>
      <c r="BG287" s="378">
        <f t="shared" si="88"/>
        <v>0</v>
      </c>
      <c r="BH287" s="378">
        <f t="shared" si="88"/>
        <v>0</v>
      </c>
      <c r="BI287" s="378">
        <f t="shared" si="88"/>
        <v>0</v>
      </c>
      <c r="BJ287" s="378">
        <f t="shared" si="88"/>
        <v>0</v>
      </c>
      <c r="BK287" s="378">
        <f t="shared" si="88"/>
        <v>0</v>
      </c>
      <c r="BL287" s="378">
        <f t="shared" si="88"/>
        <v>0</v>
      </c>
      <c r="BM287" s="378">
        <f t="shared" si="88"/>
        <v>0</v>
      </c>
      <c r="BN287" s="378">
        <f t="shared" si="88"/>
        <v>0</v>
      </c>
      <c r="BO287" s="378">
        <f t="shared" si="88"/>
        <v>0</v>
      </c>
      <c r="BP287" s="378">
        <f t="shared" si="88"/>
        <v>0</v>
      </c>
      <c r="BQ287" s="378">
        <f t="shared" si="88"/>
        <v>0</v>
      </c>
      <c r="BR287" s="378">
        <f t="shared" si="88"/>
        <v>0</v>
      </c>
    </row>
    <row r="288" spans="1:70" outlineLevel="1">
      <c r="A288" s="374">
        <f t="shared" si="81"/>
        <v>0</v>
      </c>
      <c r="B288" s="359">
        <v>5405</v>
      </c>
      <c r="C288" s="359">
        <v>1</v>
      </c>
      <c r="D288" s="552" t="s">
        <v>453</v>
      </c>
      <c r="E288" s="360" t="s">
        <v>492</v>
      </c>
      <c r="F288" s="366" t="s">
        <v>448</v>
      </c>
      <c r="G288" s="367">
        <f>I288/'DB1'!$G$18</f>
        <v>-126510.59852295839</v>
      </c>
      <c r="H288" s="377"/>
      <c r="I288" s="540">
        <f>'DB1'!$J$33*-1000000-SUMIFS($I$290:$I$306,$C$290:$C$306,$C$288)</f>
        <v>-14364415659.999998</v>
      </c>
      <c r="J288" s="546"/>
      <c r="K288" s="383"/>
      <c r="L288" s="383"/>
      <c r="M288" s="383"/>
      <c r="N288" s="383"/>
      <c r="O288" s="383"/>
      <c r="P288" s="383"/>
      <c r="Q288" s="383"/>
      <c r="R288" s="383"/>
      <c r="S288" s="377">
        <f>$I288*'TS1'!N25</f>
        <v>0</v>
      </c>
      <c r="T288" s="377">
        <f>$I288*'TS1'!O25</f>
        <v>0</v>
      </c>
      <c r="U288" s="377">
        <f>$I288*'TS1'!P25</f>
        <v>0</v>
      </c>
      <c r="V288" s="377">
        <f>$I288*'TS1'!Q25</f>
        <v>0</v>
      </c>
      <c r="W288" s="377">
        <f>$I288*'TS1'!R25</f>
        <v>0</v>
      </c>
      <c r="X288" s="377">
        <f>$I288*'TS1'!S25</f>
        <v>0</v>
      </c>
      <c r="Y288" s="377">
        <f>$I288*'TS1'!T25</f>
        <v>-1197034638.333333</v>
      </c>
      <c r="Z288" s="377">
        <f>$I288*'TS1'!U25</f>
        <v>-1197034638.333333</v>
      </c>
      <c r="AA288" s="377">
        <f>$I288*'TS1'!V25</f>
        <v>-1197034638.333333</v>
      </c>
      <c r="AB288" s="377">
        <f>$I288*'TS1'!W25</f>
        <v>-1197034638.333333</v>
      </c>
      <c r="AC288" s="377">
        <f>$I288*'TS1'!X25</f>
        <v>-1197034638.333333</v>
      </c>
      <c r="AD288" s="377">
        <f>$I288*'TS1'!Y25</f>
        <v>-1197034638.333333</v>
      </c>
      <c r="AE288" s="377">
        <f>$I288*'TS1'!Z25</f>
        <v>-1197034638.333333</v>
      </c>
      <c r="AF288" s="377">
        <f>$I288*'TS1'!AA25</f>
        <v>-1197034638.333333</v>
      </c>
      <c r="AG288" s="377">
        <f>$I288*'TS1'!AB25</f>
        <v>-1197034638.333333</v>
      </c>
      <c r="AH288" s="377">
        <f>$I288*'TS1'!AC25</f>
        <v>-1197034638.333333</v>
      </c>
      <c r="AI288" s="377">
        <f>$I288*'TS1'!AD25</f>
        <v>-1197034638.333333</v>
      </c>
      <c r="AJ288" s="377">
        <f>$I288*'TS1'!AE25</f>
        <v>-1197034638.333333</v>
      </c>
      <c r="AK288" s="377">
        <f>$I288*'TS1'!AF25</f>
        <v>0</v>
      </c>
      <c r="AL288" s="377">
        <f>$I288*'TS1'!AG25</f>
        <v>0</v>
      </c>
      <c r="AM288" s="377">
        <f>$I288*'TS1'!AH25</f>
        <v>0</v>
      </c>
      <c r="AN288" s="377">
        <f>$I288*'TS1'!AI25</f>
        <v>0</v>
      </c>
      <c r="AO288" s="377">
        <f>$I288*'TS1'!AJ25</f>
        <v>0</v>
      </c>
      <c r="AP288" s="377">
        <f>$I288*'TS1'!AK25</f>
        <v>0</v>
      </c>
      <c r="AQ288" s="377">
        <f>$I288*'TS1'!AL25</f>
        <v>0</v>
      </c>
      <c r="AR288" s="377">
        <f>$I288*'TS1'!AM25</f>
        <v>0</v>
      </c>
      <c r="AS288" s="377">
        <f>$I288*'TS1'!AN25</f>
        <v>0</v>
      </c>
      <c r="AT288" s="377">
        <f>$I288*'TS1'!AO25</f>
        <v>0</v>
      </c>
      <c r="AU288" s="377">
        <f>$I288*'TS1'!AP25</f>
        <v>0</v>
      </c>
      <c r="AV288" s="377">
        <f>$I288*'TS1'!AQ25</f>
        <v>0</v>
      </c>
      <c r="AW288" s="377">
        <f>$I288*'TS1'!AR25</f>
        <v>0</v>
      </c>
      <c r="AX288" s="377">
        <f>$I288*'TS1'!AS25</f>
        <v>0</v>
      </c>
      <c r="AY288" s="377">
        <f>$I288*'TS1'!AT25</f>
        <v>0</v>
      </c>
      <c r="AZ288" s="377">
        <f>$I288*'TS1'!AU25</f>
        <v>0</v>
      </c>
      <c r="BA288" s="377">
        <f>$I288*'TS1'!AV25</f>
        <v>0</v>
      </c>
      <c r="BB288" s="377">
        <f>$I288*'TS1'!AW25</f>
        <v>0</v>
      </c>
      <c r="BC288" s="377">
        <f>$I288*'TS1'!AX25</f>
        <v>0</v>
      </c>
      <c r="BD288" s="377">
        <f>$I288*'TS1'!AY25</f>
        <v>0</v>
      </c>
      <c r="BE288" s="377">
        <f>$I288*'TS1'!AZ25</f>
        <v>0</v>
      </c>
      <c r="BF288" s="377">
        <f>$I288*'TS1'!BA25</f>
        <v>0</v>
      </c>
      <c r="BG288" s="377">
        <f>$I288*'TS1'!BB25</f>
        <v>0</v>
      </c>
      <c r="BH288" s="377">
        <f>$I288*'TS1'!BC25</f>
        <v>0</v>
      </c>
      <c r="BI288" s="377">
        <f>$I288*'TS1'!BD25</f>
        <v>0</v>
      </c>
      <c r="BJ288" s="377">
        <f>$I288*'TS1'!BE25</f>
        <v>0</v>
      </c>
      <c r="BK288" s="377">
        <f>$I288*'TS1'!BF25</f>
        <v>0</v>
      </c>
      <c r="BL288" s="377">
        <f>$I288*'TS1'!BG25</f>
        <v>0</v>
      </c>
      <c r="BM288" s="377">
        <f>$I288*'TS1'!BH25</f>
        <v>0</v>
      </c>
      <c r="BN288" s="377">
        <f>$I288*'TS1'!BI25</f>
        <v>0</v>
      </c>
      <c r="BO288" s="377">
        <f>$I288*'TS1'!BJ25</f>
        <v>0</v>
      </c>
      <c r="BP288" s="377">
        <f>$I288*'TS1'!BK25</f>
        <v>0</v>
      </c>
      <c r="BQ288" s="377">
        <f>$I288*'TS1'!BL25</f>
        <v>0</v>
      </c>
      <c r="BR288" s="377">
        <f>$I288*'TS1'!BM25</f>
        <v>0</v>
      </c>
    </row>
    <row r="289" spans="1:70" outlineLevel="1">
      <c r="A289" s="374">
        <f t="shared" si="81"/>
        <v>0</v>
      </c>
      <c r="B289" s="359"/>
      <c r="C289" s="359"/>
      <c r="D289" s="360"/>
      <c r="E289" s="360"/>
      <c r="F289" s="373"/>
      <c r="G289" s="367"/>
      <c r="H289" s="377"/>
      <c r="I289" s="537"/>
      <c r="J289" s="546"/>
      <c r="K289" s="383"/>
      <c r="L289" s="383"/>
      <c r="M289" s="383"/>
      <c r="N289" s="383"/>
      <c r="O289" s="383"/>
      <c r="P289" s="383"/>
      <c r="Q289" s="383"/>
      <c r="R289" s="383"/>
      <c r="S289" s="377"/>
      <c r="T289" s="377"/>
      <c r="U289" s="377"/>
      <c r="V289" s="377"/>
      <c r="W289" s="377"/>
      <c r="X289" s="377"/>
      <c r="Y289" s="377"/>
      <c r="Z289" s="377"/>
      <c r="AA289" s="377"/>
      <c r="AB289" s="377"/>
      <c r="AC289" s="377"/>
      <c r="AD289" s="377"/>
      <c r="AE289" s="377"/>
      <c r="AF289" s="377"/>
      <c r="AG289" s="377"/>
      <c r="AH289" s="377"/>
      <c r="AI289" s="377"/>
      <c r="AJ289" s="377"/>
      <c r="AK289" s="377"/>
      <c r="AL289" s="377"/>
      <c r="AM289" s="377"/>
      <c r="AN289" s="377"/>
      <c r="AO289" s="377"/>
      <c r="AP289" s="377"/>
      <c r="AQ289" s="377"/>
      <c r="AR289" s="377"/>
      <c r="AS289" s="377"/>
      <c r="AT289" s="377"/>
      <c r="AU289" s="377"/>
      <c r="AV289" s="377"/>
      <c r="AW289" s="377"/>
      <c r="AX289" s="377"/>
      <c r="AY289" s="377"/>
      <c r="AZ289" s="377"/>
      <c r="BA289" s="377"/>
      <c r="BB289" s="377"/>
      <c r="BC289" s="377"/>
      <c r="BD289" s="377"/>
      <c r="BE289" s="377"/>
      <c r="BF289" s="377"/>
      <c r="BG289" s="377"/>
      <c r="BH289" s="377"/>
      <c r="BI289" s="377"/>
      <c r="BJ289" s="377"/>
      <c r="BK289" s="377"/>
      <c r="BL289" s="377"/>
      <c r="BM289" s="377"/>
      <c r="BN289" s="377"/>
      <c r="BO289" s="377"/>
      <c r="BP289" s="377"/>
      <c r="BQ289" s="377"/>
      <c r="BR289" s="377"/>
    </row>
    <row r="290" spans="1:70" outlineLevel="1">
      <c r="A290" s="374">
        <f t="shared" si="81"/>
        <v>0</v>
      </c>
      <c r="B290" s="359">
        <v>5401</v>
      </c>
      <c r="C290" s="359">
        <v>1</v>
      </c>
      <c r="D290" s="360" t="s">
        <v>927</v>
      </c>
      <c r="E290" s="360" t="s">
        <v>492</v>
      </c>
      <c r="F290" s="373" t="s">
        <v>454</v>
      </c>
      <c r="G290" s="367">
        <f>SUM(I290:I300)/'DB1'!$G$18</f>
        <v>-9608.6792707408767</v>
      </c>
      <c r="H290" s="377"/>
      <c r="I290" s="537">
        <v>-10000000</v>
      </c>
      <c r="J290" s="546"/>
      <c r="K290" s="383"/>
      <c r="L290" s="383"/>
      <c r="M290" s="383"/>
      <c r="N290" s="383"/>
      <c r="O290" s="383"/>
      <c r="P290" s="383"/>
      <c r="Q290" s="383"/>
      <c r="R290" s="383"/>
      <c r="S290" s="377">
        <v>0</v>
      </c>
      <c r="T290" s="377">
        <v>0</v>
      </c>
      <c r="U290" s="377">
        <v>-10000000</v>
      </c>
      <c r="V290" s="377">
        <v>0</v>
      </c>
      <c r="W290" s="377">
        <v>0</v>
      </c>
      <c r="X290" s="377">
        <v>0</v>
      </c>
      <c r="Y290" s="377">
        <v>0</v>
      </c>
      <c r="Z290" s="377"/>
      <c r="AA290" s="377"/>
      <c r="AB290" s="377"/>
      <c r="AC290" s="377"/>
      <c r="AD290" s="377"/>
      <c r="AE290" s="377"/>
      <c r="AF290" s="377"/>
      <c r="AG290" s="377"/>
      <c r="AH290" s="377"/>
      <c r="AI290" s="377"/>
      <c r="AJ290" s="377"/>
      <c r="AK290" s="377"/>
      <c r="AL290" s="377"/>
      <c r="AM290" s="377"/>
      <c r="AN290" s="377"/>
      <c r="AO290" s="377"/>
      <c r="AP290" s="377"/>
      <c r="AQ290" s="377"/>
      <c r="AR290" s="377"/>
      <c r="AS290" s="377"/>
      <c r="AT290" s="377"/>
      <c r="AU290" s="377"/>
      <c r="AV290" s="377"/>
      <c r="AW290" s="377"/>
      <c r="AX290" s="377"/>
      <c r="AY290" s="377"/>
      <c r="AZ290" s="377"/>
      <c r="BA290" s="377"/>
      <c r="BB290" s="377"/>
      <c r="BC290" s="377"/>
      <c r="BD290" s="377"/>
      <c r="BE290" s="377"/>
      <c r="BF290" s="377"/>
      <c r="BG290" s="377"/>
      <c r="BH290" s="377"/>
      <c r="BI290" s="377"/>
      <c r="BJ290" s="377"/>
      <c r="BK290" s="377"/>
      <c r="BL290" s="377"/>
      <c r="BM290" s="377"/>
      <c r="BN290" s="377"/>
      <c r="BO290" s="377"/>
      <c r="BP290" s="377"/>
      <c r="BQ290" s="377"/>
      <c r="BR290" s="377"/>
    </row>
    <row r="291" spans="1:70" outlineLevel="1">
      <c r="A291" s="374">
        <f t="shared" si="81"/>
        <v>0</v>
      </c>
      <c r="B291" s="359">
        <v>5401</v>
      </c>
      <c r="C291" s="359">
        <v>1</v>
      </c>
      <c r="D291" s="360" t="s">
        <v>928</v>
      </c>
      <c r="E291" s="360" t="s">
        <v>492</v>
      </c>
      <c r="F291" s="373" t="s">
        <v>454</v>
      </c>
      <c r="G291" s="367"/>
      <c r="H291" s="377"/>
      <c r="I291" s="541">
        <v>-15000000</v>
      </c>
      <c r="J291" s="546"/>
      <c r="K291" s="383"/>
      <c r="L291" s="383"/>
      <c r="M291" s="383"/>
      <c r="N291" s="383"/>
      <c r="O291" s="383"/>
      <c r="P291" s="383"/>
      <c r="Q291" s="383"/>
      <c r="R291" s="383"/>
      <c r="S291" s="377">
        <v>0</v>
      </c>
      <c r="T291" s="377">
        <v>0</v>
      </c>
      <c r="U291" s="377">
        <v>-4500000</v>
      </c>
      <c r="V291" s="377">
        <v>-10500000</v>
      </c>
      <c r="W291" s="377">
        <v>0</v>
      </c>
      <c r="X291" s="377">
        <v>0</v>
      </c>
      <c r="Y291" s="377">
        <v>0</v>
      </c>
      <c r="Z291" s="377"/>
      <c r="AA291" s="377"/>
      <c r="AB291" s="377"/>
      <c r="AC291" s="377"/>
      <c r="AD291" s="377"/>
      <c r="AE291" s="377"/>
      <c r="AF291" s="377"/>
      <c r="AG291" s="377"/>
      <c r="AH291" s="377"/>
      <c r="AI291" s="377"/>
      <c r="AJ291" s="377"/>
      <c r="AK291" s="377"/>
      <c r="AL291" s="377"/>
      <c r="AM291" s="377"/>
      <c r="AN291" s="377"/>
      <c r="AO291" s="377"/>
      <c r="AP291" s="377"/>
      <c r="AQ291" s="377"/>
      <c r="AR291" s="377"/>
      <c r="AS291" s="377"/>
      <c r="AT291" s="377"/>
      <c r="AU291" s="377"/>
      <c r="AV291" s="377"/>
      <c r="AW291" s="377"/>
      <c r="AX291" s="377"/>
      <c r="AY291" s="377"/>
      <c r="AZ291" s="377"/>
      <c r="BA291" s="377"/>
      <c r="BB291" s="377"/>
      <c r="BC291" s="377"/>
      <c r="BD291" s="377"/>
      <c r="BE291" s="377"/>
      <c r="BF291" s="377"/>
      <c r="BG291" s="377"/>
      <c r="BH291" s="377"/>
      <c r="BI291" s="377"/>
      <c r="BJ291" s="377"/>
      <c r="BK291" s="377"/>
      <c r="BL291" s="377"/>
      <c r="BM291" s="377"/>
      <c r="BN291" s="377"/>
      <c r="BO291" s="377"/>
      <c r="BP291" s="377"/>
      <c r="BQ291" s="377"/>
      <c r="BR291" s="377"/>
    </row>
    <row r="292" spans="1:70" outlineLevel="1">
      <c r="A292" s="374">
        <f t="shared" si="81"/>
        <v>0</v>
      </c>
      <c r="B292" s="359">
        <v>5401</v>
      </c>
      <c r="C292" s="359">
        <v>1</v>
      </c>
      <c r="D292" s="360" t="s">
        <v>929</v>
      </c>
      <c r="E292" s="360" t="s">
        <v>492</v>
      </c>
      <c r="F292" s="373" t="s">
        <v>454</v>
      </c>
      <c r="G292" s="367"/>
      <c r="H292" s="377"/>
      <c r="I292" s="541">
        <v>-16000000</v>
      </c>
      <c r="J292" s="546"/>
      <c r="K292" s="383"/>
      <c r="L292" s="383"/>
      <c r="M292" s="383"/>
      <c r="N292" s="383"/>
      <c r="O292" s="383"/>
      <c r="P292" s="383"/>
      <c r="Q292" s="383"/>
      <c r="R292" s="383"/>
      <c r="S292" s="377">
        <v>0</v>
      </c>
      <c r="T292" s="377">
        <v>0</v>
      </c>
      <c r="U292" s="377">
        <v>0</v>
      </c>
      <c r="V292" s="377">
        <v>-16000000</v>
      </c>
      <c r="W292" s="377">
        <v>0</v>
      </c>
      <c r="X292" s="377">
        <v>0</v>
      </c>
      <c r="Y292" s="377">
        <v>0</v>
      </c>
      <c r="Z292" s="377"/>
      <c r="AA292" s="377"/>
      <c r="AB292" s="377"/>
      <c r="AC292" s="377"/>
      <c r="AD292" s="377"/>
      <c r="AE292" s="377"/>
      <c r="AF292" s="377"/>
      <c r="AG292" s="377"/>
      <c r="AH292" s="377"/>
      <c r="AI292" s="377"/>
      <c r="AJ292" s="377"/>
      <c r="AK292" s="377"/>
      <c r="AL292" s="377"/>
      <c r="AM292" s="377"/>
      <c r="AN292" s="377"/>
      <c r="AO292" s="377"/>
      <c r="AP292" s="377"/>
      <c r="AQ292" s="377"/>
      <c r="AR292" s="377"/>
      <c r="AS292" s="377"/>
      <c r="AT292" s="377"/>
      <c r="AU292" s="377"/>
      <c r="AV292" s="377"/>
      <c r="AW292" s="377"/>
      <c r="AX292" s="377"/>
      <c r="AY292" s="377"/>
      <c r="AZ292" s="377"/>
      <c r="BA292" s="377"/>
      <c r="BB292" s="377"/>
      <c r="BC292" s="377"/>
      <c r="BD292" s="377"/>
      <c r="BE292" s="377"/>
      <c r="BF292" s="377"/>
      <c r="BG292" s="377"/>
      <c r="BH292" s="377"/>
      <c r="BI292" s="377"/>
      <c r="BJ292" s="377"/>
      <c r="BK292" s="377"/>
      <c r="BL292" s="377"/>
      <c r="BM292" s="377"/>
      <c r="BN292" s="377"/>
      <c r="BO292" s="377"/>
      <c r="BP292" s="377"/>
      <c r="BQ292" s="377"/>
      <c r="BR292" s="377"/>
    </row>
    <row r="293" spans="1:70" outlineLevel="1">
      <c r="A293" s="374">
        <f t="shared" si="81"/>
        <v>0</v>
      </c>
      <c r="B293" s="359">
        <v>5401</v>
      </c>
      <c r="C293" s="359">
        <v>1</v>
      </c>
      <c r="D293" s="360" t="s">
        <v>930</v>
      </c>
      <c r="E293" s="360" t="s">
        <v>492</v>
      </c>
      <c r="F293" s="373" t="s">
        <v>454</v>
      </c>
      <c r="G293" s="367"/>
      <c r="H293" s="377"/>
      <c r="I293" s="541">
        <v>-25000000</v>
      </c>
      <c r="J293" s="546"/>
      <c r="K293" s="383"/>
      <c r="L293" s="383"/>
      <c r="M293" s="383"/>
      <c r="N293" s="383"/>
      <c r="O293" s="383"/>
      <c r="P293" s="383"/>
      <c r="Q293" s="383"/>
      <c r="R293" s="383"/>
      <c r="S293" s="377">
        <v>0</v>
      </c>
      <c r="T293" s="377">
        <v>0</v>
      </c>
      <c r="U293" s="377">
        <v>0</v>
      </c>
      <c r="V293" s="377">
        <v>-7500000</v>
      </c>
      <c r="W293" s="377">
        <v>-17500000</v>
      </c>
      <c r="X293" s="377">
        <v>0</v>
      </c>
      <c r="Y293" s="377">
        <v>0</v>
      </c>
      <c r="Z293" s="377"/>
      <c r="AA293" s="377"/>
      <c r="AB293" s="377"/>
      <c r="AC293" s="377"/>
      <c r="AD293" s="377"/>
      <c r="AE293" s="377"/>
      <c r="AF293" s="377"/>
      <c r="AG293" s="377"/>
      <c r="AH293" s="377"/>
      <c r="AI293" s="377"/>
      <c r="AJ293" s="377"/>
      <c r="AK293" s="377"/>
      <c r="AL293" s="377"/>
      <c r="AM293" s="377"/>
      <c r="AN293" s="377"/>
      <c r="AO293" s="377"/>
      <c r="AP293" s="377"/>
      <c r="AQ293" s="377"/>
      <c r="AR293" s="377"/>
      <c r="AS293" s="377"/>
      <c r="AT293" s="377"/>
      <c r="AU293" s="377"/>
      <c r="AV293" s="377"/>
      <c r="AW293" s="377"/>
      <c r="AX293" s="377"/>
      <c r="AY293" s="377"/>
      <c r="AZ293" s="377"/>
      <c r="BA293" s="377"/>
      <c r="BB293" s="377"/>
      <c r="BC293" s="377"/>
      <c r="BD293" s="377"/>
      <c r="BE293" s="377"/>
      <c r="BF293" s="377"/>
      <c r="BG293" s="377"/>
      <c r="BH293" s="377"/>
      <c r="BI293" s="377"/>
      <c r="BJ293" s="377"/>
      <c r="BK293" s="377"/>
      <c r="BL293" s="377"/>
      <c r="BM293" s="377"/>
      <c r="BN293" s="377"/>
      <c r="BO293" s="377"/>
      <c r="BP293" s="377"/>
      <c r="BQ293" s="377"/>
      <c r="BR293" s="377"/>
    </row>
    <row r="294" spans="1:70" outlineLevel="1">
      <c r="A294" s="374">
        <f t="shared" si="81"/>
        <v>0</v>
      </c>
      <c r="B294" s="359">
        <v>5401</v>
      </c>
      <c r="C294" s="359">
        <v>1</v>
      </c>
      <c r="D294" s="360" t="s">
        <v>931</v>
      </c>
      <c r="E294" s="360" t="s">
        <v>492</v>
      </c>
      <c r="F294" s="373" t="s">
        <v>454</v>
      </c>
      <c r="G294" s="367"/>
      <c r="H294" s="377"/>
      <c r="I294" s="541">
        <v>-25000000</v>
      </c>
      <c r="J294" s="546"/>
      <c r="K294" s="383"/>
      <c r="L294" s="383"/>
      <c r="M294" s="383"/>
      <c r="N294" s="383"/>
      <c r="O294" s="383"/>
      <c r="P294" s="383"/>
      <c r="Q294" s="383"/>
      <c r="R294" s="383"/>
      <c r="S294" s="377">
        <v>0</v>
      </c>
      <c r="T294" s="377">
        <v>0</v>
      </c>
      <c r="U294" s="377">
        <v>-12500000</v>
      </c>
      <c r="V294" s="377">
        <v>-12500000</v>
      </c>
      <c r="W294" s="377">
        <v>0</v>
      </c>
      <c r="X294" s="377">
        <v>0</v>
      </c>
      <c r="Y294" s="377">
        <v>0</v>
      </c>
      <c r="Z294" s="377"/>
      <c r="AA294" s="377"/>
      <c r="AB294" s="377"/>
      <c r="AC294" s="377"/>
      <c r="AD294" s="377"/>
      <c r="AE294" s="377"/>
      <c r="AF294" s="377"/>
      <c r="AG294" s="377"/>
      <c r="AH294" s="377"/>
      <c r="AI294" s="377"/>
      <c r="AJ294" s="377"/>
      <c r="AK294" s="377"/>
      <c r="AL294" s="377"/>
      <c r="AM294" s="377"/>
      <c r="AN294" s="377"/>
      <c r="AO294" s="377"/>
      <c r="AP294" s="377"/>
      <c r="AQ294" s="377"/>
      <c r="AR294" s="377"/>
      <c r="AS294" s="377"/>
      <c r="AT294" s="377"/>
      <c r="AU294" s="377"/>
      <c r="AV294" s="377"/>
      <c r="AW294" s="377"/>
      <c r="AX294" s="377"/>
      <c r="AY294" s="377"/>
      <c r="AZ294" s="377"/>
      <c r="BA294" s="377"/>
      <c r="BB294" s="377"/>
      <c r="BC294" s="377"/>
      <c r="BD294" s="377"/>
      <c r="BE294" s="377"/>
      <c r="BF294" s="377"/>
      <c r="BG294" s="377"/>
      <c r="BH294" s="377"/>
      <c r="BI294" s="377"/>
      <c r="BJ294" s="377"/>
      <c r="BK294" s="377"/>
      <c r="BL294" s="377"/>
      <c r="BM294" s="377"/>
      <c r="BN294" s="377"/>
      <c r="BO294" s="377"/>
      <c r="BP294" s="377"/>
      <c r="BQ294" s="377"/>
      <c r="BR294" s="377"/>
    </row>
    <row r="295" spans="1:70" outlineLevel="1">
      <c r="A295" s="374">
        <f t="shared" si="81"/>
        <v>0</v>
      </c>
      <c r="B295" s="359">
        <v>5401</v>
      </c>
      <c r="C295" s="359">
        <v>1</v>
      </c>
      <c r="D295" s="360" t="s">
        <v>932</v>
      </c>
      <c r="E295" s="360" t="s">
        <v>492</v>
      </c>
      <c r="F295" s="373" t="s">
        <v>454</v>
      </c>
      <c r="G295" s="367"/>
      <c r="H295" s="377"/>
      <c r="I295" s="541">
        <v>-25000000</v>
      </c>
      <c r="J295" s="546"/>
      <c r="K295" s="383"/>
      <c r="L295" s="383"/>
      <c r="M295" s="383"/>
      <c r="N295" s="383"/>
      <c r="O295" s="383"/>
      <c r="P295" s="383"/>
      <c r="Q295" s="383"/>
      <c r="R295" s="383"/>
      <c r="S295" s="377">
        <v>0</v>
      </c>
      <c r="T295" s="377">
        <v>0</v>
      </c>
      <c r="U295" s="377">
        <v>0</v>
      </c>
      <c r="V295" s="377">
        <v>-12500000</v>
      </c>
      <c r="W295" s="377">
        <v>-12500000</v>
      </c>
      <c r="X295" s="377">
        <v>0</v>
      </c>
      <c r="Y295" s="377">
        <v>0</v>
      </c>
      <c r="Z295" s="377"/>
      <c r="AA295" s="377"/>
      <c r="AB295" s="377"/>
      <c r="AC295" s="377"/>
      <c r="AD295" s="377"/>
      <c r="AE295" s="377"/>
      <c r="AF295" s="377"/>
      <c r="AG295" s="377"/>
      <c r="AH295" s="377"/>
      <c r="AI295" s="377"/>
      <c r="AJ295" s="377"/>
      <c r="AK295" s="377"/>
      <c r="AL295" s="377"/>
      <c r="AM295" s="377"/>
      <c r="AN295" s="377"/>
      <c r="AO295" s="377"/>
      <c r="AP295" s="377"/>
      <c r="AQ295" s="377"/>
      <c r="AR295" s="377"/>
      <c r="AS295" s="377"/>
      <c r="AT295" s="377"/>
      <c r="AU295" s="377"/>
      <c r="AV295" s="377"/>
      <c r="AW295" s="377"/>
      <c r="AX295" s="377"/>
      <c r="AY295" s="377"/>
      <c r="AZ295" s="377"/>
      <c r="BA295" s="377"/>
      <c r="BB295" s="377"/>
      <c r="BC295" s="377"/>
      <c r="BD295" s="377"/>
      <c r="BE295" s="377"/>
      <c r="BF295" s="377"/>
      <c r="BG295" s="377"/>
      <c r="BH295" s="377"/>
      <c r="BI295" s="377"/>
      <c r="BJ295" s="377"/>
      <c r="BK295" s="377"/>
      <c r="BL295" s="377"/>
      <c r="BM295" s="377"/>
      <c r="BN295" s="377"/>
      <c r="BO295" s="377"/>
      <c r="BP295" s="377"/>
      <c r="BQ295" s="377"/>
      <c r="BR295" s="377"/>
    </row>
    <row r="296" spans="1:70" outlineLevel="1">
      <c r="A296" s="374">
        <f t="shared" si="81"/>
        <v>0</v>
      </c>
      <c r="B296" s="359">
        <v>5401</v>
      </c>
      <c r="C296" s="359">
        <v>1</v>
      </c>
      <c r="D296" s="360" t="s">
        <v>933</v>
      </c>
      <c r="E296" s="360" t="s">
        <v>492</v>
      </c>
      <c r="F296" s="373" t="s">
        <v>454</v>
      </c>
      <c r="G296" s="367"/>
      <c r="H296" s="377"/>
      <c r="I296" s="541">
        <v>-25000000</v>
      </c>
      <c r="J296" s="546"/>
      <c r="K296" s="383"/>
      <c r="L296" s="383"/>
      <c r="M296" s="383"/>
      <c r="N296" s="383"/>
      <c r="O296" s="383"/>
      <c r="P296" s="383"/>
      <c r="Q296" s="383"/>
      <c r="R296" s="383"/>
      <c r="S296" s="377">
        <v>0</v>
      </c>
      <c r="T296" s="377">
        <v>0</v>
      </c>
      <c r="U296" s="377">
        <v>-12500000</v>
      </c>
      <c r="V296" s="377">
        <v>-12500000</v>
      </c>
      <c r="W296" s="377">
        <v>0</v>
      </c>
      <c r="X296" s="377">
        <v>0</v>
      </c>
      <c r="Y296" s="377">
        <v>0</v>
      </c>
      <c r="Z296" s="377"/>
      <c r="AA296" s="377"/>
      <c r="AB296" s="377"/>
      <c r="AC296" s="377"/>
      <c r="AD296" s="377"/>
      <c r="AE296" s="377"/>
      <c r="AF296" s="377"/>
      <c r="AG296" s="377"/>
      <c r="AH296" s="377"/>
      <c r="AI296" s="377"/>
      <c r="AJ296" s="377"/>
      <c r="AK296" s="377"/>
      <c r="AL296" s="377"/>
      <c r="AM296" s="377"/>
      <c r="AN296" s="377"/>
      <c r="AO296" s="377"/>
      <c r="AP296" s="377"/>
      <c r="AQ296" s="377"/>
      <c r="AR296" s="377"/>
      <c r="AS296" s="377"/>
      <c r="AT296" s="377"/>
      <c r="AU296" s="377"/>
      <c r="AV296" s="377"/>
      <c r="AW296" s="377"/>
      <c r="AX296" s="377"/>
      <c r="AY296" s="377"/>
      <c r="AZ296" s="377"/>
      <c r="BA296" s="377"/>
      <c r="BB296" s="377"/>
      <c r="BC296" s="377"/>
      <c r="BD296" s="377"/>
      <c r="BE296" s="377"/>
      <c r="BF296" s="377"/>
      <c r="BG296" s="377"/>
      <c r="BH296" s="377"/>
      <c r="BI296" s="377"/>
      <c r="BJ296" s="377"/>
      <c r="BK296" s="377"/>
      <c r="BL296" s="377"/>
      <c r="BM296" s="377"/>
      <c r="BN296" s="377"/>
      <c r="BO296" s="377"/>
      <c r="BP296" s="377"/>
      <c r="BQ296" s="377"/>
      <c r="BR296" s="377"/>
    </row>
    <row r="297" spans="1:70" outlineLevel="1">
      <c r="A297" s="374">
        <f t="shared" ref="A297:A391" si="89">I297-SUM(K297:BR297)</f>
        <v>0</v>
      </c>
      <c r="B297" s="359">
        <v>5401</v>
      </c>
      <c r="C297" s="359">
        <v>1</v>
      </c>
      <c r="D297" s="360" t="s">
        <v>934</v>
      </c>
      <c r="E297" s="360" t="s">
        <v>492</v>
      </c>
      <c r="F297" s="373" t="s">
        <v>454</v>
      </c>
      <c r="G297" s="367"/>
      <c r="H297" s="377"/>
      <c r="I297" s="541">
        <v>-50000000</v>
      </c>
      <c r="J297" s="546"/>
      <c r="K297" s="383"/>
      <c r="L297" s="383"/>
      <c r="M297" s="383"/>
      <c r="N297" s="383"/>
      <c r="O297" s="383"/>
      <c r="P297" s="383"/>
      <c r="Q297" s="383"/>
      <c r="R297" s="383"/>
      <c r="S297" s="377">
        <v>0</v>
      </c>
      <c r="T297" s="377">
        <v>0</v>
      </c>
      <c r="U297" s="377">
        <v>-15000000</v>
      </c>
      <c r="V297" s="377">
        <v>-35000000</v>
      </c>
      <c r="W297" s="377">
        <v>0</v>
      </c>
      <c r="X297" s="377">
        <v>0</v>
      </c>
      <c r="Y297" s="377">
        <v>0</v>
      </c>
      <c r="Z297" s="377"/>
      <c r="AA297" s="377"/>
      <c r="AB297" s="377"/>
      <c r="AC297" s="377"/>
      <c r="AD297" s="377"/>
      <c r="AE297" s="377"/>
      <c r="AF297" s="377"/>
      <c r="AG297" s="377"/>
      <c r="AH297" s="377"/>
      <c r="AI297" s="377"/>
      <c r="AJ297" s="377"/>
      <c r="AK297" s="377"/>
      <c r="AL297" s="377"/>
      <c r="AM297" s="377"/>
      <c r="AN297" s="377"/>
      <c r="AO297" s="377"/>
      <c r="AP297" s="377"/>
      <c r="AQ297" s="377"/>
      <c r="AR297" s="377"/>
      <c r="AS297" s="377"/>
      <c r="AT297" s="377"/>
      <c r="AU297" s="377"/>
      <c r="AV297" s="377"/>
      <c r="AW297" s="377"/>
      <c r="AX297" s="377"/>
      <c r="AY297" s="377"/>
      <c r="AZ297" s="377"/>
      <c r="BA297" s="377"/>
      <c r="BB297" s="377"/>
      <c r="BC297" s="377"/>
      <c r="BD297" s="377"/>
      <c r="BE297" s="377"/>
      <c r="BF297" s="377"/>
      <c r="BG297" s="377"/>
      <c r="BH297" s="377"/>
      <c r="BI297" s="377"/>
      <c r="BJ297" s="377"/>
      <c r="BK297" s="377"/>
      <c r="BL297" s="377"/>
      <c r="BM297" s="377"/>
      <c r="BN297" s="377"/>
      <c r="BO297" s="377"/>
      <c r="BP297" s="377"/>
      <c r="BQ297" s="377"/>
      <c r="BR297" s="377"/>
    </row>
    <row r="298" spans="1:70" outlineLevel="1">
      <c r="A298" s="374">
        <f t="shared" si="89"/>
        <v>0</v>
      </c>
      <c r="B298" s="359">
        <v>5401</v>
      </c>
      <c r="C298" s="359">
        <v>1</v>
      </c>
      <c r="D298" s="360" t="s">
        <v>935</v>
      </c>
      <c r="E298" s="360" t="s">
        <v>492</v>
      </c>
      <c r="F298" s="373" t="s">
        <v>454</v>
      </c>
      <c r="G298" s="367"/>
      <c r="H298" s="377"/>
      <c r="I298" s="541">
        <v>-75000000</v>
      </c>
      <c r="J298" s="546"/>
      <c r="K298" s="383"/>
      <c r="L298" s="383"/>
      <c r="M298" s="383"/>
      <c r="N298" s="383"/>
      <c r="O298" s="383"/>
      <c r="P298" s="383"/>
      <c r="Q298" s="383"/>
      <c r="R298" s="383"/>
      <c r="S298" s="377">
        <v>0</v>
      </c>
      <c r="T298" s="377">
        <v>0</v>
      </c>
      <c r="U298" s="377">
        <v>-20000000</v>
      </c>
      <c r="V298" s="377">
        <v>-55000000</v>
      </c>
      <c r="W298" s="377">
        <v>0</v>
      </c>
      <c r="X298" s="377">
        <v>0</v>
      </c>
      <c r="Y298" s="377">
        <v>0</v>
      </c>
      <c r="Z298" s="377"/>
      <c r="AA298" s="377"/>
      <c r="AB298" s="377"/>
      <c r="AC298" s="377"/>
      <c r="AD298" s="377"/>
      <c r="AE298" s="377"/>
      <c r="AF298" s="377"/>
      <c r="AG298" s="377"/>
      <c r="AH298" s="377"/>
      <c r="AI298" s="377"/>
      <c r="AJ298" s="377"/>
      <c r="AK298" s="377"/>
      <c r="AL298" s="377"/>
      <c r="AM298" s="377"/>
      <c r="AN298" s="377"/>
      <c r="AO298" s="377"/>
      <c r="AP298" s="377"/>
      <c r="AQ298" s="377"/>
      <c r="AR298" s="377"/>
      <c r="AS298" s="377"/>
      <c r="AT298" s="377"/>
      <c r="AU298" s="377"/>
      <c r="AV298" s="377"/>
      <c r="AW298" s="377"/>
      <c r="AX298" s="377"/>
      <c r="AY298" s="377"/>
      <c r="AZ298" s="377"/>
      <c r="BA298" s="377"/>
      <c r="BB298" s="377"/>
      <c r="BC298" s="377"/>
      <c r="BD298" s="377"/>
      <c r="BE298" s="377"/>
      <c r="BF298" s="377"/>
      <c r="BG298" s="377"/>
      <c r="BH298" s="377"/>
      <c r="BI298" s="377"/>
      <c r="BJ298" s="377"/>
      <c r="BK298" s="377"/>
      <c r="BL298" s="377"/>
      <c r="BM298" s="377"/>
      <c r="BN298" s="377"/>
      <c r="BO298" s="377"/>
      <c r="BP298" s="377"/>
      <c r="BQ298" s="377"/>
      <c r="BR298" s="377"/>
    </row>
    <row r="299" spans="1:70" outlineLevel="1">
      <c r="A299" s="374">
        <f t="shared" si="89"/>
        <v>0</v>
      </c>
      <c r="B299" s="359">
        <v>5401</v>
      </c>
      <c r="C299" s="359">
        <v>1</v>
      </c>
      <c r="D299" s="360" t="s">
        <v>936</v>
      </c>
      <c r="E299" s="360" t="s">
        <v>492</v>
      </c>
      <c r="F299" s="373" t="s">
        <v>454</v>
      </c>
      <c r="G299" s="367"/>
      <c r="H299" s="377"/>
      <c r="I299" s="537">
        <v>-25000000</v>
      </c>
      <c r="J299" s="546"/>
      <c r="K299" s="383"/>
      <c r="L299" s="383"/>
      <c r="M299" s="383"/>
      <c r="N299" s="383"/>
      <c r="O299" s="383"/>
      <c r="P299" s="383"/>
      <c r="Q299" s="383"/>
      <c r="R299" s="383"/>
      <c r="S299" s="377">
        <v>0</v>
      </c>
      <c r="T299" s="377">
        <v>0</v>
      </c>
      <c r="U299" s="377">
        <v>0</v>
      </c>
      <c r="V299" s="377">
        <v>0</v>
      </c>
      <c r="W299" s="377">
        <v>-25000000</v>
      </c>
      <c r="X299" s="377">
        <v>0</v>
      </c>
      <c r="Y299" s="377">
        <v>0</v>
      </c>
      <c r="Z299" s="377"/>
      <c r="AA299" s="377"/>
      <c r="AB299" s="377"/>
      <c r="AC299" s="377"/>
      <c r="AD299" s="377"/>
      <c r="AE299" s="377"/>
      <c r="AF299" s="377"/>
      <c r="AG299" s="377"/>
      <c r="AH299" s="377"/>
      <c r="AI299" s="377"/>
      <c r="AJ299" s="377"/>
      <c r="AK299" s="377"/>
      <c r="AL299" s="377"/>
      <c r="AM299" s="377"/>
      <c r="AN299" s="377"/>
      <c r="AO299" s="377"/>
      <c r="AP299" s="377"/>
      <c r="AQ299" s="377"/>
      <c r="AR299" s="377"/>
      <c r="AS299" s="377"/>
      <c r="AT299" s="377"/>
      <c r="AU299" s="377"/>
      <c r="AV299" s="377"/>
      <c r="AW299" s="377"/>
      <c r="AX299" s="377"/>
      <c r="AY299" s="377"/>
      <c r="AZ299" s="377"/>
      <c r="BA299" s="377"/>
      <c r="BB299" s="377"/>
      <c r="BC299" s="377"/>
      <c r="BD299" s="377"/>
      <c r="BE299" s="377"/>
      <c r="BF299" s="377"/>
      <c r="BG299" s="377"/>
      <c r="BH299" s="377"/>
      <c r="BI299" s="377"/>
      <c r="BJ299" s="377"/>
      <c r="BK299" s="377"/>
      <c r="BL299" s="377"/>
      <c r="BM299" s="377"/>
      <c r="BN299" s="377"/>
      <c r="BO299" s="377"/>
      <c r="BP299" s="377"/>
      <c r="BQ299" s="377"/>
      <c r="BR299" s="377"/>
    </row>
    <row r="300" spans="1:70" outlineLevel="1">
      <c r="A300" s="374">
        <f t="shared" si="89"/>
        <v>0</v>
      </c>
      <c r="B300" s="359">
        <v>5402</v>
      </c>
      <c r="C300" s="359">
        <v>1</v>
      </c>
      <c r="D300" s="360" t="s">
        <v>937</v>
      </c>
      <c r="E300" s="360" t="s">
        <v>492</v>
      </c>
      <c r="F300" s="373" t="s">
        <v>454</v>
      </c>
      <c r="G300" s="367">
        <f>I300/'DB1'!$G$18</f>
        <v>-7045.7776504057756</v>
      </c>
      <c r="H300" s="377"/>
      <c r="I300" s="537">
        <v>-800000000</v>
      </c>
      <c r="J300" s="546"/>
      <c r="K300" s="383"/>
      <c r="L300" s="383"/>
      <c r="M300" s="383"/>
      <c r="N300" s="383"/>
      <c r="O300" s="383"/>
      <c r="P300" s="383"/>
      <c r="Q300" s="383"/>
      <c r="R300" s="383"/>
      <c r="S300" s="377">
        <v>0</v>
      </c>
      <c r="T300" s="377">
        <v>0</v>
      </c>
      <c r="U300" s="377">
        <v>0</v>
      </c>
      <c r="V300" s="377">
        <v>-250000000</v>
      </c>
      <c r="W300" s="377">
        <v>-310000000</v>
      </c>
      <c r="X300" s="377">
        <v>-240000000</v>
      </c>
      <c r="Y300" s="377"/>
      <c r="Z300" s="377"/>
      <c r="AA300" s="377"/>
      <c r="AB300" s="377"/>
      <c r="AC300" s="377"/>
      <c r="AD300" s="377"/>
      <c r="AE300" s="377"/>
      <c r="AF300" s="377"/>
      <c r="AG300" s="377"/>
      <c r="AH300" s="377"/>
      <c r="AI300" s="377"/>
      <c r="AJ300" s="377"/>
      <c r="AK300" s="377"/>
      <c r="AL300" s="377"/>
      <c r="AM300" s="377"/>
      <c r="AN300" s="377"/>
      <c r="AO300" s="377"/>
      <c r="AP300" s="377"/>
      <c r="AQ300" s="377"/>
      <c r="AR300" s="377"/>
      <c r="AS300" s="377"/>
      <c r="AT300" s="377"/>
      <c r="AU300" s="377"/>
      <c r="AV300" s="377"/>
      <c r="AW300" s="377"/>
      <c r="AX300" s="377"/>
      <c r="AY300" s="377"/>
      <c r="AZ300" s="377"/>
      <c r="BA300" s="377"/>
      <c r="BB300" s="377"/>
      <c r="BC300" s="377"/>
      <c r="BD300" s="377"/>
      <c r="BE300" s="377"/>
      <c r="BF300" s="377"/>
      <c r="BG300" s="377"/>
      <c r="BH300" s="377"/>
      <c r="BI300" s="377"/>
      <c r="BJ300" s="377"/>
      <c r="BK300" s="377"/>
      <c r="BL300" s="377"/>
      <c r="BM300" s="377"/>
      <c r="BN300" s="377"/>
      <c r="BO300" s="377"/>
      <c r="BP300" s="377"/>
      <c r="BQ300" s="377"/>
      <c r="BR300" s="377"/>
    </row>
    <row r="301" spans="1:70" outlineLevel="1">
      <c r="A301" s="374">
        <f t="shared" si="89"/>
        <v>0</v>
      </c>
      <c r="B301" s="359"/>
      <c r="C301" s="359"/>
      <c r="D301" s="360"/>
      <c r="E301" s="360"/>
      <c r="F301" s="373"/>
      <c r="G301" s="360"/>
      <c r="H301" s="377"/>
      <c r="I301" s="537"/>
      <c r="J301" s="546"/>
      <c r="K301" s="383"/>
      <c r="L301" s="383"/>
      <c r="M301" s="383"/>
      <c r="N301" s="383"/>
      <c r="O301" s="383"/>
      <c r="P301" s="383"/>
      <c r="Q301" s="383"/>
      <c r="R301" s="383"/>
      <c r="S301" s="377"/>
      <c r="T301" s="377"/>
      <c r="U301" s="377">
        <v>0</v>
      </c>
      <c r="V301" s="377">
        <v>0</v>
      </c>
      <c r="W301" s="377">
        <v>0</v>
      </c>
      <c r="X301" s="377">
        <v>0</v>
      </c>
      <c r="Y301" s="377">
        <v>0</v>
      </c>
      <c r="Z301" s="377"/>
      <c r="AA301" s="377"/>
      <c r="AB301" s="377"/>
      <c r="AC301" s="377"/>
      <c r="AD301" s="377"/>
      <c r="AE301" s="377"/>
      <c r="AF301" s="377"/>
      <c r="AG301" s="377"/>
      <c r="AH301" s="377"/>
      <c r="AI301" s="377"/>
      <c r="AJ301" s="377"/>
      <c r="AK301" s="377"/>
      <c r="AL301" s="377"/>
      <c r="AM301" s="377"/>
      <c r="AN301" s="377"/>
      <c r="AO301" s="377"/>
      <c r="AP301" s="377"/>
      <c r="AQ301" s="377"/>
      <c r="AR301" s="377"/>
      <c r="AS301" s="377"/>
      <c r="AT301" s="377"/>
      <c r="AU301" s="377"/>
      <c r="AV301" s="377"/>
      <c r="AW301" s="377"/>
      <c r="AX301" s="377"/>
      <c r="AY301" s="377"/>
      <c r="AZ301" s="377"/>
      <c r="BA301" s="377"/>
      <c r="BB301" s="377"/>
      <c r="BC301" s="377"/>
      <c r="BD301" s="377"/>
      <c r="BE301" s="377"/>
      <c r="BF301" s="377"/>
      <c r="BG301" s="377"/>
      <c r="BH301" s="377"/>
      <c r="BI301" s="377"/>
      <c r="BJ301" s="377"/>
      <c r="BK301" s="377"/>
      <c r="BL301" s="377"/>
      <c r="BM301" s="377"/>
      <c r="BN301" s="377"/>
      <c r="BO301" s="377"/>
      <c r="BP301" s="377"/>
      <c r="BQ301" s="377"/>
      <c r="BR301" s="377"/>
    </row>
    <row r="302" spans="1:70" outlineLevel="1">
      <c r="A302" s="374">
        <f t="shared" si="89"/>
        <v>0</v>
      </c>
      <c r="B302" s="359">
        <v>5405</v>
      </c>
      <c r="C302" s="359">
        <v>1</v>
      </c>
      <c r="D302" s="552" t="s">
        <v>881</v>
      </c>
      <c r="E302" s="360" t="s">
        <v>492</v>
      </c>
      <c r="F302" s="373" t="s">
        <v>454</v>
      </c>
      <c r="G302" s="367">
        <f>I302/116</f>
        <v>-862068.96551724139</v>
      </c>
      <c r="H302" s="377"/>
      <c r="I302" s="537">
        <v>-100000000</v>
      </c>
      <c r="J302" s="546"/>
      <c r="K302" s="383"/>
      <c r="L302" s="383"/>
      <c r="M302" s="383"/>
      <c r="N302" s="383"/>
      <c r="O302" s="383"/>
      <c r="P302" s="383"/>
      <c r="Q302" s="383"/>
      <c r="R302" s="383"/>
      <c r="S302" s="377"/>
      <c r="T302" s="377"/>
      <c r="U302" s="377">
        <v>-100000000</v>
      </c>
      <c r="V302" s="377">
        <v>0</v>
      </c>
      <c r="W302" s="377">
        <v>0</v>
      </c>
      <c r="X302" s="377">
        <v>0</v>
      </c>
      <c r="Y302" s="377">
        <v>0</v>
      </c>
      <c r="Z302" s="377"/>
      <c r="AA302" s="377"/>
      <c r="AB302" s="377"/>
      <c r="AC302" s="377"/>
      <c r="AD302" s="377"/>
      <c r="AE302" s="377"/>
      <c r="AF302" s="377"/>
      <c r="AG302" s="377"/>
      <c r="AH302" s="377"/>
      <c r="AI302" s="377"/>
      <c r="AJ302" s="377"/>
      <c r="AK302" s="377"/>
      <c r="AL302" s="377"/>
      <c r="AM302" s="377"/>
      <c r="AN302" s="377"/>
      <c r="AO302" s="377"/>
      <c r="AP302" s="377"/>
      <c r="AQ302" s="377"/>
      <c r="AR302" s="377"/>
      <c r="AS302" s="377"/>
      <c r="AT302" s="377"/>
      <c r="AU302" s="377"/>
      <c r="AV302" s="377"/>
      <c r="AW302" s="377"/>
      <c r="AX302" s="377"/>
      <c r="AY302" s="377"/>
      <c r="AZ302" s="377"/>
      <c r="BA302" s="377"/>
      <c r="BB302" s="377"/>
      <c r="BC302" s="377"/>
      <c r="BD302" s="377"/>
      <c r="BE302" s="377"/>
      <c r="BF302" s="377"/>
      <c r="BG302" s="377"/>
      <c r="BH302" s="377"/>
      <c r="BI302" s="377"/>
      <c r="BJ302" s="377"/>
      <c r="BK302" s="377"/>
      <c r="BL302" s="377"/>
      <c r="BM302" s="377"/>
      <c r="BN302" s="377"/>
      <c r="BO302" s="377"/>
      <c r="BP302" s="377"/>
      <c r="BQ302" s="377"/>
      <c r="BR302" s="377"/>
    </row>
    <row r="303" spans="1:70" outlineLevel="1">
      <c r="A303" s="374">
        <f t="shared" si="89"/>
        <v>0</v>
      </c>
      <c r="B303" s="359"/>
      <c r="C303" s="359"/>
      <c r="D303" s="360"/>
      <c r="E303" s="360"/>
      <c r="F303" s="373"/>
      <c r="G303" s="360"/>
      <c r="H303" s="377"/>
      <c r="I303" s="537"/>
      <c r="J303" s="546"/>
      <c r="K303" s="383"/>
      <c r="L303" s="383"/>
      <c r="M303" s="383"/>
      <c r="N303" s="383"/>
      <c r="O303" s="383"/>
      <c r="P303" s="383"/>
      <c r="Q303" s="383"/>
      <c r="R303" s="383"/>
      <c r="S303" s="377"/>
      <c r="T303" s="377"/>
      <c r="U303" s="377">
        <v>0</v>
      </c>
      <c r="V303" s="377">
        <v>0</v>
      </c>
      <c r="W303" s="377">
        <v>0</v>
      </c>
      <c r="X303" s="377">
        <v>0</v>
      </c>
      <c r="Y303" s="377">
        <v>0</v>
      </c>
      <c r="Z303" s="377"/>
      <c r="AA303" s="377"/>
      <c r="AB303" s="377"/>
      <c r="AC303" s="377"/>
      <c r="AD303" s="377"/>
      <c r="AE303" s="377"/>
      <c r="AF303" s="377"/>
      <c r="AG303" s="377"/>
      <c r="AH303" s="377"/>
      <c r="AI303" s="377"/>
      <c r="AJ303" s="377"/>
      <c r="AK303" s="377"/>
      <c r="AL303" s="377"/>
      <c r="AM303" s="377"/>
      <c r="AN303" s="377"/>
      <c r="AO303" s="377"/>
      <c r="AP303" s="377"/>
      <c r="AQ303" s="377"/>
      <c r="AR303" s="377"/>
      <c r="AS303" s="377"/>
      <c r="AT303" s="377"/>
      <c r="AU303" s="377"/>
      <c r="AV303" s="377"/>
      <c r="AW303" s="377"/>
      <c r="AX303" s="377"/>
      <c r="AY303" s="377"/>
      <c r="AZ303" s="377"/>
      <c r="BA303" s="377"/>
      <c r="BB303" s="377"/>
      <c r="BC303" s="377"/>
      <c r="BD303" s="377"/>
      <c r="BE303" s="377"/>
      <c r="BF303" s="377"/>
      <c r="BG303" s="377"/>
      <c r="BH303" s="377"/>
      <c r="BI303" s="377"/>
      <c r="BJ303" s="377"/>
      <c r="BK303" s="377"/>
      <c r="BL303" s="377"/>
      <c r="BM303" s="377"/>
      <c r="BN303" s="377"/>
      <c r="BO303" s="377"/>
      <c r="BP303" s="377"/>
      <c r="BQ303" s="377"/>
      <c r="BR303" s="377"/>
    </row>
    <row r="304" spans="1:70" outlineLevel="1">
      <c r="A304" s="374">
        <f t="shared" si="89"/>
        <v>0</v>
      </c>
      <c r="B304" s="359"/>
      <c r="C304" s="359"/>
      <c r="D304" s="360"/>
      <c r="E304" s="360"/>
      <c r="F304" s="696"/>
      <c r="G304" s="360"/>
      <c r="H304" s="377"/>
      <c r="I304" s="537"/>
      <c r="J304" s="546"/>
      <c r="K304" s="383"/>
      <c r="L304" s="383"/>
      <c r="M304" s="383"/>
      <c r="N304" s="383"/>
      <c r="O304" s="383"/>
      <c r="P304" s="383"/>
      <c r="Q304" s="383"/>
      <c r="R304" s="383"/>
      <c r="S304" s="377"/>
      <c r="T304" s="377"/>
      <c r="U304" s="377"/>
      <c r="V304" s="377"/>
      <c r="W304" s="377"/>
      <c r="X304" s="377"/>
      <c r="Y304" s="377"/>
      <c r="Z304" s="377"/>
      <c r="AA304" s="377"/>
      <c r="AB304" s="377"/>
      <c r="AC304" s="377"/>
      <c r="AD304" s="377"/>
      <c r="AE304" s="377"/>
      <c r="AF304" s="377"/>
      <c r="AG304" s="377"/>
      <c r="AH304" s="377"/>
      <c r="AI304" s="377"/>
      <c r="AJ304" s="377"/>
      <c r="AK304" s="377"/>
      <c r="AL304" s="377"/>
      <c r="AM304" s="377"/>
      <c r="AN304" s="377"/>
      <c r="AO304" s="377"/>
      <c r="AP304" s="377"/>
      <c r="AQ304" s="377"/>
      <c r="AR304" s="377"/>
      <c r="AS304" s="377"/>
      <c r="AT304" s="377"/>
      <c r="AU304" s="377"/>
      <c r="AV304" s="377"/>
      <c r="AW304" s="377"/>
      <c r="AX304" s="377"/>
      <c r="AY304" s="377"/>
      <c r="AZ304" s="377"/>
      <c r="BA304" s="377"/>
      <c r="BB304" s="377"/>
      <c r="BC304" s="377"/>
      <c r="BD304" s="377"/>
      <c r="BE304" s="377"/>
      <c r="BF304" s="377"/>
      <c r="BG304" s="377"/>
      <c r="BH304" s="377"/>
      <c r="BI304" s="377"/>
      <c r="BJ304" s="377"/>
      <c r="BK304" s="377"/>
      <c r="BL304" s="377"/>
      <c r="BM304" s="377"/>
      <c r="BN304" s="377"/>
      <c r="BO304" s="377"/>
      <c r="BP304" s="377"/>
      <c r="BQ304" s="377"/>
      <c r="BR304" s="377"/>
    </row>
    <row r="305" spans="1:70" outlineLevel="1">
      <c r="A305" s="374">
        <f t="shared" si="89"/>
        <v>0</v>
      </c>
      <c r="B305" s="359"/>
      <c r="C305" s="359"/>
      <c r="D305" s="360"/>
      <c r="E305" s="360"/>
      <c r="F305" s="373"/>
      <c r="G305" s="360"/>
      <c r="H305" s="377"/>
      <c r="I305" s="537"/>
      <c r="J305" s="546"/>
      <c r="K305" s="383"/>
      <c r="L305" s="383"/>
      <c r="M305" s="383"/>
      <c r="N305" s="383"/>
      <c r="O305" s="383"/>
      <c r="P305" s="383"/>
      <c r="Q305" s="383"/>
      <c r="R305" s="383"/>
      <c r="S305" s="377"/>
      <c r="T305" s="377"/>
      <c r="U305" s="377"/>
      <c r="V305" s="377"/>
      <c r="W305" s="377"/>
      <c r="X305" s="377"/>
      <c r="Y305" s="377"/>
      <c r="Z305" s="377"/>
      <c r="AA305" s="377"/>
      <c r="AB305" s="377"/>
      <c r="AC305" s="377"/>
      <c r="AD305" s="377"/>
      <c r="AE305" s="377"/>
      <c r="AF305" s="377"/>
      <c r="AG305" s="377"/>
      <c r="AH305" s="377"/>
      <c r="AI305" s="377"/>
      <c r="AJ305" s="377"/>
      <c r="AK305" s="377"/>
      <c r="AL305" s="377"/>
      <c r="AM305" s="377"/>
      <c r="AN305" s="377"/>
      <c r="AO305" s="377"/>
      <c r="AP305" s="377"/>
      <c r="AQ305" s="377"/>
      <c r="AR305" s="377"/>
      <c r="AS305" s="377"/>
      <c r="AT305" s="377"/>
      <c r="AU305" s="377"/>
      <c r="AV305" s="377"/>
      <c r="AW305" s="377"/>
      <c r="AX305" s="377"/>
      <c r="AY305" s="377"/>
      <c r="AZ305" s="377"/>
      <c r="BA305" s="377"/>
      <c r="BB305" s="377"/>
      <c r="BC305" s="377"/>
      <c r="BD305" s="377"/>
      <c r="BE305" s="377"/>
      <c r="BF305" s="377"/>
      <c r="BG305" s="377"/>
      <c r="BH305" s="377"/>
      <c r="BI305" s="377"/>
      <c r="BJ305" s="377"/>
      <c r="BK305" s="377"/>
      <c r="BL305" s="377"/>
      <c r="BM305" s="377"/>
      <c r="BN305" s="377"/>
      <c r="BO305" s="377"/>
      <c r="BP305" s="377"/>
      <c r="BQ305" s="377"/>
      <c r="BR305" s="377"/>
    </row>
    <row r="306" spans="1:70" outlineLevel="1">
      <c r="A306" s="374">
        <f t="shared" si="89"/>
        <v>0</v>
      </c>
      <c r="B306" s="359"/>
      <c r="C306" s="359"/>
      <c r="D306" s="360"/>
      <c r="E306" s="360"/>
      <c r="F306" s="373"/>
      <c r="G306" s="360"/>
      <c r="H306" s="377"/>
      <c r="I306" s="537"/>
      <c r="J306" s="546"/>
      <c r="K306" s="383"/>
      <c r="L306" s="383"/>
      <c r="M306" s="383"/>
      <c r="N306" s="383"/>
      <c r="O306" s="383"/>
      <c r="P306" s="383"/>
      <c r="Q306" s="383"/>
      <c r="R306" s="383"/>
      <c r="S306" s="377"/>
      <c r="T306" s="377"/>
      <c r="U306" s="377"/>
      <c r="V306" s="377"/>
      <c r="W306" s="377"/>
      <c r="X306" s="377"/>
      <c r="Y306" s="377"/>
      <c r="Z306" s="377"/>
      <c r="AA306" s="377"/>
      <c r="AB306" s="377"/>
      <c r="AC306" s="377"/>
      <c r="AD306" s="377"/>
      <c r="AE306" s="377"/>
      <c r="AF306" s="377"/>
      <c r="AG306" s="377"/>
      <c r="AH306" s="377"/>
      <c r="AI306" s="377"/>
      <c r="AJ306" s="377"/>
      <c r="AK306" s="377"/>
      <c r="AL306" s="377"/>
      <c r="AM306" s="377"/>
      <c r="AN306" s="377"/>
      <c r="AO306" s="377"/>
      <c r="AP306" s="377"/>
      <c r="AQ306" s="377"/>
      <c r="AR306" s="377"/>
      <c r="AS306" s="377"/>
      <c r="AT306" s="377"/>
      <c r="AU306" s="377"/>
      <c r="AV306" s="377"/>
      <c r="AW306" s="377"/>
      <c r="AX306" s="377"/>
      <c r="AY306" s="377"/>
      <c r="AZ306" s="377"/>
      <c r="BA306" s="377"/>
      <c r="BB306" s="377"/>
      <c r="BC306" s="377"/>
      <c r="BD306" s="377"/>
      <c r="BE306" s="377"/>
      <c r="BF306" s="377"/>
      <c r="BG306" s="377"/>
      <c r="BH306" s="377"/>
      <c r="BI306" s="377"/>
      <c r="BJ306" s="377"/>
      <c r="BK306" s="377"/>
      <c r="BL306" s="377"/>
      <c r="BM306" s="377"/>
      <c r="BN306" s="377"/>
      <c r="BO306" s="377"/>
      <c r="BP306" s="377"/>
      <c r="BQ306" s="377"/>
      <c r="BR306" s="377"/>
    </row>
    <row r="307" spans="1:70" outlineLevel="1">
      <c r="A307" s="374">
        <f t="shared" si="89"/>
        <v>0</v>
      </c>
      <c r="B307" s="359"/>
      <c r="C307" s="359"/>
      <c r="D307" s="360"/>
      <c r="E307" s="360"/>
      <c r="F307" s="373"/>
      <c r="G307" s="360"/>
      <c r="H307" s="377"/>
      <c r="I307" s="537"/>
      <c r="J307" s="546"/>
      <c r="K307" s="383"/>
      <c r="L307" s="383"/>
      <c r="M307" s="383"/>
      <c r="N307" s="383"/>
      <c r="O307" s="383"/>
      <c r="P307" s="383"/>
      <c r="Q307" s="383"/>
      <c r="R307" s="383"/>
      <c r="S307" s="377"/>
      <c r="T307" s="377"/>
      <c r="U307" s="377"/>
      <c r="V307" s="377"/>
      <c r="W307" s="377"/>
      <c r="X307" s="377"/>
      <c r="Y307" s="377"/>
      <c r="Z307" s="377"/>
      <c r="AA307" s="377"/>
      <c r="AB307" s="377"/>
      <c r="AC307" s="377"/>
      <c r="AD307" s="377"/>
      <c r="AE307" s="377"/>
      <c r="AF307" s="377"/>
      <c r="AG307" s="377"/>
      <c r="AH307" s="377"/>
      <c r="AI307" s="377"/>
      <c r="AJ307" s="377"/>
      <c r="AK307" s="377"/>
      <c r="AL307" s="377"/>
      <c r="AM307" s="377"/>
      <c r="AN307" s="377"/>
      <c r="AO307" s="377"/>
      <c r="AP307" s="377"/>
      <c r="AQ307" s="377"/>
      <c r="AR307" s="377"/>
      <c r="AS307" s="377"/>
      <c r="AT307" s="377"/>
      <c r="AU307" s="377"/>
      <c r="AV307" s="377"/>
      <c r="AW307" s="377"/>
      <c r="AX307" s="377"/>
      <c r="AY307" s="377"/>
      <c r="AZ307" s="377"/>
      <c r="BA307" s="377"/>
      <c r="BB307" s="377"/>
      <c r="BC307" s="377"/>
      <c r="BD307" s="377"/>
      <c r="BE307" s="377"/>
      <c r="BF307" s="377"/>
      <c r="BG307" s="377"/>
      <c r="BH307" s="377"/>
      <c r="BI307" s="377"/>
      <c r="BJ307" s="377"/>
      <c r="BK307" s="377"/>
      <c r="BL307" s="377"/>
      <c r="BM307" s="377"/>
      <c r="BN307" s="377"/>
      <c r="BO307" s="377"/>
      <c r="BP307" s="377"/>
      <c r="BQ307" s="377"/>
      <c r="BR307" s="377"/>
    </row>
    <row r="308" spans="1:70" outlineLevel="1">
      <c r="A308" s="374">
        <f t="shared" si="89"/>
        <v>0</v>
      </c>
      <c r="B308" s="359">
        <v>5405</v>
      </c>
      <c r="C308" s="359">
        <v>2</v>
      </c>
      <c r="D308" s="552" t="s">
        <v>453</v>
      </c>
      <c r="E308" s="360" t="s">
        <v>492</v>
      </c>
      <c r="F308" s="366" t="s">
        <v>448</v>
      </c>
      <c r="G308" s="367">
        <f>I308/'DB2'!G18</f>
        <v>-128357.00202285488</v>
      </c>
      <c r="H308" s="377"/>
      <c r="I308" s="540">
        <f>'DB2'!$J$33*-1000000-SUMIFS($I$310:$I$316,$C$310:$C$316,$C$308)</f>
        <v>-12400569452.000002</v>
      </c>
      <c r="J308" s="546"/>
      <c r="K308" s="383"/>
      <c r="L308" s="383"/>
      <c r="M308" s="383"/>
      <c r="N308" s="383"/>
      <c r="O308" s="383"/>
      <c r="P308" s="383"/>
      <c r="Q308" s="383"/>
      <c r="R308" s="383"/>
      <c r="S308" s="377">
        <f>$I308*'TS2'!N25</f>
        <v>0</v>
      </c>
      <c r="T308" s="377">
        <f>$I308*'TS2'!O25</f>
        <v>0</v>
      </c>
      <c r="U308" s="377">
        <f>$I308*'TS2'!P25</f>
        <v>0</v>
      </c>
      <c r="V308" s="377">
        <f>$I308*'TS2'!Q25</f>
        <v>0</v>
      </c>
      <c r="W308" s="377">
        <f>$I308*'TS2'!R25</f>
        <v>0</v>
      </c>
      <c r="X308" s="377">
        <f>$I308*'TS2'!S25</f>
        <v>0</v>
      </c>
      <c r="Y308" s="377">
        <f>$I308*'TS2'!T25</f>
        <v>0</v>
      </c>
      <c r="Z308" s="377">
        <f>$I308*'TS2'!U25</f>
        <v>0</v>
      </c>
      <c r="AA308" s="377">
        <f>$I308*'TS2'!V25</f>
        <v>0</v>
      </c>
      <c r="AB308" s="377">
        <f>$I308*'TS2'!W25</f>
        <v>0</v>
      </c>
      <c r="AC308" s="377">
        <f>$I308*'TS2'!X25</f>
        <v>-1033380787.6666667</v>
      </c>
      <c r="AD308" s="377">
        <f>$I308*'TS2'!Y25</f>
        <v>-1033380787.6666667</v>
      </c>
      <c r="AE308" s="377">
        <f>$I308*'TS2'!Z25</f>
        <v>-1033380787.6666667</v>
      </c>
      <c r="AF308" s="377">
        <f>$I308*'TS2'!AA25</f>
        <v>-1033380787.6666667</v>
      </c>
      <c r="AG308" s="377">
        <f>$I308*'TS2'!AB25</f>
        <v>-1033380787.6666667</v>
      </c>
      <c r="AH308" s="377">
        <f>$I308*'TS2'!AC25</f>
        <v>-1033380787.6666667</v>
      </c>
      <c r="AI308" s="377">
        <f>$I308*'TS2'!AD25</f>
        <v>-1033380787.6666667</v>
      </c>
      <c r="AJ308" s="377">
        <f>$I308*'TS2'!AE25</f>
        <v>-1033380787.6666667</v>
      </c>
      <c r="AK308" s="377">
        <f>$I308*'TS2'!AF25</f>
        <v>-1033380787.6666667</v>
      </c>
      <c r="AL308" s="377">
        <f>$I308*'TS2'!AG25</f>
        <v>-1033380787.6666667</v>
      </c>
      <c r="AM308" s="377">
        <f>$I308*'TS2'!AH25</f>
        <v>-1033380787.6666667</v>
      </c>
      <c r="AN308" s="377">
        <f>$I308*'TS2'!AI25</f>
        <v>-1033380787.6666667</v>
      </c>
      <c r="AO308" s="377">
        <f>$I308*'TS2'!AJ25</f>
        <v>0</v>
      </c>
      <c r="AP308" s="377">
        <f>$I308*'TS2'!AK25</f>
        <v>0</v>
      </c>
      <c r="AQ308" s="377">
        <f>$I308*'TS2'!AL25</f>
        <v>0</v>
      </c>
      <c r="AR308" s="377">
        <f>$I308*'TS2'!AM25</f>
        <v>0</v>
      </c>
      <c r="AS308" s="377">
        <f>$I308*'TS2'!AN25</f>
        <v>0</v>
      </c>
      <c r="AT308" s="377">
        <f>$I308*'TS2'!AO25</f>
        <v>0</v>
      </c>
      <c r="AU308" s="377">
        <f>$I308*'TS2'!AP25</f>
        <v>0</v>
      </c>
      <c r="AV308" s="377">
        <f>$I308*'TS2'!AQ25</f>
        <v>0</v>
      </c>
      <c r="AW308" s="377">
        <f>$I308*'TS2'!AR25</f>
        <v>0</v>
      </c>
      <c r="AX308" s="377">
        <f>$I308*'TS2'!AS25</f>
        <v>0</v>
      </c>
      <c r="AY308" s="377">
        <f>$I308*'TS2'!AT25</f>
        <v>0</v>
      </c>
      <c r="AZ308" s="377">
        <f>$I308*'TS2'!AU25</f>
        <v>0</v>
      </c>
      <c r="BA308" s="377">
        <f>$I308*'TS2'!AV25</f>
        <v>0</v>
      </c>
      <c r="BB308" s="377">
        <f>$I308*'TS2'!AW25</f>
        <v>0</v>
      </c>
      <c r="BC308" s="377">
        <f>$I308*'TS2'!AX25</f>
        <v>0</v>
      </c>
      <c r="BD308" s="377">
        <f>$I308*'TS2'!AY25</f>
        <v>0</v>
      </c>
      <c r="BE308" s="377">
        <f>$I308*'TS2'!AZ25</f>
        <v>0</v>
      </c>
      <c r="BF308" s="377">
        <f>$I308*'TS2'!BA25</f>
        <v>0</v>
      </c>
      <c r="BG308" s="377">
        <f>$I308*'TS2'!BB25</f>
        <v>0</v>
      </c>
      <c r="BH308" s="377">
        <f>$I308*'TS2'!BC25</f>
        <v>0</v>
      </c>
      <c r="BI308" s="377">
        <f>$I308*'TS2'!BD25</f>
        <v>0</v>
      </c>
      <c r="BJ308" s="377">
        <f>$I308*'TS2'!BE25</f>
        <v>0</v>
      </c>
      <c r="BK308" s="377">
        <f>$I308*'TS2'!BF25</f>
        <v>0</v>
      </c>
      <c r="BL308" s="377">
        <f>$I308*'TS2'!BG25</f>
        <v>0</v>
      </c>
      <c r="BM308" s="377">
        <f>$I308*'TS2'!BH25</f>
        <v>0</v>
      </c>
      <c r="BN308" s="377">
        <f>$I308*'TS2'!BI25</f>
        <v>0</v>
      </c>
      <c r="BO308" s="377">
        <f>$I308*'TS2'!BJ25</f>
        <v>0</v>
      </c>
      <c r="BP308" s="377">
        <f>$I308*'TS2'!BK25</f>
        <v>0</v>
      </c>
      <c r="BQ308" s="377">
        <f>$I308*'TS2'!BL25</f>
        <v>0</v>
      </c>
      <c r="BR308" s="377">
        <f>$I308*'TS2'!BM25</f>
        <v>0</v>
      </c>
    </row>
    <row r="309" spans="1:70" outlineLevel="1">
      <c r="A309" s="374">
        <f t="shared" si="89"/>
        <v>0</v>
      </c>
      <c r="B309" s="359"/>
      <c r="C309" s="359"/>
      <c r="D309" s="360"/>
      <c r="E309" s="360"/>
      <c r="F309" s="373"/>
      <c r="G309" s="360"/>
      <c r="H309" s="377"/>
      <c r="I309" s="537"/>
      <c r="J309" s="546"/>
      <c r="K309" s="383"/>
      <c r="L309" s="383"/>
      <c r="M309" s="383"/>
      <c r="N309" s="383"/>
      <c r="O309" s="383"/>
      <c r="P309" s="383"/>
      <c r="Q309" s="383"/>
      <c r="R309" s="383"/>
      <c r="S309" s="377"/>
      <c r="T309" s="377"/>
      <c r="U309" s="377"/>
      <c r="V309" s="377"/>
      <c r="W309" s="377"/>
      <c r="X309" s="377"/>
      <c r="Y309" s="377"/>
      <c r="Z309" s="377"/>
      <c r="AA309" s="377"/>
      <c r="AB309" s="377"/>
      <c r="AC309" s="377"/>
      <c r="AD309" s="377"/>
      <c r="AE309" s="377"/>
      <c r="AF309" s="377"/>
      <c r="AG309" s="377"/>
      <c r="AH309" s="377"/>
      <c r="AI309" s="377"/>
      <c r="AJ309" s="377"/>
      <c r="AK309" s="377"/>
      <c r="AL309" s="377"/>
      <c r="AM309" s="377"/>
      <c r="AN309" s="377"/>
      <c r="AO309" s="377"/>
      <c r="AP309" s="377"/>
      <c r="AQ309" s="377"/>
      <c r="AR309" s="377"/>
      <c r="AS309" s="377"/>
      <c r="AT309" s="377"/>
      <c r="AU309" s="377"/>
      <c r="AV309" s="377"/>
      <c r="AW309" s="377"/>
      <c r="AX309" s="377"/>
      <c r="AY309" s="377"/>
      <c r="AZ309" s="377"/>
      <c r="BA309" s="377"/>
      <c r="BB309" s="377"/>
      <c r="BC309" s="377"/>
      <c r="BD309" s="377"/>
      <c r="BE309" s="377"/>
      <c r="BF309" s="377"/>
      <c r="BG309" s="377"/>
      <c r="BH309" s="377"/>
      <c r="BI309" s="377"/>
      <c r="BJ309" s="377"/>
      <c r="BK309" s="377"/>
      <c r="BL309" s="377"/>
      <c r="BM309" s="377"/>
      <c r="BN309" s="377"/>
      <c r="BO309" s="377"/>
      <c r="BP309" s="377"/>
      <c r="BQ309" s="377"/>
      <c r="BR309" s="377"/>
    </row>
    <row r="310" spans="1:70" outlineLevel="1">
      <c r="A310" s="374">
        <f t="shared" si="89"/>
        <v>0</v>
      </c>
      <c r="B310" s="359">
        <v>5401</v>
      </c>
      <c r="C310" s="359">
        <v>2</v>
      </c>
      <c r="D310" s="360" t="s">
        <v>938</v>
      </c>
      <c r="E310" s="360" t="s">
        <v>492</v>
      </c>
      <c r="F310" s="373" t="s">
        <v>454</v>
      </c>
      <c r="G310" s="367">
        <f>SUM(I310:I317)/'DB2'!$G$18</f>
        <v>-8642.9979771451399</v>
      </c>
      <c r="H310" s="377"/>
      <c r="I310" s="537">
        <v>-10000000</v>
      </c>
      <c r="J310" s="546"/>
      <c r="K310" s="383"/>
      <c r="L310" s="383"/>
      <c r="M310" s="383"/>
      <c r="N310" s="383"/>
      <c r="O310" s="383"/>
      <c r="P310" s="383"/>
      <c r="Q310" s="383"/>
      <c r="R310" s="383"/>
      <c r="S310" s="377">
        <v>0</v>
      </c>
      <c r="T310" s="377">
        <v>0</v>
      </c>
      <c r="U310" s="377">
        <v>0</v>
      </c>
      <c r="V310" s="377">
        <v>0</v>
      </c>
      <c r="W310" s="377">
        <v>0</v>
      </c>
      <c r="X310" s="377">
        <v>0</v>
      </c>
      <c r="Y310" s="377">
        <v>-10000000</v>
      </c>
      <c r="Z310" s="377">
        <v>0</v>
      </c>
      <c r="AA310" s="377">
        <v>0</v>
      </c>
      <c r="AB310" s="377">
        <v>0</v>
      </c>
      <c r="AC310" s="377"/>
      <c r="AD310" s="377"/>
      <c r="AE310" s="377"/>
      <c r="AF310" s="377"/>
      <c r="AG310" s="377"/>
      <c r="AH310" s="377"/>
      <c r="AI310" s="377"/>
      <c r="AJ310" s="377"/>
      <c r="AK310" s="377"/>
      <c r="AL310" s="377"/>
      <c r="AM310" s="377"/>
      <c r="AN310" s="377"/>
      <c r="AO310" s="377"/>
      <c r="AP310" s="377"/>
      <c r="AQ310" s="377"/>
      <c r="AR310" s="377"/>
      <c r="AS310" s="377"/>
      <c r="AT310" s="377"/>
      <c r="AU310" s="377"/>
      <c r="AV310" s="377"/>
      <c r="AW310" s="377"/>
      <c r="AX310" s="377"/>
      <c r="AY310" s="377"/>
      <c r="AZ310" s="377"/>
      <c r="BA310" s="377"/>
      <c r="BB310" s="377"/>
      <c r="BC310" s="377"/>
      <c r="BD310" s="377"/>
      <c r="BE310" s="377"/>
      <c r="BF310" s="377"/>
      <c r="BG310" s="377"/>
      <c r="BH310" s="377"/>
      <c r="BI310" s="377"/>
      <c r="BJ310" s="377"/>
      <c r="BK310" s="377"/>
      <c r="BL310" s="377"/>
      <c r="BM310" s="377"/>
      <c r="BN310" s="377"/>
      <c r="BO310" s="377"/>
      <c r="BP310" s="377"/>
      <c r="BQ310" s="377"/>
      <c r="BR310" s="377"/>
    </row>
    <row r="311" spans="1:70" outlineLevel="1">
      <c r="A311" s="374">
        <f t="shared" si="89"/>
        <v>0</v>
      </c>
      <c r="B311" s="359">
        <v>5402</v>
      </c>
      <c r="C311" s="359">
        <v>2</v>
      </c>
      <c r="D311" s="360" t="s">
        <v>937</v>
      </c>
      <c r="E311" s="360" t="s">
        <v>492</v>
      </c>
      <c r="F311" s="373" t="s">
        <v>454</v>
      </c>
      <c r="G311" s="367">
        <f>I311/'DB2'!G18</f>
        <v>-8280.7166248097146</v>
      </c>
      <c r="H311" s="377"/>
      <c r="I311" s="537">
        <v>-800000000</v>
      </c>
      <c r="J311" s="546"/>
      <c r="K311" s="383"/>
      <c r="L311" s="383"/>
      <c r="M311" s="383"/>
      <c r="N311" s="383"/>
      <c r="O311" s="383"/>
      <c r="P311" s="383"/>
      <c r="Q311" s="383"/>
      <c r="R311" s="383"/>
      <c r="S311" s="377">
        <v>0</v>
      </c>
      <c r="T311" s="377">
        <v>0</v>
      </c>
      <c r="U311" s="377">
        <v>0</v>
      </c>
      <c r="V311" s="377">
        <v>0</v>
      </c>
      <c r="W311" s="377">
        <v>0</v>
      </c>
      <c r="X311" s="377">
        <v>0</v>
      </c>
      <c r="Y311" s="377">
        <v>-77000000</v>
      </c>
      <c r="Z311" s="377">
        <v>-319000000</v>
      </c>
      <c r="AA311" s="377">
        <v>-328000000</v>
      </c>
      <c r="AB311" s="377">
        <v>-76000000</v>
      </c>
      <c r="AC311" s="377"/>
      <c r="AD311" s="377"/>
      <c r="AE311" s="377"/>
      <c r="AF311" s="377"/>
      <c r="AG311" s="377"/>
      <c r="AH311" s="377"/>
      <c r="AI311" s="377"/>
      <c r="AJ311" s="377"/>
      <c r="AK311" s="377"/>
      <c r="AL311" s="377"/>
      <c r="AM311" s="377"/>
      <c r="AN311" s="377"/>
      <c r="AO311" s="377"/>
      <c r="AP311" s="377"/>
      <c r="AQ311" s="377"/>
      <c r="AR311" s="377"/>
      <c r="AS311" s="377"/>
      <c r="AT311" s="377"/>
      <c r="AU311" s="377"/>
      <c r="AV311" s="377"/>
      <c r="AW311" s="377"/>
      <c r="AX311" s="377"/>
      <c r="AY311" s="377"/>
      <c r="AZ311" s="377"/>
      <c r="BA311" s="377"/>
      <c r="BB311" s="377"/>
      <c r="BC311" s="377"/>
      <c r="BD311" s="377"/>
      <c r="BE311" s="377"/>
      <c r="BF311" s="377"/>
      <c r="BG311" s="377"/>
      <c r="BH311" s="377"/>
      <c r="BI311" s="377"/>
      <c r="BJ311" s="377"/>
      <c r="BK311" s="377"/>
      <c r="BL311" s="377"/>
      <c r="BM311" s="377"/>
      <c r="BN311" s="377"/>
      <c r="BO311" s="377"/>
      <c r="BP311" s="377"/>
      <c r="BQ311" s="377"/>
      <c r="BR311" s="377"/>
    </row>
    <row r="312" spans="1:70" outlineLevel="1">
      <c r="A312" s="374">
        <f t="shared" si="89"/>
        <v>0</v>
      </c>
      <c r="B312" s="359">
        <v>5401</v>
      </c>
      <c r="C312" s="359">
        <v>2</v>
      </c>
      <c r="D312" s="360" t="s">
        <v>939</v>
      </c>
      <c r="E312" s="360" t="s">
        <v>492</v>
      </c>
      <c r="F312" s="373" t="s">
        <v>454</v>
      </c>
      <c r="G312" s="360"/>
      <c r="H312" s="377"/>
      <c r="I312" s="537">
        <v>-25000000</v>
      </c>
      <c r="J312" s="546"/>
      <c r="K312" s="383"/>
      <c r="L312" s="383"/>
      <c r="M312" s="383"/>
      <c r="N312" s="383"/>
      <c r="O312" s="383"/>
      <c r="P312" s="383"/>
      <c r="Q312" s="383"/>
      <c r="R312" s="383"/>
      <c r="S312" s="377">
        <v>0</v>
      </c>
      <c r="T312" s="377">
        <v>0</v>
      </c>
      <c r="U312" s="377">
        <v>0</v>
      </c>
      <c r="V312" s="377">
        <v>0</v>
      </c>
      <c r="W312" s="377">
        <v>0</v>
      </c>
      <c r="X312" s="377">
        <v>0</v>
      </c>
      <c r="Y312" s="377">
        <v>0</v>
      </c>
      <c r="Z312" s="377">
        <v>-15000000</v>
      </c>
      <c r="AA312" s="377">
        <v>-10000000</v>
      </c>
      <c r="AB312" s="377">
        <v>0</v>
      </c>
      <c r="AC312" s="377"/>
      <c r="AD312" s="377"/>
      <c r="AE312" s="377"/>
      <c r="AF312" s="377"/>
      <c r="AG312" s="377"/>
      <c r="AH312" s="377"/>
      <c r="AI312" s="377"/>
      <c r="AJ312" s="377"/>
      <c r="AK312" s="377"/>
      <c r="AL312" s="377"/>
      <c r="AM312" s="377"/>
      <c r="AN312" s="377"/>
      <c r="AO312" s="377"/>
      <c r="AP312" s="377"/>
      <c r="AQ312" s="377"/>
      <c r="AR312" s="377"/>
      <c r="AS312" s="377"/>
      <c r="AT312" s="377"/>
      <c r="AU312" s="377"/>
      <c r="AV312" s="377"/>
      <c r="AW312" s="377"/>
      <c r="AX312" s="377"/>
      <c r="AY312" s="377"/>
      <c r="AZ312" s="377"/>
      <c r="BA312" s="377"/>
      <c r="BB312" s="377"/>
      <c r="BC312" s="377"/>
      <c r="BD312" s="377"/>
      <c r="BE312" s="377"/>
      <c r="BF312" s="377"/>
      <c r="BG312" s="377"/>
      <c r="BH312" s="377"/>
      <c r="BI312" s="377"/>
      <c r="BJ312" s="377"/>
      <c r="BK312" s="377"/>
      <c r="BL312" s="377"/>
      <c r="BM312" s="377"/>
      <c r="BN312" s="377"/>
      <c r="BO312" s="377"/>
      <c r="BP312" s="377"/>
      <c r="BQ312" s="377"/>
      <c r="BR312" s="377"/>
    </row>
    <row r="313" spans="1:70" outlineLevel="1">
      <c r="A313" s="374">
        <f t="shared" si="89"/>
        <v>0</v>
      </c>
      <c r="B313" s="359"/>
      <c r="C313" s="359"/>
      <c r="D313" s="360"/>
      <c r="E313" s="360"/>
      <c r="F313" s="373"/>
      <c r="G313" s="360"/>
      <c r="H313" s="377"/>
      <c r="I313" s="537"/>
      <c r="J313" s="546"/>
      <c r="K313" s="383"/>
      <c r="L313" s="383"/>
      <c r="M313" s="383"/>
      <c r="N313" s="383"/>
      <c r="O313" s="383"/>
      <c r="P313" s="383"/>
      <c r="Q313" s="383"/>
      <c r="R313" s="383"/>
      <c r="S313" s="377"/>
      <c r="T313" s="377"/>
      <c r="U313" s="377"/>
      <c r="V313" s="377"/>
      <c r="W313" s="377"/>
      <c r="X313" s="377"/>
      <c r="Y313" s="377"/>
      <c r="Z313" s="377"/>
      <c r="AA313" s="377"/>
      <c r="AB313" s="377"/>
      <c r="AC313" s="377"/>
      <c r="AD313" s="377"/>
      <c r="AE313" s="377"/>
      <c r="AF313" s="377"/>
      <c r="AG313" s="377"/>
      <c r="AH313" s="377"/>
      <c r="AI313" s="377"/>
      <c r="AJ313" s="377"/>
      <c r="AK313" s="377"/>
      <c r="AL313" s="377"/>
      <c r="AM313" s="377"/>
      <c r="AN313" s="377"/>
      <c r="AO313" s="377"/>
      <c r="AP313" s="377"/>
      <c r="AQ313" s="377"/>
      <c r="AR313" s="377"/>
      <c r="AS313" s="377"/>
      <c r="AT313" s="377"/>
      <c r="AU313" s="377"/>
      <c r="AV313" s="377"/>
      <c r="AW313" s="377"/>
      <c r="AX313" s="377"/>
      <c r="AY313" s="377"/>
      <c r="AZ313" s="377"/>
      <c r="BA313" s="377"/>
      <c r="BB313" s="377"/>
      <c r="BC313" s="377"/>
      <c r="BD313" s="377"/>
      <c r="BE313" s="377"/>
      <c r="BF313" s="377"/>
      <c r="BG313" s="377"/>
      <c r="BH313" s="377"/>
      <c r="BI313" s="377"/>
      <c r="BJ313" s="377"/>
      <c r="BK313" s="377"/>
      <c r="BL313" s="377"/>
      <c r="BM313" s="377"/>
      <c r="BN313" s="377"/>
      <c r="BO313" s="377"/>
      <c r="BP313" s="377"/>
      <c r="BQ313" s="377"/>
      <c r="BR313" s="377"/>
    </row>
    <row r="314" spans="1:70" outlineLevel="1">
      <c r="A314" s="374">
        <f t="shared" si="89"/>
        <v>0</v>
      </c>
      <c r="B314" s="359"/>
      <c r="C314" s="359"/>
      <c r="D314" s="360"/>
      <c r="E314" s="360"/>
      <c r="F314" s="373"/>
      <c r="G314" s="360"/>
      <c r="H314" s="377"/>
      <c r="I314" s="537"/>
      <c r="J314" s="546"/>
      <c r="K314" s="383"/>
      <c r="L314" s="383"/>
      <c r="M314" s="383"/>
      <c r="N314" s="383"/>
      <c r="O314" s="383"/>
      <c r="P314" s="383"/>
      <c r="Q314" s="383"/>
      <c r="R314" s="383"/>
      <c r="S314" s="377"/>
      <c r="T314" s="377"/>
      <c r="U314" s="377"/>
      <c r="V314" s="377"/>
      <c r="W314" s="377"/>
      <c r="X314" s="377"/>
      <c r="Y314" s="377"/>
      <c r="Z314" s="377"/>
      <c r="AA314" s="377"/>
      <c r="AB314" s="377"/>
      <c r="AC314" s="377"/>
      <c r="AD314" s="377"/>
      <c r="AE314" s="377"/>
      <c r="AF314" s="377"/>
      <c r="AG314" s="377"/>
      <c r="AH314" s="377"/>
      <c r="AI314" s="377"/>
      <c r="AJ314" s="377"/>
      <c r="AK314" s="377"/>
      <c r="AL314" s="377"/>
      <c r="AM314" s="377"/>
      <c r="AN314" s="377"/>
      <c r="AO314" s="377"/>
      <c r="AP314" s="377"/>
      <c r="AQ314" s="377"/>
      <c r="AR314" s="377"/>
      <c r="AS314" s="377"/>
      <c r="AT314" s="377"/>
      <c r="AU314" s="377"/>
      <c r="AV314" s="377"/>
      <c r="AW314" s="377"/>
      <c r="AX314" s="377"/>
      <c r="AY314" s="377"/>
      <c r="AZ314" s="377"/>
      <c r="BA314" s="377"/>
      <c r="BB314" s="377"/>
      <c r="BC314" s="377"/>
      <c r="BD314" s="377"/>
      <c r="BE314" s="377"/>
      <c r="BF314" s="377"/>
      <c r="BG314" s="377"/>
      <c r="BH314" s="377"/>
      <c r="BI314" s="377"/>
      <c r="BJ314" s="377"/>
      <c r="BK314" s="377"/>
      <c r="BL314" s="377"/>
      <c r="BM314" s="377"/>
      <c r="BN314" s="377"/>
      <c r="BO314" s="377"/>
      <c r="BP314" s="377"/>
      <c r="BQ314" s="377"/>
      <c r="BR314" s="377"/>
    </row>
    <row r="315" spans="1:70" outlineLevel="1">
      <c r="A315" s="374">
        <f t="shared" si="89"/>
        <v>0</v>
      </c>
      <c r="B315" s="359"/>
      <c r="C315" s="359"/>
      <c r="D315" s="360"/>
      <c r="E315" s="360"/>
      <c r="F315" s="373"/>
      <c r="G315" s="360"/>
      <c r="H315" s="377"/>
      <c r="I315" s="537"/>
      <c r="J315" s="546"/>
      <c r="K315" s="383"/>
      <c r="L315" s="383"/>
      <c r="M315" s="383"/>
      <c r="N315" s="383"/>
      <c r="O315" s="383"/>
      <c r="P315" s="383"/>
      <c r="Q315" s="383"/>
      <c r="R315" s="383"/>
      <c r="S315" s="377"/>
      <c r="T315" s="377"/>
      <c r="U315" s="377"/>
      <c r="V315" s="377"/>
      <c r="W315" s="377"/>
      <c r="X315" s="377"/>
      <c r="Y315" s="377"/>
      <c r="Z315" s="377"/>
      <c r="AA315" s="377"/>
      <c r="AB315" s="377"/>
      <c r="AC315" s="377"/>
      <c r="AD315" s="377"/>
      <c r="AE315" s="377"/>
      <c r="AF315" s="377"/>
      <c r="AG315" s="377"/>
      <c r="AH315" s="377"/>
      <c r="AI315" s="377"/>
      <c r="AJ315" s="377"/>
      <c r="AK315" s="377"/>
      <c r="AL315" s="377"/>
      <c r="AM315" s="377"/>
      <c r="AN315" s="377"/>
      <c r="AO315" s="377"/>
      <c r="AP315" s="377"/>
      <c r="AQ315" s="377"/>
      <c r="AR315" s="377"/>
      <c r="AS315" s="377"/>
      <c r="AT315" s="377"/>
      <c r="AU315" s="377"/>
      <c r="AV315" s="377"/>
      <c r="AW315" s="377"/>
      <c r="AX315" s="377"/>
      <c r="AY315" s="377"/>
      <c r="AZ315" s="377"/>
      <c r="BA315" s="377"/>
      <c r="BB315" s="377"/>
      <c r="BC315" s="377"/>
      <c r="BD315" s="377"/>
      <c r="BE315" s="377"/>
      <c r="BF315" s="377"/>
      <c r="BG315" s="377"/>
      <c r="BH315" s="377"/>
      <c r="BI315" s="377"/>
      <c r="BJ315" s="377"/>
      <c r="BK315" s="377"/>
      <c r="BL315" s="377"/>
      <c r="BM315" s="377"/>
      <c r="BN315" s="377"/>
      <c r="BO315" s="377"/>
      <c r="BP315" s="377"/>
      <c r="BQ315" s="377"/>
      <c r="BR315" s="377"/>
    </row>
    <row r="316" spans="1:70" outlineLevel="1">
      <c r="A316" s="374">
        <f t="shared" si="89"/>
        <v>0</v>
      </c>
      <c r="B316" s="359"/>
      <c r="C316" s="359"/>
      <c r="D316" s="360"/>
      <c r="E316" s="360"/>
      <c r="F316" s="373"/>
      <c r="G316" s="360"/>
      <c r="H316" s="377"/>
      <c r="I316" s="537"/>
      <c r="J316" s="546"/>
      <c r="K316" s="383"/>
      <c r="L316" s="383"/>
      <c r="M316" s="383"/>
      <c r="N316" s="383"/>
      <c r="O316" s="383"/>
      <c r="P316" s="383"/>
      <c r="Q316" s="383"/>
      <c r="R316" s="383"/>
      <c r="S316" s="377"/>
      <c r="T316" s="377"/>
      <c r="U316" s="377"/>
      <c r="V316" s="377"/>
      <c r="W316" s="377"/>
      <c r="X316" s="377"/>
      <c r="Y316" s="377"/>
      <c r="Z316" s="377"/>
      <c r="AA316" s="377"/>
      <c r="AB316" s="377"/>
      <c r="AC316" s="377"/>
      <c r="AD316" s="377"/>
      <c r="AE316" s="377"/>
      <c r="AF316" s="377"/>
      <c r="AG316" s="377"/>
      <c r="AH316" s="377"/>
      <c r="AI316" s="377"/>
      <c r="AJ316" s="377"/>
      <c r="AK316" s="377"/>
      <c r="AL316" s="377"/>
      <c r="AM316" s="377"/>
      <c r="AN316" s="377"/>
      <c r="AO316" s="377"/>
      <c r="AP316" s="377"/>
      <c r="AQ316" s="377"/>
      <c r="AR316" s="377"/>
      <c r="AS316" s="377"/>
      <c r="AT316" s="377"/>
      <c r="AU316" s="377"/>
      <c r="AV316" s="377"/>
      <c r="AW316" s="377"/>
      <c r="AX316" s="377"/>
      <c r="AY316" s="377"/>
      <c r="AZ316" s="377"/>
      <c r="BA316" s="377"/>
      <c r="BB316" s="377"/>
      <c r="BC316" s="377"/>
      <c r="BD316" s="377"/>
      <c r="BE316" s="377"/>
      <c r="BF316" s="377"/>
      <c r="BG316" s="377"/>
      <c r="BH316" s="377"/>
      <c r="BI316" s="377"/>
      <c r="BJ316" s="377"/>
      <c r="BK316" s="377"/>
      <c r="BL316" s="377"/>
      <c r="BM316" s="377"/>
      <c r="BN316" s="377"/>
      <c r="BO316" s="377"/>
      <c r="BP316" s="377"/>
      <c r="BQ316" s="377"/>
      <c r="BR316" s="377"/>
    </row>
    <row r="317" spans="1:70" outlineLevel="1">
      <c r="A317" s="374">
        <f t="shared" si="89"/>
        <v>0</v>
      </c>
      <c r="B317" s="359"/>
      <c r="C317" s="359"/>
      <c r="D317" s="360"/>
      <c r="E317" s="360"/>
      <c r="F317" s="373"/>
      <c r="G317" s="360"/>
      <c r="H317" s="377"/>
      <c r="I317" s="537"/>
      <c r="J317" s="546"/>
      <c r="K317" s="383"/>
      <c r="L317" s="383"/>
      <c r="M317" s="383"/>
      <c r="N317" s="383"/>
      <c r="O317" s="383"/>
      <c r="P317" s="383"/>
      <c r="Q317" s="383"/>
      <c r="R317" s="383"/>
      <c r="S317" s="377"/>
      <c r="T317" s="377"/>
      <c r="U317" s="377"/>
      <c r="V317" s="377"/>
      <c r="W317" s="377"/>
      <c r="X317" s="377"/>
      <c r="Y317" s="377"/>
      <c r="Z317" s="377"/>
      <c r="AA317" s="377"/>
      <c r="AB317" s="377"/>
      <c r="AC317" s="377"/>
      <c r="AD317" s="377"/>
      <c r="AE317" s="377"/>
      <c r="AF317" s="377"/>
      <c r="AG317" s="377"/>
      <c r="AH317" s="377"/>
      <c r="AI317" s="377"/>
      <c r="AJ317" s="377"/>
      <c r="AK317" s="377"/>
      <c r="AL317" s="377"/>
      <c r="AM317" s="377"/>
      <c r="AN317" s="377"/>
      <c r="AO317" s="377"/>
      <c r="AP317" s="377"/>
      <c r="AQ317" s="377"/>
      <c r="AR317" s="377"/>
      <c r="AS317" s="377"/>
      <c r="AT317" s="377"/>
      <c r="AU317" s="377"/>
      <c r="AV317" s="377"/>
      <c r="AW317" s="377"/>
      <c r="AX317" s="377"/>
      <c r="AY317" s="377"/>
      <c r="AZ317" s="377"/>
      <c r="BA317" s="377"/>
      <c r="BB317" s="377"/>
      <c r="BC317" s="377"/>
      <c r="BD317" s="377"/>
      <c r="BE317" s="377"/>
      <c r="BF317" s="377"/>
      <c r="BG317" s="377"/>
      <c r="BH317" s="377"/>
      <c r="BI317" s="377"/>
      <c r="BJ317" s="377"/>
      <c r="BK317" s="377"/>
      <c r="BL317" s="377"/>
      <c r="BM317" s="377"/>
      <c r="BN317" s="377"/>
      <c r="BO317" s="377"/>
      <c r="BP317" s="377"/>
      <c r="BQ317" s="377"/>
      <c r="BR317" s="377"/>
    </row>
    <row r="318" spans="1:70" outlineLevel="1">
      <c r="A318" s="374">
        <f t="shared" si="89"/>
        <v>0</v>
      </c>
      <c r="B318" s="359">
        <v>5419</v>
      </c>
      <c r="C318" s="359">
        <v>1</v>
      </c>
      <c r="D318" s="552" t="s">
        <v>460</v>
      </c>
      <c r="E318" s="360" t="s">
        <v>492</v>
      </c>
      <c r="F318" s="366" t="s">
        <v>448</v>
      </c>
      <c r="G318" s="360"/>
      <c r="H318" s="377"/>
      <c r="I318" s="537">
        <f>IF(СОЦИАЛКА!E15&lt;0,СОЦИАЛКА!E15,0)</f>
        <v>-239977577.28000015</v>
      </c>
      <c r="J318" s="546"/>
      <c r="K318" s="383"/>
      <c r="L318" s="383"/>
      <c r="M318" s="383"/>
      <c r="N318" s="383"/>
      <c r="O318" s="383"/>
      <c r="P318" s="383"/>
      <c r="Q318" s="383"/>
      <c r="R318" s="383"/>
      <c r="S318" s="377"/>
      <c r="T318" s="377"/>
      <c r="U318" s="377"/>
      <c r="V318" s="377"/>
      <c r="W318" s="377"/>
      <c r="X318" s="377">
        <f>I318*100%</f>
        <v>-239977577.28000015</v>
      </c>
      <c r="Y318" s="377"/>
      <c r="Z318" s="377"/>
      <c r="AA318" s="377"/>
      <c r="AB318" s="377"/>
      <c r="AC318" s="377"/>
      <c r="AD318" s="377"/>
      <c r="AE318" s="377"/>
      <c r="AF318" s="377"/>
      <c r="AG318" s="377"/>
      <c r="AH318" s="377"/>
      <c r="AI318" s="377"/>
      <c r="AJ318" s="377"/>
      <c r="AK318" s="377"/>
      <c r="AL318" s="377"/>
      <c r="AM318" s="377"/>
      <c r="AN318" s="377"/>
      <c r="AO318" s="377"/>
      <c r="AP318" s="377"/>
      <c r="AQ318" s="377"/>
      <c r="AR318" s="377"/>
      <c r="AS318" s="377"/>
      <c r="AT318" s="377"/>
      <c r="AU318" s="377"/>
      <c r="AV318" s="377"/>
      <c r="AW318" s="377"/>
      <c r="AX318" s="377"/>
      <c r="AY318" s="377"/>
      <c r="AZ318" s="377"/>
      <c r="BA318" s="377"/>
      <c r="BB318" s="377"/>
      <c r="BC318" s="377"/>
      <c r="BD318" s="377"/>
      <c r="BE318" s="377"/>
      <c r="BF318" s="377"/>
      <c r="BG318" s="377"/>
      <c r="BH318" s="377"/>
      <c r="BI318" s="377"/>
      <c r="BJ318" s="377"/>
      <c r="BK318" s="377"/>
      <c r="BL318" s="377"/>
      <c r="BM318" s="377"/>
      <c r="BN318" s="377"/>
      <c r="BO318" s="377"/>
      <c r="BP318" s="377"/>
      <c r="BQ318" s="377"/>
      <c r="BR318" s="377"/>
    </row>
    <row r="319" spans="1:70" outlineLevel="1">
      <c r="A319" s="374">
        <f t="shared" ref="A319:A320" si="90">I319-SUM(K319:BR319)</f>
        <v>0</v>
      </c>
      <c r="B319" s="359">
        <v>5419</v>
      </c>
      <c r="C319" s="359">
        <v>2</v>
      </c>
      <c r="D319" s="552" t="s">
        <v>986</v>
      </c>
      <c r="E319" s="360" t="s">
        <v>492</v>
      </c>
      <c r="F319" s="366" t="s">
        <v>448</v>
      </c>
      <c r="G319" s="360"/>
      <c r="H319" s="377"/>
      <c r="I319" s="537">
        <f>-СОЦИАЛКА!E7</f>
        <v>-5500000000</v>
      </c>
      <c r="J319" s="546"/>
      <c r="K319" s="383"/>
      <c r="L319" s="383"/>
      <c r="M319" s="383"/>
      <c r="N319" s="383"/>
      <c r="O319" s="383"/>
      <c r="P319" s="383"/>
      <c r="Q319" s="383"/>
      <c r="R319" s="383"/>
      <c r="S319" s="377">
        <f>$I319*'TS2'!N$25</f>
        <v>0</v>
      </c>
      <c r="T319" s="377">
        <f>$I319*'TS2'!O$25</f>
        <v>0</v>
      </c>
      <c r="U319" s="377">
        <f>$I319*'TS2'!P$25</f>
        <v>0</v>
      </c>
      <c r="V319" s="377">
        <f>$I319*'TS2'!Q$25</f>
        <v>0</v>
      </c>
      <c r="W319" s="377">
        <f>$I319*'TS2'!R$25</f>
        <v>0</v>
      </c>
      <c r="X319" s="377">
        <f>$I319*'TS2'!S$25</f>
        <v>0</v>
      </c>
      <c r="Y319" s="377">
        <f>$I319*'TS2'!T$25</f>
        <v>0</v>
      </c>
      <c r="Z319" s="377">
        <f>$I319*'TS2'!U$25</f>
        <v>0</v>
      </c>
      <c r="AA319" s="377">
        <f>$I319*'TS2'!V$25</f>
        <v>0</v>
      </c>
      <c r="AB319" s="377">
        <f>$I319*'TS2'!W$25</f>
        <v>0</v>
      </c>
      <c r="AC319" s="377">
        <f>$I319*'TS2'!X$25</f>
        <v>-458333333.33333331</v>
      </c>
      <c r="AD319" s="377">
        <f>$I319*'TS2'!Y$25</f>
        <v>-458333333.33333331</v>
      </c>
      <c r="AE319" s="377">
        <f>$I319*'TS2'!Z$25</f>
        <v>-458333333.33333331</v>
      </c>
      <c r="AF319" s="377">
        <f>$I319*'TS2'!AA$25</f>
        <v>-458333333.33333331</v>
      </c>
      <c r="AG319" s="377">
        <f>$I319*'TS2'!AB$25</f>
        <v>-458333333.33333331</v>
      </c>
      <c r="AH319" s="377">
        <f>$I319*'TS2'!AC$25</f>
        <v>-458333333.33333331</v>
      </c>
      <c r="AI319" s="377">
        <f>$I319*'TS2'!AD$25</f>
        <v>-458333333.33333331</v>
      </c>
      <c r="AJ319" s="377">
        <f>$I319*'TS2'!AE$25</f>
        <v>-458333333.33333331</v>
      </c>
      <c r="AK319" s="377">
        <f>$I319*'TS2'!AF$25</f>
        <v>-458333333.33333331</v>
      </c>
      <c r="AL319" s="377">
        <f>$I319*'TS2'!AG$25</f>
        <v>-458333333.33333331</v>
      </c>
      <c r="AM319" s="377">
        <f>$I319*'TS2'!AH$25</f>
        <v>-458333333.33333331</v>
      </c>
      <c r="AN319" s="377">
        <f>$I319*'TS2'!AI$25</f>
        <v>-458333333.33333331</v>
      </c>
      <c r="AO319" s="377">
        <f>$I319*'TS2'!AJ$25</f>
        <v>0</v>
      </c>
      <c r="AP319" s="377">
        <f>$I319*'TS2'!AK$25</f>
        <v>0</v>
      </c>
      <c r="AQ319" s="377">
        <f>$I319*'TS2'!AL$25</f>
        <v>0</v>
      </c>
      <c r="AR319" s="377">
        <f>$I319*'TS2'!AM$25</f>
        <v>0</v>
      </c>
      <c r="AS319" s="377">
        <f>$I319*'TS2'!AN$25</f>
        <v>0</v>
      </c>
      <c r="AT319" s="377">
        <f>$I319*'TS2'!AO$25</f>
        <v>0</v>
      </c>
      <c r="AU319" s="377">
        <f>$I319*'TS2'!AP$25</f>
        <v>0</v>
      </c>
      <c r="AV319" s="377">
        <f>$I319*'TS2'!AQ$25</f>
        <v>0</v>
      </c>
      <c r="AW319" s="377">
        <f>$I319*'TS2'!AR$25</f>
        <v>0</v>
      </c>
      <c r="AX319" s="377">
        <f>$I319*'TS2'!AS$25</f>
        <v>0</v>
      </c>
      <c r="AY319" s="377">
        <f>$I319*'TS2'!AT$25</f>
        <v>0</v>
      </c>
      <c r="AZ319" s="377">
        <f>$I319*'TS2'!AU$25</f>
        <v>0</v>
      </c>
      <c r="BA319" s="377">
        <f>$I319*'TS2'!AV$25</f>
        <v>0</v>
      </c>
      <c r="BB319" s="377">
        <f>$I319*'TS2'!AW$25</f>
        <v>0</v>
      </c>
      <c r="BC319" s="377">
        <f>$I319*'TS2'!AX$25</f>
        <v>0</v>
      </c>
      <c r="BD319" s="377">
        <f>$I319*'TS2'!AY$25</f>
        <v>0</v>
      </c>
      <c r="BE319" s="377">
        <f>$I319*'TS2'!AZ$25</f>
        <v>0</v>
      </c>
      <c r="BF319" s="377">
        <f>$I319*'TS2'!BA$25</f>
        <v>0</v>
      </c>
      <c r="BG319" s="377">
        <f>$I319*'TS2'!BB$25</f>
        <v>0</v>
      </c>
      <c r="BH319" s="377">
        <f>$I319*'TS2'!BC$25</f>
        <v>0</v>
      </c>
      <c r="BI319" s="377">
        <f>$I319*'TS2'!BD$25</f>
        <v>0</v>
      </c>
      <c r="BJ319" s="377">
        <f>$I319*'TS2'!BE$25</f>
        <v>0</v>
      </c>
      <c r="BK319" s="377">
        <f>$I319*'TS2'!BF$25</f>
        <v>0</v>
      </c>
      <c r="BL319" s="377">
        <f>$I319*'TS2'!BG$25</f>
        <v>0</v>
      </c>
      <c r="BM319" s="377">
        <f>$I319*'TS2'!BH$25</f>
        <v>0</v>
      </c>
      <c r="BN319" s="377">
        <f>$I319*'TS2'!BI$25</f>
        <v>0</v>
      </c>
      <c r="BO319" s="377">
        <f>$I319*'TS2'!BJ$25</f>
        <v>0</v>
      </c>
      <c r="BP319" s="377">
        <f>$I319*'TS2'!BK$25</f>
        <v>0</v>
      </c>
      <c r="BQ319" s="377">
        <f>$I319*'TS2'!BL$25</f>
        <v>0</v>
      </c>
      <c r="BR319" s="377">
        <f>$I319*'TS2'!BM$25</f>
        <v>0</v>
      </c>
    </row>
    <row r="320" spans="1:70" outlineLevel="1">
      <c r="A320" s="374">
        <f t="shared" si="90"/>
        <v>0</v>
      </c>
      <c r="B320" s="359">
        <v>5419</v>
      </c>
      <c r="C320" s="359">
        <v>2</v>
      </c>
      <c r="D320" s="552" t="s">
        <v>987</v>
      </c>
      <c r="E320" s="360" t="s">
        <v>492</v>
      </c>
      <c r="F320" s="366" t="s">
        <v>448</v>
      </c>
      <c r="G320" s="360"/>
      <c r="H320" s="377"/>
      <c r="I320" s="537">
        <f>СОЦИАЛКА!E20+СОЦИАЛКА!E21</f>
        <v>1425245882.7424095</v>
      </c>
      <c r="J320" s="546"/>
      <c r="K320" s="383"/>
      <c r="L320" s="383"/>
      <c r="M320" s="383"/>
      <c r="N320" s="383"/>
      <c r="O320" s="383"/>
      <c r="P320" s="383"/>
      <c r="Q320" s="383"/>
      <c r="R320" s="383"/>
      <c r="S320" s="377">
        <f>$I320*'TS2'!N$25</f>
        <v>0</v>
      </c>
      <c r="T320" s="377">
        <f>$I320*'TS2'!O$25</f>
        <v>0</v>
      </c>
      <c r="U320" s="377">
        <f>$I320*'TS2'!P$25</f>
        <v>0</v>
      </c>
      <c r="V320" s="377">
        <f>$I320*'TS2'!Q$25</f>
        <v>0</v>
      </c>
      <c r="W320" s="377">
        <f>$I320*'TS2'!R$25</f>
        <v>0</v>
      </c>
      <c r="X320" s="377">
        <f>$I320*'TS2'!S$25</f>
        <v>0</v>
      </c>
      <c r="Y320" s="377">
        <f>$I320*'TS2'!T$25</f>
        <v>0</v>
      </c>
      <c r="Z320" s="377">
        <f>$I320*'TS2'!U$25</f>
        <v>0</v>
      </c>
      <c r="AA320" s="377">
        <f>$I320*'TS2'!V$25</f>
        <v>0</v>
      </c>
      <c r="AB320" s="377">
        <f>$I320*'TS2'!W$25</f>
        <v>0</v>
      </c>
      <c r="AC320" s="377">
        <f>$I320*'TS2'!X$25</f>
        <v>118770490.22853412</v>
      </c>
      <c r="AD320" s="377">
        <f>$I320*'TS2'!Y$25</f>
        <v>118770490.22853412</v>
      </c>
      <c r="AE320" s="377">
        <f>$I320*'TS2'!Z$25</f>
        <v>118770490.22853412</v>
      </c>
      <c r="AF320" s="377">
        <f>$I320*'TS2'!AA$25</f>
        <v>118770490.22853412</v>
      </c>
      <c r="AG320" s="377">
        <f>$I320*'TS2'!AB$25</f>
        <v>118770490.22853412</v>
      </c>
      <c r="AH320" s="377">
        <f>$I320*'TS2'!AC$25</f>
        <v>118770490.22853412</v>
      </c>
      <c r="AI320" s="377">
        <f>$I320*'TS2'!AD$25</f>
        <v>118770490.22853412</v>
      </c>
      <c r="AJ320" s="377">
        <f>$I320*'TS2'!AE$25</f>
        <v>118770490.22853412</v>
      </c>
      <c r="AK320" s="377">
        <f>$I320*'TS2'!AF$25</f>
        <v>118770490.22853412</v>
      </c>
      <c r="AL320" s="377">
        <f>$I320*'TS2'!AG$25</f>
        <v>118770490.22853412</v>
      </c>
      <c r="AM320" s="377">
        <f>$I320*'TS2'!AH$25</f>
        <v>118770490.22853412</v>
      </c>
      <c r="AN320" s="377">
        <f>$I320*'TS2'!AI$25</f>
        <v>118770490.22853412</v>
      </c>
      <c r="AO320" s="377">
        <f>$I320*'TS2'!AJ$25</f>
        <v>0</v>
      </c>
      <c r="AP320" s="377">
        <f>$I320*'TS2'!AK$25</f>
        <v>0</v>
      </c>
      <c r="AQ320" s="377">
        <f>$I320*'TS2'!AL$25</f>
        <v>0</v>
      </c>
      <c r="AR320" s="377">
        <f>$I320*'TS2'!AM$25</f>
        <v>0</v>
      </c>
      <c r="AS320" s="377">
        <f>$I320*'TS2'!AN$25</f>
        <v>0</v>
      </c>
      <c r="AT320" s="377">
        <f>$I320*'TS2'!AO$25</f>
        <v>0</v>
      </c>
      <c r="AU320" s="377">
        <f>$I320*'TS2'!AP$25</f>
        <v>0</v>
      </c>
      <c r="AV320" s="377">
        <f>$I320*'TS2'!AQ$25</f>
        <v>0</v>
      </c>
      <c r="AW320" s="377">
        <f>$I320*'TS2'!AR$25</f>
        <v>0</v>
      </c>
      <c r="AX320" s="377">
        <f>$I320*'TS2'!AS$25</f>
        <v>0</v>
      </c>
      <c r="AY320" s="377">
        <f>$I320*'TS2'!AT$25</f>
        <v>0</v>
      </c>
      <c r="AZ320" s="377">
        <f>$I320*'TS2'!AU$25</f>
        <v>0</v>
      </c>
      <c r="BA320" s="377">
        <f>$I320*'TS2'!AV$25</f>
        <v>0</v>
      </c>
      <c r="BB320" s="377">
        <f>$I320*'TS2'!AW$25</f>
        <v>0</v>
      </c>
      <c r="BC320" s="377">
        <f>$I320*'TS2'!AX$25</f>
        <v>0</v>
      </c>
      <c r="BD320" s="377">
        <f>$I320*'TS2'!AY$25</f>
        <v>0</v>
      </c>
      <c r="BE320" s="377">
        <f>$I320*'TS2'!AZ$25</f>
        <v>0</v>
      </c>
      <c r="BF320" s="377">
        <f>$I320*'TS2'!BA$25</f>
        <v>0</v>
      </c>
      <c r="BG320" s="377">
        <f>$I320*'TS2'!BB$25</f>
        <v>0</v>
      </c>
      <c r="BH320" s="377">
        <f>$I320*'TS2'!BC$25</f>
        <v>0</v>
      </c>
      <c r="BI320" s="377">
        <f>$I320*'TS2'!BD$25</f>
        <v>0</v>
      </c>
      <c r="BJ320" s="377">
        <f>$I320*'TS2'!BE$25</f>
        <v>0</v>
      </c>
      <c r="BK320" s="377">
        <f>$I320*'TS2'!BF$25</f>
        <v>0</v>
      </c>
      <c r="BL320" s="377">
        <f>$I320*'TS2'!BG$25</f>
        <v>0</v>
      </c>
      <c r="BM320" s="377">
        <f>$I320*'TS2'!BH$25</f>
        <v>0</v>
      </c>
      <c r="BN320" s="377">
        <f>$I320*'TS2'!BI$25</f>
        <v>0</v>
      </c>
      <c r="BO320" s="377">
        <f>$I320*'TS2'!BJ$25</f>
        <v>0</v>
      </c>
      <c r="BP320" s="377">
        <f>$I320*'TS2'!BK$25</f>
        <v>0</v>
      </c>
      <c r="BQ320" s="377">
        <f>$I320*'TS2'!BL$25</f>
        <v>0</v>
      </c>
      <c r="BR320" s="377">
        <f>$I320*'TS2'!BM$25</f>
        <v>0</v>
      </c>
    </row>
    <row r="321" spans="1:70" outlineLevel="1">
      <c r="A321" s="374">
        <f t="shared" ref="A321" si="91">I321-SUM(K321:BR321)</f>
        <v>0</v>
      </c>
      <c r="B321" s="359">
        <v>5419</v>
      </c>
      <c r="C321" s="359">
        <v>1</v>
      </c>
      <c r="D321" s="552" t="s">
        <v>989</v>
      </c>
      <c r="E321" s="360" t="s">
        <v>492</v>
      </c>
      <c r="F321" s="366" t="s">
        <v>448</v>
      </c>
      <c r="G321" s="360"/>
      <c r="H321" s="377"/>
      <c r="I321" s="537">
        <f>SUM(K321:BR321)</f>
        <v>-54506250.337499999</v>
      </c>
      <c r="J321" s="546"/>
      <c r="K321" s="383"/>
      <c r="L321" s="383"/>
      <c r="M321" s="383"/>
      <c r="N321" s="383"/>
      <c r="O321" s="383"/>
      <c r="P321" s="383"/>
      <c r="Q321" s="383"/>
      <c r="R321" s="383"/>
      <c r="S321" s="377"/>
      <c r="T321" s="377"/>
      <c r="U321" s="377"/>
      <c r="V321" s="377">
        <f>(-СОЦИАЛКА!$C$27*'TS2'!$X$66)/4*'CF2'!Q$174</f>
        <v>-3028125</v>
      </c>
      <c r="W321" s="377">
        <f>(-СОЦИАЛКА!$C$27*'TS2'!$X$66)/4*'CF2'!R$174</f>
        <v>-3028125</v>
      </c>
      <c r="X321" s="377">
        <f>(-СОЦИАЛКА!$C$27*'TS2'!$X$66)/4*'CF2'!S$174</f>
        <v>-3028125</v>
      </c>
      <c r="Y321" s="377">
        <f>(-СОЦИАЛКА!$C$27*'TS2'!$X$66)/4*'CF2'!T$174</f>
        <v>-3028125</v>
      </c>
      <c r="Z321" s="377">
        <f>(-СОЦИАЛКА!$C$27*'TS2'!$X$66)/4*'CF2'!U$174</f>
        <v>-3028125</v>
      </c>
      <c r="AA321" s="377">
        <f>(-СОЦИАЛКА!$C$27*'TS2'!$X$66)/4*'CF2'!V$174</f>
        <v>-3028125</v>
      </c>
      <c r="AB321" s="377">
        <f>(-СОЦИАЛКА!$C$27*'TS2'!$X$66)/4*'CF2'!W$174</f>
        <v>-3028125</v>
      </c>
      <c r="AC321" s="377">
        <f>(-СОЦИАЛКА!$C$27*'TS2'!$X$66)/4*'CF2'!X$174</f>
        <v>-3028125</v>
      </c>
      <c r="AD321" s="377">
        <f>(-СОЦИАЛКА!$C$27*'TS2'!$X$66)/4*'CF2'!Y$174</f>
        <v>-3028125</v>
      </c>
      <c r="AE321" s="377">
        <f>(-СОЦИАЛКА!$C$27*'TS2'!$X$66)/4*'CF2'!Z$174</f>
        <v>-3028125</v>
      </c>
      <c r="AF321" s="377">
        <f>(-СОЦИАЛКА!$C$27*'TS2'!$X$66)/4*'CF2'!AA$174</f>
        <v>-3028125</v>
      </c>
      <c r="AG321" s="377">
        <f>(-СОЦИАЛКА!$C$27*'TS2'!$X$66)/4*'CF2'!AB$174</f>
        <v>-3028125</v>
      </c>
      <c r="AH321" s="377">
        <f>(-СОЦИАЛКА!$C$27*'TS2'!$X$66)/4*'CF2'!AC$174</f>
        <v>-3028125</v>
      </c>
      <c r="AI321" s="377">
        <f>(-СОЦИАЛКА!$C$27*'TS2'!$X$66)/4*'CF2'!AD$174</f>
        <v>-3028125</v>
      </c>
      <c r="AJ321" s="377">
        <f>(-СОЦИАЛКА!$C$27*'TS2'!$X$66)/4*'CF2'!AE$174</f>
        <v>-3028125</v>
      </c>
      <c r="AK321" s="377">
        <f>(-СОЦИАЛКА!$C$27*'TS2'!$X$66)/4*'CF2'!AF$174</f>
        <v>-3028125</v>
      </c>
      <c r="AL321" s="377">
        <f>(-СОЦИАЛКА!$C$27*'TS2'!$X$66)/4*'CF2'!AG$174</f>
        <v>-3028125</v>
      </c>
      <c r="AM321" s="377">
        <f>(-СОЦИАЛКА!$C$27*'TS2'!$X$66)/4*'CF2'!AH$174</f>
        <v>-3028125</v>
      </c>
      <c r="AN321" s="377">
        <f>-СОЦИАЛКА!$E$27*'TS2'!$X$66/4*'CF2'!AI$174</f>
        <v>-0.33750000000000002</v>
      </c>
      <c r="AO321" s="377">
        <f>-СОЦИАЛКА!$E$27*'TS2'!$X$66/4*'CF2'!AJ$174</f>
        <v>0</v>
      </c>
      <c r="AP321" s="377">
        <f>-СОЦИАЛКА!$E$27*'TS2'!$X$66/4*'CF2'!AK$174</f>
        <v>0</v>
      </c>
      <c r="AQ321" s="377">
        <f>-СОЦИАЛКА!$E$27*'TS2'!$X$66/4*'CF2'!AL$174</f>
        <v>0</v>
      </c>
      <c r="AR321" s="377">
        <f>-СОЦИАЛКА!$E$27*'TS2'!$X$66/4*'CF2'!AM$174</f>
        <v>0</v>
      </c>
      <c r="AS321" s="377">
        <f>-СОЦИАЛКА!$E$27*'TS2'!$X$66/4*'CF2'!AN$174</f>
        <v>0</v>
      </c>
      <c r="AT321" s="377">
        <f>-СОЦИАЛКА!$E$27*'TS2'!$X$66/4*'CF2'!AO$174</f>
        <v>0</v>
      </c>
      <c r="AU321" s="377">
        <f>-СОЦИАЛКА!$E$27*'TS2'!$X$66/4*'CF2'!AP$174</f>
        <v>0</v>
      </c>
      <c r="AV321" s="377">
        <f>-СОЦИАЛКА!$E$27*'TS2'!$X$66/4*'CF2'!AQ$174</f>
        <v>0</v>
      </c>
      <c r="AW321" s="377">
        <f>-СОЦИАЛКА!$E$27*'TS2'!$X$66/4*'CF2'!AR$174</f>
        <v>0</v>
      </c>
      <c r="AX321" s="377">
        <f>-СОЦИАЛКА!$E$27*'TS2'!$X$66/4*'CF2'!AS$174</f>
        <v>0</v>
      </c>
      <c r="AY321" s="377">
        <f>-СОЦИАЛКА!$E$27*'TS2'!$X$66/4*'CF2'!AT$174</f>
        <v>0</v>
      </c>
      <c r="AZ321" s="377">
        <f>-СОЦИАЛКА!$E$27*'TS2'!$X$66/4*'CF2'!AU$174</f>
        <v>0</v>
      </c>
      <c r="BA321" s="377">
        <f>-СОЦИАЛКА!$E$27*'TS2'!$X$66/4*'CF2'!AV$174</f>
        <v>0</v>
      </c>
      <c r="BB321" s="377">
        <f>-СОЦИАЛКА!$E$27*'TS2'!$X$66/4*'CF2'!AW$174</f>
        <v>0</v>
      </c>
      <c r="BC321" s="377">
        <f>-СОЦИАЛКА!$E$27*'TS2'!$X$66/4*'CF2'!AX$174</f>
        <v>0</v>
      </c>
      <c r="BD321" s="377">
        <f>-СОЦИАЛКА!$E$27*'TS2'!$X$66/4*'CF2'!AY$174</f>
        <v>0</v>
      </c>
      <c r="BE321" s="377">
        <f>-СОЦИАЛКА!$E$27*'TS2'!$X$66/4*'CF2'!AZ$174</f>
        <v>0</v>
      </c>
      <c r="BF321" s="377">
        <f>-СОЦИАЛКА!$E$27*'TS2'!$X$66/4*'CF2'!BA$174</f>
        <v>0</v>
      </c>
      <c r="BG321" s="377">
        <f>-СОЦИАЛКА!$E$27*'TS2'!$X$66/4*'CF2'!BB$174</f>
        <v>0</v>
      </c>
      <c r="BH321" s="377">
        <f>-СОЦИАЛКА!$E$27*'TS2'!$X$66/4*'CF2'!BC$174</f>
        <v>0</v>
      </c>
      <c r="BI321" s="377">
        <f>-СОЦИАЛКА!$E$27*'TS2'!$X$66/4*'CF2'!BD$174</f>
        <v>0</v>
      </c>
      <c r="BJ321" s="377">
        <f>-СОЦИАЛКА!$E$27*'TS2'!$X$66/4*'CF2'!BE$174</f>
        <v>0</v>
      </c>
      <c r="BK321" s="377">
        <f>-СОЦИАЛКА!$E$27*'TS2'!$X$66/4*'CF2'!BF$174</f>
        <v>0</v>
      </c>
      <c r="BL321" s="377">
        <f>-СОЦИАЛКА!$E$27*'TS2'!$X$66/4*'CF2'!BG$174</f>
        <v>0</v>
      </c>
      <c r="BM321" s="377">
        <f>-СОЦИАЛКА!$E$27*'TS2'!$X$66/4*'CF2'!BH$174</f>
        <v>0</v>
      </c>
      <c r="BN321" s="377">
        <f>-СОЦИАЛКА!$E$27*'TS2'!$X$66/4*'CF2'!BI$174</f>
        <v>0</v>
      </c>
      <c r="BO321" s="377">
        <f>-СОЦИАЛКА!$E$27*'TS2'!$X$66/4*'CF2'!BJ$174</f>
        <v>0</v>
      </c>
      <c r="BP321" s="377">
        <f>-СОЦИАЛКА!$E$27*'TS2'!$X$66/4*'CF2'!BK$174</f>
        <v>0</v>
      </c>
      <c r="BQ321" s="377">
        <f>-СОЦИАЛКА!$E$27*'TS2'!$X$66/4*'CF2'!BL$174</f>
        <v>0</v>
      </c>
      <c r="BR321" s="377">
        <f>-СОЦИАЛКА!$E$27*'TS2'!$X$66/4*'CF2'!BM$174</f>
        <v>0</v>
      </c>
    </row>
    <row r="322" spans="1:70" outlineLevel="1">
      <c r="A322" s="374"/>
      <c r="B322" s="359"/>
      <c r="C322" s="359"/>
      <c r="D322" s="360"/>
      <c r="E322" s="360"/>
      <c r="F322" s="373"/>
      <c r="G322" s="360"/>
      <c r="H322" s="377"/>
      <c r="I322" s="537"/>
      <c r="J322" s="546"/>
      <c r="K322" s="383"/>
      <c r="L322" s="383"/>
      <c r="M322" s="383"/>
      <c r="N322" s="383"/>
      <c r="O322" s="383"/>
      <c r="P322" s="383"/>
      <c r="Q322" s="383"/>
      <c r="R322" s="383"/>
      <c r="S322" s="377"/>
      <c r="T322" s="377"/>
      <c r="U322" s="377"/>
      <c r="V322" s="377"/>
      <c r="W322" s="377"/>
      <c r="X322" s="377"/>
      <c r="Y322" s="377"/>
      <c r="Z322" s="377"/>
      <c r="AA322" s="377"/>
      <c r="AB322" s="377"/>
      <c r="AC322" s="377"/>
      <c r="AD322" s="377"/>
      <c r="AE322" s="377"/>
      <c r="AF322" s="377"/>
      <c r="AG322" s="377"/>
      <c r="AH322" s="377"/>
      <c r="AI322" s="377"/>
      <c r="AJ322" s="377"/>
      <c r="AK322" s="377"/>
      <c r="AL322" s="377"/>
      <c r="AM322" s="377"/>
      <c r="AN322" s="377"/>
      <c r="AO322" s="377"/>
      <c r="AP322" s="377"/>
      <c r="AQ322" s="377"/>
      <c r="AR322" s="377"/>
      <c r="AS322" s="377"/>
      <c r="AT322" s="377"/>
      <c r="AU322" s="377"/>
      <c r="AV322" s="377"/>
      <c r="AW322" s="377"/>
      <c r="AX322" s="377"/>
      <c r="AY322" s="377"/>
      <c r="AZ322" s="377"/>
      <c r="BA322" s="377"/>
      <c r="BB322" s="377"/>
      <c r="BC322" s="377"/>
      <c r="BD322" s="377"/>
      <c r="BE322" s="377"/>
      <c r="BF322" s="377"/>
      <c r="BG322" s="377"/>
      <c r="BH322" s="377"/>
      <c r="BI322" s="377"/>
      <c r="BJ322" s="377"/>
      <c r="BK322" s="377"/>
      <c r="BL322" s="377"/>
      <c r="BM322" s="377"/>
      <c r="BN322" s="377"/>
      <c r="BO322" s="377"/>
      <c r="BP322" s="377"/>
      <c r="BQ322" s="377"/>
      <c r="BR322" s="377"/>
    </row>
    <row r="323" spans="1:70" outlineLevel="1">
      <c r="A323" s="374">
        <f t="shared" ref="A323:A344" si="92">I323-SUM(K323:BR323)</f>
        <v>0</v>
      </c>
      <c r="B323" s="359"/>
      <c r="C323" s="359"/>
      <c r="D323" s="360"/>
      <c r="E323" s="360"/>
      <c r="F323" s="373"/>
      <c r="G323" s="360"/>
      <c r="H323" s="377"/>
      <c r="I323" s="537"/>
      <c r="J323" s="546"/>
      <c r="K323" s="383"/>
      <c r="L323" s="383"/>
      <c r="M323" s="383"/>
      <c r="N323" s="383"/>
      <c r="O323" s="383"/>
      <c r="P323" s="383"/>
      <c r="Q323" s="383"/>
      <c r="R323" s="383"/>
      <c r="S323" s="377"/>
      <c r="T323" s="377"/>
      <c r="U323" s="377"/>
      <c r="V323" s="377"/>
      <c r="W323" s="377"/>
      <c r="X323" s="377"/>
      <c r="Y323" s="377"/>
      <c r="Z323" s="377"/>
      <c r="AA323" s="377"/>
      <c r="AB323" s="377"/>
      <c r="AC323" s="377"/>
      <c r="AD323" s="377"/>
      <c r="AE323" s="377"/>
      <c r="AF323" s="377"/>
      <c r="AG323" s="377"/>
      <c r="AH323" s="377"/>
      <c r="AI323" s="377"/>
      <c r="AJ323" s="377"/>
      <c r="AK323" s="377"/>
      <c r="AL323" s="377"/>
      <c r="AM323" s="377"/>
      <c r="AN323" s="377"/>
      <c r="AO323" s="377"/>
      <c r="AP323" s="377"/>
      <c r="AQ323" s="377"/>
      <c r="AR323" s="377"/>
      <c r="AS323" s="377"/>
      <c r="AT323" s="377"/>
      <c r="AU323" s="377"/>
      <c r="AV323" s="377"/>
      <c r="AW323" s="377"/>
      <c r="AX323" s="377"/>
      <c r="AY323" s="377"/>
      <c r="AZ323" s="377"/>
      <c r="BA323" s="377"/>
      <c r="BB323" s="377"/>
      <c r="BC323" s="377"/>
      <c r="BD323" s="377"/>
      <c r="BE323" s="377"/>
      <c r="BF323" s="377"/>
      <c r="BG323" s="377"/>
      <c r="BH323" s="377"/>
      <c r="BI323" s="377"/>
      <c r="BJ323" s="377"/>
      <c r="BK323" s="377"/>
      <c r="BL323" s="377"/>
      <c r="BM323" s="377"/>
      <c r="BN323" s="377"/>
      <c r="BO323" s="377"/>
      <c r="BP323" s="377"/>
      <c r="BQ323" s="377"/>
      <c r="BR323" s="377"/>
    </row>
    <row r="324" spans="1:70" outlineLevel="1">
      <c r="A324" s="374">
        <f t="shared" si="92"/>
        <v>0</v>
      </c>
      <c r="B324" s="359"/>
      <c r="C324" s="359"/>
      <c r="D324" s="360"/>
      <c r="E324" s="360"/>
      <c r="F324" s="373"/>
      <c r="G324" s="360"/>
      <c r="H324" s="377"/>
      <c r="I324" s="537"/>
      <c r="J324" s="546"/>
      <c r="K324" s="383"/>
      <c r="L324" s="383"/>
      <c r="M324" s="383"/>
      <c r="N324" s="383"/>
      <c r="O324" s="383"/>
      <c r="P324" s="383"/>
      <c r="Q324" s="383"/>
      <c r="R324" s="383"/>
      <c r="S324" s="377"/>
      <c r="T324" s="377"/>
      <c r="U324" s="377"/>
      <c r="V324" s="377"/>
      <c r="W324" s="377"/>
      <c r="X324" s="377"/>
      <c r="Y324" s="377"/>
      <c r="Z324" s="377"/>
      <c r="AA324" s="377"/>
      <c r="AB324" s="377"/>
      <c r="AC324" s="377"/>
      <c r="AD324" s="377"/>
      <c r="AE324" s="377"/>
      <c r="AF324" s="377"/>
      <c r="AG324" s="377"/>
      <c r="AH324" s="377"/>
      <c r="AI324" s="377"/>
      <c r="AJ324" s="377"/>
      <c r="AK324" s="377"/>
      <c r="AL324" s="377"/>
      <c r="AM324" s="377"/>
      <c r="AN324" s="377"/>
      <c r="AO324" s="377"/>
      <c r="AP324" s="377"/>
      <c r="AQ324" s="377"/>
      <c r="AR324" s="377"/>
      <c r="AS324" s="377"/>
      <c r="AT324" s="377"/>
      <c r="AU324" s="377"/>
      <c r="AV324" s="377"/>
      <c r="AW324" s="377"/>
      <c r="AX324" s="377"/>
      <c r="AY324" s="377"/>
      <c r="AZ324" s="377"/>
      <c r="BA324" s="377"/>
      <c r="BB324" s="377"/>
      <c r="BC324" s="377"/>
      <c r="BD324" s="377"/>
      <c r="BE324" s="377"/>
      <c r="BF324" s="377"/>
      <c r="BG324" s="377"/>
      <c r="BH324" s="377"/>
      <c r="BI324" s="377"/>
      <c r="BJ324" s="377"/>
      <c r="BK324" s="377"/>
      <c r="BL324" s="377"/>
      <c r="BM324" s="377"/>
      <c r="BN324" s="377"/>
      <c r="BO324" s="377"/>
      <c r="BP324" s="377"/>
      <c r="BQ324" s="377"/>
      <c r="BR324" s="377"/>
    </row>
    <row r="325" spans="1:70" s="353" customFormat="1" outlineLevel="1">
      <c r="A325" s="374">
        <f t="shared" si="92"/>
        <v>0</v>
      </c>
      <c r="B325" s="363">
        <v>5400</v>
      </c>
      <c r="C325" s="363"/>
      <c r="D325" s="364" t="s">
        <v>427</v>
      </c>
      <c r="E325" s="364"/>
      <c r="F325" s="364"/>
      <c r="G325" s="364"/>
      <c r="H325" s="378">
        <f t="shared" ref="H325" si="93">SUM(H326:H342)</f>
        <v>0</v>
      </c>
      <c r="I325" s="538">
        <f t="shared" ref="I325" si="94">SUM(I326:I342)</f>
        <v>-1155842468</v>
      </c>
      <c r="J325" s="547">
        <f t="shared" ref="J325" si="95">SUM(J326:J342)</f>
        <v>0</v>
      </c>
      <c r="K325" s="378">
        <f t="shared" ref="K325" si="96">SUM(K326:K342)</f>
        <v>0</v>
      </c>
      <c r="L325" s="378">
        <f t="shared" ref="L325" si="97">SUM(L326:L342)</f>
        <v>0</v>
      </c>
      <c r="M325" s="378">
        <f t="shared" ref="M325" si="98">SUM(M326:M342)</f>
        <v>0</v>
      </c>
      <c r="N325" s="378">
        <f t="shared" ref="N325" si="99">SUM(N326:N342)</f>
        <v>0</v>
      </c>
      <c r="O325" s="378">
        <f t="shared" ref="O325" si="100">SUM(O326:O342)</f>
        <v>0</v>
      </c>
      <c r="P325" s="378">
        <f t="shared" ref="P325" si="101">SUM(P326:P342)</f>
        <v>0</v>
      </c>
      <c r="Q325" s="378">
        <f t="shared" ref="Q325" si="102">SUM(Q326:Q342)</f>
        <v>0</v>
      </c>
      <c r="R325" s="378">
        <f t="shared" ref="R325:BR325" si="103">SUM(R326:R342)</f>
        <v>0</v>
      </c>
      <c r="S325" s="378">
        <f t="shared" si="103"/>
        <v>0</v>
      </c>
      <c r="T325" s="378">
        <f t="shared" si="103"/>
        <v>0</v>
      </c>
      <c r="U325" s="378">
        <f t="shared" si="103"/>
        <v>0</v>
      </c>
      <c r="V325" s="378">
        <f t="shared" si="103"/>
        <v>-1500000</v>
      </c>
      <c r="W325" s="378">
        <f t="shared" si="103"/>
        <v>-189346247</v>
      </c>
      <c r="X325" s="378">
        <f t="shared" si="103"/>
        <v>-309743745</v>
      </c>
      <c r="Y325" s="378">
        <f t="shared" si="103"/>
        <v>0</v>
      </c>
      <c r="Z325" s="378">
        <f t="shared" si="103"/>
        <v>-1500000</v>
      </c>
      <c r="AA325" s="378">
        <f t="shared" si="103"/>
        <v>-161406493.39999998</v>
      </c>
      <c r="AB325" s="378">
        <f t="shared" si="103"/>
        <v>-263177488.99999997</v>
      </c>
      <c r="AC325" s="378">
        <f t="shared" si="103"/>
        <v>0</v>
      </c>
      <c r="AD325" s="378">
        <f t="shared" si="103"/>
        <v>0</v>
      </c>
      <c r="AE325" s="378">
        <f t="shared" si="103"/>
        <v>0</v>
      </c>
      <c r="AF325" s="378">
        <f t="shared" si="103"/>
        <v>0</v>
      </c>
      <c r="AG325" s="378">
        <f t="shared" si="103"/>
        <v>0</v>
      </c>
      <c r="AH325" s="378">
        <f t="shared" si="103"/>
        <v>-61948749</v>
      </c>
      <c r="AI325" s="378">
        <f t="shared" si="103"/>
        <v>-61948749</v>
      </c>
      <c r="AJ325" s="378">
        <f t="shared" si="103"/>
        <v>0</v>
      </c>
      <c r="AK325" s="378">
        <f t="shared" si="103"/>
        <v>0</v>
      </c>
      <c r="AL325" s="378">
        <f t="shared" si="103"/>
        <v>-52635497.799999997</v>
      </c>
      <c r="AM325" s="378">
        <f t="shared" si="103"/>
        <v>-52635497.799999997</v>
      </c>
      <c r="AN325" s="378">
        <f t="shared" si="103"/>
        <v>0</v>
      </c>
      <c r="AO325" s="378">
        <f t="shared" si="103"/>
        <v>0</v>
      </c>
      <c r="AP325" s="378">
        <f t="shared" si="103"/>
        <v>0</v>
      </c>
      <c r="AQ325" s="378">
        <f t="shared" si="103"/>
        <v>0</v>
      </c>
      <c r="AR325" s="378">
        <f t="shared" si="103"/>
        <v>0</v>
      </c>
      <c r="AS325" s="378">
        <f t="shared" si="103"/>
        <v>0</v>
      </c>
      <c r="AT325" s="378">
        <f t="shared" si="103"/>
        <v>0</v>
      </c>
      <c r="AU325" s="378">
        <f t="shared" si="103"/>
        <v>0</v>
      </c>
      <c r="AV325" s="378">
        <f t="shared" si="103"/>
        <v>0</v>
      </c>
      <c r="AW325" s="378">
        <f t="shared" si="103"/>
        <v>0</v>
      </c>
      <c r="AX325" s="378">
        <f t="shared" si="103"/>
        <v>0</v>
      </c>
      <c r="AY325" s="378">
        <f t="shared" si="103"/>
        <v>0</v>
      </c>
      <c r="AZ325" s="378">
        <f t="shared" si="103"/>
        <v>0</v>
      </c>
      <c r="BA325" s="378">
        <f t="shared" si="103"/>
        <v>0</v>
      </c>
      <c r="BB325" s="378">
        <f t="shared" si="103"/>
        <v>0</v>
      </c>
      <c r="BC325" s="378">
        <f t="shared" si="103"/>
        <v>0</v>
      </c>
      <c r="BD325" s="378">
        <f t="shared" si="103"/>
        <v>0</v>
      </c>
      <c r="BE325" s="378">
        <f t="shared" si="103"/>
        <v>0</v>
      </c>
      <c r="BF325" s="378">
        <f t="shared" si="103"/>
        <v>0</v>
      </c>
      <c r="BG325" s="378">
        <f t="shared" si="103"/>
        <v>0</v>
      </c>
      <c r="BH325" s="378">
        <f t="shared" si="103"/>
        <v>0</v>
      </c>
      <c r="BI325" s="378">
        <f t="shared" si="103"/>
        <v>0</v>
      </c>
      <c r="BJ325" s="378">
        <f t="shared" si="103"/>
        <v>0</v>
      </c>
      <c r="BK325" s="378">
        <f t="shared" si="103"/>
        <v>0</v>
      </c>
      <c r="BL325" s="378">
        <f t="shared" si="103"/>
        <v>0</v>
      </c>
      <c r="BM325" s="378">
        <f t="shared" si="103"/>
        <v>0</v>
      </c>
      <c r="BN325" s="378">
        <f t="shared" si="103"/>
        <v>0</v>
      </c>
      <c r="BO325" s="378">
        <f t="shared" si="103"/>
        <v>0</v>
      </c>
      <c r="BP325" s="378">
        <f t="shared" si="103"/>
        <v>0</v>
      </c>
      <c r="BQ325" s="378">
        <f t="shared" si="103"/>
        <v>0</v>
      </c>
      <c r="BR325" s="378">
        <f t="shared" si="103"/>
        <v>0</v>
      </c>
    </row>
    <row r="326" spans="1:70" outlineLevel="1">
      <c r="A326" s="374">
        <f t="shared" si="92"/>
        <v>0</v>
      </c>
      <c r="B326" s="359">
        <v>5308</v>
      </c>
      <c r="C326" s="359">
        <v>1</v>
      </c>
      <c r="D326" s="360" t="s">
        <v>948</v>
      </c>
      <c r="E326" s="360" t="s">
        <v>492</v>
      </c>
      <c r="F326" s="366" t="s">
        <v>448</v>
      </c>
      <c r="G326" s="360"/>
      <c r="H326" s="377"/>
      <c r="I326" s="540">
        <f>'DB1'!$J$39*-1000000-SUMIFS(I$328:I$332,$C$328:$C$332,$C$326)</f>
        <v>-619487490</v>
      </c>
      <c r="J326" s="546"/>
      <c r="K326" s="383"/>
      <c r="L326" s="383"/>
      <c r="M326" s="383"/>
      <c r="N326" s="383"/>
      <c r="O326" s="383"/>
      <c r="P326" s="383"/>
      <c r="Q326" s="383"/>
      <c r="R326" s="383"/>
      <c r="S326" s="377">
        <f>$I326*'TS1'!N27</f>
        <v>0</v>
      </c>
      <c r="T326" s="377">
        <f>$I326*'TS1'!O27</f>
        <v>0</v>
      </c>
      <c r="U326" s="377">
        <f>$I326*'TS1'!P27</f>
        <v>0</v>
      </c>
      <c r="V326" s="377">
        <f>$I326*'TS1'!Q27</f>
        <v>0</v>
      </c>
      <c r="W326" s="377">
        <f>$I326*'TS1'!R27</f>
        <v>-185846247</v>
      </c>
      <c r="X326" s="377">
        <f>$I326*'TS1'!S27</f>
        <v>-309743745</v>
      </c>
      <c r="Y326" s="377">
        <f>$I326*'TS1'!T27</f>
        <v>0</v>
      </c>
      <c r="Z326" s="377">
        <f>$I326*'TS1'!U27</f>
        <v>0</v>
      </c>
      <c r="AA326" s="377">
        <f>$I326*'TS1'!V27</f>
        <v>0</v>
      </c>
      <c r="AB326" s="377">
        <f>$I326*'TS1'!W27</f>
        <v>0</v>
      </c>
      <c r="AC326" s="377">
        <f>$I326*'TS1'!X27</f>
        <v>0</v>
      </c>
      <c r="AD326" s="377">
        <f>$I326*'TS1'!Y27</f>
        <v>0</v>
      </c>
      <c r="AE326" s="377">
        <f>$I326*'TS1'!Z27</f>
        <v>0</v>
      </c>
      <c r="AF326" s="377">
        <f>$I326*'TS1'!AA27</f>
        <v>0</v>
      </c>
      <c r="AG326" s="377">
        <f>$I326*'TS1'!AB27</f>
        <v>0</v>
      </c>
      <c r="AH326" s="377">
        <f>$I326*'TS1'!AC27</f>
        <v>-61948749</v>
      </c>
      <c r="AI326" s="377">
        <f>$I326*'TS1'!AD27</f>
        <v>-61948749</v>
      </c>
      <c r="AJ326" s="377">
        <f>$I326*'TS1'!AE27</f>
        <v>0</v>
      </c>
      <c r="AK326" s="377">
        <f>$I326*'TS1'!AF27</f>
        <v>0</v>
      </c>
      <c r="AL326" s="377">
        <f>$I326*'TS1'!AG27</f>
        <v>0</v>
      </c>
      <c r="AM326" s="377">
        <f>$I326*'TS1'!AH27</f>
        <v>0</v>
      </c>
      <c r="AN326" s="377">
        <f>$I326*'TS1'!AI27</f>
        <v>0</v>
      </c>
      <c r="AO326" s="377">
        <f>$I326*'TS1'!AJ27</f>
        <v>0</v>
      </c>
      <c r="AP326" s="377">
        <f>$I326*'TS1'!AK27</f>
        <v>0</v>
      </c>
      <c r="AQ326" s="377">
        <f>$I326*'TS1'!AL27</f>
        <v>0</v>
      </c>
      <c r="AR326" s="377">
        <f>$I326*'TS1'!AM27</f>
        <v>0</v>
      </c>
      <c r="AS326" s="377">
        <f>$I326*'TS1'!AN27</f>
        <v>0</v>
      </c>
      <c r="AT326" s="377">
        <f>$I326*'TS1'!AO27</f>
        <v>0</v>
      </c>
      <c r="AU326" s="377">
        <f>$I326*'TS1'!AP27</f>
        <v>0</v>
      </c>
      <c r="AV326" s="377">
        <f>$I326*'TS1'!AQ27</f>
        <v>0</v>
      </c>
      <c r="AW326" s="377">
        <f>$I326*'TS1'!AR27</f>
        <v>0</v>
      </c>
      <c r="AX326" s="377">
        <f>$I326*'TS1'!AS27</f>
        <v>0</v>
      </c>
      <c r="AY326" s="377">
        <f>$I326*'TS1'!AT27</f>
        <v>0</v>
      </c>
      <c r="AZ326" s="377">
        <f>$I326*'TS1'!AU27</f>
        <v>0</v>
      </c>
      <c r="BA326" s="377">
        <f>$I326*'TS1'!AV27</f>
        <v>0</v>
      </c>
      <c r="BB326" s="377">
        <f>$I326*'TS1'!AW27</f>
        <v>0</v>
      </c>
      <c r="BC326" s="377">
        <f>$I326*'TS1'!AX27</f>
        <v>0</v>
      </c>
      <c r="BD326" s="377">
        <f>$I326*'TS1'!AY27</f>
        <v>0</v>
      </c>
      <c r="BE326" s="377">
        <f>$I326*'TS1'!AZ27</f>
        <v>0</v>
      </c>
      <c r="BF326" s="377">
        <f>$I326*'TS1'!BA27</f>
        <v>0</v>
      </c>
      <c r="BG326" s="377">
        <f>$I326*'TS1'!BB27</f>
        <v>0</v>
      </c>
      <c r="BH326" s="377">
        <f>$I326*'TS1'!BC27</f>
        <v>0</v>
      </c>
      <c r="BI326" s="377">
        <f>$I326*'TS1'!BD27</f>
        <v>0</v>
      </c>
      <c r="BJ326" s="377">
        <f>$I326*'TS1'!BE27</f>
        <v>0</v>
      </c>
      <c r="BK326" s="377">
        <f>$I326*'TS1'!BF27</f>
        <v>0</v>
      </c>
      <c r="BL326" s="377">
        <f>$I326*'TS1'!BG27</f>
        <v>0</v>
      </c>
      <c r="BM326" s="377">
        <f>$I326*'TS1'!BH27</f>
        <v>0</v>
      </c>
      <c r="BN326" s="377">
        <f>$I326*'TS1'!BI27</f>
        <v>0</v>
      </c>
      <c r="BO326" s="377">
        <f>$I326*'TS1'!BJ27</f>
        <v>0</v>
      </c>
      <c r="BP326" s="377">
        <f>$I326*'TS1'!BK27</f>
        <v>0</v>
      </c>
      <c r="BQ326" s="377">
        <f>$I326*'TS1'!BL27</f>
        <v>0</v>
      </c>
      <c r="BR326" s="377">
        <f>$I326*'TS1'!BM27</f>
        <v>0</v>
      </c>
    </row>
    <row r="327" spans="1:70" outlineLevel="1">
      <c r="A327" s="374">
        <f t="shared" si="92"/>
        <v>0</v>
      </c>
      <c r="B327" s="359"/>
      <c r="C327" s="359"/>
      <c r="D327" s="360"/>
      <c r="E327" s="360"/>
      <c r="F327" s="373"/>
      <c r="G327" s="360"/>
      <c r="H327" s="377"/>
      <c r="I327" s="537"/>
      <c r="J327" s="546"/>
      <c r="K327" s="383"/>
      <c r="L327" s="383"/>
      <c r="M327" s="383"/>
      <c r="N327" s="383"/>
      <c r="O327" s="383"/>
      <c r="P327" s="383"/>
      <c r="Q327" s="383"/>
      <c r="R327" s="383"/>
      <c r="S327" s="377"/>
      <c r="T327" s="377"/>
      <c r="U327" s="377"/>
      <c r="V327" s="377"/>
      <c r="W327" s="377"/>
      <c r="X327" s="377"/>
      <c r="Y327" s="377"/>
      <c r="Z327" s="377"/>
      <c r="AA327" s="377"/>
      <c r="AB327" s="377"/>
      <c r="AC327" s="377"/>
      <c r="AD327" s="377"/>
      <c r="AE327" s="377"/>
      <c r="AF327" s="377"/>
      <c r="AG327" s="377"/>
      <c r="AH327" s="377"/>
      <c r="AI327" s="377"/>
      <c r="AJ327" s="377"/>
      <c r="AK327" s="377"/>
      <c r="AL327" s="377"/>
      <c r="AM327" s="377"/>
      <c r="AN327" s="377"/>
      <c r="AO327" s="377"/>
      <c r="AP327" s="377"/>
      <c r="AQ327" s="377"/>
      <c r="AR327" s="377"/>
      <c r="AS327" s="377"/>
      <c r="AT327" s="377"/>
      <c r="AU327" s="377"/>
      <c r="AV327" s="377"/>
      <c r="AW327" s="377"/>
      <c r="AX327" s="377"/>
      <c r="AY327" s="377"/>
      <c r="AZ327" s="377"/>
      <c r="BA327" s="377"/>
      <c r="BB327" s="377"/>
      <c r="BC327" s="377"/>
      <c r="BD327" s="377"/>
      <c r="BE327" s="377"/>
      <c r="BF327" s="377"/>
      <c r="BG327" s="377"/>
      <c r="BH327" s="377"/>
      <c r="BI327" s="377"/>
      <c r="BJ327" s="377"/>
      <c r="BK327" s="377"/>
      <c r="BL327" s="377"/>
      <c r="BM327" s="377"/>
      <c r="BN327" s="377"/>
      <c r="BO327" s="377"/>
      <c r="BP327" s="377"/>
      <c r="BQ327" s="377"/>
      <c r="BR327" s="377"/>
    </row>
    <row r="328" spans="1:70" outlineLevel="1">
      <c r="A328" s="374">
        <f t="shared" si="92"/>
        <v>0</v>
      </c>
      <c r="B328" s="359">
        <v>5308</v>
      </c>
      <c r="C328" s="359">
        <v>1</v>
      </c>
      <c r="D328" s="360" t="s">
        <v>947</v>
      </c>
      <c r="E328" s="360" t="s">
        <v>492</v>
      </c>
      <c r="F328" s="373" t="s">
        <v>454</v>
      </c>
      <c r="G328" s="360"/>
      <c r="H328" s="377"/>
      <c r="I328" s="537">
        <v>-5000000</v>
      </c>
      <c r="J328" s="546"/>
      <c r="K328" s="383"/>
      <c r="L328" s="383"/>
      <c r="M328" s="383"/>
      <c r="N328" s="383"/>
      <c r="O328" s="383"/>
      <c r="P328" s="383"/>
      <c r="Q328" s="383"/>
      <c r="R328" s="383"/>
      <c r="S328" s="377"/>
      <c r="T328" s="377"/>
      <c r="U328" s="377"/>
      <c r="V328" s="377">
        <v>-1500000</v>
      </c>
      <c r="W328" s="377">
        <v>-3500000</v>
      </c>
      <c r="X328" s="377"/>
      <c r="Y328" s="377"/>
      <c r="Z328" s="377"/>
      <c r="AA328" s="377"/>
      <c r="AB328" s="377"/>
      <c r="AC328" s="377"/>
      <c r="AD328" s="377"/>
      <c r="AE328" s="377"/>
      <c r="AF328" s="377"/>
      <c r="AG328" s="377"/>
      <c r="AH328" s="377"/>
      <c r="AI328" s="377"/>
      <c r="AJ328" s="377"/>
      <c r="AK328" s="377"/>
      <c r="AL328" s="377"/>
      <c r="AM328" s="377"/>
      <c r="AN328" s="377"/>
      <c r="AO328" s="377"/>
      <c r="AP328" s="377"/>
      <c r="AQ328" s="377"/>
      <c r="AR328" s="377"/>
      <c r="AS328" s="377"/>
      <c r="AT328" s="377"/>
      <c r="AU328" s="377"/>
      <c r="AV328" s="377"/>
      <c r="AW328" s="377"/>
      <c r="AX328" s="377"/>
      <c r="AY328" s="377"/>
      <c r="AZ328" s="377"/>
      <c r="BA328" s="377"/>
      <c r="BB328" s="377"/>
      <c r="BC328" s="377"/>
      <c r="BD328" s="377"/>
      <c r="BE328" s="377"/>
      <c r="BF328" s="377"/>
      <c r="BG328" s="377"/>
      <c r="BH328" s="377"/>
      <c r="BI328" s="377"/>
      <c r="BJ328" s="377"/>
      <c r="BK328" s="377"/>
      <c r="BL328" s="377"/>
      <c r="BM328" s="377"/>
      <c r="BN328" s="377"/>
      <c r="BO328" s="377"/>
      <c r="BP328" s="377"/>
      <c r="BQ328" s="377"/>
      <c r="BR328" s="377"/>
    </row>
    <row r="329" spans="1:70" outlineLevel="1">
      <c r="A329" s="374">
        <f t="shared" si="92"/>
        <v>0</v>
      </c>
      <c r="B329" s="359"/>
      <c r="C329" s="359"/>
      <c r="D329" s="360"/>
      <c r="E329" s="360"/>
      <c r="F329" s="373"/>
      <c r="G329" s="360"/>
      <c r="H329" s="377"/>
      <c r="I329" s="537"/>
      <c r="J329" s="546"/>
      <c r="K329" s="383"/>
      <c r="L329" s="383"/>
      <c r="M329" s="383"/>
      <c r="N329" s="383"/>
      <c r="O329" s="383"/>
      <c r="P329" s="383"/>
      <c r="Q329" s="383"/>
      <c r="R329" s="383"/>
      <c r="S329" s="377"/>
      <c r="T329" s="377"/>
      <c r="U329" s="377"/>
      <c r="V329" s="377"/>
      <c r="W329" s="377"/>
      <c r="X329" s="377"/>
      <c r="Y329" s="377"/>
      <c r="Z329" s="377"/>
      <c r="AA329" s="377"/>
      <c r="AB329" s="377"/>
      <c r="AC329" s="377"/>
      <c r="AD329" s="377"/>
      <c r="AE329" s="377"/>
      <c r="AF329" s="377"/>
      <c r="AG329" s="377"/>
      <c r="AH329" s="377"/>
      <c r="AI329" s="377"/>
      <c r="AJ329" s="377"/>
      <c r="AK329" s="377"/>
      <c r="AL329" s="377"/>
      <c r="AM329" s="377"/>
      <c r="AN329" s="377"/>
      <c r="AO329" s="377"/>
      <c r="AP329" s="377"/>
      <c r="AQ329" s="377"/>
      <c r="AR329" s="377"/>
      <c r="AS329" s="377"/>
      <c r="AT329" s="377"/>
      <c r="AU329" s="377"/>
      <c r="AV329" s="377"/>
      <c r="AW329" s="377"/>
      <c r="AX329" s="377"/>
      <c r="AY329" s="377"/>
      <c r="AZ329" s="377"/>
      <c r="BA329" s="377"/>
      <c r="BB329" s="377"/>
      <c r="BC329" s="377"/>
      <c r="BD329" s="377"/>
      <c r="BE329" s="377"/>
      <c r="BF329" s="377"/>
      <c r="BG329" s="377"/>
      <c r="BH329" s="377"/>
      <c r="BI329" s="377"/>
      <c r="BJ329" s="377"/>
      <c r="BK329" s="377"/>
      <c r="BL329" s="377"/>
      <c r="BM329" s="377"/>
      <c r="BN329" s="377"/>
      <c r="BO329" s="377"/>
      <c r="BP329" s="377"/>
      <c r="BQ329" s="377"/>
      <c r="BR329" s="377"/>
    </row>
    <row r="330" spans="1:70" outlineLevel="1">
      <c r="A330" s="374">
        <f t="shared" si="92"/>
        <v>0</v>
      </c>
      <c r="B330" s="359"/>
      <c r="C330" s="359"/>
      <c r="D330" s="360"/>
      <c r="E330" s="360"/>
      <c r="F330" s="373"/>
      <c r="G330" s="360"/>
      <c r="H330" s="377"/>
      <c r="I330" s="537"/>
      <c r="J330" s="546"/>
      <c r="K330" s="383"/>
      <c r="L330" s="383"/>
      <c r="M330" s="383"/>
      <c r="N330" s="383"/>
      <c r="O330" s="383"/>
      <c r="P330" s="383"/>
      <c r="Q330" s="383"/>
      <c r="R330" s="383"/>
      <c r="S330" s="377"/>
      <c r="T330" s="377"/>
      <c r="U330" s="377"/>
      <c r="V330" s="377"/>
      <c r="W330" s="377"/>
      <c r="X330" s="377"/>
      <c r="Y330" s="377"/>
      <c r="Z330" s="377"/>
      <c r="AA330" s="377"/>
      <c r="AB330" s="377"/>
      <c r="AC330" s="377"/>
      <c r="AD330" s="377"/>
      <c r="AE330" s="377"/>
      <c r="AF330" s="377"/>
      <c r="AG330" s="377"/>
      <c r="AH330" s="377"/>
      <c r="AI330" s="377"/>
      <c r="AJ330" s="377"/>
      <c r="AK330" s="377"/>
      <c r="AL330" s="377"/>
      <c r="AM330" s="377"/>
      <c r="AN330" s="377"/>
      <c r="AO330" s="377"/>
      <c r="AP330" s="377"/>
      <c r="AQ330" s="377"/>
      <c r="AR330" s="377"/>
      <c r="AS330" s="377"/>
      <c r="AT330" s="377"/>
      <c r="AU330" s="377"/>
      <c r="AV330" s="377"/>
      <c r="AW330" s="377"/>
      <c r="AX330" s="377"/>
      <c r="AY330" s="377"/>
      <c r="AZ330" s="377"/>
      <c r="BA330" s="377"/>
      <c r="BB330" s="377"/>
      <c r="BC330" s="377"/>
      <c r="BD330" s="377"/>
      <c r="BE330" s="377"/>
      <c r="BF330" s="377"/>
      <c r="BG330" s="377"/>
      <c r="BH330" s="377"/>
      <c r="BI330" s="377"/>
      <c r="BJ330" s="377"/>
      <c r="BK330" s="377"/>
      <c r="BL330" s="377"/>
      <c r="BM330" s="377"/>
      <c r="BN330" s="377"/>
      <c r="BO330" s="377"/>
      <c r="BP330" s="377"/>
      <c r="BQ330" s="377"/>
      <c r="BR330" s="377"/>
    </row>
    <row r="331" spans="1:70" outlineLevel="1">
      <c r="A331" s="374">
        <f t="shared" si="92"/>
        <v>0</v>
      </c>
      <c r="B331" s="359"/>
      <c r="C331" s="359"/>
      <c r="D331" s="360"/>
      <c r="E331" s="360"/>
      <c r="F331" s="373"/>
      <c r="G331" s="360"/>
      <c r="H331" s="377"/>
      <c r="I331" s="537"/>
      <c r="J331" s="546"/>
      <c r="K331" s="383"/>
      <c r="L331" s="383"/>
      <c r="M331" s="383"/>
      <c r="N331" s="383"/>
      <c r="O331" s="383"/>
      <c r="P331" s="383"/>
      <c r="Q331" s="383"/>
      <c r="R331" s="383"/>
      <c r="S331" s="377"/>
      <c r="T331" s="377"/>
      <c r="U331" s="377"/>
      <c r="V331" s="377"/>
      <c r="W331" s="377"/>
      <c r="X331" s="377"/>
      <c r="Y331" s="377"/>
      <c r="Z331" s="377"/>
      <c r="AA331" s="377"/>
      <c r="AB331" s="377"/>
      <c r="AC331" s="377"/>
      <c r="AD331" s="377"/>
      <c r="AE331" s="377"/>
      <c r="AF331" s="377"/>
      <c r="AG331" s="377"/>
      <c r="AH331" s="377"/>
      <c r="AI331" s="377"/>
      <c r="AJ331" s="377"/>
      <c r="AK331" s="377"/>
      <c r="AL331" s="377"/>
      <c r="AM331" s="377"/>
      <c r="AN331" s="377"/>
      <c r="AO331" s="377"/>
      <c r="AP331" s="377"/>
      <c r="AQ331" s="377"/>
      <c r="AR331" s="377"/>
      <c r="AS331" s="377"/>
      <c r="AT331" s="377"/>
      <c r="AU331" s="377"/>
      <c r="AV331" s="377"/>
      <c r="AW331" s="377"/>
      <c r="AX331" s="377"/>
      <c r="AY331" s="377"/>
      <c r="AZ331" s="377"/>
      <c r="BA331" s="377"/>
      <c r="BB331" s="377"/>
      <c r="BC331" s="377"/>
      <c r="BD331" s="377"/>
      <c r="BE331" s="377"/>
      <c r="BF331" s="377"/>
      <c r="BG331" s="377"/>
      <c r="BH331" s="377"/>
      <c r="BI331" s="377"/>
      <c r="BJ331" s="377"/>
      <c r="BK331" s="377"/>
      <c r="BL331" s="377"/>
      <c r="BM331" s="377"/>
      <c r="BN331" s="377"/>
      <c r="BO331" s="377"/>
      <c r="BP331" s="377"/>
      <c r="BQ331" s="377"/>
      <c r="BR331" s="377"/>
    </row>
    <row r="332" spans="1:70" outlineLevel="1">
      <c r="A332" s="374">
        <f t="shared" si="92"/>
        <v>0</v>
      </c>
      <c r="B332" s="359"/>
      <c r="C332" s="359"/>
      <c r="D332" s="360"/>
      <c r="E332" s="360"/>
      <c r="F332" s="373"/>
      <c r="G332" s="360"/>
      <c r="H332" s="377"/>
      <c r="I332" s="537"/>
      <c r="J332" s="546"/>
      <c r="K332" s="383"/>
      <c r="L332" s="383"/>
      <c r="M332" s="383"/>
      <c r="N332" s="383"/>
      <c r="O332" s="383"/>
      <c r="P332" s="383"/>
      <c r="Q332" s="383"/>
      <c r="R332" s="383"/>
      <c r="S332" s="377"/>
      <c r="T332" s="377"/>
      <c r="U332" s="377"/>
      <c r="V332" s="377"/>
      <c r="W332" s="377"/>
      <c r="X332" s="377"/>
      <c r="Y332" s="377"/>
      <c r="Z332" s="377"/>
      <c r="AA332" s="377"/>
      <c r="AB332" s="377"/>
      <c r="AC332" s="377"/>
      <c r="AD332" s="377"/>
      <c r="AE332" s="377"/>
      <c r="AF332" s="377"/>
      <c r="AG332" s="377"/>
      <c r="AH332" s="377"/>
      <c r="AI332" s="377"/>
      <c r="AJ332" s="377"/>
      <c r="AK332" s="377"/>
      <c r="AL332" s="377"/>
      <c r="AM332" s="377"/>
      <c r="AN332" s="377"/>
      <c r="AO332" s="377"/>
      <c r="AP332" s="377"/>
      <c r="AQ332" s="377"/>
      <c r="AR332" s="377"/>
      <c r="AS332" s="377"/>
      <c r="AT332" s="377"/>
      <c r="AU332" s="377"/>
      <c r="AV332" s="377"/>
      <c r="AW332" s="377"/>
      <c r="AX332" s="377"/>
      <c r="AY332" s="377"/>
      <c r="AZ332" s="377"/>
      <c r="BA332" s="377"/>
      <c r="BB332" s="377"/>
      <c r="BC332" s="377"/>
      <c r="BD332" s="377"/>
      <c r="BE332" s="377"/>
      <c r="BF332" s="377"/>
      <c r="BG332" s="377"/>
      <c r="BH332" s="377"/>
      <c r="BI332" s="377"/>
      <c r="BJ332" s="377"/>
      <c r="BK332" s="377"/>
      <c r="BL332" s="377"/>
      <c r="BM332" s="377"/>
      <c r="BN332" s="377"/>
      <c r="BO332" s="377"/>
      <c r="BP332" s="377"/>
      <c r="BQ332" s="377"/>
      <c r="BR332" s="377"/>
    </row>
    <row r="333" spans="1:70" outlineLevel="1">
      <c r="A333" s="374">
        <f t="shared" si="92"/>
        <v>0</v>
      </c>
      <c r="B333" s="359">
        <v>5308</v>
      </c>
      <c r="C333" s="359">
        <v>2</v>
      </c>
      <c r="D333" s="360" t="s">
        <v>948</v>
      </c>
      <c r="E333" s="360" t="s">
        <v>492</v>
      </c>
      <c r="F333" s="366" t="s">
        <v>448</v>
      </c>
      <c r="G333" s="360"/>
      <c r="H333" s="377"/>
      <c r="I333" s="540">
        <f>'DB2'!$J$38*-1000000-SUMIFS(I$334:I$342,$C$334:$C$342,$C$333)</f>
        <v>-526354977.99999994</v>
      </c>
      <c r="J333" s="546"/>
      <c r="K333" s="383"/>
      <c r="L333" s="383"/>
      <c r="M333" s="383"/>
      <c r="N333" s="383"/>
      <c r="O333" s="383"/>
      <c r="P333" s="383"/>
      <c r="Q333" s="383"/>
      <c r="R333" s="383"/>
      <c r="S333" s="377">
        <f>$I333*'TS2'!N27</f>
        <v>0</v>
      </c>
      <c r="T333" s="377">
        <f>$I333*'TS2'!O27</f>
        <v>0</v>
      </c>
      <c r="U333" s="377">
        <f>$I333*'TS2'!P27</f>
        <v>0</v>
      </c>
      <c r="V333" s="377">
        <f>$I333*'TS2'!Q27</f>
        <v>0</v>
      </c>
      <c r="W333" s="377">
        <f>$I333*'TS2'!R27</f>
        <v>0</v>
      </c>
      <c r="X333" s="377">
        <f>$I333*'TS2'!S27</f>
        <v>0</v>
      </c>
      <c r="Y333" s="377">
        <f>$I333*'TS2'!T27</f>
        <v>0</v>
      </c>
      <c r="Z333" s="377">
        <f>$I333*'TS2'!U27</f>
        <v>0</v>
      </c>
      <c r="AA333" s="377">
        <f>$I333*'TS2'!V27</f>
        <v>-157906493.39999998</v>
      </c>
      <c r="AB333" s="377">
        <f>$I333*'TS2'!W27</f>
        <v>-263177488.99999997</v>
      </c>
      <c r="AC333" s="377">
        <f>$I333*'TS2'!X27</f>
        <v>0</v>
      </c>
      <c r="AD333" s="377">
        <f>$I333*'TS2'!Y27</f>
        <v>0</v>
      </c>
      <c r="AE333" s="377">
        <f>$I333*'TS2'!Z27</f>
        <v>0</v>
      </c>
      <c r="AF333" s="377">
        <f>$I333*'TS2'!AA27</f>
        <v>0</v>
      </c>
      <c r="AG333" s="377">
        <f>$I333*'TS2'!AB27</f>
        <v>0</v>
      </c>
      <c r="AH333" s="377">
        <f>$I333*'TS2'!AC27</f>
        <v>0</v>
      </c>
      <c r="AI333" s="377">
        <f>$I333*'TS2'!AD27</f>
        <v>0</v>
      </c>
      <c r="AJ333" s="377">
        <f>$I333*'TS2'!AE27</f>
        <v>0</v>
      </c>
      <c r="AK333" s="377">
        <f>$I333*'TS2'!AF27</f>
        <v>0</v>
      </c>
      <c r="AL333" s="377">
        <f>$I333*'TS2'!AG27</f>
        <v>-52635497.799999997</v>
      </c>
      <c r="AM333" s="377">
        <f>$I333*'TS2'!AH27</f>
        <v>-52635497.799999997</v>
      </c>
      <c r="AN333" s="377">
        <f>$I333*'TS2'!AI27</f>
        <v>0</v>
      </c>
      <c r="AO333" s="377">
        <f>$I333*'TS2'!AJ27</f>
        <v>0</v>
      </c>
      <c r="AP333" s="377">
        <f>$I333*'TS2'!AK27</f>
        <v>0</v>
      </c>
      <c r="AQ333" s="377">
        <f>$I333*'TS2'!AL27</f>
        <v>0</v>
      </c>
      <c r="AR333" s="377">
        <f>$I333*'TS2'!AM27</f>
        <v>0</v>
      </c>
      <c r="AS333" s="377">
        <f>$I333*'TS2'!AN27</f>
        <v>0</v>
      </c>
      <c r="AT333" s="377">
        <f>$I333*'TS2'!AO27</f>
        <v>0</v>
      </c>
      <c r="AU333" s="377">
        <f>$I333*'TS2'!AP27</f>
        <v>0</v>
      </c>
      <c r="AV333" s="377">
        <f>$I333*'TS2'!AQ27</f>
        <v>0</v>
      </c>
      <c r="AW333" s="377">
        <f>$I333*'TS2'!AR27</f>
        <v>0</v>
      </c>
      <c r="AX333" s="377">
        <f>$I333*'TS2'!AS27</f>
        <v>0</v>
      </c>
      <c r="AY333" s="377">
        <f>$I333*'TS2'!AT27</f>
        <v>0</v>
      </c>
      <c r="AZ333" s="377">
        <f>$I333*'TS2'!AU27</f>
        <v>0</v>
      </c>
      <c r="BA333" s="377">
        <f>$I333*'TS2'!AV27</f>
        <v>0</v>
      </c>
      <c r="BB333" s="377">
        <f>$I333*'TS2'!AW27</f>
        <v>0</v>
      </c>
      <c r="BC333" s="377">
        <f>$I333*'TS2'!AX27</f>
        <v>0</v>
      </c>
      <c r="BD333" s="377">
        <f>$I333*'TS2'!AY27</f>
        <v>0</v>
      </c>
      <c r="BE333" s="377">
        <f>$I333*'TS2'!AZ27</f>
        <v>0</v>
      </c>
      <c r="BF333" s="377">
        <f>$I333*'TS2'!BA27</f>
        <v>0</v>
      </c>
      <c r="BG333" s="377">
        <f>$I333*'TS2'!BB27</f>
        <v>0</v>
      </c>
      <c r="BH333" s="377">
        <f>$I333*'TS2'!BC27</f>
        <v>0</v>
      </c>
      <c r="BI333" s="377">
        <f>$I333*'TS2'!BD27</f>
        <v>0</v>
      </c>
      <c r="BJ333" s="377">
        <f>$I333*'TS2'!BE27</f>
        <v>0</v>
      </c>
      <c r="BK333" s="377">
        <f>$I333*'TS2'!BF27</f>
        <v>0</v>
      </c>
      <c r="BL333" s="377">
        <f>$I333*'TS2'!BG27</f>
        <v>0</v>
      </c>
      <c r="BM333" s="377">
        <f>$I333*'TS2'!BH27</f>
        <v>0</v>
      </c>
      <c r="BN333" s="377">
        <f>$I333*'TS2'!BI27</f>
        <v>0</v>
      </c>
      <c r="BO333" s="377">
        <f>$I333*'TS2'!BJ27</f>
        <v>0</v>
      </c>
      <c r="BP333" s="377">
        <f>$I333*'TS2'!BK27</f>
        <v>0</v>
      </c>
      <c r="BQ333" s="377">
        <f>$I333*'TS2'!BL27</f>
        <v>0</v>
      </c>
      <c r="BR333" s="377">
        <f>$I333*'TS2'!BM27</f>
        <v>0</v>
      </c>
    </row>
    <row r="334" spans="1:70" outlineLevel="1">
      <c r="A334" s="374">
        <f t="shared" si="92"/>
        <v>0</v>
      </c>
      <c r="B334" s="359"/>
      <c r="C334" s="359"/>
      <c r="D334" s="360"/>
      <c r="E334" s="360"/>
      <c r="F334" s="373"/>
      <c r="G334" s="360"/>
      <c r="H334" s="377"/>
      <c r="I334" s="537"/>
      <c r="J334" s="546"/>
      <c r="K334" s="383"/>
      <c r="L334" s="383"/>
      <c r="M334" s="383"/>
      <c r="N334" s="383"/>
      <c r="O334" s="383"/>
      <c r="P334" s="383"/>
      <c r="Q334" s="383"/>
      <c r="R334" s="383"/>
      <c r="S334" s="377"/>
      <c r="T334" s="377"/>
      <c r="U334" s="377"/>
      <c r="V334" s="377"/>
      <c r="W334" s="377"/>
      <c r="X334" s="377"/>
      <c r="Y334" s="377"/>
      <c r="Z334" s="377"/>
      <c r="AA334" s="377"/>
      <c r="AB334" s="377"/>
      <c r="AC334" s="377"/>
      <c r="AD334" s="377"/>
      <c r="AE334" s="377"/>
      <c r="AF334" s="377"/>
      <c r="AG334" s="377"/>
      <c r="AH334" s="377"/>
      <c r="AI334" s="377"/>
      <c r="AJ334" s="377"/>
      <c r="AK334" s="377"/>
      <c r="AL334" s="377"/>
      <c r="AM334" s="377"/>
      <c r="AN334" s="377"/>
      <c r="AO334" s="377"/>
      <c r="AP334" s="377"/>
      <c r="AQ334" s="377"/>
      <c r="AR334" s="377"/>
      <c r="AS334" s="377"/>
      <c r="AT334" s="377"/>
      <c r="AU334" s="377"/>
      <c r="AV334" s="377"/>
      <c r="AW334" s="377"/>
      <c r="AX334" s="377"/>
      <c r="AY334" s="377"/>
      <c r="AZ334" s="377"/>
      <c r="BA334" s="377"/>
      <c r="BB334" s="377"/>
      <c r="BC334" s="377"/>
      <c r="BD334" s="377"/>
      <c r="BE334" s="377"/>
      <c r="BF334" s="377"/>
      <c r="BG334" s="377"/>
      <c r="BH334" s="377"/>
      <c r="BI334" s="377"/>
      <c r="BJ334" s="377"/>
      <c r="BK334" s="377"/>
      <c r="BL334" s="377"/>
      <c r="BM334" s="377"/>
      <c r="BN334" s="377"/>
      <c r="BO334" s="377"/>
      <c r="BP334" s="377"/>
      <c r="BQ334" s="377"/>
      <c r="BR334" s="377"/>
    </row>
    <row r="335" spans="1:70" outlineLevel="1">
      <c r="A335" s="374">
        <f t="shared" si="92"/>
        <v>0</v>
      </c>
      <c r="B335" s="359">
        <v>5308</v>
      </c>
      <c r="C335" s="359">
        <v>2</v>
      </c>
      <c r="D335" s="360" t="s">
        <v>947</v>
      </c>
      <c r="E335" s="360" t="s">
        <v>492</v>
      </c>
      <c r="F335" s="373" t="s">
        <v>454</v>
      </c>
      <c r="G335" s="360"/>
      <c r="H335" s="377"/>
      <c r="I335" s="537">
        <v>-5000000</v>
      </c>
      <c r="J335" s="546"/>
      <c r="K335" s="383"/>
      <c r="L335" s="383"/>
      <c r="M335" s="383"/>
      <c r="N335" s="383"/>
      <c r="O335" s="383"/>
      <c r="P335" s="383"/>
      <c r="Q335" s="383"/>
      <c r="R335" s="383"/>
      <c r="S335" s="377"/>
      <c r="T335" s="377"/>
      <c r="U335" s="377"/>
      <c r="V335" s="377"/>
      <c r="W335" s="377"/>
      <c r="X335" s="377"/>
      <c r="Y335" s="377"/>
      <c r="Z335" s="377">
        <v>-1500000</v>
      </c>
      <c r="AA335" s="377">
        <v>-3500000</v>
      </c>
      <c r="AB335" s="377"/>
      <c r="AC335" s="377"/>
      <c r="AD335" s="377"/>
      <c r="AE335" s="377"/>
      <c r="AF335" s="377"/>
      <c r="AG335" s="377"/>
      <c r="AH335" s="377"/>
      <c r="AI335" s="377"/>
      <c r="AJ335" s="377"/>
      <c r="AK335" s="377"/>
      <c r="AL335" s="377"/>
      <c r="AM335" s="377"/>
      <c r="AN335" s="377"/>
      <c r="AO335" s="377"/>
      <c r="AP335" s="377"/>
      <c r="AQ335" s="377"/>
      <c r="AR335" s="377"/>
      <c r="AS335" s="377"/>
      <c r="AT335" s="377"/>
      <c r="AU335" s="377"/>
      <c r="AV335" s="377"/>
      <c r="AW335" s="377"/>
      <c r="AX335" s="377"/>
      <c r="AY335" s="377"/>
      <c r="AZ335" s="377"/>
      <c r="BA335" s="377"/>
      <c r="BB335" s="377"/>
      <c r="BC335" s="377"/>
      <c r="BD335" s="377"/>
      <c r="BE335" s="377"/>
      <c r="BF335" s="377"/>
      <c r="BG335" s="377"/>
      <c r="BH335" s="377"/>
      <c r="BI335" s="377"/>
      <c r="BJ335" s="377"/>
      <c r="BK335" s="377"/>
      <c r="BL335" s="377"/>
      <c r="BM335" s="377"/>
      <c r="BN335" s="377"/>
      <c r="BO335" s="377"/>
      <c r="BP335" s="377"/>
      <c r="BQ335" s="377"/>
      <c r="BR335" s="377"/>
    </row>
    <row r="336" spans="1:70" outlineLevel="1">
      <c r="A336" s="374">
        <f t="shared" si="92"/>
        <v>0</v>
      </c>
      <c r="B336" s="359"/>
      <c r="C336" s="359"/>
      <c r="D336" s="360"/>
      <c r="E336" s="360"/>
      <c r="F336" s="373"/>
      <c r="G336" s="360"/>
      <c r="H336" s="377"/>
      <c r="I336" s="537"/>
      <c r="J336" s="546"/>
      <c r="K336" s="383"/>
      <c r="L336" s="383"/>
      <c r="M336" s="383"/>
      <c r="N336" s="383"/>
      <c r="O336" s="383"/>
      <c r="P336" s="383"/>
      <c r="Q336" s="383"/>
      <c r="R336" s="383"/>
      <c r="S336" s="377"/>
      <c r="T336" s="377"/>
      <c r="U336" s="377"/>
      <c r="V336" s="377"/>
      <c r="W336" s="377"/>
      <c r="X336" s="377"/>
      <c r="Y336" s="377"/>
      <c r="Z336" s="377"/>
      <c r="AA336" s="377"/>
      <c r="AB336" s="377"/>
      <c r="AC336" s="377"/>
      <c r="AD336" s="377"/>
      <c r="AE336" s="377"/>
      <c r="AF336" s="377"/>
      <c r="AG336" s="377"/>
      <c r="AH336" s="377"/>
      <c r="AI336" s="377"/>
      <c r="AJ336" s="377"/>
      <c r="AK336" s="377"/>
      <c r="AL336" s="377"/>
      <c r="AM336" s="377"/>
      <c r="AN336" s="377"/>
      <c r="AO336" s="377"/>
      <c r="AP336" s="377"/>
      <c r="AQ336" s="377"/>
      <c r="AR336" s="377"/>
      <c r="AS336" s="377"/>
      <c r="AT336" s="377"/>
      <c r="AU336" s="377"/>
      <c r="AV336" s="377"/>
      <c r="AW336" s="377"/>
      <c r="AX336" s="377"/>
      <c r="AY336" s="377"/>
      <c r="AZ336" s="377"/>
      <c r="BA336" s="377"/>
      <c r="BB336" s="377"/>
      <c r="BC336" s="377"/>
      <c r="BD336" s="377"/>
      <c r="BE336" s="377"/>
      <c r="BF336" s="377"/>
      <c r="BG336" s="377"/>
      <c r="BH336" s="377"/>
      <c r="BI336" s="377"/>
      <c r="BJ336" s="377"/>
      <c r="BK336" s="377"/>
      <c r="BL336" s="377"/>
      <c r="BM336" s="377"/>
      <c r="BN336" s="377"/>
      <c r="BO336" s="377"/>
      <c r="BP336" s="377"/>
      <c r="BQ336" s="377"/>
      <c r="BR336" s="377"/>
    </row>
    <row r="337" spans="1:70" outlineLevel="1">
      <c r="A337" s="374">
        <f t="shared" si="92"/>
        <v>0</v>
      </c>
      <c r="B337" s="359"/>
      <c r="C337" s="359"/>
      <c r="D337" s="360"/>
      <c r="E337" s="360"/>
      <c r="F337" s="373"/>
      <c r="G337" s="360"/>
      <c r="H337" s="377"/>
      <c r="I337" s="537"/>
      <c r="J337" s="546"/>
      <c r="K337" s="383"/>
      <c r="L337" s="383"/>
      <c r="M337" s="383"/>
      <c r="N337" s="383"/>
      <c r="O337" s="383"/>
      <c r="P337" s="383"/>
      <c r="Q337" s="383"/>
      <c r="R337" s="383"/>
      <c r="S337" s="377"/>
      <c r="T337" s="377"/>
      <c r="U337" s="377"/>
      <c r="V337" s="377"/>
      <c r="W337" s="377"/>
      <c r="X337" s="377"/>
      <c r="Y337" s="377"/>
      <c r="Z337" s="377"/>
      <c r="AA337" s="377"/>
      <c r="AB337" s="377"/>
      <c r="AC337" s="377"/>
      <c r="AD337" s="377"/>
      <c r="AE337" s="377"/>
      <c r="AF337" s="377"/>
      <c r="AG337" s="377"/>
      <c r="AH337" s="377"/>
      <c r="AI337" s="377"/>
      <c r="AJ337" s="377"/>
      <c r="AK337" s="377"/>
      <c r="AL337" s="377"/>
      <c r="AM337" s="377"/>
      <c r="AN337" s="377"/>
      <c r="AO337" s="377"/>
      <c r="AP337" s="377"/>
      <c r="AQ337" s="377"/>
      <c r="AR337" s="377"/>
      <c r="AS337" s="377"/>
      <c r="AT337" s="377"/>
      <c r="AU337" s="377"/>
      <c r="AV337" s="377"/>
      <c r="AW337" s="377"/>
      <c r="AX337" s="377"/>
      <c r="AY337" s="377"/>
      <c r="AZ337" s="377"/>
      <c r="BA337" s="377"/>
      <c r="BB337" s="377"/>
      <c r="BC337" s="377"/>
      <c r="BD337" s="377"/>
      <c r="BE337" s="377"/>
      <c r="BF337" s="377"/>
      <c r="BG337" s="377"/>
      <c r="BH337" s="377"/>
      <c r="BI337" s="377"/>
      <c r="BJ337" s="377"/>
      <c r="BK337" s="377"/>
      <c r="BL337" s="377"/>
      <c r="BM337" s="377"/>
      <c r="BN337" s="377"/>
      <c r="BO337" s="377"/>
      <c r="BP337" s="377"/>
      <c r="BQ337" s="377"/>
      <c r="BR337" s="377"/>
    </row>
    <row r="338" spans="1:70" outlineLevel="1">
      <c r="A338" s="374">
        <f t="shared" si="92"/>
        <v>0</v>
      </c>
      <c r="B338" s="359"/>
      <c r="C338" s="359"/>
      <c r="D338" s="360"/>
      <c r="E338" s="360"/>
      <c r="F338" s="373"/>
      <c r="G338" s="360"/>
      <c r="H338" s="377"/>
      <c r="I338" s="537"/>
      <c r="J338" s="546"/>
      <c r="K338" s="383"/>
      <c r="L338" s="383"/>
      <c r="M338" s="383"/>
      <c r="N338" s="383"/>
      <c r="O338" s="383"/>
      <c r="P338" s="383"/>
      <c r="Q338" s="383"/>
      <c r="R338" s="383"/>
      <c r="S338" s="377"/>
      <c r="T338" s="377"/>
      <c r="U338" s="377"/>
      <c r="V338" s="377"/>
      <c r="W338" s="377"/>
      <c r="X338" s="377"/>
      <c r="Y338" s="377"/>
      <c r="Z338" s="377"/>
      <c r="AA338" s="377"/>
      <c r="AB338" s="377"/>
      <c r="AC338" s="377"/>
      <c r="AD338" s="377"/>
      <c r="AE338" s="377"/>
      <c r="AF338" s="377"/>
      <c r="AG338" s="377"/>
      <c r="AH338" s="377"/>
      <c r="AI338" s="377"/>
      <c r="AJ338" s="377"/>
      <c r="AK338" s="377"/>
      <c r="AL338" s="377"/>
      <c r="AM338" s="377"/>
      <c r="AN338" s="377"/>
      <c r="AO338" s="377"/>
      <c r="AP338" s="377"/>
      <c r="AQ338" s="377"/>
      <c r="AR338" s="377"/>
      <c r="AS338" s="377"/>
      <c r="AT338" s="377"/>
      <c r="AU338" s="377"/>
      <c r="AV338" s="377"/>
      <c r="AW338" s="377"/>
      <c r="AX338" s="377"/>
      <c r="AY338" s="377"/>
      <c r="AZ338" s="377"/>
      <c r="BA338" s="377"/>
      <c r="BB338" s="377"/>
      <c r="BC338" s="377"/>
      <c r="BD338" s="377"/>
      <c r="BE338" s="377"/>
      <c r="BF338" s="377"/>
      <c r="BG338" s="377"/>
      <c r="BH338" s="377"/>
      <c r="BI338" s="377"/>
      <c r="BJ338" s="377"/>
      <c r="BK338" s="377"/>
      <c r="BL338" s="377"/>
      <c r="BM338" s="377"/>
      <c r="BN338" s="377"/>
      <c r="BO338" s="377"/>
      <c r="BP338" s="377"/>
      <c r="BQ338" s="377"/>
      <c r="BR338" s="377"/>
    </row>
    <row r="339" spans="1:70" outlineLevel="1">
      <c r="A339" s="374">
        <f t="shared" si="92"/>
        <v>0</v>
      </c>
      <c r="B339" s="359"/>
      <c r="C339" s="359"/>
      <c r="D339" s="360"/>
      <c r="E339" s="360"/>
      <c r="F339" s="373"/>
      <c r="G339" s="360"/>
      <c r="H339" s="377"/>
      <c r="I339" s="537"/>
      <c r="J339" s="546"/>
      <c r="K339" s="383"/>
      <c r="L339" s="383"/>
      <c r="M339" s="383"/>
      <c r="N339" s="383"/>
      <c r="O339" s="383"/>
      <c r="P339" s="383"/>
      <c r="Q339" s="383"/>
      <c r="R339" s="383"/>
      <c r="S339" s="377"/>
      <c r="T339" s="377"/>
      <c r="U339" s="377"/>
      <c r="V339" s="377"/>
      <c r="W339" s="377"/>
      <c r="X339" s="377"/>
      <c r="Y339" s="377"/>
      <c r="Z339" s="377"/>
      <c r="AA339" s="377"/>
      <c r="AB339" s="377"/>
      <c r="AC339" s="377"/>
      <c r="AD339" s="377"/>
      <c r="AE339" s="377"/>
      <c r="AF339" s="377"/>
      <c r="AG339" s="377"/>
      <c r="AH339" s="377"/>
      <c r="AI339" s="377"/>
      <c r="AJ339" s="377"/>
      <c r="AK339" s="377"/>
      <c r="AL339" s="377"/>
      <c r="AM339" s="377"/>
      <c r="AN339" s="377"/>
      <c r="AO339" s="377"/>
      <c r="AP339" s="377"/>
      <c r="AQ339" s="377"/>
      <c r="AR339" s="377"/>
      <c r="AS339" s="377"/>
      <c r="AT339" s="377"/>
      <c r="AU339" s="377"/>
      <c r="AV339" s="377"/>
      <c r="AW339" s="377"/>
      <c r="AX339" s="377"/>
      <c r="AY339" s="377"/>
      <c r="AZ339" s="377"/>
      <c r="BA339" s="377"/>
      <c r="BB339" s="377"/>
      <c r="BC339" s="377"/>
      <c r="BD339" s="377"/>
      <c r="BE339" s="377"/>
      <c r="BF339" s="377"/>
      <c r="BG339" s="377"/>
      <c r="BH339" s="377"/>
      <c r="BI339" s="377"/>
      <c r="BJ339" s="377"/>
      <c r="BK339" s="377"/>
      <c r="BL339" s="377"/>
      <c r="BM339" s="377"/>
      <c r="BN339" s="377"/>
      <c r="BO339" s="377"/>
      <c r="BP339" s="377"/>
      <c r="BQ339" s="377"/>
      <c r="BR339" s="377"/>
    </row>
    <row r="340" spans="1:70" outlineLevel="1">
      <c r="A340" s="374">
        <f t="shared" si="92"/>
        <v>0</v>
      </c>
      <c r="B340" s="359"/>
      <c r="C340" s="359"/>
      <c r="D340" s="360"/>
      <c r="E340" s="360"/>
      <c r="F340" s="373"/>
      <c r="G340" s="360"/>
      <c r="H340" s="377"/>
      <c r="I340" s="537"/>
      <c r="J340" s="546"/>
      <c r="K340" s="383"/>
      <c r="L340" s="383"/>
      <c r="M340" s="383"/>
      <c r="N340" s="383"/>
      <c r="O340" s="383"/>
      <c r="P340" s="383"/>
      <c r="Q340" s="383"/>
      <c r="R340" s="383"/>
      <c r="S340" s="377"/>
      <c r="T340" s="377"/>
      <c r="U340" s="377"/>
      <c r="V340" s="377"/>
      <c r="W340" s="377"/>
      <c r="X340" s="377"/>
      <c r="Y340" s="377"/>
      <c r="Z340" s="377"/>
      <c r="AA340" s="377"/>
      <c r="AB340" s="377"/>
      <c r="AC340" s="377"/>
      <c r="AD340" s="377"/>
      <c r="AE340" s="377"/>
      <c r="AF340" s="377"/>
      <c r="AG340" s="377"/>
      <c r="AH340" s="377"/>
      <c r="AI340" s="377"/>
      <c r="AJ340" s="377"/>
      <c r="AK340" s="377"/>
      <c r="AL340" s="377"/>
      <c r="AM340" s="377"/>
      <c r="AN340" s="377"/>
      <c r="AO340" s="377"/>
      <c r="AP340" s="377"/>
      <c r="AQ340" s="377"/>
      <c r="AR340" s="377"/>
      <c r="AS340" s="377"/>
      <c r="AT340" s="377"/>
      <c r="AU340" s="377"/>
      <c r="AV340" s="377"/>
      <c r="AW340" s="377"/>
      <c r="AX340" s="377"/>
      <c r="AY340" s="377"/>
      <c r="AZ340" s="377"/>
      <c r="BA340" s="377"/>
      <c r="BB340" s="377"/>
      <c r="BC340" s="377"/>
      <c r="BD340" s="377"/>
      <c r="BE340" s="377"/>
      <c r="BF340" s="377"/>
      <c r="BG340" s="377"/>
      <c r="BH340" s="377"/>
      <c r="BI340" s="377"/>
      <c r="BJ340" s="377"/>
      <c r="BK340" s="377"/>
      <c r="BL340" s="377"/>
      <c r="BM340" s="377"/>
      <c r="BN340" s="377"/>
      <c r="BO340" s="377"/>
      <c r="BP340" s="377"/>
      <c r="BQ340" s="377"/>
      <c r="BR340" s="377"/>
    </row>
    <row r="341" spans="1:70" outlineLevel="1">
      <c r="A341" s="374">
        <f t="shared" si="92"/>
        <v>0</v>
      </c>
      <c r="B341" s="359"/>
      <c r="C341" s="359"/>
      <c r="D341" s="360"/>
      <c r="E341" s="360"/>
      <c r="F341" s="373"/>
      <c r="G341" s="360"/>
      <c r="H341" s="377"/>
      <c r="I341" s="537"/>
      <c r="J341" s="546"/>
      <c r="K341" s="383"/>
      <c r="L341" s="383"/>
      <c r="M341" s="383"/>
      <c r="N341" s="383"/>
      <c r="O341" s="383"/>
      <c r="P341" s="383"/>
      <c r="Q341" s="383"/>
      <c r="R341" s="383"/>
      <c r="S341" s="377"/>
      <c r="T341" s="377"/>
      <c r="U341" s="377"/>
      <c r="V341" s="377"/>
      <c r="W341" s="377"/>
      <c r="X341" s="377"/>
      <c r="Y341" s="377"/>
      <c r="Z341" s="377"/>
      <c r="AA341" s="377"/>
      <c r="AB341" s="377"/>
      <c r="AC341" s="377"/>
      <c r="AD341" s="377"/>
      <c r="AE341" s="377"/>
      <c r="AF341" s="377"/>
      <c r="AG341" s="377"/>
      <c r="AH341" s="377"/>
      <c r="AI341" s="377"/>
      <c r="AJ341" s="377"/>
      <c r="AK341" s="377"/>
      <c r="AL341" s="377"/>
      <c r="AM341" s="377"/>
      <c r="AN341" s="377"/>
      <c r="AO341" s="377"/>
      <c r="AP341" s="377"/>
      <c r="AQ341" s="377"/>
      <c r="AR341" s="377"/>
      <c r="AS341" s="377"/>
      <c r="AT341" s="377"/>
      <c r="AU341" s="377"/>
      <c r="AV341" s="377"/>
      <c r="AW341" s="377"/>
      <c r="AX341" s="377"/>
      <c r="AY341" s="377"/>
      <c r="AZ341" s="377"/>
      <c r="BA341" s="377"/>
      <c r="BB341" s="377"/>
      <c r="BC341" s="377"/>
      <c r="BD341" s="377"/>
      <c r="BE341" s="377"/>
      <c r="BF341" s="377"/>
      <c r="BG341" s="377"/>
      <c r="BH341" s="377"/>
      <c r="BI341" s="377"/>
      <c r="BJ341" s="377"/>
      <c r="BK341" s="377"/>
      <c r="BL341" s="377"/>
      <c r="BM341" s="377"/>
      <c r="BN341" s="377"/>
      <c r="BO341" s="377"/>
      <c r="BP341" s="377"/>
      <c r="BQ341" s="377"/>
      <c r="BR341" s="377"/>
    </row>
    <row r="342" spans="1:70" outlineLevel="1">
      <c r="A342" s="374">
        <f t="shared" si="92"/>
        <v>0</v>
      </c>
      <c r="B342" s="359"/>
      <c r="C342" s="359"/>
      <c r="D342" s="360"/>
      <c r="E342" s="360"/>
      <c r="F342" s="373"/>
      <c r="G342" s="360"/>
      <c r="H342" s="377"/>
      <c r="I342" s="537"/>
      <c r="J342" s="546"/>
      <c r="K342" s="383"/>
      <c r="L342" s="383"/>
      <c r="M342" s="383"/>
      <c r="N342" s="383"/>
      <c r="O342" s="383"/>
      <c r="P342" s="383"/>
      <c r="Q342" s="383"/>
      <c r="R342" s="383"/>
      <c r="S342" s="377"/>
      <c r="T342" s="377"/>
      <c r="U342" s="377"/>
      <c r="V342" s="377"/>
      <c r="W342" s="377"/>
      <c r="X342" s="377"/>
      <c r="Y342" s="377"/>
      <c r="Z342" s="377"/>
      <c r="AA342" s="377"/>
      <c r="AB342" s="377"/>
      <c r="AC342" s="377"/>
      <c r="AD342" s="377"/>
      <c r="AE342" s="377"/>
      <c r="AF342" s="377"/>
      <c r="AG342" s="377"/>
      <c r="AH342" s="377"/>
      <c r="AI342" s="377"/>
      <c r="AJ342" s="377"/>
      <c r="AK342" s="377"/>
      <c r="AL342" s="377"/>
      <c r="AM342" s="377"/>
      <c r="AN342" s="377"/>
      <c r="AO342" s="377"/>
      <c r="AP342" s="377"/>
      <c r="AQ342" s="377"/>
      <c r="AR342" s="377"/>
      <c r="AS342" s="377"/>
      <c r="AT342" s="377"/>
      <c r="AU342" s="377"/>
      <c r="AV342" s="377"/>
      <c r="AW342" s="377"/>
      <c r="AX342" s="377"/>
      <c r="AY342" s="377"/>
      <c r="AZ342" s="377"/>
      <c r="BA342" s="377"/>
      <c r="BB342" s="377"/>
      <c r="BC342" s="377"/>
      <c r="BD342" s="377"/>
      <c r="BE342" s="377"/>
      <c r="BF342" s="377"/>
      <c r="BG342" s="377"/>
      <c r="BH342" s="377"/>
      <c r="BI342" s="377"/>
      <c r="BJ342" s="377"/>
      <c r="BK342" s="377"/>
      <c r="BL342" s="377"/>
      <c r="BM342" s="377"/>
      <c r="BN342" s="377"/>
      <c r="BO342" s="377"/>
      <c r="BP342" s="377"/>
      <c r="BQ342" s="377"/>
      <c r="BR342" s="377"/>
    </row>
    <row r="343" spans="1:70" s="353" customFormat="1" outlineLevel="1">
      <c r="A343" s="374">
        <f t="shared" si="92"/>
        <v>0</v>
      </c>
      <c r="B343" s="363">
        <v>5800</v>
      </c>
      <c r="C343" s="363"/>
      <c r="D343" s="364" t="s">
        <v>428</v>
      </c>
      <c r="E343" s="364"/>
      <c r="F343" s="364"/>
      <c r="G343" s="364"/>
      <c r="H343" s="378">
        <f>SUM(H344:H359)</f>
        <v>0</v>
      </c>
      <c r="I343" s="538">
        <f t="shared" ref="I343:BR343" si="104">SUM(I344:I359)</f>
        <v>-161848178</v>
      </c>
      <c r="J343" s="547">
        <f t="shared" si="104"/>
        <v>0</v>
      </c>
      <c r="K343" s="378">
        <f t="shared" si="104"/>
        <v>0</v>
      </c>
      <c r="L343" s="378">
        <f t="shared" si="104"/>
        <v>0</v>
      </c>
      <c r="M343" s="378">
        <f t="shared" si="104"/>
        <v>0</v>
      </c>
      <c r="N343" s="378">
        <f t="shared" si="104"/>
        <v>0</v>
      </c>
      <c r="O343" s="378">
        <f t="shared" si="104"/>
        <v>0</v>
      </c>
      <c r="P343" s="378">
        <f t="shared" si="104"/>
        <v>0</v>
      </c>
      <c r="Q343" s="378">
        <f t="shared" si="104"/>
        <v>0</v>
      </c>
      <c r="R343" s="378">
        <f t="shared" si="104"/>
        <v>0</v>
      </c>
      <c r="S343" s="378">
        <f t="shared" si="104"/>
        <v>0</v>
      </c>
      <c r="T343" s="378">
        <f t="shared" si="104"/>
        <v>0</v>
      </c>
      <c r="U343" s="378">
        <f t="shared" si="104"/>
        <v>-7600000</v>
      </c>
      <c r="V343" s="378">
        <f t="shared" si="104"/>
        <v>-15600000</v>
      </c>
      <c r="W343" s="378">
        <f t="shared" si="104"/>
        <v>-5200000</v>
      </c>
      <c r="X343" s="378">
        <f t="shared" si="104"/>
        <v>-9000000</v>
      </c>
      <c r="Y343" s="378">
        <f t="shared" si="104"/>
        <v>-12500000</v>
      </c>
      <c r="Z343" s="378">
        <f t="shared" si="104"/>
        <v>-11928598.333333332</v>
      </c>
      <c r="AA343" s="378">
        <f t="shared" si="104"/>
        <v>-16528598.333333332</v>
      </c>
      <c r="AB343" s="378">
        <f t="shared" si="104"/>
        <v>-11128598.333333332</v>
      </c>
      <c r="AC343" s="378">
        <f t="shared" si="104"/>
        <v>-4428598.333333333</v>
      </c>
      <c r="AD343" s="378">
        <f t="shared" si="104"/>
        <v>-7137348.166666666</v>
      </c>
      <c r="AE343" s="378">
        <f t="shared" si="104"/>
        <v>-7137348.166666666</v>
      </c>
      <c r="AF343" s="378">
        <f t="shared" si="104"/>
        <v>-7137348.166666666</v>
      </c>
      <c r="AG343" s="378">
        <f t="shared" si="104"/>
        <v>-7137348.166666666</v>
      </c>
      <c r="AH343" s="378">
        <f t="shared" si="104"/>
        <v>-7137348.166666666</v>
      </c>
      <c r="AI343" s="378">
        <f t="shared" si="104"/>
        <v>-7137348.166666666</v>
      </c>
      <c r="AJ343" s="378">
        <f t="shared" si="104"/>
        <v>-7137348.166666666</v>
      </c>
      <c r="AK343" s="378">
        <f t="shared" si="104"/>
        <v>-7137348.166666666</v>
      </c>
      <c r="AL343" s="378">
        <f t="shared" si="104"/>
        <v>-2708749.833333333</v>
      </c>
      <c r="AM343" s="378">
        <f t="shared" si="104"/>
        <v>-2708749.833333333</v>
      </c>
      <c r="AN343" s="378">
        <f t="shared" si="104"/>
        <v>-2708749.833333333</v>
      </c>
      <c r="AO343" s="378">
        <f t="shared" si="104"/>
        <v>-2708749.833333333</v>
      </c>
      <c r="AP343" s="378">
        <f t="shared" si="104"/>
        <v>0</v>
      </c>
      <c r="AQ343" s="378">
        <f t="shared" si="104"/>
        <v>0</v>
      </c>
      <c r="AR343" s="378">
        <f t="shared" si="104"/>
        <v>0</v>
      </c>
      <c r="AS343" s="378">
        <f t="shared" si="104"/>
        <v>0</v>
      </c>
      <c r="AT343" s="378">
        <f t="shared" si="104"/>
        <v>0</v>
      </c>
      <c r="AU343" s="378">
        <f t="shared" si="104"/>
        <v>0</v>
      </c>
      <c r="AV343" s="378">
        <f t="shared" si="104"/>
        <v>0</v>
      </c>
      <c r="AW343" s="378">
        <f t="shared" si="104"/>
        <v>0</v>
      </c>
      <c r="AX343" s="378">
        <f t="shared" si="104"/>
        <v>0</v>
      </c>
      <c r="AY343" s="378">
        <f t="shared" si="104"/>
        <v>0</v>
      </c>
      <c r="AZ343" s="378">
        <f t="shared" si="104"/>
        <v>0</v>
      </c>
      <c r="BA343" s="378">
        <f t="shared" si="104"/>
        <v>0</v>
      </c>
      <c r="BB343" s="378">
        <f t="shared" si="104"/>
        <v>0</v>
      </c>
      <c r="BC343" s="378">
        <f t="shared" si="104"/>
        <v>0</v>
      </c>
      <c r="BD343" s="378">
        <f t="shared" si="104"/>
        <v>0</v>
      </c>
      <c r="BE343" s="378">
        <f t="shared" si="104"/>
        <v>0</v>
      </c>
      <c r="BF343" s="378">
        <f t="shared" si="104"/>
        <v>0</v>
      </c>
      <c r="BG343" s="378">
        <f t="shared" si="104"/>
        <v>0</v>
      </c>
      <c r="BH343" s="378">
        <f t="shared" si="104"/>
        <v>0</v>
      </c>
      <c r="BI343" s="378">
        <f t="shared" si="104"/>
        <v>0</v>
      </c>
      <c r="BJ343" s="378">
        <f t="shared" si="104"/>
        <v>0</v>
      </c>
      <c r="BK343" s="378">
        <f t="shared" si="104"/>
        <v>0</v>
      </c>
      <c r="BL343" s="378">
        <f t="shared" si="104"/>
        <v>0</v>
      </c>
      <c r="BM343" s="378">
        <f t="shared" si="104"/>
        <v>0</v>
      </c>
      <c r="BN343" s="378">
        <f t="shared" si="104"/>
        <v>0</v>
      </c>
      <c r="BO343" s="378">
        <f t="shared" si="104"/>
        <v>0</v>
      </c>
      <c r="BP343" s="378">
        <f t="shared" si="104"/>
        <v>0</v>
      </c>
      <c r="BQ343" s="378">
        <f t="shared" si="104"/>
        <v>0</v>
      </c>
      <c r="BR343" s="378">
        <f t="shared" si="104"/>
        <v>0</v>
      </c>
    </row>
    <row r="344" spans="1:70" outlineLevel="1">
      <c r="A344" s="374">
        <f t="shared" si="92"/>
        <v>0</v>
      </c>
      <c r="B344" s="359">
        <v>5408</v>
      </c>
      <c r="C344" s="359">
        <v>1</v>
      </c>
      <c r="D344" s="360" t="s">
        <v>980</v>
      </c>
      <c r="E344" s="360" t="s">
        <v>492</v>
      </c>
      <c r="F344" s="366" t="s">
        <v>448</v>
      </c>
      <c r="G344" s="360"/>
      <c r="H344" s="377"/>
      <c r="I344" s="540">
        <f>-'DB1'!J38*10^6-SUMIFS($I$345:$I$352,$C$345:$C$352,$C$344)</f>
        <v>-53143180</v>
      </c>
      <c r="J344" s="546"/>
      <c r="K344" s="383"/>
      <c r="L344" s="383"/>
      <c r="M344" s="383"/>
      <c r="N344" s="383"/>
      <c r="O344" s="383"/>
      <c r="P344" s="383"/>
      <c r="Q344" s="383"/>
      <c r="R344" s="383"/>
      <c r="S344" s="377">
        <f>$I344*'TS1'!M$25</f>
        <v>0</v>
      </c>
      <c r="T344" s="377">
        <f>$I344*'TS1'!N$25</f>
        <v>0</v>
      </c>
      <c r="U344" s="377">
        <f>$I344*'TS1'!O$25</f>
        <v>0</v>
      </c>
      <c r="V344" s="377">
        <f>$I344*'TS1'!P$25</f>
        <v>0</v>
      </c>
      <c r="W344" s="377">
        <f>$I344*'TS1'!Q$25</f>
        <v>0</v>
      </c>
      <c r="X344" s="377">
        <f>$I344*'TS1'!R$25</f>
        <v>0</v>
      </c>
      <c r="Y344" s="377">
        <f>$I344*'TS1'!S$25</f>
        <v>0</v>
      </c>
      <c r="Z344" s="377">
        <f>$I344*'TS1'!T$25</f>
        <v>-4428598.333333333</v>
      </c>
      <c r="AA344" s="377">
        <f>$I344*'TS1'!U$25</f>
        <v>-4428598.333333333</v>
      </c>
      <c r="AB344" s="377">
        <f>$I344*'TS1'!V$25</f>
        <v>-4428598.333333333</v>
      </c>
      <c r="AC344" s="377">
        <f>$I344*'TS1'!W$25</f>
        <v>-4428598.333333333</v>
      </c>
      <c r="AD344" s="377">
        <f>$I344*'TS1'!X$25</f>
        <v>-4428598.333333333</v>
      </c>
      <c r="AE344" s="377">
        <f>$I344*'TS1'!Y$25</f>
        <v>-4428598.333333333</v>
      </c>
      <c r="AF344" s="377">
        <f>$I344*'TS1'!Z$25</f>
        <v>-4428598.333333333</v>
      </c>
      <c r="AG344" s="377">
        <f>$I344*'TS1'!AA$25</f>
        <v>-4428598.333333333</v>
      </c>
      <c r="AH344" s="377">
        <f>$I344*'TS1'!AB$25</f>
        <v>-4428598.333333333</v>
      </c>
      <c r="AI344" s="377">
        <f>$I344*'TS1'!AC$25</f>
        <v>-4428598.333333333</v>
      </c>
      <c r="AJ344" s="377">
        <f>$I344*'TS1'!AD$25</f>
        <v>-4428598.333333333</v>
      </c>
      <c r="AK344" s="377">
        <f>$I344*'TS1'!AE$25</f>
        <v>-4428598.333333333</v>
      </c>
      <c r="AL344" s="377">
        <f>$I344*'TS1'!AF$25</f>
        <v>0</v>
      </c>
      <c r="AM344" s="377">
        <f>$I344*'TS1'!AG$25</f>
        <v>0</v>
      </c>
      <c r="AN344" s="377">
        <f>$I344*'TS1'!AH$25</f>
        <v>0</v>
      </c>
      <c r="AO344" s="377">
        <f>$I344*'TS1'!AI$25</f>
        <v>0</v>
      </c>
      <c r="AP344" s="377">
        <f>$I344*'TS1'!AJ$25</f>
        <v>0</v>
      </c>
      <c r="AQ344" s="377">
        <f>$I344*'TS1'!AK$25</f>
        <v>0</v>
      </c>
      <c r="AR344" s="377">
        <f>$I344*'TS1'!AL$25</f>
        <v>0</v>
      </c>
      <c r="AS344" s="377">
        <f>$I344*'TS1'!AM$25</f>
        <v>0</v>
      </c>
      <c r="AT344" s="377">
        <f>$I344*'TS1'!AN$25</f>
        <v>0</v>
      </c>
      <c r="AU344" s="377">
        <f>$I344*'TS1'!AO$25</f>
        <v>0</v>
      </c>
      <c r="AV344" s="377">
        <f>$I344*'TS1'!AP$25</f>
        <v>0</v>
      </c>
      <c r="AW344" s="377">
        <f>$I344*'TS1'!AQ$25</f>
        <v>0</v>
      </c>
      <c r="AX344" s="377">
        <f>$I344*'TS1'!AR$25</f>
        <v>0</v>
      </c>
      <c r="AY344" s="377">
        <f>$I344*'TS1'!AS$25</f>
        <v>0</v>
      </c>
      <c r="AZ344" s="377">
        <f>$I344*'TS1'!AT$25</f>
        <v>0</v>
      </c>
      <c r="BA344" s="377">
        <f>$I344*'TS1'!AU$25</f>
        <v>0</v>
      </c>
      <c r="BB344" s="377">
        <f>$I344*'TS1'!AV$25</f>
        <v>0</v>
      </c>
      <c r="BC344" s="377">
        <f>$I344*'TS1'!AW$25</f>
        <v>0</v>
      </c>
      <c r="BD344" s="377">
        <f>$I344*'TS1'!AX$25</f>
        <v>0</v>
      </c>
      <c r="BE344" s="377">
        <f>$I344*'TS1'!AY$25</f>
        <v>0</v>
      </c>
      <c r="BF344" s="377">
        <f>$I344*'TS1'!AZ$25</f>
        <v>0</v>
      </c>
      <c r="BG344" s="377">
        <f>$I344*'TS1'!BA$25</f>
        <v>0</v>
      </c>
      <c r="BH344" s="377">
        <f>$I344*'TS1'!BB$25</f>
        <v>0</v>
      </c>
      <c r="BI344" s="377">
        <f>$I344*'TS1'!BC$25</f>
        <v>0</v>
      </c>
      <c r="BJ344" s="377">
        <f>$I344*'TS1'!BD$25</f>
        <v>0</v>
      </c>
      <c r="BK344" s="377">
        <f>$I344*'TS1'!BE$25</f>
        <v>0</v>
      </c>
      <c r="BL344" s="377">
        <f>$I344*'TS1'!BF$25</f>
        <v>0</v>
      </c>
      <c r="BM344" s="377">
        <f>$I344*'TS1'!BG$25</f>
        <v>0</v>
      </c>
      <c r="BN344" s="377">
        <f>$I344*'TS1'!BH$25</f>
        <v>0</v>
      </c>
      <c r="BO344" s="377">
        <f>$I344*'TS1'!BI$25</f>
        <v>0</v>
      </c>
      <c r="BP344" s="377">
        <f>$I344*'TS1'!BJ$25</f>
        <v>0</v>
      </c>
      <c r="BQ344" s="377">
        <f>$I344*'TS1'!BK$25</f>
        <v>0</v>
      </c>
      <c r="BR344" s="377">
        <f>$I344*'TS1'!BL$25</f>
        <v>0</v>
      </c>
    </row>
    <row r="345" spans="1:70" outlineLevel="1">
      <c r="A345" s="374">
        <f t="shared" si="89"/>
        <v>0</v>
      </c>
      <c r="B345" s="359"/>
      <c r="C345" s="359"/>
      <c r="D345" s="360"/>
      <c r="E345" s="360"/>
      <c r="F345" s="373"/>
      <c r="G345" s="360"/>
      <c r="H345" s="377"/>
      <c r="I345" s="537"/>
      <c r="J345" s="546"/>
      <c r="K345" s="383"/>
      <c r="L345" s="383"/>
      <c r="M345" s="383"/>
      <c r="N345" s="383"/>
      <c r="O345" s="383"/>
      <c r="P345" s="383"/>
      <c r="Q345" s="383"/>
      <c r="R345" s="383"/>
      <c r="S345" s="377"/>
      <c r="T345" s="377"/>
      <c r="U345" s="377"/>
      <c r="V345" s="377"/>
      <c r="W345" s="377"/>
      <c r="X345" s="377"/>
      <c r="Y345" s="377"/>
      <c r="Z345" s="377"/>
      <c r="AA345" s="377"/>
      <c r="AB345" s="377"/>
      <c r="AC345" s="377"/>
      <c r="AD345" s="377"/>
      <c r="AE345" s="377"/>
      <c r="AF345" s="377"/>
      <c r="AG345" s="377"/>
      <c r="AH345" s="377"/>
      <c r="AI345" s="377"/>
      <c r="AJ345" s="377"/>
      <c r="AK345" s="377"/>
      <c r="AL345" s="377"/>
      <c r="AM345" s="377"/>
      <c r="AN345" s="377"/>
      <c r="AO345" s="377"/>
      <c r="AP345" s="377"/>
      <c r="AQ345" s="377"/>
      <c r="AR345" s="377"/>
      <c r="AS345" s="377"/>
      <c r="AT345" s="377"/>
      <c r="AU345" s="377"/>
      <c r="AV345" s="377"/>
      <c r="AW345" s="377"/>
      <c r="AX345" s="377"/>
      <c r="AY345" s="377"/>
      <c r="AZ345" s="377"/>
      <c r="BA345" s="377"/>
      <c r="BB345" s="377"/>
      <c r="BC345" s="377"/>
      <c r="BD345" s="377"/>
      <c r="BE345" s="377"/>
      <c r="BF345" s="377"/>
      <c r="BG345" s="377"/>
      <c r="BH345" s="377"/>
      <c r="BI345" s="377"/>
      <c r="BJ345" s="377"/>
      <c r="BK345" s="377"/>
      <c r="BL345" s="377"/>
      <c r="BM345" s="377"/>
      <c r="BN345" s="377"/>
      <c r="BO345" s="377"/>
      <c r="BP345" s="377"/>
      <c r="BQ345" s="377"/>
      <c r="BR345" s="377"/>
    </row>
    <row r="346" spans="1:70" outlineLevel="1">
      <c r="A346" s="374">
        <f t="shared" si="89"/>
        <v>0</v>
      </c>
      <c r="B346" s="359">
        <v>5408</v>
      </c>
      <c r="C346" s="359">
        <v>1</v>
      </c>
      <c r="D346" s="360" t="s">
        <v>984</v>
      </c>
      <c r="E346" s="360" t="s">
        <v>492</v>
      </c>
      <c r="F346" s="373" t="s">
        <v>454</v>
      </c>
      <c r="G346" s="360"/>
      <c r="H346" s="377"/>
      <c r="I346" s="537">
        <f>SUM(K346:BR346)</f>
        <v>-1500000</v>
      </c>
      <c r="J346" s="546"/>
      <c r="K346" s="383"/>
      <c r="L346" s="383"/>
      <c r="M346" s="383"/>
      <c r="N346" s="383"/>
      <c r="O346" s="383"/>
      <c r="P346" s="383"/>
      <c r="Q346" s="383"/>
      <c r="R346" s="383"/>
      <c r="S346" s="377"/>
      <c r="T346" s="377"/>
      <c r="U346" s="377"/>
      <c r="V346" s="377"/>
      <c r="W346" s="377"/>
      <c r="X346" s="377">
        <v>-1500000</v>
      </c>
      <c r="Y346" s="377"/>
      <c r="Z346" s="377"/>
      <c r="AA346" s="377"/>
      <c r="AB346" s="377"/>
      <c r="AC346" s="377"/>
      <c r="AD346" s="377"/>
      <c r="AE346" s="377"/>
      <c r="AF346" s="377"/>
      <c r="AG346" s="377"/>
      <c r="AH346" s="377"/>
      <c r="AI346" s="377"/>
      <c r="AJ346" s="377"/>
      <c r="AK346" s="377"/>
      <c r="AL346" s="377"/>
      <c r="AM346" s="377"/>
      <c r="AN346" s="377"/>
      <c r="AO346" s="377"/>
      <c r="AP346" s="377"/>
      <c r="AQ346" s="377"/>
      <c r="AR346" s="377"/>
      <c r="AS346" s="377"/>
      <c r="AT346" s="377"/>
      <c r="AU346" s="377"/>
      <c r="AV346" s="377"/>
      <c r="AW346" s="377"/>
      <c r="AX346" s="377"/>
      <c r="AY346" s="377"/>
      <c r="AZ346" s="377"/>
      <c r="BA346" s="377"/>
      <c r="BB346" s="377"/>
      <c r="BC346" s="377"/>
      <c r="BD346" s="377"/>
      <c r="BE346" s="377"/>
      <c r="BF346" s="377"/>
      <c r="BG346" s="377"/>
      <c r="BH346" s="377"/>
      <c r="BI346" s="377"/>
      <c r="BJ346" s="377"/>
      <c r="BK346" s="377"/>
      <c r="BL346" s="377"/>
      <c r="BM346" s="377"/>
      <c r="BN346" s="377"/>
      <c r="BO346" s="377"/>
      <c r="BP346" s="377"/>
      <c r="BQ346" s="377"/>
      <c r="BR346" s="377"/>
    </row>
    <row r="347" spans="1:70" outlineLevel="1">
      <c r="A347" s="374">
        <f t="shared" ref="A347" si="105">I347-SUM(K347:BR347)</f>
        <v>0</v>
      </c>
      <c r="B347" s="359">
        <v>5408</v>
      </c>
      <c r="C347" s="359">
        <v>1</v>
      </c>
      <c r="D347" s="360" t="s">
        <v>979</v>
      </c>
      <c r="E347" s="360" t="s">
        <v>492</v>
      </c>
      <c r="F347" s="373" t="s">
        <v>454</v>
      </c>
      <c r="G347" s="360"/>
      <c r="H347" s="377"/>
      <c r="I347" s="537">
        <f t="shared" ref="I347:I350" si="106">SUM(K347:BR347)</f>
        <v>-34500000</v>
      </c>
      <c r="J347" s="546"/>
      <c r="K347" s="383"/>
      <c r="L347" s="383"/>
      <c r="M347" s="383"/>
      <c r="N347" s="383"/>
      <c r="O347" s="383"/>
      <c r="P347" s="383"/>
      <c r="Q347" s="383"/>
      <c r="R347" s="383"/>
      <c r="S347" s="377"/>
      <c r="T347" s="377"/>
      <c r="U347" s="377"/>
      <c r="V347" s="377"/>
      <c r="W347" s="377">
        <v>-4600000</v>
      </c>
      <c r="X347" s="377">
        <v>-6900000</v>
      </c>
      <c r="Y347" s="377">
        <v>-6900000</v>
      </c>
      <c r="Z347" s="377">
        <v>-6900000</v>
      </c>
      <c r="AA347" s="377">
        <v>-6900000</v>
      </c>
      <c r="AB347" s="377">
        <v>-2300000</v>
      </c>
      <c r="AC347" s="377"/>
      <c r="AD347" s="377"/>
      <c r="AE347" s="377"/>
      <c r="AF347" s="377"/>
      <c r="AG347" s="377"/>
      <c r="AH347" s="377"/>
      <c r="AI347" s="377"/>
      <c r="AJ347" s="377"/>
      <c r="AK347" s="377"/>
      <c r="AL347" s="377"/>
      <c r="AM347" s="377"/>
      <c r="AN347" s="377"/>
      <c r="AO347" s="377"/>
      <c r="AP347" s="377"/>
      <c r="AQ347" s="377"/>
      <c r="AR347" s="377"/>
      <c r="AS347" s="377"/>
      <c r="AT347" s="377"/>
      <c r="AU347" s="377"/>
      <c r="AV347" s="377"/>
      <c r="AW347" s="377"/>
      <c r="AX347" s="377"/>
      <c r="AY347" s="377"/>
      <c r="AZ347" s="377"/>
      <c r="BA347" s="377"/>
      <c r="BB347" s="377"/>
      <c r="BC347" s="377"/>
      <c r="BD347" s="377"/>
      <c r="BE347" s="377"/>
      <c r="BF347" s="377"/>
      <c r="BG347" s="377"/>
      <c r="BH347" s="377"/>
      <c r="BI347" s="377"/>
      <c r="BJ347" s="377"/>
      <c r="BK347" s="377"/>
      <c r="BL347" s="377"/>
      <c r="BM347" s="377"/>
      <c r="BN347" s="377"/>
      <c r="BO347" s="377"/>
      <c r="BP347" s="377"/>
      <c r="BQ347" s="377"/>
      <c r="BR347" s="377"/>
    </row>
    <row r="348" spans="1:70" outlineLevel="1">
      <c r="A348" s="374"/>
      <c r="B348" s="359">
        <v>5408</v>
      </c>
      <c r="C348" s="359">
        <v>1</v>
      </c>
      <c r="D348" s="360" t="s">
        <v>983</v>
      </c>
      <c r="E348" s="360" t="s">
        <v>492</v>
      </c>
      <c r="F348" s="373" t="s">
        <v>454</v>
      </c>
      <c r="G348" s="360"/>
      <c r="H348" s="377"/>
      <c r="I348" s="537">
        <f t="shared" si="106"/>
        <v>-15000000</v>
      </c>
      <c r="J348" s="546"/>
      <c r="K348" s="383"/>
      <c r="L348" s="383"/>
      <c r="M348" s="383"/>
      <c r="N348" s="383"/>
      <c r="O348" s="383"/>
      <c r="P348" s="383"/>
      <c r="Q348" s="383"/>
      <c r="R348" s="383"/>
      <c r="S348" s="377"/>
      <c r="T348" s="377"/>
      <c r="U348" s="377"/>
      <c r="V348" s="377">
        <v>-15000000</v>
      </c>
      <c r="W348" s="377"/>
      <c r="X348" s="377"/>
      <c r="Y348" s="377"/>
      <c r="Z348" s="377"/>
      <c r="AA348" s="377"/>
      <c r="AB348" s="377"/>
      <c r="AC348" s="377"/>
      <c r="AD348" s="377"/>
      <c r="AE348" s="377"/>
      <c r="AF348" s="377"/>
      <c r="AG348" s="377"/>
      <c r="AH348" s="377"/>
      <c r="AI348" s="377"/>
      <c r="AJ348" s="377"/>
      <c r="AK348" s="377"/>
      <c r="AL348" s="377"/>
      <c r="AM348" s="377"/>
      <c r="AN348" s="377"/>
      <c r="AO348" s="377"/>
      <c r="AP348" s="377"/>
      <c r="AQ348" s="377"/>
      <c r="AR348" s="377"/>
      <c r="AS348" s="377"/>
      <c r="AT348" s="377"/>
      <c r="AU348" s="377"/>
      <c r="AV348" s="377"/>
      <c r="AW348" s="377"/>
      <c r="AX348" s="377"/>
      <c r="AY348" s="377"/>
      <c r="AZ348" s="377"/>
      <c r="BA348" s="377"/>
      <c r="BB348" s="377"/>
      <c r="BC348" s="377"/>
      <c r="BD348" s="377"/>
      <c r="BE348" s="377"/>
      <c r="BF348" s="377"/>
      <c r="BG348" s="377"/>
      <c r="BH348" s="377"/>
      <c r="BI348" s="377"/>
      <c r="BJ348" s="377"/>
      <c r="BK348" s="377"/>
      <c r="BL348" s="377"/>
      <c r="BM348" s="377"/>
      <c r="BN348" s="377"/>
      <c r="BO348" s="377"/>
      <c r="BP348" s="377"/>
      <c r="BQ348" s="377"/>
      <c r="BR348" s="377"/>
    </row>
    <row r="349" spans="1:70" outlineLevel="1">
      <c r="A349" s="374"/>
      <c r="B349" s="359">
        <v>5408</v>
      </c>
      <c r="C349" s="359">
        <v>1</v>
      </c>
      <c r="D349" s="360" t="s">
        <v>981</v>
      </c>
      <c r="E349" s="360" t="s">
        <v>492</v>
      </c>
      <c r="F349" s="373" t="s">
        <v>454</v>
      </c>
      <c r="G349" s="360"/>
      <c r="H349" s="377"/>
      <c r="I349" s="537">
        <v>-7000000</v>
      </c>
      <c r="J349" s="546"/>
      <c r="K349" s="383"/>
      <c r="L349" s="383"/>
      <c r="M349" s="383"/>
      <c r="N349" s="383"/>
      <c r="O349" s="383"/>
      <c r="P349" s="383"/>
      <c r="Q349" s="383"/>
      <c r="R349" s="383"/>
      <c r="S349" s="377">
        <v>0</v>
      </c>
      <c r="T349" s="377">
        <v>0</v>
      </c>
      <c r="U349" s="377">
        <v>-7000000</v>
      </c>
      <c r="V349" s="377"/>
      <c r="W349" s="377"/>
      <c r="X349" s="377"/>
      <c r="Y349" s="377"/>
      <c r="Z349" s="377"/>
      <c r="AA349" s="377"/>
      <c r="AB349" s="377"/>
      <c r="AC349" s="377"/>
      <c r="AD349" s="377"/>
      <c r="AE349" s="377"/>
      <c r="AF349" s="377"/>
      <c r="AG349" s="377"/>
      <c r="AH349" s="377"/>
      <c r="AI349" s="377"/>
      <c r="AJ349" s="377"/>
      <c r="AK349" s="377"/>
      <c r="AL349" s="377"/>
      <c r="AM349" s="377"/>
      <c r="AN349" s="377"/>
      <c r="AO349" s="377"/>
      <c r="AP349" s="377"/>
      <c r="AQ349" s="377"/>
      <c r="AR349" s="377"/>
      <c r="AS349" s="377"/>
      <c r="AT349" s="377"/>
      <c r="AU349" s="377"/>
      <c r="AV349" s="377"/>
      <c r="AW349" s="377"/>
      <c r="AX349" s="377"/>
      <c r="AY349" s="377"/>
      <c r="AZ349" s="377"/>
      <c r="BA349" s="377"/>
      <c r="BB349" s="377"/>
      <c r="BC349" s="377"/>
      <c r="BD349" s="377"/>
      <c r="BE349" s="377"/>
      <c r="BF349" s="377"/>
      <c r="BG349" s="377"/>
      <c r="BH349" s="377"/>
      <c r="BI349" s="377"/>
      <c r="BJ349" s="377"/>
      <c r="BK349" s="377"/>
      <c r="BL349" s="377"/>
      <c r="BM349" s="377"/>
      <c r="BN349" s="377"/>
      <c r="BO349" s="377"/>
      <c r="BP349" s="377"/>
      <c r="BQ349" s="377"/>
      <c r="BR349" s="377"/>
    </row>
    <row r="350" spans="1:70" outlineLevel="1">
      <c r="A350" s="374"/>
      <c r="B350" s="359">
        <v>5408</v>
      </c>
      <c r="C350" s="359">
        <v>1</v>
      </c>
      <c r="D350" s="360" t="s">
        <v>982</v>
      </c>
      <c r="E350" s="360" t="s">
        <v>492</v>
      </c>
      <c r="F350" s="373" t="s">
        <v>454</v>
      </c>
      <c r="G350" s="360"/>
      <c r="H350" s="377"/>
      <c r="I350" s="537">
        <f t="shared" si="106"/>
        <v>-2400000</v>
      </c>
      <c r="J350" s="546"/>
      <c r="K350" s="383"/>
      <c r="L350" s="383"/>
      <c r="M350" s="383"/>
      <c r="N350" s="383"/>
      <c r="O350" s="383"/>
      <c r="P350" s="383"/>
      <c r="Q350" s="383"/>
      <c r="R350" s="383"/>
      <c r="S350" s="377"/>
      <c r="T350" s="377"/>
      <c r="U350" s="377">
        <v>-600000</v>
      </c>
      <c r="V350" s="377">
        <v>-600000</v>
      </c>
      <c r="W350" s="377">
        <v>-600000</v>
      </c>
      <c r="X350" s="377">
        <v>-600000</v>
      </c>
      <c r="Y350" s="377"/>
      <c r="Z350" s="377"/>
      <c r="AA350" s="377"/>
      <c r="AB350" s="377"/>
      <c r="AC350" s="377"/>
      <c r="AD350" s="377"/>
      <c r="AE350" s="377"/>
      <c r="AF350" s="377"/>
      <c r="AG350" s="377"/>
      <c r="AH350" s="377"/>
      <c r="AI350" s="377"/>
      <c r="AJ350" s="377"/>
      <c r="AK350" s="377"/>
      <c r="AL350" s="377"/>
      <c r="AM350" s="377"/>
      <c r="AN350" s="377"/>
      <c r="AO350" s="377"/>
      <c r="AP350" s="377"/>
      <c r="AQ350" s="377"/>
      <c r="AR350" s="377"/>
      <c r="AS350" s="377"/>
      <c r="AT350" s="377"/>
      <c r="AU350" s="377"/>
      <c r="AV350" s="377"/>
      <c r="AW350" s="377"/>
      <c r="AX350" s="377"/>
      <c r="AY350" s="377"/>
      <c r="AZ350" s="377"/>
      <c r="BA350" s="377"/>
      <c r="BB350" s="377"/>
      <c r="BC350" s="377"/>
      <c r="BD350" s="377"/>
      <c r="BE350" s="377"/>
      <c r="BF350" s="377"/>
      <c r="BG350" s="377"/>
      <c r="BH350" s="377"/>
      <c r="BI350" s="377"/>
      <c r="BJ350" s="377"/>
      <c r="BK350" s="377"/>
      <c r="BL350" s="377"/>
      <c r="BM350" s="377"/>
      <c r="BN350" s="377"/>
      <c r="BO350" s="377"/>
      <c r="BP350" s="377"/>
      <c r="BQ350" s="377"/>
      <c r="BR350" s="377"/>
    </row>
    <row r="351" spans="1:70" outlineLevel="1">
      <c r="A351" s="374"/>
      <c r="B351" s="359"/>
      <c r="C351" s="359"/>
      <c r="D351" s="360"/>
      <c r="E351" s="360"/>
      <c r="F351" s="373"/>
      <c r="G351" s="360"/>
      <c r="H351" s="377"/>
      <c r="I351" s="537"/>
      <c r="J351" s="546"/>
      <c r="K351" s="383"/>
      <c r="L351" s="383"/>
      <c r="M351" s="383"/>
      <c r="N351" s="383"/>
      <c r="O351" s="383"/>
      <c r="P351" s="383"/>
      <c r="Q351" s="383"/>
      <c r="R351" s="383"/>
      <c r="S351" s="377"/>
      <c r="T351" s="377"/>
      <c r="U351" s="377"/>
      <c r="V351" s="377"/>
      <c r="W351" s="377"/>
      <c r="X351" s="377"/>
      <c r="Y351" s="377"/>
      <c r="Z351" s="377"/>
      <c r="AA351" s="377"/>
      <c r="AB351" s="377"/>
      <c r="AC351" s="377"/>
      <c r="AD351" s="377"/>
      <c r="AE351" s="377"/>
      <c r="AF351" s="377"/>
      <c r="AG351" s="377"/>
      <c r="AH351" s="377"/>
      <c r="AI351" s="377"/>
      <c r="AJ351" s="377"/>
      <c r="AK351" s="377"/>
      <c r="AL351" s="377"/>
      <c r="AM351" s="377"/>
      <c r="AN351" s="377"/>
      <c r="AO351" s="377"/>
      <c r="AP351" s="377"/>
      <c r="AQ351" s="377"/>
      <c r="AR351" s="377"/>
      <c r="AS351" s="377"/>
      <c r="AT351" s="377"/>
      <c r="AU351" s="377"/>
      <c r="AV351" s="377"/>
      <c r="AW351" s="377"/>
      <c r="AX351" s="377"/>
      <c r="AY351" s="377"/>
      <c r="AZ351" s="377"/>
      <c r="BA351" s="377"/>
      <c r="BB351" s="377"/>
      <c r="BC351" s="377"/>
      <c r="BD351" s="377"/>
      <c r="BE351" s="377"/>
      <c r="BF351" s="377"/>
      <c r="BG351" s="377"/>
      <c r="BH351" s="377"/>
      <c r="BI351" s="377"/>
      <c r="BJ351" s="377"/>
      <c r="BK351" s="377"/>
      <c r="BL351" s="377"/>
      <c r="BM351" s="377"/>
      <c r="BN351" s="377"/>
      <c r="BO351" s="377"/>
      <c r="BP351" s="377"/>
      <c r="BQ351" s="377"/>
      <c r="BR351" s="377"/>
    </row>
    <row r="352" spans="1:70" outlineLevel="1">
      <c r="A352" s="374"/>
      <c r="B352" s="359"/>
      <c r="C352" s="359"/>
      <c r="D352" s="360"/>
      <c r="E352" s="360"/>
      <c r="F352" s="373"/>
      <c r="G352" s="360"/>
      <c r="H352" s="377"/>
      <c r="I352" s="537"/>
      <c r="J352" s="546"/>
      <c r="K352" s="383"/>
      <c r="L352" s="383"/>
      <c r="M352" s="383"/>
      <c r="N352" s="383"/>
      <c r="O352" s="383"/>
      <c r="P352" s="383"/>
      <c r="Q352" s="383"/>
      <c r="R352" s="383"/>
      <c r="S352" s="377"/>
      <c r="T352" s="377"/>
      <c r="U352" s="377"/>
      <c r="V352" s="377"/>
      <c r="W352" s="377"/>
      <c r="X352" s="377"/>
      <c r="Y352" s="377"/>
      <c r="Z352" s="377"/>
      <c r="AA352" s="377"/>
      <c r="AB352" s="377"/>
      <c r="AC352" s="377"/>
      <c r="AD352" s="377"/>
      <c r="AE352" s="377"/>
      <c r="AF352" s="377"/>
      <c r="AG352" s="377"/>
      <c r="AH352" s="377"/>
      <c r="AI352" s="377"/>
      <c r="AJ352" s="377"/>
      <c r="AK352" s="377"/>
      <c r="AL352" s="377"/>
      <c r="AM352" s="377"/>
      <c r="AN352" s="377"/>
      <c r="AO352" s="377"/>
      <c r="AP352" s="377"/>
      <c r="AQ352" s="377"/>
      <c r="AR352" s="377"/>
      <c r="AS352" s="377"/>
      <c r="AT352" s="377"/>
      <c r="AU352" s="377"/>
      <c r="AV352" s="377"/>
      <c r="AW352" s="377"/>
      <c r="AX352" s="377"/>
      <c r="AY352" s="377"/>
      <c r="AZ352" s="377"/>
      <c r="BA352" s="377"/>
      <c r="BB352" s="377"/>
      <c r="BC352" s="377"/>
      <c r="BD352" s="377"/>
      <c r="BE352" s="377"/>
      <c r="BF352" s="377"/>
      <c r="BG352" s="377"/>
      <c r="BH352" s="377"/>
      <c r="BI352" s="377"/>
      <c r="BJ352" s="377"/>
      <c r="BK352" s="377"/>
      <c r="BL352" s="377"/>
      <c r="BM352" s="377"/>
      <c r="BN352" s="377"/>
      <c r="BO352" s="377"/>
      <c r="BP352" s="377"/>
      <c r="BQ352" s="377"/>
      <c r="BR352" s="377"/>
    </row>
    <row r="353" spans="1:70" outlineLevel="1">
      <c r="A353" s="374"/>
      <c r="B353" s="359">
        <v>5408</v>
      </c>
      <c r="C353" s="359">
        <v>2</v>
      </c>
      <c r="D353" s="360" t="s">
        <v>980</v>
      </c>
      <c r="E353" s="360" t="s">
        <v>492</v>
      </c>
      <c r="F353" s="366" t="s">
        <v>448</v>
      </c>
      <c r="G353" s="360"/>
      <c r="H353" s="377"/>
      <c r="I353" s="540">
        <f>-'DB2'!J39*10^6-SUMIFS($I$354:$I$359,$C$354:$C$359,$C$353)</f>
        <v>-32504998</v>
      </c>
      <c r="J353" s="546"/>
      <c r="K353" s="383"/>
      <c r="L353" s="383"/>
      <c r="M353" s="383"/>
      <c r="N353" s="383"/>
      <c r="O353" s="383"/>
      <c r="P353" s="383"/>
      <c r="Q353" s="383"/>
      <c r="R353" s="383"/>
      <c r="S353" s="377">
        <f>$I353*'TS2'!M$25</f>
        <v>0</v>
      </c>
      <c r="T353" s="377">
        <f>$I353*'TS2'!N$25</f>
        <v>0</v>
      </c>
      <c r="U353" s="377">
        <f>$I353*'TS2'!O$25</f>
        <v>0</v>
      </c>
      <c r="V353" s="377">
        <f>$I353*'TS2'!P$25</f>
        <v>0</v>
      </c>
      <c r="W353" s="377">
        <f>$I353*'TS2'!Q$25</f>
        <v>0</v>
      </c>
      <c r="X353" s="377">
        <f>$I353*'TS2'!R$25</f>
        <v>0</v>
      </c>
      <c r="Y353" s="377">
        <f>$I353*'TS2'!S$25</f>
        <v>0</v>
      </c>
      <c r="Z353" s="377">
        <f>$I353*'TS2'!T$25</f>
        <v>0</v>
      </c>
      <c r="AA353" s="377">
        <f>$I353*'TS2'!U$25</f>
        <v>0</v>
      </c>
      <c r="AB353" s="377">
        <f>$I353*'TS2'!V$25</f>
        <v>0</v>
      </c>
      <c r="AC353" s="377">
        <f>$I353*'TS2'!W$25</f>
        <v>0</v>
      </c>
      <c r="AD353" s="377">
        <f>$I353*'TS2'!X$25</f>
        <v>-2708749.833333333</v>
      </c>
      <c r="AE353" s="377">
        <f>$I353*'TS2'!Y$25</f>
        <v>-2708749.833333333</v>
      </c>
      <c r="AF353" s="377">
        <f>$I353*'TS2'!Z$25</f>
        <v>-2708749.833333333</v>
      </c>
      <c r="AG353" s="377">
        <f>$I353*'TS2'!AA$25</f>
        <v>-2708749.833333333</v>
      </c>
      <c r="AH353" s="377">
        <f>$I353*'TS2'!AB$25</f>
        <v>-2708749.833333333</v>
      </c>
      <c r="AI353" s="377">
        <f>$I353*'TS2'!AC$25</f>
        <v>-2708749.833333333</v>
      </c>
      <c r="AJ353" s="377">
        <f>$I353*'TS2'!AD$25</f>
        <v>-2708749.833333333</v>
      </c>
      <c r="AK353" s="377">
        <f>$I353*'TS2'!AE$25</f>
        <v>-2708749.833333333</v>
      </c>
      <c r="AL353" s="377">
        <f>$I353*'TS2'!AF$25</f>
        <v>-2708749.833333333</v>
      </c>
      <c r="AM353" s="377">
        <f>$I353*'TS2'!AG$25</f>
        <v>-2708749.833333333</v>
      </c>
      <c r="AN353" s="377">
        <f>$I353*'TS2'!AH$25</f>
        <v>-2708749.833333333</v>
      </c>
      <c r="AO353" s="377">
        <f>$I353*'TS2'!AI$25</f>
        <v>-2708749.833333333</v>
      </c>
      <c r="AP353" s="377">
        <f>$I353*'TS2'!AJ$25</f>
        <v>0</v>
      </c>
      <c r="AQ353" s="377">
        <f>$I353*'TS2'!AK$25</f>
        <v>0</v>
      </c>
      <c r="AR353" s="377">
        <f>$I353*'TS2'!AL$25</f>
        <v>0</v>
      </c>
      <c r="AS353" s="377">
        <f>$I353*'TS2'!AM$25</f>
        <v>0</v>
      </c>
      <c r="AT353" s="377">
        <f>$I353*'TS2'!AN$25</f>
        <v>0</v>
      </c>
      <c r="AU353" s="377">
        <f>$I353*'TS2'!AO$25</f>
        <v>0</v>
      </c>
      <c r="AV353" s="377">
        <f>$I353*'TS2'!AP$25</f>
        <v>0</v>
      </c>
      <c r="AW353" s="377">
        <f>$I353*'TS2'!AQ$25</f>
        <v>0</v>
      </c>
      <c r="AX353" s="377">
        <f>$I353*'TS2'!AR$25</f>
        <v>0</v>
      </c>
      <c r="AY353" s="377">
        <f>$I353*'TS2'!AS$25</f>
        <v>0</v>
      </c>
      <c r="AZ353" s="377">
        <f>$I353*'TS2'!AT$25</f>
        <v>0</v>
      </c>
      <c r="BA353" s="377">
        <f>$I353*'TS2'!AU$25</f>
        <v>0</v>
      </c>
      <c r="BB353" s="377">
        <f>$I353*'TS2'!AV$25</f>
        <v>0</v>
      </c>
      <c r="BC353" s="377">
        <f>$I353*'TS2'!AW$25</f>
        <v>0</v>
      </c>
      <c r="BD353" s="377">
        <f>$I353*'TS2'!AX$25</f>
        <v>0</v>
      </c>
      <c r="BE353" s="377">
        <f>$I353*'TS2'!AY$25</f>
        <v>0</v>
      </c>
      <c r="BF353" s="377">
        <f>$I353*'TS2'!AZ$25</f>
        <v>0</v>
      </c>
      <c r="BG353" s="377">
        <f>$I353*'TS2'!BA$25</f>
        <v>0</v>
      </c>
      <c r="BH353" s="377">
        <f>$I353*'TS2'!BB$25</f>
        <v>0</v>
      </c>
      <c r="BI353" s="377">
        <f>$I353*'TS2'!BC$25</f>
        <v>0</v>
      </c>
      <c r="BJ353" s="377">
        <f>$I353*'TS2'!BD$25</f>
        <v>0</v>
      </c>
      <c r="BK353" s="377">
        <f>$I353*'TS2'!BE$25</f>
        <v>0</v>
      </c>
      <c r="BL353" s="377">
        <f>$I353*'TS2'!BF$25</f>
        <v>0</v>
      </c>
      <c r="BM353" s="377">
        <f>$I353*'TS2'!BG$25</f>
        <v>0</v>
      </c>
      <c r="BN353" s="377">
        <f>$I353*'TS2'!BH$25</f>
        <v>0</v>
      </c>
      <c r="BO353" s="377">
        <f>$I353*'TS2'!BI$25</f>
        <v>0</v>
      </c>
      <c r="BP353" s="377">
        <f>$I353*'TS2'!BJ$25</f>
        <v>0</v>
      </c>
      <c r="BQ353" s="377">
        <f>$I353*'TS2'!BK$25</f>
        <v>0</v>
      </c>
      <c r="BR353" s="377">
        <f>$I353*'TS2'!BL$25</f>
        <v>0</v>
      </c>
    </row>
    <row r="354" spans="1:70" outlineLevel="1">
      <c r="A354" s="374"/>
      <c r="B354" s="359"/>
      <c r="C354" s="359"/>
      <c r="D354" s="360"/>
      <c r="E354" s="360"/>
      <c r="F354" s="373"/>
      <c r="G354" s="360"/>
      <c r="H354" s="377"/>
      <c r="I354" s="537"/>
      <c r="J354" s="546"/>
      <c r="K354" s="383"/>
      <c r="L354" s="383"/>
      <c r="M354" s="383"/>
      <c r="N354" s="383"/>
      <c r="O354" s="383"/>
      <c r="P354" s="383"/>
      <c r="Q354" s="383"/>
      <c r="R354" s="383"/>
      <c r="S354" s="377"/>
      <c r="T354" s="377"/>
      <c r="U354" s="377"/>
      <c r="V354" s="377"/>
      <c r="W354" s="377"/>
      <c r="X354" s="377"/>
      <c r="Y354" s="377"/>
      <c r="Z354" s="377"/>
      <c r="AA354" s="377"/>
      <c r="AB354" s="377"/>
      <c r="AC354" s="377"/>
      <c r="AD354" s="377"/>
      <c r="AE354" s="377"/>
      <c r="AF354" s="377"/>
      <c r="AG354" s="377"/>
      <c r="AH354" s="377"/>
      <c r="AI354" s="377"/>
      <c r="AJ354" s="377"/>
      <c r="AK354" s="377"/>
      <c r="AL354" s="377"/>
      <c r="AM354" s="377"/>
      <c r="AN354" s="377"/>
      <c r="AO354" s="377"/>
      <c r="AP354" s="377"/>
      <c r="AQ354" s="377"/>
      <c r="AR354" s="377"/>
      <c r="AS354" s="377"/>
      <c r="AT354" s="377"/>
      <c r="AU354" s="377"/>
      <c r="AV354" s="377"/>
      <c r="AW354" s="377"/>
      <c r="AX354" s="377"/>
      <c r="AY354" s="377"/>
      <c r="AZ354" s="377"/>
      <c r="BA354" s="377"/>
      <c r="BB354" s="377"/>
      <c r="BC354" s="377"/>
      <c r="BD354" s="377"/>
      <c r="BE354" s="377"/>
      <c r="BF354" s="377"/>
      <c r="BG354" s="377"/>
      <c r="BH354" s="377"/>
      <c r="BI354" s="377"/>
      <c r="BJ354" s="377"/>
      <c r="BK354" s="377"/>
      <c r="BL354" s="377"/>
      <c r="BM354" s="377"/>
      <c r="BN354" s="377"/>
      <c r="BO354" s="377"/>
      <c r="BP354" s="377"/>
      <c r="BQ354" s="377"/>
      <c r="BR354" s="377"/>
    </row>
    <row r="355" spans="1:70" outlineLevel="1">
      <c r="A355" s="374"/>
      <c r="B355" s="359">
        <v>5408</v>
      </c>
      <c r="C355" s="359">
        <v>2</v>
      </c>
      <c r="D355" s="360" t="s">
        <v>984</v>
      </c>
      <c r="E355" s="360" t="s">
        <v>492</v>
      </c>
      <c r="F355" s="373" t="s">
        <v>454</v>
      </c>
      <c r="G355" s="360"/>
      <c r="H355" s="377"/>
      <c r="I355" s="537">
        <f t="shared" ref="I355:I358" si="107">SUM(K355:BR355)</f>
        <v>-1500000</v>
      </c>
      <c r="J355" s="546"/>
      <c r="K355" s="383"/>
      <c r="L355" s="383"/>
      <c r="M355" s="383"/>
      <c r="N355" s="383"/>
      <c r="O355" s="383"/>
      <c r="P355" s="383"/>
      <c r="Q355" s="383"/>
      <c r="R355" s="383"/>
      <c r="S355" s="377"/>
      <c r="T355" s="377"/>
      <c r="U355" s="377"/>
      <c r="V355" s="377"/>
      <c r="W355" s="377"/>
      <c r="X355" s="377"/>
      <c r="Y355" s="377"/>
      <c r="Z355" s="377"/>
      <c r="AA355" s="377"/>
      <c r="AB355" s="377">
        <v>-1500000</v>
      </c>
      <c r="AC355" s="377"/>
      <c r="AD355" s="377"/>
      <c r="AE355" s="377"/>
      <c r="AF355" s="377"/>
      <c r="AG355" s="377"/>
      <c r="AH355" s="377"/>
      <c r="AI355" s="377"/>
      <c r="AJ355" s="377"/>
      <c r="AK355" s="377"/>
      <c r="AL355" s="377"/>
      <c r="AM355" s="377"/>
      <c r="AN355" s="377"/>
      <c r="AO355" s="377"/>
      <c r="AP355" s="377"/>
      <c r="AQ355" s="377"/>
      <c r="AR355" s="377"/>
      <c r="AS355" s="377"/>
      <c r="AT355" s="377"/>
      <c r="AU355" s="377"/>
      <c r="AV355" s="377"/>
      <c r="AW355" s="377"/>
      <c r="AX355" s="377"/>
      <c r="AY355" s="377"/>
      <c r="AZ355" s="377"/>
      <c r="BA355" s="377"/>
      <c r="BB355" s="377"/>
      <c r="BC355" s="377"/>
      <c r="BD355" s="377"/>
      <c r="BE355" s="377"/>
      <c r="BF355" s="377"/>
      <c r="BG355" s="377"/>
      <c r="BH355" s="377"/>
      <c r="BI355" s="377"/>
      <c r="BJ355" s="377"/>
      <c r="BK355" s="377"/>
      <c r="BL355" s="377"/>
      <c r="BM355" s="377"/>
      <c r="BN355" s="377"/>
      <c r="BO355" s="377"/>
      <c r="BP355" s="377"/>
      <c r="BQ355" s="377"/>
      <c r="BR355" s="377"/>
    </row>
    <row r="356" spans="1:70" outlineLevel="1">
      <c r="A356" s="374"/>
      <c r="B356" s="359">
        <v>5408</v>
      </c>
      <c r="C356" s="359">
        <v>2</v>
      </c>
      <c r="D356" s="360" t="s">
        <v>979</v>
      </c>
      <c r="E356" s="360" t="s">
        <v>492</v>
      </c>
      <c r="F356" s="373" t="s">
        <v>454</v>
      </c>
      <c r="G356" s="360"/>
      <c r="H356" s="377"/>
      <c r="I356" s="537">
        <f t="shared" si="107"/>
        <v>-6900000</v>
      </c>
      <c r="J356" s="546"/>
      <c r="K356" s="383"/>
      <c r="L356" s="383"/>
      <c r="M356" s="383"/>
      <c r="N356" s="383"/>
      <c r="O356" s="383"/>
      <c r="P356" s="383"/>
      <c r="Q356" s="383"/>
      <c r="R356" s="383"/>
      <c r="S356" s="377"/>
      <c r="T356" s="377"/>
      <c r="U356" s="377"/>
      <c r="V356" s="377"/>
      <c r="W356" s="377"/>
      <c r="X356" s="377"/>
      <c r="Y356" s="377"/>
      <c r="Z356" s="377"/>
      <c r="AA356" s="377">
        <v>-4600000</v>
      </c>
      <c r="AB356" s="377">
        <v>-2300000</v>
      </c>
      <c r="AC356" s="377"/>
      <c r="AD356" s="377"/>
      <c r="AE356" s="377"/>
      <c r="AF356" s="377"/>
      <c r="AG356" s="377"/>
      <c r="AH356" s="377"/>
      <c r="AI356" s="377"/>
      <c r="AJ356" s="377"/>
      <c r="AK356" s="377"/>
      <c r="AL356" s="377"/>
      <c r="AM356" s="377"/>
      <c r="AN356" s="377"/>
      <c r="AO356" s="377"/>
      <c r="AP356" s="377"/>
      <c r="AQ356" s="377"/>
      <c r="AR356" s="377"/>
      <c r="AS356" s="377"/>
      <c r="AT356" s="377"/>
      <c r="AU356" s="377"/>
      <c r="AV356" s="377"/>
      <c r="AW356" s="377"/>
      <c r="AX356" s="377"/>
      <c r="AY356" s="377"/>
      <c r="AZ356" s="377"/>
      <c r="BA356" s="377"/>
      <c r="BB356" s="377"/>
      <c r="BC356" s="377"/>
      <c r="BD356" s="377"/>
      <c r="BE356" s="377"/>
      <c r="BF356" s="377"/>
      <c r="BG356" s="377"/>
      <c r="BH356" s="377"/>
      <c r="BI356" s="377"/>
      <c r="BJ356" s="377"/>
      <c r="BK356" s="377"/>
      <c r="BL356" s="377"/>
      <c r="BM356" s="377"/>
      <c r="BN356" s="377"/>
      <c r="BO356" s="377"/>
      <c r="BP356" s="377"/>
      <c r="BQ356" s="377"/>
      <c r="BR356" s="377"/>
    </row>
    <row r="357" spans="1:70" outlineLevel="1">
      <c r="A357" s="374">
        <f t="shared" si="89"/>
        <v>0</v>
      </c>
      <c r="B357" s="359">
        <v>5408</v>
      </c>
      <c r="C357" s="359">
        <v>2</v>
      </c>
      <c r="D357" s="360" t="s">
        <v>981</v>
      </c>
      <c r="E357" s="360" t="s">
        <v>492</v>
      </c>
      <c r="F357" s="373" t="s">
        <v>454</v>
      </c>
      <c r="G357" s="360"/>
      <c r="H357" s="377"/>
      <c r="I357" s="537">
        <v>-5000000</v>
      </c>
      <c r="J357" s="546"/>
      <c r="K357" s="383"/>
      <c r="L357" s="383"/>
      <c r="M357" s="383"/>
      <c r="N357" s="383"/>
      <c r="O357" s="383"/>
      <c r="P357" s="383"/>
      <c r="Q357" s="383"/>
      <c r="R357" s="383"/>
      <c r="S357" s="377">
        <v>0</v>
      </c>
      <c r="T357" s="377">
        <v>0</v>
      </c>
      <c r="U357" s="377">
        <v>0</v>
      </c>
      <c r="V357" s="377">
        <v>0</v>
      </c>
      <c r="W357" s="377">
        <v>0</v>
      </c>
      <c r="X357" s="377">
        <v>0</v>
      </c>
      <c r="Y357" s="377">
        <v>-5000000</v>
      </c>
      <c r="Z357" s="377"/>
      <c r="AA357" s="377"/>
      <c r="AB357" s="377"/>
      <c r="AC357" s="377"/>
      <c r="AD357" s="377"/>
      <c r="AE357" s="377"/>
      <c r="AF357" s="377"/>
      <c r="AG357" s="377"/>
      <c r="AH357" s="377"/>
      <c r="AI357" s="377"/>
      <c r="AJ357" s="377"/>
      <c r="AK357" s="377"/>
      <c r="AL357" s="377"/>
      <c r="AM357" s="377"/>
      <c r="AN357" s="377"/>
      <c r="AO357" s="377"/>
      <c r="AP357" s="377"/>
      <c r="AQ357" s="377"/>
      <c r="AR357" s="377"/>
      <c r="AS357" s="377"/>
      <c r="AT357" s="377"/>
      <c r="AU357" s="377"/>
      <c r="AV357" s="377"/>
      <c r="AW357" s="377"/>
      <c r="AX357" s="377"/>
      <c r="AY357" s="377"/>
      <c r="AZ357" s="377"/>
      <c r="BA357" s="377"/>
      <c r="BB357" s="377"/>
      <c r="BC357" s="377"/>
      <c r="BD357" s="377"/>
      <c r="BE357" s="377"/>
      <c r="BF357" s="377"/>
      <c r="BG357" s="377"/>
      <c r="BH357" s="377"/>
      <c r="BI357" s="377"/>
      <c r="BJ357" s="377"/>
      <c r="BK357" s="377"/>
      <c r="BL357" s="377"/>
      <c r="BM357" s="377"/>
      <c r="BN357" s="377"/>
      <c r="BO357" s="377"/>
      <c r="BP357" s="377"/>
      <c r="BQ357" s="377"/>
      <c r="BR357" s="377"/>
    </row>
    <row r="358" spans="1:70" outlineLevel="1">
      <c r="A358" s="374">
        <f t="shared" si="89"/>
        <v>0</v>
      </c>
      <c r="B358" s="359">
        <v>5408</v>
      </c>
      <c r="C358" s="359">
        <v>2</v>
      </c>
      <c r="D358" s="360" t="s">
        <v>982</v>
      </c>
      <c r="E358" s="360" t="s">
        <v>492</v>
      </c>
      <c r="F358" s="373" t="s">
        <v>454</v>
      </c>
      <c r="G358" s="360"/>
      <c r="H358" s="377"/>
      <c r="I358" s="537">
        <f t="shared" si="107"/>
        <v>-2400000</v>
      </c>
      <c r="J358" s="546"/>
      <c r="K358" s="383"/>
      <c r="L358" s="383"/>
      <c r="M358" s="383"/>
      <c r="N358" s="383"/>
      <c r="O358" s="383"/>
      <c r="P358" s="383"/>
      <c r="Q358" s="383"/>
      <c r="R358" s="383"/>
      <c r="S358" s="377"/>
      <c r="T358" s="377"/>
      <c r="U358" s="377"/>
      <c r="V358" s="377"/>
      <c r="W358" s="377"/>
      <c r="X358" s="377"/>
      <c r="Y358" s="377">
        <v>-600000</v>
      </c>
      <c r="Z358" s="377">
        <v>-600000</v>
      </c>
      <c r="AA358" s="377">
        <v>-600000</v>
      </c>
      <c r="AB358" s="377">
        <v>-600000</v>
      </c>
      <c r="AC358" s="377"/>
      <c r="AD358" s="377"/>
      <c r="AE358" s="377"/>
      <c r="AF358" s="377"/>
      <c r="AG358" s="377"/>
      <c r="AH358" s="377"/>
      <c r="AI358" s="377"/>
      <c r="AJ358" s="377"/>
      <c r="AK358" s="377"/>
      <c r="AL358" s="377"/>
      <c r="AM358" s="377"/>
      <c r="AN358" s="377"/>
      <c r="AO358" s="377"/>
      <c r="AP358" s="377"/>
      <c r="AQ358" s="377"/>
      <c r="AR358" s="377"/>
      <c r="AS358" s="377"/>
      <c r="AT358" s="377"/>
      <c r="AU358" s="377"/>
      <c r="AV358" s="377"/>
      <c r="AW358" s="377"/>
      <c r="AX358" s="377"/>
      <c r="AY358" s="377"/>
      <c r="AZ358" s="377"/>
      <c r="BA358" s="377"/>
      <c r="BB358" s="377"/>
      <c r="BC358" s="377"/>
      <c r="BD358" s="377"/>
      <c r="BE358" s="377"/>
      <c r="BF358" s="377"/>
      <c r="BG358" s="377"/>
      <c r="BH358" s="377"/>
      <c r="BI358" s="377"/>
      <c r="BJ358" s="377"/>
      <c r="BK358" s="377"/>
      <c r="BL358" s="377"/>
      <c r="BM358" s="377"/>
      <c r="BN358" s="377"/>
      <c r="BO358" s="377"/>
      <c r="BP358" s="377"/>
      <c r="BQ358" s="377"/>
      <c r="BR358" s="377"/>
    </row>
    <row r="359" spans="1:70" outlineLevel="1">
      <c r="A359" s="374">
        <f t="shared" si="89"/>
        <v>0</v>
      </c>
      <c r="B359" s="359"/>
      <c r="C359" s="359"/>
      <c r="D359" s="360"/>
      <c r="E359" s="360"/>
      <c r="F359" s="373"/>
      <c r="G359" s="360"/>
      <c r="H359" s="377"/>
      <c r="I359" s="537"/>
      <c r="J359" s="546"/>
      <c r="K359" s="383"/>
      <c r="L359" s="383"/>
      <c r="M359" s="383"/>
      <c r="N359" s="383"/>
      <c r="O359" s="383"/>
      <c r="P359" s="383"/>
      <c r="Q359" s="383"/>
      <c r="R359" s="383"/>
      <c r="S359" s="377"/>
      <c r="T359" s="377"/>
      <c r="U359" s="377"/>
      <c r="V359" s="377"/>
      <c r="W359" s="377"/>
      <c r="X359" s="377"/>
      <c r="Y359" s="377"/>
      <c r="Z359" s="377"/>
      <c r="AA359" s="377"/>
      <c r="AB359" s="377"/>
      <c r="AC359" s="377"/>
      <c r="AD359" s="377"/>
      <c r="AE359" s="377"/>
      <c r="AF359" s="377"/>
      <c r="AG359" s="377"/>
      <c r="AH359" s="377"/>
      <c r="AI359" s="377"/>
      <c r="AJ359" s="377"/>
      <c r="AK359" s="377"/>
      <c r="AL359" s="377"/>
      <c r="AM359" s="377"/>
      <c r="AN359" s="377"/>
      <c r="AO359" s="377"/>
      <c r="AP359" s="377"/>
      <c r="AQ359" s="377"/>
      <c r="AR359" s="377"/>
      <c r="AS359" s="377"/>
      <c r="AT359" s="377"/>
      <c r="AU359" s="377"/>
      <c r="AV359" s="377"/>
      <c r="AW359" s="377"/>
      <c r="AX359" s="377"/>
      <c r="AY359" s="377"/>
      <c r="AZ359" s="377"/>
      <c r="BA359" s="377"/>
      <c r="BB359" s="377"/>
      <c r="BC359" s="377"/>
      <c r="BD359" s="377"/>
      <c r="BE359" s="377"/>
      <c r="BF359" s="377"/>
      <c r="BG359" s="377"/>
      <c r="BH359" s="377"/>
      <c r="BI359" s="377"/>
      <c r="BJ359" s="377"/>
      <c r="BK359" s="377"/>
      <c r="BL359" s="377"/>
      <c r="BM359" s="377"/>
      <c r="BN359" s="377"/>
      <c r="BO359" s="377"/>
      <c r="BP359" s="377"/>
      <c r="BQ359" s="377"/>
      <c r="BR359" s="377"/>
    </row>
    <row r="360" spans="1:70" s="353" customFormat="1" outlineLevel="1">
      <c r="A360" s="374">
        <f t="shared" si="89"/>
        <v>0</v>
      </c>
      <c r="B360" s="363">
        <v>5920</v>
      </c>
      <c r="C360" s="363"/>
      <c r="D360" s="364" t="s">
        <v>430</v>
      </c>
      <c r="E360" s="364"/>
      <c r="F360" s="364"/>
      <c r="G360" s="364"/>
      <c r="H360" s="378">
        <f t="shared" ref="H360" si="108">H361+H372</f>
        <v>0</v>
      </c>
      <c r="I360" s="538">
        <f t="shared" ref="I360" si="109">I361+I372</f>
        <v>-2024773157.5013041</v>
      </c>
      <c r="J360" s="547">
        <f t="shared" ref="J360" si="110">J361+J372</f>
        <v>0</v>
      </c>
      <c r="K360" s="378">
        <f t="shared" ref="K360" si="111">K361+K372</f>
        <v>0</v>
      </c>
      <c r="L360" s="378">
        <f t="shared" ref="L360" si="112">L361+L372</f>
        <v>0</v>
      </c>
      <c r="M360" s="378">
        <f t="shared" ref="M360" si="113">M361+M372</f>
        <v>0</v>
      </c>
      <c r="N360" s="378">
        <f t="shared" ref="N360" si="114">N361+N372</f>
        <v>0</v>
      </c>
      <c r="O360" s="378">
        <f t="shared" ref="O360" si="115">O361+O372</f>
        <v>0</v>
      </c>
      <c r="P360" s="378">
        <f t="shared" ref="P360" si="116">P361+P372</f>
        <v>0</v>
      </c>
      <c r="Q360" s="378">
        <f t="shared" ref="Q360" si="117">Q361+Q372</f>
        <v>0</v>
      </c>
      <c r="R360" s="378">
        <f t="shared" ref="R360" si="118">R361+R372</f>
        <v>0</v>
      </c>
      <c r="S360" s="378">
        <f t="shared" ref="S360" si="119">S361+S372</f>
        <v>-68558442.483277619</v>
      </c>
      <c r="T360" s="378">
        <f t="shared" ref="T360" si="120">T361+T372</f>
        <v>-68558442.483277619</v>
      </c>
      <c r="U360" s="378">
        <f t="shared" ref="U360" si="121">U361+U372</f>
        <v>-78558442.483277619</v>
      </c>
      <c r="V360" s="378">
        <f t="shared" ref="V360" si="122">V361+V372</f>
        <v>-83558442.483277619</v>
      </c>
      <c r="W360" s="378">
        <f t="shared" ref="W360" si="123">W361+W372</f>
        <v>-80558442.483277619</v>
      </c>
      <c r="X360" s="378">
        <f t="shared" ref="X360" si="124">X361+X372</f>
        <v>-87547515.560200691</v>
      </c>
      <c r="Y360" s="378">
        <f t="shared" ref="Y360" si="125">Y361+Y372</f>
        <v>-97547515.560200691</v>
      </c>
      <c r="Z360" s="378">
        <f t="shared" ref="Z360" si="126">Z361+Z372</f>
        <v>-102547515.56020069</v>
      </c>
      <c r="AA360" s="378">
        <f t="shared" ref="AA360" si="127">AA361+AA372</f>
        <v>-99547515.560200691</v>
      </c>
      <c r="AB360" s="378">
        <f t="shared" ref="AB360" si="128">AB361+AB372</f>
        <v>-103280207.09866223</v>
      </c>
      <c r="AC360" s="378">
        <f t="shared" ref="AC360" si="129">AC361+AC372</f>
        <v>-103280207.09866223</v>
      </c>
      <c r="AD360" s="378">
        <f t="shared" ref="AD360" si="130">AD361+AD372</f>
        <v>-103280207.09866223</v>
      </c>
      <c r="AE360" s="378">
        <f t="shared" ref="AE360" si="131">AE361+AE372</f>
        <v>-103280207.09866223</v>
      </c>
      <c r="AF360" s="378">
        <f t="shared" ref="AF360" si="132">AF361+AF372</f>
        <v>-103280207.09866223</v>
      </c>
      <c r="AG360" s="378">
        <f t="shared" ref="AG360" si="133">AG361+AG372</f>
        <v>-103280207.09866223</v>
      </c>
      <c r="AH360" s="378">
        <f t="shared" ref="AH360" si="134">AH361+AH372</f>
        <v>-103280207.09866223</v>
      </c>
      <c r="AI360" s="378">
        <f t="shared" ref="AI360" si="135">AI361+AI372</f>
        <v>-103280207.09866223</v>
      </c>
      <c r="AJ360" s="378">
        <f t="shared" ref="AJ360" si="136">AJ361+AJ372</f>
        <v>-103280207.09866223</v>
      </c>
      <c r="AK360" s="378">
        <f t="shared" ref="AK360" si="137">AK361+AK372</f>
        <v>-84291134.021739155</v>
      </c>
      <c r="AL360" s="378">
        <f t="shared" ref="AL360" si="138">AL361+AL372</f>
        <v>-84291134.021739155</v>
      </c>
      <c r="AM360" s="378">
        <f t="shared" ref="AM360" si="139">AM361+AM372</f>
        <v>-47788033.497399449</v>
      </c>
      <c r="AN360" s="378">
        <f t="shared" ref="AN360" si="140">AN361+AN372</f>
        <v>-47788033.497399449</v>
      </c>
      <c r="AO360" s="378">
        <f t="shared" ref="AO360" si="141">AO361+AO372</f>
        <v>-32055341.958937913</v>
      </c>
      <c r="AP360" s="378">
        <f t="shared" ref="AP360" si="142">AP361+AP372</f>
        <v>-32055341.958937913</v>
      </c>
      <c r="AQ360" s="378">
        <f t="shared" ref="AQ360" si="143">AQ361+AQ372</f>
        <v>0</v>
      </c>
      <c r="AR360" s="378">
        <f t="shared" ref="AR360" si="144">AR361+AR372</f>
        <v>0</v>
      </c>
      <c r="AS360" s="378">
        <f t="shared" ref="AS360" si="145">AS361+AS372</f>
        <v>0</v>
      </c>
      <c r="AT360" s="378">
        <f t="shared" ref="AT360" si="146">AT361+AT372</f>
        <v>0</v>
      </c>
      <c r="AU360" s="378">
        <f t="shared" ref="AU360" si="147">AU361+AU372</f>
        <v>0</v>
      </c>
      <c r="AV360" s="378">
        <f t="shared" ref="AV360" si="148">AV361+AV372</f>
        <v>0</v>
      </c>
      <c r="AW360" s="378">
        <f t="shared" ref="AW360" si="149">AW361+AW372</f>
        <v>0</v>
      </c>
      <c r="AX360" s="378">
        <f t="shared" ref="AX360" si="150">AX361+AX372</f>
        <v>0</v>
      </c>
      <c r="AY360" s="378">
        <f t="shared" ref="AY360" si="151">AY361+AY372</f>
        <v>0</v>
      </c>
      <c r="AZ360" s="378">
        <f t="shared" ref="AZ360" si="152">AZ361+AZ372</f>
        <v>0</v>
      </c>
      <c r="BA360" s="378">
        <f t="shared" ref="BA360" si="153">BA361+BA372</f>
        <v>0</v>
      </c>
      <c r="BB360" s="378">
        <f t="shared" ref="BB360" si="154">BB361+BB372</f>
        <v>0</v>
      </c>
      <c r="BC360" s="378">
        <f t="shared" ref="BC360" si="155">BC361+BC372</f>
        <v>0</v>
      </c>
      <c r="BD360" s="378">
        <f t="shared" ref="BD360" si="156">BD361+BD372</f>
        <v>0</v>
      </c>
      <c r="BE360" s="378">
        <f t="shared" ref="BE360" si="157">BE361+BE372</f>
        <v>0</v>
      </c>
      <c r="BF360" s="378">
        <f t="shared" ref="BF360" si="158">BF361+BF372</f>
        <v>0</v>
      </c>
      <c r="BG360" s="378">
        <f t="shared" ref="BG360" si="159">BG361+BG372</f>
        <v>0</v>
      </c>
      <c r="BH360" s="378">
        <f t="shared" ref="BH360" si="160">BH361+BH372</f>
        <v>0</v>
      </c>
      <c r="BI360" s="378">
        <f t="shared" ref="BI360" si="161">BI361+BI372</f>
        <v>0</v>
      </c>
      <c r="BJ360" s="378">
        <f t="shared" ref="BJ360" si="162">BJ361+BJ372</f>
        <v>0</v>
      </c>
      <c r="BK360" s="378">
        <f t="shared" ref="BK360" si="163">BK361+BK372</f>
        <v>0</v>
      </c>
      <c r="BL360" s="378">
        <f t="shared" ref="BL360" si="164">BL361+BL372</f>
        <v>0</v>
      </c>
      <c r="BM360" s="378">
        <f t="shared" ref="BM360" si="165">BM361+BM372</f>
        <v>0</v>
      </c>
      <c r="BN360" s="378">
        <f t="shared" ref="BN360" si="166">BN361+BN372</f>
        <v>0</v>
      </c>
      <c r="BO360" s="378">
        <f t="shared" ref="BO360" si="167">BO361+BO372</f>
        <v>0</v>
      </c>
      <c r="BP360" s="378">
        <f t="shared" ref="BP360" si="168">BP361+BP372</f>
        <v>0</v>
      </c>
      <c r="BQ360" s="378">
        <f t="shared" ref="BQ360" si="169">BQ361+BQ372</f>
        <v>0</v>
      </c>
      <c r="BR360" s="378">
        <f t="shared" ref="BR360" si="170">BR361+BR372</f>
        <v>0</v>
      </c>
    </row>
    <row r="361" spans="1:70" s="353" customFormat="1" outlineLevel="1">
      <c r="A361" s="374">
        <f t="shared" si="89"/>
        <v>0</v>
      </c>
      <c r="B361" s="365">
        <v>5700</v>
      </c>
      <c r="C361" s="365"/>
      <c r="D361" s="366" t="s">
        <v>455</v>
      </c>
      <c r="E361" s="366"/>
      <c r="F361" s="365">
        <f>COUNTIFS(S361:BR361,"&lt;"&amp;0)</f>
        <v>24</v>
      </c>
      <c r="G361" s="366"/>
      <c r="H361" s="379">
        <f>SUM(H362:H371)</f>
        <v>0</v>
      </c>
      <c r="I361" s="540">
        <f t="shared" ref="I361:BR361" si="171">SUM(I362:I371)</f>
        <v>-1499390217.5013041</v>
      </c>
      <c r="J361" s="549">
        <f t="shared" si="171"/>
        <v>0</v>
      </c>
      <c r="K361" s="379">
        <f t="shared" si="171"/>
        <v>0</v>
      </c>
      <c r="L361" s="379">
        <f t="shared" si="171"/>
        <v>0</v>
      </c>
      <c r="M361" s="379">
        <f t="shared" si="171"/>
        <v>0</v>
      </c>
      <c r="N361" s="379">
        <f t="shared" si="171"/>
        <v>0</v>
      </c>
      <c r="O361" s="379">
        <f t="shared" si="171"/>
        <v>0</v>
      </c>
      <c r="P361" s="379">
        <f t="shared" si="171"/>
        <v>0</v>
      </c>
      <c r="Q361" s="379">
        <f t="shared" si="171"/>
        <v>0</v>
      </c>
      <c r="R361" s="379">
        <f t="shared" si="171"/>
        <v>0</v>
      </c>
      <c r="S361" s="379">
        <f t="shared" si="171"/>
        <v>-68558442.483277619</v>
      </c>
      <c r="T361" s="379">
        <f t="shared" si="171"/>
        <v>-68558442.483277619</v>
      </c>
      <c r="U361" s="379">
        <f t="shared" si="171"/>
        <v>-68558442.483277619</v>
      </c>
      <c r="V361" s="379">
        <f t="shared" si="171"/>
        <v>-68558442.483277619</v>
      </c>
      <c r="W361" s="379">
        <f t="shared" si="171"/>
        <v>-68558442.483277619</v>
      </c>
      <c r="X361" s="379">
        <f t="shared" si="171"/>
        <v>-68558442.483277619</v>
      </c>
      <c r="Y361" s="379">
        <f t="shared" si="171"/>
        <v>-68558442.483277619</v>
      </c>
      <c r="Z361" s="379">
        <f t="shared" si="171"/>
        <v>-68558442.483277619</v>
      </c>
      <c r="AA361" s="379">
        <f t="shared" si="171"/>
        <v>-68558442.483277619</v>
      </c>
      <c r="AB361" s="379">
        <f t="shared" si="171"/>
        <v>-68558442.483277619</v>
      </c>
      <c r="AC361" s="379">
        <f t="shared" si="171"/>
        <v>-68558442.483277619</v>
      </c>
      <c r="AD361" s="379">
        <f t="shared" si="171"/>
        <v>-68558442.483277619</v>
      </c>
      <c r="AE361" s="379">
        <f t="shared" si="171"/>
        <v>-68558442.483277619</v>
      </c>
      <c r="AF361" s="379">
        <f t="shared" si="171"/>
        <v>-68558442.483277619</v>
      </c>
      <c r="AG361" s="379">
        <f t="shared" si="171"/>
        <v>-68558442.483277619</v>
      </c>
      <c r="AH361" s="379">
        <f t="shared" si="171"/>
        <v>-68558442.483277619</v>
      </c>
      <c r="AI361" s="379">
        <f t="shared" si="171"/>
        <v>-68558442.483277619</v>
      </c>
      <c r="AJ361" s="379">
        <f t="shared" si="171"/>
        <v>-68558442.483277619</v>
      </c>
      <c r="AK361" s="379">
        <f t="shared" si="171"/>
        <v>-68558442.483277619</v>
      </c>
      <c r="AL361" s="379">
        <f t="shared" si="171"/>
        <v>-68558442.483277619</v>
      </c>
      <c r="AM361" s="379">
        <f t="shared" si="171"/>
        <v>-32055341.958937913</v>
      </c>
      <c r="AN361" s="379">
        <f t="shared" si="171"/>
        <v>-32055341.958937913</v>
      </c>
      <c r="AO361" s="379">
        <f t="shared" si="171"/>
        <v>-32055341.958937913</v>
      </c>
      <c r="AP361" s="379">
        <f t="shared" si="171"/>
        <v>-32055341.958937913</v>
      </c>
      <c r="AQ361" s="379">
        <f t="shared" si="171"/>
        <v>0</v>
      </c>
      <c r="AR361" s="379">
        <f t="shared" si="171"/>
        <v>0</v>
      </c>
      <c r="AS361" s="379">
        <f t="shared" si="171"/>
        <v>0</v>
      </c>
      <c r="AT361" s="379">
        <f t="shared" si="171"/>
        <v>0</v>
      </c>
      <c r="AU361" s="379">
        <f t="shared" si="171"/>
        <v>0</v>
      </c>
      <c r="AV361" s="379">
        <f t="shared" si="171"/>
        <v>0</v>
      </c>
      <c r="AW361" s="379">
        <f t="shared" si="171"/>
        <v>0</v>
      </c>
      <c r="AX361" s="379">
        <f t="shared" si="171"/>
        <v>0</v>
      </c>
      <c r="AY361" s="379">
        <f t="shared" si="171"/>
        <v>0</v>
      </c>
      <c r="AZ361" s="379">
        <f t="shared" si="171"/>
        <v>0</v>
      </c>
      <c r="BA361" s="379">
        <f t="shared" si="171"/>
        <v>0</v>
      </c>
      <c r="BB361" s="379">
        <f t="shared" si="171"/>
        <v>0</v>
      </c>
      <c r="BC361" s="379">
        <f t="shared" si="171"/>
        <v>0</v>
      </c>
      <c r="BD361" s="379">
        <f t="shared" si="171"/>
        <v>0</v>
      </c>
      <c r="BE361" s="379">
        <f t="shared" si="171"/>
        <v>0</v>
      </c>
      <c r="BF361" s="379">
        <f t="shared" si="171"/>
        <v>0</v>
      </c>
      <c r="BG361" s="379">
        <f t="shared" si="171"/>
        <v>0</v>
      </c>
      <c r="BH361" s="379">
        <f t="shared" si="171"/>
        <v>0</v>
      </c>
      <c r="BI361" s="379">
        <f t="shared" si="171"/>
        <v>0</v>
      </c>
      <c r="BJ361" s="379">
        <f t="shared" si="171"/>
        <v>0</v>
      </c>
      <c r="BK361" s="379">
        <f t="shared" si="171"/>
        <v>0</v>
      </c>
      <c r="BL361" s="379">
        <f t="shared" si="171"/>
        <v>0</v>
      </c>
      <c r="BM361" s="379">
        <f t="shared" si="171"/>
        <v>0</v>
      </c>
      <c r="BN361" s="379">
        <f t="shared" si="171"/>
        <v>0</v>
      </c>
      <c r="BO361" s="379">
        <f t="shared" si="171"/>
        <v>0</v>
      </c>
      <c r="BP361" s="379">
        <f t="shared" si="171"/>
        <v>0</v>
      </c>
      <c r="BQ361" s="379">
        <f t="shared" si="171"/>
        <v>0</v>
      </c>
      <c r="BR361" s="379">
        <f t="shared" si="171"/>
        <v>0</v>
      </c>
    </row>
    <row r="362" spans="1:70" outlineLevel="1">
      <c r="A362" s="374">
        <f t="shared" si="89"/>
        <v>0</v>
      </c>
      <c r="B362" s="359"/>
      <c r="C362" s="359">
        <v>1</v>
      </c>
      <c r="D362" s="360" t="s">
        <v>366</v>
      </c>
      <c r="E362" s="360" t="s">
        <v>492</v>
      </c>
      <c r="F362" s="366" t="s">
        <v>448</v>
      </c>
      <c r="G362" s="360"/>
      <c r="H362" s="377"/>
      <c r="I362" s="540">
        <f>'DB1'!J41*-1000000</f>
        <v>-730062010.48679411</v>
      </c>
      <c r="J362" s="546"/>
      <c r="K362" s="383"/>
      <c r="L362" s="383"/>
      <c r="M362" s="383"/>
      <c r="N362" s="383"/>
      <c r="O362" s="383"/>
      <c r="P362" s="383"/>
      <c r="Q362" s="383"/>
      <c r="R362" s="383"/>
      <c r="S362" s="377">
        <f>$I362/'TS1'!$D$33*'TS1'!N33</f>
        <v>-36503100.524339706</v>
      </c>
      <c r="T362" s="377">
        <f>$I362/'TS1'!$D$33*'TS1'!O33</f>
        <v>-36503100.524339706</v>
      </c>
      <c r="U362" s="377">
        <f>$I362/'TS1'!$D$33*'TS1'!P33</f>
        <v>-36503100.524339706</v>
      </c>
      <c r="V362" s="377">
        <f>$I362/'TS1'!$D$33*'TS1'!Q33</f>
        <v>-36503100.524339706</v>
      </c>
      <c r="W362" s="377">
        <f>$I362/'TS1'!$D$33*'TS1'!R33</f>
        <v>-36503100.524339706</v>
      </c>
      <c r="X362" s="377">
        <f>$I362/'TS1'!$D$33*'TS1'!S33</f>
        <v>-36503100.524339706</v>
      </c>
      <c r="Y362" s="377">
        <f>$I362/'TS1'!$D$33*'TS1'!T33</f>
        <v>-36503100.524339706</v>
      </c>
      <c r="Z362" s="377">
        <f>$I362/'TS1'!$D$33*'TS1'!U33</f>
        <v>-36503100.524339706</v>
      </c>
      <c r="AA362" s="377">
        <f>$I362/'TS1'!$D$33*'TS1'!V33</f>
        <v>-36503100.524339706</v>
      </c>
      <c r="AB362" s="377">
        <f>$I362/'TS1'!$D$33*'TS1'!W33</f>
        <v>-36503100.524339706</v>
      </c>
      <c r="AC362" s="377">
        <f>$I362/'TS1'!$D$33*'TS1'!X33</f>
        <v>-36503100.524339706</v>
      </c>
      <c r="AD362" s="377">
        <f>$I362/'TS1'!$D$33*'TS1'!Y33</f>
        <v>-36503100.524339706</v>
      </c>
      <c r="AE362" s="377">
        <f>$I362/'TS1'!$D$33*'TS1'!Z33</f>
        <v>-36503100.524339706</v>
      </c>
      <c r="AF362" s="377">
        <f>$I362/'TS1'!$D$33*'TS1'!AA33</f>
        <v>-36503100.524339706</v>
      </c>
      <c r="AG362" s="377">
        <f>$I362/'TS1'!$D$33*'TS1'!AB33</f>
        <v>-36503100.524339706</v>
      </c>
      <c r="AH362" s="377">
        <f>$I362/'TS1'!$D$33*'TS1'!AC33</f>
        <v>-36503100.524339706</v>
      </c>
      <c r="AI362" s="377">
        <f>$I362/'TS1'!$D$33*'TS1'!AD33</f>
        <v>-36503100.524339706</v>
      </c>
      <c r="AJ362" s="377">
        <f>$I362/'TS1'!$D$33*'TS1'!AE33</f>
        <v>-36503100.524339706</v>
      </c>
      <c r="AK362" s="377">
        <f>$I362/'TS1'!$D$33*'TS1'!AF33</f>
        <v>-36503100.524339706</v>
      </c>
      <c r="AL362" s="377">
        <f>$I362/'TS1'!$D$33*'TS1'!AG33</f>
        <v>-36503100.524339706</v>
      </c>
      <c r="AM362" s="377">
        <f>$I362/'TS1'!$D$33*'TS1'!AH33</f>
        <v>0</v>
      </c>
      <c r="AN362" s="377">
        <f>$I362/'TS1'!$D$33*'TS1'!AI33</f>
        <v>0</v>
      </c>
      <c r="AO362" s="377">
        <f>$I362/'TS1'!$D$33*'TS1'!AJ33</f>
        <v>0</v>
      </c>
      <c r="AP362" s="377">
        <f>$I362/'TS1'!$D$33*'TS1'!AK33</f>
        <v>0</v>
      </c>
      <c r="AQ362" s="377">
        <f>$I362/'TS1'!$D$33*'TS1'!AL33</f>
        <v>0</v>
      </c>
      <c r="AR362" s="377">
        <f>$I362/'TS1'!$D$33*'TS1'!AM33</f>
        <v>0</v>
      </c>
      <c r="AS362" s="377">
        <f>$I362/'TS1'!$D$33*'TS1'!AN33</f>
        <v>0</v>
      </c>
      <c r="AT362" s="377">
        <f>$I362/'TS1'!$D$33*'TS1'!AO33</f>
        <v>0</v>
      </c>
      <c r="AU362" s="377">
        <f>$I362/'TS1'!$D$33*'TS1'!AP33</f>
        <v>0</v>
      </c>
      <c r="AV362" s="377">
        <f>$I362/'TS1'!$D$33*'TS1'!AQ33</f>
        <v>0</v>
      </c>
      <c r="AW362" s="377">
        <f>$I362/'TS1'!$D$33*'TS1'!AR33</f>
        <v>0</v>
      </c>
      <c r="AX362" s="377">
        <f>$I362/'TS1'!$D$33*'TS1'!AS33</f>
        <v>0</v>
      </c>
      <c r="AY362" s="377">
        <f>$I362/'TS1'!$D$33*'TS1'!AT33</f>
        <v>0</v>
      </c>
      <c r="AZ362" s="377">
        <f>$I362/'TS1'!$D$33*'TS1'!AU33</f>
        <v>0</v>
      </c>
      <c r="BA362" s="377">
        <f>$I362/'TS1'!$D$33*'TS1'!AV33</f>
        <v>0</v>
      </c>
      <c r="BB362" s="377">
        <f>$I362/'TS1'!$D$33*'TS1'!AW33</f>
        <v>0</v>
      </c>
      <c r="BC362" s="377">
        <f>$I362/'TS1'!$D$33*'TS1'!AX33</f>
        <v>0</v>
      </c>
      <c r="BD362" s="377">
        <f>$I362/'TS1'!$D$33*'TS1'!AY33</f>
        <v>0</v>
      </c>
      <c r="BE362" s="377">
        <f>$I362/'TS1'!$D$33*'TS1'!AZ33</f>
        <v>0</v>
      </c>
      <c r="BF362" s="377">
        <f>$I362/'TS1'!$D$33*'TS1'!BA33</f>
        <v>0</v>
      </c>
      <c r="BG362" s="377">
        <f>$I362/'TS1'!$D$33*'TS1'!BB33</f>
        <v>0</v>
      </c>
      <c r="BH362" s="377">
        <f>$I362/'TS1'!$D$33*'TS1'!BC33</f>
        <v>0</v>
      </c>
      <c r="BI362" s="377">
        <f>$I362/'TS1'!$D$33*'TS1'!BD33</f>
        <v>0</v>
      </c>
      <c r="BJ362" s="377">
        <f>$I362/'TS1'!$D$33*'TS1'!BE33</f>
        <v>0</v>
      </c>
      <c r="BK362" s="377">
        <f>$I362/'TS1'!$D$33*'TS1'!BF33</f>
        <v>0</v>
      </c>
      <c r="BL362" s="377">
        <f>$I362/'TS1'!$D$33*'TS1'!BG33</f>
        <v>0</v>
      </c>
      <c r="BM362" s="377">
        <f>$I362/'TS1'!$D$33*'TS1'!BH33</f>
        <v>0</v>
      </c>
      <c r="BN362" s="377">
        <f>$I362/'TS1'!$D$33*'TS1'!BI33</f>
        <v>0</v>
      </c>
      <c r="BO362" s="377">
        <f>$I362/'TS1'!$D$33*'TS1'!BJ33</f>
        <v>0</v>
      </c>
      <c r="BP362" s="377">
        <f>$I362/'TS1'!$D$33*'TS1'!BK33</f>
        <v>0</v>
      </c>
      <c r="BQ362" s="377">
        <f>$I362/'TS1'!$D$33*'TS1'!BL33</f>
        <v>0</v>
      </c>
      <c r="BR362" s="377">
        <f>$I362/'TS1'!$D$33*'TS1'!BM33</f>
        <v>0</v>
      </c>
    </row>
    <row r="363" spans="1:70" outlineLevel="1">
      <c r="A363" s="374">
        <f t="shared" ref="A363:A369" si="172">I363-SUM(K363:BR363)</f>
        <v>0</v>
      </c>
      <c r="B363" s="359"/>
      <c r="C363" s="359"/>
      <c r="D363" s="360"/>
      <c r="E363" s="360"/>
      <c r="F363" s="373"/>
      <c r="G363" s="360"/>
      <c r="H363" s="377"/>
      <c r="I363" s="537"/>
      <c r="J363" s="546"/>
      <c r="K363" s="383"/>
      <c r="L363" s="383"/>
      <c r="M363" s="383"/>
      <c r="N363" s="383"/>
      <c r="O363" s="383"/>
      <c r="P363" s="383"/>
      <c r="Q363" s="383"/>
      <c r="R363" s="383"/>
      <c r="S363" s="377"/>
      <c r="T363" s="377"/>
      <c r="U363" s="377"/>
      <c r="V363" s="377"/>
      <c r="W363" s="377"/>
      <c r="X363" s="377"/>
      <c r="Y363" s="377"/>
      <c r="Z363" s="377"/>
      <c r="AA363" s="377"/>
      <c r="AB363" s="377"/>
      <c r="AC363" s="377"/>
      <c r="AD363" s="377"/>
      <c r="AE363" s="377"/>
      <c r="AF363" s="377"/>
      <c r="AG363" s="377"/>
      <c r="AH363" s="377"/>
      <c r="AI363" s="377"/>
      <c r="AJ363" s="377"/>
      <c r="AK363" s="377"/>
      <c r="AL363" s="377"/>
      <c r="AM363" s="377"/>
      <c r="AN363" s="377"/>
      <c r="AO363" s="377"/>
      <c r="AP363" s="377"/>
      <c r="AQ363" s="377"/>
      <c r="AR363" s="377"/>
      <c r="AS363" s="377"/>
      <c r="AT363" s="377"/>
      <c r="AU363" s="377"/>
      <c r="AV363" s="377"/>
      <c r="AW363" s="377"/>
      <c r="AX363" s="377"/>
      <c r="AY363" s="377"/>
      <c r="AZ363" s="377"/>
      <c r="BA363" s="377"/>
      <c r="BB363" s="377"/>
      <c r="BC363" s="377"/>
      <c r="BD363" s="377"/>
      <c r="BE363" s="377"/>
      <c r="BF363" s="377"/>
      <c r="BG363" s="377"/>
      <c r="BH363" s="377"/>
      <c r="BI363" s="377"/>
      <c r="BJ363" s="377"/>
      <c r="BK363" s="377"/>
      <c r="BL363" s="377"/>
      <c r="BM363" s="377"/>
      <c r="BN363" s="377"/>
      <c r="BO363" s="377"/>
      <c r="BP363" s="377"/>
      <c r="BQ363" s="377"/>
      <c r="BR363" s="377"/>
    </row>
    <row r="364" spans="1:70" outlineLevel="1">
      <c r="A364" s="374">
        <f t="shared" si="172"/>
        <v>0</v>
      </c>
      <c r="B364" s="359"/>
      <c r="C364" s="359"/>
      <c r="D364" s="360"/>
      <c r="E364" s="360"/>
      <c r="F364" s="373"/>
      <c r="G364" s="360"/>
      <c r="H364" s="377"/>
      <c r="I364" s="537"/>
      <c r="J364" s="546"/>
      <c r="K364" s="383"/>
      <c r="L364" s="383"/>
      <c r="M364" s="383"/>
      <c r="N364" s="383"/>
      <c r="O364" s="383"/>
      <c r="P364" s="383"/>
      <c r="Q364" s="383"/>
      <c r="R364" s="383"/>
      <c r="S364" s="377"/>
      <c r="T364" s="377"/>
      <c r="U364" s="377"/>
      <c r="V364" s="377"/>
      <c r="W364" s="377"/>
      <c r="X364" s="377"/>
      <c r="Y364" s="377"/>
      <c r="Z364" s="377"/>
      <c r="AA364" s="377"/>
      <c r="AB364" s="377"/>
      <c r="AC364" s="377"/>
      <c r="AD364" s="377"/>
      <c r="AE364" s="377"/>
      <c r="AF364" s="377"/>
      <c r="AG364" s="377"/>
      <c r="AH364" s="377"/>
      <c r="AI364" s="377"/>
      <c r="AJ364" s="377"/>
      <c r="AK364" s="377"/>
      <c r="AL364" s="377"/>
      <c r="AM364" s="377"/>
      <c r="AN364" s="377"/>
      <c r="AO364" s="377"/>
      <c r="AP364" s="377"/>
      <c r="AQ364" s="377"/>
      <c r="AR364" s="377"/>
      <c r="AS364" s="377"/>
      <c r="AT364" s="377"/>
      <c r="AU364" s="377"/>
      <c r="AV364" s="377"/>
      <c r="AW364" s="377"/>
      <c r="AX364" s="377"/>
      <c r="AY364" s="377"/>
      <c r="AZ364" s="377"/>
      <c r="BA364" s="377"/>
      <c r="BB364" s="377"/>
      <c r="BC364" s="377"/>
      <c r="BD364" s="377"/>
      <c r="BE364" s="377"/>
      <c r="BF364" s="377"/>
      <c r="BG364" s="377"/>
      <c r="BH364" s="377"/>
      <c r="BI364" s="377"/>
      <c r="BJ364" s="377"/>
      <c r="BK364" s="377"/>
      <c r="BL364" s="377"/>
      <c r="BM364" s="377"/>
      <c r="BN364" s="377"/>
      <c r="BO364" s="377"/>
      <c r="BP364" s="377"/>
      <c r="BQ364" s="377"/>
      <c r="BR364" s="377"/>
    </row>
    <row r="365" spans="1:70" outlineLevel="1">
      <c r="A365" s="374">
        <f t="shared" si="172"/>
        <v>0</v>
      </c>
      <c r="B365" s="359"/>
      <c r="C365" s="359"/>
      <c r="D365" s="360"/>
      <c r="E365" s="360"/>
      <c r="F365" s="373"/>
      <c r="G365" s="360"/>
      <c r="H365" s="377"/>
      <c r="I365" s="537"/>
      <c r="J365" s="546"/>
      <c r="K365" s="383"/>
      <c r="L365" s="383"/>
      <c r="M365" s="383"/>
      <c r="N365" s="383"/>
      <c r="O365" s="383"/>
      <c r="P365" s="383"/>
      <c r="Q365" s="383"/>
      <c r="R365" s="383"/>
      <c r="S365" s="377"/>
      <c r="T365" s="377"/>
      <c r="U365" s="377"/>
      <c r="V365" s="377"/>
      <c r="W365" s="377"/>
      <c r="X365" s="377"/>
      <c r="Y365" s="377"/>
      <c r="Z365" s="377"/>
      <c r="AA365" s="377"/>
      <c r="AB365" s="377"/>
      <c r="AC365" s="377"/>
      <c r="AD365" s="377"/>
      <c r="AE365" s="377"/>
      <c r="AF365" s="377"/>
      <c r="AG365" s="377"/>
      <c r="AH365" s="377"/>
      <c r="AI365" s="377"/>
      <c r="AJ365" s="377"/>
      <c r="AK365" s="377"/>
      <c r="AL365" s="377"/>
      <c r="AM365" s="377"/>
      <c r="AN365" s="377"/>
      <c r="AO365" s="377"/>
      <c r="AP365" s="377"/>
      <c r="AQ365" s="377"/>
      <c r="AR365" s="377"/>
      <c r="AS365" s="377"/>
      <c r="AT365" s="377"/>
      <c r="AU365" s="377"/>
      <c r="AV365" s="377"/>
      <c r="AW365" s="377"/>
      <c r="AX365" s="377"/>
      <c r="AY365" s="377"/>
      <c r="AZ365" s="377"/>
      <c r="BA365" s="377"/>
      <c r="BB365" s="377"/>
      <c r="BC365" s="377"/>
      <c r="BD365" s="377"/>
      <c r="BE365" s="377"/>
      <c r="BF365" s="377"/>
      <c r="BG365" s="377"/>
      <c r="BH365" s="377"/>
      <c r="BI365" s="377"/>
      <c r="BJ365" s="377"/>
      <c r="BK365" s="377"/>
      <c r="BL365" s="377"/>
      <c r="BM365" s="377"/>
      <c r="BN365" s="377"/>
      <c r="BO365" s="377"/>
      <c r="BP365" s="377"/>
      <c r="BQ365" s="377"/>
      <c r="BR365" s="377"/>
    </row>
    <row r="366" spans="1:70" outlineLevel="1">
      <c r="A366" s="374">
        <f t="shared" si="172"/>
        <v>0</v>
      </c>
      <c r="B366" s="359"/>
      <c r="C366" s="359"/>
      <c r="D366" s="360"/>
      <c r="E366" s="360"/>
      <c r="F366" s="373"/>
      <c r="G366" s="360"/>
      <c r="H366" s="377"/>
      <c r="I366" s="537"/>
      <c r="J366" s="546"/>
      <c r="K366" s="383"/>
      <c r="L366" s="383"/>
      <c r="M366" s="383"/>
      <c r="N366" s="383"/>
      <c r="O366" s="383"/>
      <c r="P366" s="383"/>
      <c r="Q366" s="383"/>
      <c r="R366" s="383"/>
      <c r="S366" s="377"/>
      <c r="T366" s="377"/>
      <c r="U366" s="377"/>
      <c r="V366" s="377"/>
      <c r="W366" s="377"/>
      <c r="X366" s="377"/>
      <c r="Y366" s="377"/>
      <c r="Z366" s="377"/>
      <c r="AA366" s="377"/>
      <c r="AB366" s="377"/>
      <c r="AC366" s="377"/>
      <c r="AD366" s="377"/>
      <c r="AE366" s="377"/>
      <c r="AF366" s="377"/>
      <c r="AG366" s="377"/>
      <c r="AH366" s="377"/>
      <c r="AI366" s="377"/>
      <c r="AJ366" s="377"/>
      <c r="AK366" s="377"/>
      <c r="AL366" s="377"/>
      <c r="AM366" s="377"/>
      <c r="AN366" s="377"/>
      <c r="AO366" s="377"/>
      <c r="AP366" s="377"/>
      <c r="AQ366" s="377"/>
      <c r="AR366" s="377"/>
      <c r="AS366" s="377"/>
      <c r="AT366" s="377"/>
      <c r="AU366" s="377"/>
      <c r="AV366" s="377"/>
      <c r="AW366" s="377"/>
      <c r="AX366" s="377"/>
      <c r="AY366" s="377"/>
      <c r="AZ366" s="377"/>
      <c r="BA366" s="377"/>
      <c r="BB366" s="377"/>
      <c r="BC366" s="377"/>
      <c r="BD366" s="377"/>
      <c r="BE366" s="377"/>
      <c r="BF366" s="377"/>
      <c r="BG366" s="377"/>
      <c r="BH366" s="377"/>
      <c r="BI366" s="377"/>
      <c r="BJ366" s="377"/>
      <c r="BK366" s="377"/>
      <c r="BL366" s="377"/>
      <c r="BM366" s="377"/>
      <c r="BN366" s="377"/>
      <c r="BO366" s="377"/>
      <c r="BP366" s="377"/>
      <c r="BQ366" s="377"/>
      <c r="BR366" s="377"/>
    </row>
    <row r="367" spans="1:70" outlineLevel="1">
      <c r="A367" s="374">
        <f t="shared" si="172"/>
        <v>0</v>
      </c>
      <c r="B367" s="359"/>
      <c r="C367" s="359">
        <v>2</v>
      </c>
      <c r="D367" s="360" t="s">
        <v>366</v>
      </c>
      <c r="E367" s="360" t="s">
        <v>492</v>
      </c>
      <c r="F367" s="366" t="s">
        <v>448</v>
      </c>
      <c r="G367" s="360"/>
      <c r="H367" s="377"/>
      <c r="I367" s="540">
        <f>'DB2'!J41*-1000000</f>
        <v>-769328207.01450992</v>
      </c>
      <c r="J367" s="546"/>
      <c r="K367" s="383"/>
      <c r="L367" s="383"/>
      <c r="M367" s="383"/>
      <c r="N367" s="383"/>
      <c r="O367" s="383"/>
      <c r="P367" s="383"/>
      <c r="Q367" s="383"/>
      <c r="R367" s="383"/>
      <c r="S367" s="377">
        <f>$I367/'TS2'!$D$33*'TS2'!N33</f>
        <v>-32055341.958937913</v>
      </c>
      <c r="T367" s="377">
        <f>$I367/'TS2'!$D$33*'TS2'!O33</f>
        <v>-32055341.958937913</v>
      </c>
      <c r="U367" s="377">
        <f>$I367/'TS2'!$D$33*'TS2'!P33</f>
        <v>-32055341.958937913</v>
      </c>
      <c r="V367" s="377">
        <f>$I367/'TS2'!$D$33*'TS2'!Q33</f>
        <v>-32055341.958937913</v>
      </c>
      <c r="W367" s="377">
        <f>$I367/'TS2'!$D$33*'TS2'!R33</f>
        <v>-32055341.958937913</v>
      </c>
      <c r="X367" s="377">
        <f>$I367/'TS2'!$D$33*'TS2'!S33</f>
        <v>-32055341.958937913</v>
      </c>
      <c r="Y367" s="377">
        <f>$I367/'TS2'!$D$33*'TS2'!T33</f>
        <v>-32055341.958937913</v>
      </c>
      <c r="Z367" s="377">
        <f>$I367/'TS2'!$D$33*'TS2'!U33</f>
        <v>-32055341.958937913</v>
      </c>
      <c r="AA367" s="377">
        <f>$I367/'TS2'!$D$33*'TS2'!V33</f>
        <v>-32055341.958937913</v>
      </c>
      <c r="AB367" s="377">
        <f>$I367/'TS2'!$D$33*'TS2'!W33</f>
        <v>-32055341.958937913</v>
      </c>
      <c r="AC367" s="377">
        <f>$I367/'TS2'!$D$33*'TS2'!X33</f>
        <v>-32055341.958937913</v>
      </c>
      <c r="AD367" s="377">
        <f>$I367/'TS2'!$D$33*'TS2'!Y33</f>
        <v>-32055341.958937913</v>
      </c>
      <c r="AE367" s="377">
        <f>$I367/'TS2'!$D$33*'TS2'!Z33</f>
        <v>-32055341.958937913</v>
      </c>
      <c r="AF367" s="377">
        <f>$I367/'TS2'!$D$33*'TS2'!AA33</f>
        <v>-32055341.958937913</v>
      </c>
      <c r="AG367" s="377">
        <f>$I367/'TS2'!$D$33*'TS2'!AB33</f>
        <v>-32055341.958937913</v>
      </c>
      <c r="AH367" s="377">
        <f>$I367/'TS2'!$D$33*'TS2'!AC33</f>
        <v>-32055341.958937913</v>
      </c>
      <c r="AI367" s="377">
        <f>$I367/'TS2'!$D$33*'TS2'!AD33</f>
        <v>-32055341.958937913</v>
      </c>
      <c r="AJ367" s="377">
        <f>$I367/'TS2'!$D$33*'TS2'!AE33</f>
        <v>-32055341.958937913</v>
      </c>
      <c r="AK367" s="377">
        <f>$I367/'TS2'!$D$33*'TS2'!AF33</f>
        <v>-32055341.958937913</v>
      </c>
      <c r="AL367" s="377">
        <f>$I367/'TS2'!$D$33*'TS2'!AG33</f>
        <v>-32055341.958937913</v>
      </c>
      <c r="AM367" s="377">
        <f>$I367/'TS2'!$D$33*'TS2'!AH33</f>
        <v>-32055341.958937913</v>
      </c>
      <c r="AN367" s="377">
        <f>$I367/'TS2'!$D$33*'TS2'!AI33</f>
        <v>-32055341.958937913</v>
      </c>
      <c r="AO367" s="377">
        <f>$I367/'TS2'!$D$33*'TS2'!AJ33</f>
        <v>-32055341.958937913</v>
      </c>
      <c r="AP367" s="377">
        <f>$I367/'TS2'!$D$33*'TS2'!AK33</f>
        <v>-32055341.958937913</v>
      </c>
      <c r="AQ367" s="377">
        <f>$I367/'TS2'!$D$33*'TS2'!AL33</f>
        <v>0</v>
      </c>
      <c r="AR367" s="377">
        <f>$I367/'TS2'!$D$33*'TS2'!AM33</f>
        <v>0</v>
      </c>
      <c r="AS367" s="377">
        <f>$I367/'TS2'!$D$33*'TS2'!AN33</f>
        <v>0</v>
      </c>
      <c r="AT367" s="377">
        <f>$I367/'TS2'!$D$33*'TS2'!AO33</f>
        <v>0</v>
      </c>
      <c r="AU367" s="377">
        <f>$I367/'TS2'!$D$33*'TS2'!AP33</f>
        <v>0</v>
      </c>
      <c r="AV367" s="377">
        <f>$I367/'TS2'!$D$33*'TS2'!AQ33</f>
        <v>0</v>
      </c>
      <c r="AW367" s="377">
        <f>$I367/'TS2'!$D$33*'TS2'!AR33</f>
        <v>0</v>
      </c>
      <c r="AX367" s="377">
        <f>$I367/'TS2'!$D$33*'TS2'!AS33</f>
        <v>0</v>
      </c>
      <c r="AY367" s="377">
        <f>$I367/'TS2'!$D$33*'TS2'!AT33</f>
        <v>0</v>
      </c>
      <c r="AZ367" s="377">
        <f>$I367/'TS2'!$D$33*'TS2'!AU33</f>
        <v>0</v>
      </c>
      <c r="BA367" s="377">
        <f>$I367/'TS2'!$D$33*'TS2'!AV33</f>
        <v>0</v>
      </c>
      <c r="BB367" s="377">
        <f>$I367/'TS2'!$D$33*'TS2'!AW33</f>
        <v>0</v>
      </c>
      <c r="BC367" s="377">
        <f>$I367/'TS2'!$D$33*'TS2'!AX33</f>
        <v>0</v>
      </c>
      <c r="BD367" s="377">
        <f>$I367/'TS2'!$D$33*'TS2'!AY33</f>
        <v>0</v>
      </c>
      <c r="BE367" s="377">
        <f>$I367/'TS2'!$D$33*'TS2'!AZ33</f>
        <v>0</v>
      </c>
      <c r="BF367" s="377">
        <f>$I367/'TS2'!$D$33*'TS2'!BA33</f>
        <v>0</v>
      </c>
      <c r="BG367" s="377">
        <f>$I367/'TS2'!$D$33*'TS2'!BB33</f>
        <v>0</v>
      </c>
      <c r="BH367" s="377">
        <f>$I367/'TS2'!$D$33*'TS2'!BC33</f>
        <v>0</v>
      </c>
      <c r="BI367" s="377">
        <f>$I367/'TS2'!$D$33*'TS2'!BD33</f>
        <v>0</v>
      </c>
      <c r="BJ367" s="377">
        <f>$I367/'TS2'!$D$33*'TS2'!BE33</f>
        <v>0</v>
      </c>
      <c r="BK367" s="377">
        <f>$I367/'TS2'!$D$33*'TS2'!BF33</f>
        <v>0</v>
      </c>
      <c r="BL367" s="377">
        <f>$I367/'TS2'!$D$33*'TS2'!BG33</f>
        <v>0</v>
      </c>
      <c r="BM367" s="377">
        <f>$I367/'TS2'!$D$33*'TS2'!BH33</f>
        <v>0</v>
      </c>
      <c r="BN367" s="377">
        <f>$I367/'TS2'!$D$33*'TS2'!BI33</f>
        <v>0</v>
      </c>
      <c r="BO367" s="377">
        <f>$I367/'TS2'!$D$33*'TS2'!BJ33</f>
        <v>0</v>
      </c>
      <c r="BP367" s="377">
        <f>$I367/'TS2'!$D$33*'TS2'!BK33</f>
        <v>0</v>
      </c>
      <c r="BQ367" s="377">
        <f>$I367/'TS2'!$D$33*'TS2'!BL33</f>
        <v>0</v>
      </c>
      <c r="BR367" s="377">
        <f>$I367/'TS2'!$D$33*'TS2'!BM33</f>
        <v>0</v>
      </c>
    </row>
    <row r="368" spans="1:70" outlineLevel="1">
      <c r="A368" s="374">
        <f t="shared" si="172"/>
        <v>0</v>
      </c>
      <c r="B368" s="359"/>
      <c r="C368" s="359"/>
      <c r="D368" s="360"/>
      <c r="E368" s="360"/>
      <c r="F368" s="373"/>
      <c r="G368" s="360"/>
      <c r="H368" s="377"/>
      <c r="I368" s="537"/>
      <c r="J368" s="546"/>
      <c r="K368" s="383"/>
      <c r="L368" s="383"/>
      <c r="M368" s="383"/>
      <c r="N368" s="383"/>
      <c r="O368" s="383"/>
      <c r="P368" s="383"/>
      <c r="Q368" s="383"/>
      <c r="R368" s="383"/>
      <c r="S368" s="377"/>
      <c r="T368" s="377"/>
      <c r="U368" s="377"/>
      <c r="V368" s="377"/>
      <c r="W368" s="377"/>
      <c r="X368" s="377"/>
      <c r="Y368" s="377"/>
      <c r="Z368" s="377"/>
      <c r="AA368" s="377"/>
      <c r="AB368" s="377"/>
      <c r="AC368" s="377"/>
      <c r="AD368" s="377"/>
      <c r="AE368" s="377"/>
      <c r="AF368" s="377"/>
      <c r="AG368" s="377"/>
      <c r="AH368" s="377"/>
      <c r="AI368" s="377"/>
      <c r="AJ368" s="377"/>
      <c r="AK368" s="377"/>
      <c r="AL368" s="377"/>
      <c r="AM368" s="377"/>
      <c r="AN368" s="377"/>
      <c r="AO368" s="377"/>
      <c r="AP368" s="377"/>
      <c r="AQ368" s="377"/>
      <c r="AR368" s="377"/>
      <c r="AS368" s="377"/>
      <c r="AT368" s="377"/>
      <c r="AU368" s="377"/>
      <c r="AV368" s="377"/>
      <c r="AW368" s="377"/>
      <c r="AX368" s="377"/>
      <c r="AY368" s="377"/>
      <c r="AZ368" s="377"/>
      <c r="BA368" s="377"/>
      <c r="BB368" s="377"/>
      <c r="BC368" s="377"/>
      <c r="BD368" s="377"/>
      <c r="BE368" s="377"/>
      <c r="BF368" s="377"/>
      <c r="BG368" s="377"/>
      <c r="BH368" s="377"/>
      <c r="BI368" s="377"/>
      <c r="BJ368" s="377"/>
      <c r="BK368" s="377"/>
      <c r="BL368" s="377"/>
      <c r="BM368" s="377"/>
      <c r="BN368" s="377"/>
      <c r="BO368" s="377"/>
      <c r="BP368" s="377"/>
      <c r="BQ368" s="377"/>
      <c r="BR368" s="377"/>
    </row>
    <row r="369" spans="1:70" outlineLevel="1">
      <c r="A369" s="374">
        <f t="shared" si="172"/>
        <v>0</v>
      </c>
      <c r="B369" s="359"/>
      <c r="C369" s="359"/>
      <c r="D369" s="360"/>
      <c r="E369" s="360"/>
      <c r="F369" s="373"/>
      <c r="G369" s="360"/>
      <c r="H369" s="377"/>
      <c r="I369" s="537"/>
      <c r="J369" s="546"/>
      <c r="K369" s="383"/>
      <c r="L369" s="383"/>
      <c r="M369" s="383"/>
      <c r="N369" s="383"/>
      <c r="O369" s="383"/>
      <c r="P369" s="383"/>
      <c r="Q369" s="383"/>
      <c r="R369" s="383"/>
      <c r="S369" s="377"/>
      <c r="T369" s="377"/>
      <c r="U369" s="377"/>
      <c r="V369" s="377"/>
      <c r="W369" s="377"/>
      <c r="X369" s="377"/>
      <c r="Y369" s="377"/>
      <c r="Z369" s="377"/>
      <c r="AA369" s="377"/>
      <c r="AB369" s="377"/>
      <c r="AC369" s="377"/>
      <c r="AD369" s="377"/>
      <c r="AE369" s="377"/>
      <c r="AF369" s="377"/>
      <c r="AG369" s="377"/>
      <c r="AH369" s="377"/>
      <c r="AI369" s="377"/>
      <c r="AJ369" s="377"/>
      <c r="AK369" s="377"/>
      <c r="AL369" s="377"/>
      <c r="AM369" s="377"/>
      <c r="AN369" s="377"/>
      <c r="AO369" s="377"/>
      <c r="AP369" s="377"/>
      <c r="AQ369" s="377"/>
      <c r="AR369" s="377"/>
      <c r="AS369" s="377"/>
      <c r="AT369" s="377"/>
      <c r="AU369" s="377"/>
      <c r="AV369" s="377"/>
      <c r="AW369" s="377"/>
      <c r="AX369" s="377"/>
      <c r="AY369" s="377"/>
      <c r="AZ369" s="377"/>
      <c r="BA369" s="377"/>
      <c r="BB369" s="377"/>
      <c r="BC369" s="377"/>
      <c r="BD369" s="377"/>
      <c r="BE369" s="377"/>
      <c r="BF369" s="377"/>
      <c r="BG369" s="377"/>
      <c r="BH369" s="377"/>
      <c r="BI369" s="377"/>
      <c r="BJ369" s="377"/>
      <c r="BK369" s="377"/>
      <c r="BL369" s="377"/>
      <c r="BM369" s="377"/>
      <c r="BN369" s="377"/>
      <c r="BO369" s="377"/>
      <c r="BP369" s="377"/>
      <c r="BQ369" s="377"/>
      <c r="BR369" s="377"/>
    </row>
    <row r="370" spans="1:70" outlineLevel="1">
      <c r="A370" s="374">
        <f t="shared" si="89"/>
        <v>0</v>
      </c>
      <c r="B370" s="359"/>
      <c r="C370" s="359"/>
      <c r="D370" s="360"/>
      <c r="E370" s="360"/>
      <c r="F370" s="373"/>
      <c r="G370" s="360"/>
      <c r="H370" s="377"/>
      <c r="I370" s="537"/>
      <c r="J370" s="546"/>
      <c r="K370" s="383"/>
      <c r="L370" s="383"/>
      <c r="M370" s="383"/>
      <c r="N370" s="383"/>
      <c r="O370" s="383"/>
      <c r="P370" s="383"/>
      <c r="Q370" s="383"/>
      <c r="R370" s="383"/>
      <c r="S370" s="377"/>
      <c r="T370" s="377"/>
      <c r="U370" s="377"/>
      <c r="V370" s="377"/>
      <c r="W370" s="377"/>
      <c r="X370" s="377"/>
      <c r="Y370" s="377"/>
      <c r="Z370" s="377"/>
      <c r="AA370" s="377"/>
      <c r="AB370" s="377"/>
      <c r="AC370" s="377"/>
      <c r="AD370" s="377"/>
      <c r="AE370" s="377"/>
      <c r="AF370" s="377"/>
      <c r="AG370" s="377"/>
      <c r="AH370" s="377"/>
      <c r="AI370" s="377"/>
      <c r="AJ370" s="377"/>
      <c r="AK370" s="377"/>
      <c r="AL370" s="377"/>
      <c r="AM370" s="377"/>
      <c r="AN370" s="377"/>
      <c r="AO370" s="377"/>
      <c r="AP370" s="377"/>
      <c r="AQ370" s="377"/>
      <c r="AR370" s="377"/>
      <c r="AS370" s="377"/>
      <c r="AT370" s="377"/>
      <c r="AU370" s="377"/>
      <c r="AV370" s="377"/>
      <c r="AW370" s="377"/>
      <c r="AX370" s="377"/>
      <c r="AY370" s="377"/>
      <c r="AZ370" s="377"/>
      <c r="BA370" s="377"/>
      <c r="BB370" s="377"/>
      <c r="BC370" s="377"/>
      <c r="BD370" s="377"/>
      <c r="BE370" s="377"/>
      <c r="BF370" s="377"/>
      <c r="BG370" s="377"/>
      <c r="BH370" s="377"/>
      <c r="BI370" s="377"/>
      <c r="BJ370" s="377"/>
      <c r="BK370" s="377"/>
      <c r="BL370" s="377"/>
      <c r="BM370" s="377"/>
      <c r="BN370" s="377"/>
      <c r="BO370" s="377"/>
      <c r="BP370" s="377"/>
      <c r="BQ370" s="377"/>
      <c r="BR370" s="377"/>
    </row>
    <row r="371" spans="1:70" outlineLevel="1">
      <c r="A371" s="374">
        <f t="shared" si="89"/>
        <v>0</v>
      </c>
      <c r="B371" s="359"/>
      <c r="C371" s="359"/>
      <c r="D371" s="360"/>
      <c r="E371" s="360"/>
      <c r="F371" s="373"/>
      <c r="G371" s="360"/>
      <c r="H371" s="377"/>
      <c r="I371" s="537"/>
      <c r="J371" s="546"/>
      <c r="K371" s="383"/>
      <c r="L371" s="383"/>
      <c r="M371" s="383"/>
      <c r="N371" s="383"/>
      <c r="O371" s="383"/>
      <c r="P371" s="383"/>
      <c r="Q371" s="383"/>
      <c r="R371" s="383"/>
      <c r="S371" s="377"/>
      <c r="T371" s="377"/>
      <c r="U371" s="377"/>
      <c r="V371" s="377"/>
      <c r="W371" s="377"/>
      <c r="X371" s="377"/>
      <c r="Y371" s="377"/>
      <c r="Z371" s="377"/>
      <c r="AA371" s="377"/>
      <c r="AB371" s="377"/>
      <c r="AC371" s="377"/>
      <c r="AD371" s="377"/>
      <c r="AE371" s="377"/>
      <c r="AF371" s="377"/>
      <c r="AG371" s="377"/>
      <c r="AH371" s="377"/>
      <c r="AI371" s="377"/>
      <c r="AJ371" s="377"/>
      <c r="AK371" s="377"/>
      <c r="AL371" s="377"/>
      <c r="AM371" s="377"/>
      <c r="AN371" s="377"/>
      <c r="AO371" s="377"/>
      <c r="AP371" s="377"/>
      <c r="AQ371" s="377"/>
      <c r="AR371" s="377"/>
      <c r="AS371" s="377"/>
      <c r="AT371" s="377"/>
      <c r="AU371" s="377"/>
      <c r="AV371" s="377"/>
      <c r="AW371" s="377"/>
      <c r="AX371" s="377"/>
      <c r="AY371" s="377"/>
      <c r="AZ371" s="377"/>
      <c r="BA371" s="377"/>
      <c r="BB371" s="377"/>
      <c r="BC371" s="377"/>
      <c r="BD371" s="377"/>
      <c r="BE371" s="377"/>
      <c r="BF371" s="377"/>
      <c r="BG371" s="377"/>
      <c r="BH371" s="377"/>
      <c r="BI371" s="377"/>
      <c r="BJ371" s="377"/>
      <c r="BK371" s="377"/>
      <c r="BL371" s="377"/>
      <c r="BM371" s="377"/>
      <c r="BN371" s="377"/>
      <c r="BO371" s="377"/>
      <c r="BP371" s="377"/>
      <c r="BQ371" s="377"/>
      <c r="BR371" s="377"/>
    </row>
    <row r="372" spans="1:70" s="353" customFormat="1" outlineLevel="1">
      <c r="A372" s="374">
        <f t="shared" si="89"/>
        <v>0</v>
      </c>
      <c r="B372" s="365">
        <v>5701</v>
      </c>
      <c r="C372" s="365"/>
      <c r="D372" s="366" t="s">
        <v>456</v>
      </c>
      <c r="E372" s="366"/>
      <c r="F372" s="366"/>
      <c r="G372" s="366"/>
      <c r="H372" s="379">
        <f>SUM(H373:H393)</f>
        <v>0</v>
      </c>
      <c r="I372" s="540">
        <f t="shared" ref="I372:BR372" si="173">SUM(I373:I393)</f>
        <v>-525382940</v>
      </c>
      <c r="J372" s="549">
        <f t="shared" si="173"/>
        <v>0</v>
      </c>
      <c r="K372" s="379">
        <f t="shared" si="173"/>
        <v>0</v>
      </c>
      <c r="L372" s="379">
        <f t="shared" si="173"/>
        <v>0</v>
      </c>
      <c r="M372" s="379">
        <f t="shared" si="173"/>
        <v>0</v>
      </c>
      <c r="N372" s="379">
        <f t="shared" si="173"/>
        <v>0</v>
      </c>
      <c r="O372" s="379">
        <f t="shared" si="173"/>
        <v>0</v>
      </c>
      <c r="P372" s="379">
        <f t="shared" si="173"/>
        <v>0</v>
      </c>
      <c r="Q372" s="379">
        <f t="shared" si="173"/>
        <v>0</v>
      </c>
      <c r="R372" s="379">
        <f t="shared" si="173"/>
        <v>0</v>
      </c>
      <c r="S372" s="379">
        <f t="shared" si="173"/>
        <v>0</v>
      </c>
      <c r="T372" s="379">
        <f t="shared" si="173"/>
        <v>0</v>
      </c>
      <c r="U372" s="379">
        <f t="shared" si="173"/>
        <v>-10000000</v>
      </c>
      <c r="V372" s="379">
        <f t="shared" si="173"/>
        <v>-15000000</v>
      </c>
      <c r="W372" s="379">
        <f t="shared" si="173"/>
        <v>-12000000</v>
      </c>
      <c r="X372" s="379">
        <f t="shared" si="173"/>
        <v>-18989073.076923076</v>
      </c>
      <c r="Y372" s="379">
        <f t="shared" si="173"/>
        <v>-28989073.076923076</v>
      </c>
      <c r="Z372" s="379">
        <f t="shared" si="173"/>
        <v>-33989073.076923072</v>
      </c>
      <c r="AA372" s="379">
        <f t="shared" si="173"/>
        <v>-30989073.076923076</v>
      </c>
      <c r="AB372" s="379">
        <f t="shared" si="173"/>
        <v>-34721764.615384616</v>
      </c>
      <c r="AC372" s="379">
        <f t="shared" si="173"/>
        <v>-34721764.615384616</v>
      </c>
      <c r="AD372" s="379">
        <f t="shared" si="173"/>
        <v>-34721764.615384616</v>
      </c>
      <c r="AE372" s="379">
        <f t="shared" si="173"/>
        <v>-34721764.615384616</v>
      </c>
      <c r="AF372" s="379">
        <f t="shared" si="173"/>
        <v>-34721764.615384616</v>
      </c>
      <c r="AG372" s="379">
        <f t="shared" si="173"/>
        <v>-34721764.615384616</v>
      </c>
      <c r="AH372" s="379">
        <f t="shared" si="173"/>
        <v>-34721764.615384616</v>
      </c>
      <c r="AI372" s="379">
        <f t="shared" si="173"/>
        <v>-34721764.615384616</v>
      </c>
      <c r="AJ372" s="379">
        <f t="shared" si="173"/>
        <v>-34721764.615384616</v>
      </c>
      <c r="AK372" s="379">
        <f t="shared" si="173"/>
        <v>-15732691.538461538</v>
      </c>
      <c r="AL372" s="379">
        <f t="shared" si="173"/>
        <v>-15732691.538461538</v>
      </c>
      <c r="AM372" s="379">
        <f t="shared" si="173"/>
        <v>-15732691.538461538</v>
      </c>
      <c r="AN372" s="379">
        <f t="shared" si="173"/>
        <v>-15732691.538461538</v>
      </c>
      <c r="AO372" s="379">
        <f t="shared" si="173"/>
        <v>0</v>
      </c>
      <c r="AP372" s="379">
        <f t="shared" si="173"/>
        <v>0</v>
      </c>
      <c r="AQ372" s="379">
        <f t="shared" si="173"/>
        <v>0</v>
      </c>
      <c r="AR372" s="379">
        <f t="shared" si="173"/>
        <v>0</v>
      </c>
      <c r="AS372" s="379">
        <f t="shared" si="173"/>
        <v>0</v>
      </c>
      <c r="AT372" s="379">
        <f t="shared" si="173"/>
        <v>0</v>
      </c>
      <c r="AU372" s="379">
        <f t="shared" si="173"/>
        <v>0</v>
      </c>
      <c r="AV372" s="379">
        <f t="shared" si="173"/>
        <v>0</v>
      </c>
      <c r="AW372" s="379">
        <f t="shared" si="173"/>
        <v>0</v>
      </c>
      <c r="AX372" s="379">
        <f t="shared" si="173"/>
        <v>0</v>
      </c>
      <c r="AY372" s="379">
        <f t="shared" si="173"/>
        <v>0</v>
      </c>
      <c r="AZ372" s="379">
        <f t="shared" si="173"/>
        <v>0</v>
      </c>
      <c r="BA372" s="379">
        <f t="shared" si="173"/>
        <v>0</v>
      </c>
      <c r="BB372" s="379">
        <f t="shared" si="173"/>
        <v>0</v>
      </c>
      <c r="BC372" s="379">
        <f t="shared" si="173"/>
        <v>0</v>
      </c>
      <c r="BD372" s="379">
        <f t="shared" si="173"/>
        <v>0</v>
      </c>
      <c r="BE372" s="379">
        <f t="shared" si="173"/>
        <v>0</v>
      </c>
      <c r="BF372" s="379">
        <f t="shared" si="173"/>
        <v>0</v>
      </c>
      <c r="BG372" s="379">
        <f t="shared" si="173"/>
        <v>0</v>
      </c>
      <c r="BH372" s="379">
        <f t="shared" si="173"/>
        <v>0</v>
      </c>
      <c r="BI372" s="379">
        <f t="shared" si="173"/>
        <v>0</v>
      </c>
      <c r="BJ372" s="379">
        <f t="shared" si="173"/>
        <v>0</v>
      </c>
      <c r="BK372" s="379">
        <f t="shared" si="173"/>
        <v>0</v>
      </c>
      <c r="BL372" s="379">
        <f t="shared" si="173"/>
        <v>0</v>
      </c>
      <c r="BM372" s="379">
        <f t="shared" si="173"/>
        <v>0</v>
      </c>
      <c r="BN372" s="379">
        <f t="shared" si="173"/>
        <v>0</v>
      </c>
      <c r="BO372" s="379">
        <f t="shared" si="173"/>
        <v>0</v>
      </c>
      <c r="BP372" s="379">
        <f t="shared" si="173"/>
        <v>0</v>
      </c>
      <c r="BQ372" s="379">
        <f t="shared" si="173"/>
        <v>0</v>
      </c>
      <c r="BR372" s="379">
        <f t="shared" si="173"/>
        <v>0</v>
      </c>
    </row>
    <row r="373" spans="1:70" outlineLevel="1">
      <c r="A373" s="374">
        <f t="shared" si="89"/>
        <v>0</v>
      </c>
      <c r="B373" s="359"/>
      <c r="C373" s="359">
        <v>1</v>
      </c>
      <c r="D373" s="360" t="s">
        <v>1099</v>
      </c>
      <c r="E373" s="360" t="s">
        <v>492</v>
      </c>
      <c r="F373" s="366" t="s">
        <v>448</v>
      </c>
      <c r="G373" s="360"/>
      <c r="H373" s="377"/>
      <c r="I373" s="540">
        <f>'DB1'!J40*-1000000-SUMIFS(I375:I382,$C$375:$C$382,$C$373)</f>
        <v>-90857950</v>
      </c>
      <c r="J373" s="546"/>
      <c r="K373" s="383"/>
      <c r="L373" s="383"/>
      <c r="M373" s="383"/>
      <c r="N373" s="383"/>
      <c r="O373" s="383"/>
      <c r="P373" s="383"/>
      <c r="Q373" s="383"/>
      <c r="R373" s="383"/>
      <c r="S373" s="377">
        <f>$I$373/COUNTIF('TS1'!$F$28:$AS$28,"&gt;0")*'TS1'!N$28</f>
        <v>0</v>
      </c>
      <c r="T373" s="377">
        <f>$I$373/COUNTIF('TS1'!$F$28:$AS$28,"&gt;0")*'TS1'!O$28</f>
        <v>0</v>
      </c>
      <c r="U373" s="377">
        <f>$I$373/COUNTIF('TS1'!$F$28:$AS$28,"&gt;0")*'TS1'!P$28</f>
        <v>0</v>
      </c>
      <c r="V373" s="377">
        <f>$I$373/COUNTIF('TS1'!$F$28:$AS$28,"&gt;0")*'TS1'!Q$28</f>
        <v>0</v>
      </c>
      <c r="W373" s="377">
        <f>$I$373/COUNTIF('TS1'!$F$28:$AS$28,"&gt;0")*'TS1'!R$28</f>
        <v>0</v>
      </c>
      <c r="X373" s="377">
        <f>$I$373/COUNTIF('TS1'!$F$28:$AS$28,"&gt;0")*'TS1'!S$28</f>
        <v>-6989073.076923077</v>
      </c>
      <c r="Y373" s="377">
        <f>$I$373/COUNTIF('TS1'!$F$28:$AS$28,"&gt;0")*'TS1'!T$28</f>
        <v>-6989073.076923077</v>
      </c>
      <c r="Z373" s="377">
        <f>$I$373/COUNTIF('TS1'!$F$28:$AS$28,"&gt;0")*'TS1'!U$28</f>
        <v>-6989073.076923077</v>
      </c>
      <c r="AA373" s="377">
        <f>$I$373/COUNTIF('TS1'!$F$28:$AS$28,"&gt;0")*'TS1'!V$28</f>
        <v>-6989073.076923077</v>
      </c>
      <c r="AB373" s="377">
        <f>$I$373/COUNTIF('TS1'!$F$28:$AS$28,"&gt;0")*'TS1'!W$28</f>
        <v>-6989073.076923077</v>
      </c>
      <c r="AC373" s="377">
        <f>$I$373/COUNTIF('TS1'!$F$28:$AS$28,"&gt;0")*'TS1'!X$28</f>
        <v>-6989073.076923077</v>
      </c>
      <c r="AD373" s="377">
        <f>$I$373/COUNTIF('TS1'!$F$28:$AS$28,"&gt;0")*'TS1'!Y$28</f>
        <v>-6989073.076923077</v>
      </c>
      <c r="AE373" s="377">
        <f>$I$373/COUNTIF('TS1'!$F$28:$AS$28,"&gt;0")*'TS1'!Z$28</f>
        <v>-6989073.076923077</v>
      </c>
      <c r="AF373" s="377">
        <f>$I$373/COUNTIF('TS1'!$F$28:$AS$28,"&gt;0")*'TS1'!AA$28</f>
        <v>-6989073.076923077</v>
      </c>
      <c r="AG373" s="377">
        <f>$I$373/COUNTIF('TS1'!$F$28:$AS$28,"&gt;0")*'TS1'!AB$28</f>
        <v>-6989073.076923077</v>
      </c>
      <c r="AH373" s="377">
        <f>$I$373/COUNTIF('TS1'!$F$28:$AS$28,"&gt;0")*'TS1'!AC$28</f>
        <v>-6989073.076923077</v>
      </c>
      <c r="AI373" s="377">
        <f>$I$373/COUNTIF('TS1'!$F$28:$AS$28,"&gt;0")*'TS1'!AD$28</f>
        <v>-6989073.076923077</v>
      </c>
      <c r="AJ373" s="377">
        <f>$I$373/COUNTIF('TS1'!$F$28:$AS$28,"&gt;0")*'TS1'!AE$28</f>
        <v>-6989073.076923077</v>
      </c>
      <c r="AK373" s="377">
        <f>$I$373/COUNTIF('TS1'!$F$28:$AS$28,"&gt;0")*'TS1'!AF$28</f>
        <v>0</v>
      </c>
      <c r="AL373" s="377">
        <f>$I$373/COUNTIF('TS1'!$F$28:$AS$28,"&gt;0")*'TS1'!AG$28</f>
        <v>0</v>
      </c>
      <c r="AM373" s="377">
        <f>$I$373/COUNTIF('TS1'!$F$28:$AS$28,"&gt;0")*'TS1'!AH$28</f>
        <v>0</v>
      </c>
      <c r="AN373" s="377">
        <f>$I$373/COUNTIF('TS1'!$F$28:$AS$28,"&gt;0")*'TS1'!AI$28</f>
        <v>0</v>
      </c>
      <c r="AO373" s="377">
        <f>$I$373/COUNTIF('TS1'!$F$28:$AS$28,"&gt;0")*'TS1'!AJ$28</f>
        <v>0</v>
      </c>
      <c r="AP373" s="377">
        <f>$I$373/COUNTIF('TS1'!$F$28:$AS$28,"&gt;0")*'TS1'!AK$28</f>
        <v>0</v>
      </c>
      <c r="AQ373" s="377">
        <f>$I$373/COUNTIF('TS1'!$F$28:$AS$28,"&gt;0")*'TS1'!AL$28</f>
        <v>0</v>
      </c>
      <c r="AR373" s="377">
        <f>$I$373/COUNTIF('TS1'!$F$28:$AS$28,"&gt;0")*'TS1'!AM$28</f>
        <v>0</v>
      </c>
      <c r="AS373" s="377">
        <f>$I$373/COUNTIF('TS1'!$F$28:$AS$28,"&gt;0")*'TS1'!AN$28</f>
        <v>0</v>
      </c>
      <c r="AT373" s="377">
        <f>$I$373/COUNTIF('TS1'!$F$28:$AS$28,"&gt;0")*'TS1'!AO$28</f>
        <v>0</v>
      </c>
      <c r="AU373" s="377">
        <f>$I$373/COUNTIF('TS1'!$F$28:$AS$28,"&gt;0")*'TS1'!AP$28</f>
        <v>0</v>
      </c>
      <c r="AV373" s="377">
        <f>$I$373/COUNTIF('TS1'!$F$28:$AS$28,"&gt;0")*'TS1'!AQ$28</f>
        <v>0</v>
      </c>
      <c r="AW373" s="377">
        <f>$I$373/COUNTIF('TS1'!$F$28:$AS$28,"&gt;0")*'TS1'!AR$28</f>
        <v>0</v>
      </c>
      <c r="AX373" s="377">
        <f>$I$373/COUNTIF('TS1'!$F$28:$AS$28,"&gt;0")*'TS1'!AS$28</f>
        <v>0</v>
      </c>
      <c r="AY373" s="377">
        <f>$I$373/COUNTIF('TS1'!$F$28:$AS$28,"&gt;0")*'TS1'!AT$28</f>
        <v>0</v>
      </c>
      <c r="AZ373" s="377">
        <f>$I$373/COUNTIF('TS1'!$F$28:$AS$28,"&gt;0")*'TS1'!AU$28</f>
        <v>0</v>
      </c>
      <c r="BA373" s="377">
        <f>$I$373/COUNTIF('TS1'!$F$28:$AS$28,"&gt;0")*'TS1'!AV$28</f>
        <v>0</v>
      </c>
      <c r="BB373" s="377">
        <f>$I$373/COUNTIF('TS1'!$F$28:$AS$28,"&gt;0")*'TS1'!AW$28</f>
        <v>0</v>
      </c>
      <c r="BC373" s="377">
        <f>$I$373/COUNTIF('TS1'!$F$28:$AS$28,"&gt;0")*'TS1'!AX$28</f>
        <v>0</v>
      </c>
      <c r="BD373" s="377">
        <f>$I$373/COUNTIF('TS1'!$F$28:$AS$28,"&gt;0")*'TS1'!AY$28</f>
        <v>0</v>
      </c>
      <c r="BE373" s="377">
        <f>$I$373/COUNTIF('TS1'!$F$28:$AS$28,"&gt;0")*'TS1'!AZ$28</f>
        <v>0</v>
      </c>
      <c r="BF373" s="377">
        <f>$I$373/COUNTIF('TS1'!$F$28:$AS$28,"&gt;0")*'TS1'!BA$28</f>
        <v>0</v>
      </c>
      <c r="BG373" s="377">
        <f>$I$373/COUNTIF('TS1'!$F$28:$AS$28,"&gt;0")*'TS1'!BB$28</f>
        <v>0</v>
      </c>
      <c r="BH373" s="377">
        <f>$I$373/COUNTIF('TS1'!$F$28:$AS$28,"&gt;0")*'TS1'!BC$28</f>
        <v>0</v>
      </c>
      <c r="BI373" s="377">
        <f>$I$373/COUNTIF('TS1'!$F$28:$AS$28,"&gt;0")*'TS1'!BD$28</f>
        <v>0</v>
      </c>
      <c r="BJ373" s="377">
        <f>$I$373/COUNTIF('TS1'!$F$28:$AS$28,"&gt;0")*'TS1'!BE$28</f>
        <v>0</v>
      </c>
      <c r="BK373" s="377">
        <f>$I$373/COUNTIF('TS1'!$F$28:$AS$28,"&gt;0")*'TS1'!BF$28</f>
        <v>0</v>
      </c>
      <c r="BL373" s="377">
        <f>$I$373/COUNTIF('TS1'!$F$28:$AS$28,"&gt;0")*'TS1'!BG$28</f>
        <v>0</v>
      </c>
      <c r="BM373" s="377">
        <f>$I$373/COUNTIF('TS1'!$F$28:$AS$28,"&gt;0")*'TS1'!BH$28</f>
        <v>0</v>
      </c>
      <c r="BN373" s="377">
        <f>$I$373/COUNTIF('TS1'!$F$28:$AS$28,"&gt;0")*'TS1'!BI$28</f>
        <v>0</v>
      </c>
      <c r="BO373" s="377">
        <f>$I$373/COUNTIF('TS1'!$F$28:$AS$28,"&gt;0")*'TS1'!BJ$28</f>
        <v>0</v>
      </c>
      <c r="BP373" s="377">
        <f>$I$373/COUNTIF('TS1'!$F$28:$AS$28,"&gt;0")*'TS1'!BK$28</f>
        <v>0</v>
      </c>
      <c r="BQ373" s="377">
        <f>$I$373/COUNTIF('TS1'!$F$28:$AS$28,"&gt;0")*'TS1'!BL$28</f>
        <v>0</v>
      </c>
      <c r="BR373" s="377">
        <f>$I$373/COUNTIF('TS1'!$F$28:$AS$28,"&gt;0")*'TS1'!BM$28</f>
        <v>0</v>
      </c>
    </row>
    <row r="374" spans="1:70" outlineLevel="1">
      <c r="A374" s="374">
        <f t="shared" si="89"/>
        <v>0</v>
      </c>
      <c r="B374" s="359"/>
      <c r="C374" s="359"/>
      <c r="D374" s="360"/>
      <c r="E374" s="360"/>
      <c r="F374" s="373"/>
      <c r="G374" s="360"/>
      <c r="H374" s="377"/>
      <c r="I374" s="537"/>
      <c r="J374" s="546"/>
      <c r="K374" s="383"/>
      <c r="L374" s="383"/>
      <c r="M374" s="383"/>
      <c r="N374" s="383"/>
      <c r="O374" s="383"/>
      <c r="P374" s="383"/>
      <c r="Q374" s="383"/>
      <c r="R374" s="383"/>
      <c r="S374" s="377"/>
      <c r="T374" s="377"/>
      <c r="U374" s="377"/>
      <c r="V374" s="377"/>
      <c r="W374" s="377"/>
      <c r="X374" s="377"/>
      <c r="Y374" s="377"/>
      <c r="Z374" s="377"/>
      <c r="AA374" s="377"/>
      <c r="AB374" s="377"/>
      <c r="AC374" s="377"/>
      <c r="AD374" s="377"/>
      <c r="AE374" s="377"/>
      <c r="AF374" s="377"/>
      <c r="AG374" s="377"/>
      <c r="AH374" s="377"/>
      <c r="AI374" s="377"/>
      <c r="AJ374" s="377"/>
      <c r="AK374" s="377"/>
      <c r="AL374" s="377"/>
      <c r="AM374" s="377"/>
      <c r="AN374" s="377"/>
      <c r="AO374" s="377"/>
      <c r="AP374" s="377"/>
      <c r="AQ374" s="377"/>
      <c r="AR374" s="377"/>
      <c r="AS374" s="377"/>
      <c r="AT374" s="377"/>
      <c r="AU374" s="377"/>
      <c r="AV374" s="377"/>
      <c r="AW374" s="377"/>
      <c r="AX374" s="377"/>
      <c r="AY374" s="377"/>
      <c r="AZ374" s="377"/>
      <c r="BA374" s="377"/>
      <c r="BB374" s="377"/>
      <c r="BC374" s="377"/>
      <c r="BD374" s="377"/>
      <c r="BE374" s="377"/>
      <c r="BF374" s="377"/>
      <c r="BG374" s="377"/>
      <c r="BH374" s="377"/>
      <c r="BI374" s="377"/>
      <c r="BJ374" s="377"/>
      <c r="BK374" s="377"/>
      <c r="BL374" s="377"/>
      <c r="BM374" s="377"/>
      <c r="BN374" s="377"/>
      <c r="BO374" s="377"/>
      <c r="BP374" s="377"/>
      <c r="BQ374" s="377"/>
      <c r="BR374" s="377"/>
    </row>
    <row r="375" spans="1:70" outlineLevel="1">
      <c r="A375" s="374">
        <f t="shared" si="89"/>
        <v>0</v>
      </c>
      <c r="B375" s="359">
        <v>5701</v>
      </c>
      <c r="C375" s="359">
        <v>1</v>
      </c>
      <c r="D375" s="360" t="s">
        <v>943</v>
      </c>
      <c r="E375" s="360" t="s">
        <v>492</v>
      </c>
      <c r="F375" s="373" t="s">
        <v>454</v>
      </c>
      <c r="G375" s="360"/>
      <c r="H375" s="377"/>
      <c r="I375" s="537">
        <v>-10000000</v>
      </c>
      <c r="J375" s="546"/>
      <c r="K375" s="383"/>
      <c r="L375" s="383"/>
      <c r="M375" s="383"/>
      <c r="N375" s="383"/>
      <c r="O375" s="383"/>
      <c r="P375" s="383"/>
      <c r="Q375" s="383"/>
      <c r="R375" s="383"/>
      <c r="S375" s="377">
        <v>0</v>
      </c>
      <c r="T375" s="377">
        <v>0</v>
      </c>
      <c r="U375" s="377">
        <v>-10000000</v>
      </c>
      <c r="V375" s="377">
        <v>0</v>
      </c>
      <c r="W375" s="377"/>
      <c r="X375" s="377"/>
      <c r="Y375" s="377"/>
      <c r="Z375" s="377"/>
      <c r="AA375" s="377"/>
      <c r="AB375" s="377"/>
      <c r="AC375" s="377"/>
      <c r="AD375" s="377"/>
      <c r="AE375" s="377"/>
      <c r="AF375" s="377"/>
      <c r="AG375" s="377"/>
      <c r="AH375" s="377"/>
      <c r="AI375" s="377"/>
      <c r="AJ375" s="377"/>
      <c r="AK375" s="377"/>
      <c r="AL375" s="377"/>
      <c r="AM375" s="377"/>
      <c r="AN375" s="377"/>
      <c r="AO375" s="377"/>
      <c r="AP375" s="377"/>
      <c r="AQ375" s="377"/>
      <c r="AR375" s="377"/>
      <c r="AS375" s="377"/>
      <c r="AT375" s="377"/>
      <c r="AU375" s="377"/>
      <c r="AV375" s="377"/>
      <c r="AW375" s="377"/>
      <c r="AX375" s="377"/>
      <c r="AY375" s="377"/>
      <c r="AZ375" s="377"/>
      <c r="BA375" s="377"/>
      <c r="BB375" s="377"/>
      <c r="BC375" s="377"/>
      <c r="BD375" s="377"/>
      <c r="BE375" s="377"/>
      <c r="BF375" s="377"/>
      <c r="BG375" s="377"/>
      <c r="BH375" s="377"/>
      <c r="BI375" s="377"/>
      <c r="BJ375" s="377"/>
      <c r="BK375" s="377"/>
      <c r="BL375" s="377"/>
      <c r="BM375" s="377"/>
      <c r="BN375" s="377"/>
      <c r="BO375" s="377"/>
      <c r="BP375" s="377"/>
      <c r="BQ375" s="377"/>
      <c r="BR375" s="377"/>
    </row>
    <row r="376" spans="1:70" outlineLevel="1">
      <c r="A376" s="374">
        <f t="shared" si="89"/>
        <v>0</v>
      </c>
      <c r="B376" s="359">
        <v>5701</v>
      </c>
      <c r="C376" s="359">
        <v>1</v>
      </c>
      <c r="D376" s="360" t="s">
        <v>944</v>
      </c>
      <c r="E376" s="360" t="s">
        <v>492</v>
      </c>
      <c r="F376" s="373" t="s">
        <v>454</v>
      </c>
      <c r="G376" s="360"/>
      <c r="H376" s="377"/>
      <c r="I376" s="537">
        <v>-3000000</v>
      </c>
      <c r="J376" s="546"/>
      <c r="K376" s="383"/>
      <c r="L376" s="383"/>
      <c r="M376" s="383"/>
      <c r="N376" s="383"/>
      <c r="O376" s="383"/>
      <c r="P376" s="383"/>
      <c r="Q376" s="383"/>
      <c r="R376" s="383"/>
      <c r="S376" s="377">
        <v>0</v>
      </c>
      <c r="T376" s="377">
        <v>0</v>
      </c>
      <c r="U376" s="377">
        <v>0</v>
      </c>
      <c r="V376" s="377">
        <v>-3000000</v>
      </c>
      <c r="W376" s="377"/>
      <c r="X376" s="377"/>
      <c r="Y376" s="377"/>
      <c r="Z376" s="377"/>
      <c r="AA376" s="377"/>
      <c r="AB376" s="377"/>
      <c r="AC376" s="377"/>
      <c r="AD376" s="377"/>
      <c r="AE376" s="377"/>
      <c r="AF376" s="377"/>
      <c r="AG376" s="377"/>
      <c r="AH376" s="377"/>
      <c r="AI376" s="377"/>
      <c r="AJ376" s="377"/>
      <c r="AK376" s="377"/>
      <c r="AL376" s="377"/>
      <c r="AM376" s="377"/>
      <c r="AN376" s="377"/>
      <c r="AO376" s="377"/>
      <c r="AP376" s="377"/>
      <c r="AQ376" s="377"/>
      <c r="AR376" s="377"/>
      <c r="AS376" s="377"/>
      <c r="AT376" s="377"/>
      <c r="AU376" s="377"/>
      <c r="AV376" s="377"/>
      <c r="AW376" s="377"/>
      <c r="AX376" s="377"/>
      <c r="AY376" s="377"/>
      <c r="AZ376" s="377"/>
      <c r="BA376" s="377"/>
      <c r="BB376" s="377"/>
      <c r="BC376" s="377"/>
      <c r="BD376" s="377"/>
      <c r="BE376" s="377"/>
      <c r="BF376" s="377"/>
      <c r="BG376" s="377"/>
      <c r="BH376" s="377"/>
      <c r="BI376" s="377"/>
      <c r="BJ376" s="377"/>
      <c r="BK376" s="377"/>
      <c r="BL376" s="377"/>
      <c r="BM376" s="377"/>
      <c r="BN376" s="377"/>
      <c r="BO376" s="377"/>
      <c r="BP376" s="377"/>
      <c r="BQ376" s="377"/>
      <c r="BR376" s="377"/>
    </row>
    <row r="377" spans="1:70" outlineLevel="1">
      <c r="A377" s="374">
        <f t="shared" si="89"/>
        <v>0</v>
      </c>
      <c r="B377" s="359">
        <v>5701</v>
      </c>
      <c r="C377" s="359">
        <v>1</v>
      </c>
      <c r="D377" s="360" t="s">
        <v>945</v>
      </c>
      <c r="E377" s="360" t="s">
        <v>492</v>
      </c>
      <c r="F377" s="373" t="s">
        <v>454</v>
      </c>
      <c r="G377" s="360"/>
      <c r="H377" s="377"/>
      <c r="I377" s="537">
        <f>SUM(K377:BR377)</f>
        <v>-180000000</v>
      </c>
      <c r="J377" s="546"/>
      <c r="K377" s="383"/>
      <c r="L377" s="383"/>
      <c r="M377" s="383"/>
      <c r="N377" s="383"/>
      <c r="O377" s="383"/>
      <c r="P377" s="383"/>
      <c r="Q377" s="383"/>
      <c r="R377" s="383"/>
      <c r="S377" s="377"/>
      <c r="T377" s="377"/>
      <c r="U377" s="377"/>
      <c r="V377" s="377">
        <f t="shared" ref="V377:W377" si="174">-4000000*3</f>
        <v>-12000000</v>
      </c>
      <c r="W377" s="377">
        <f t="shared" si="174"/>
        <v>-12000000</v>
      </c>
      <c r="X377" s="377">
        <f>-4000000*3</f>
        <v>-12000000</v>
      </c>
      <c r="Y377" s="377">
        <f t="shared" ref="Y377:AJ377" si="175">-4000000*3</f>
        <v>-12000000</v>
      </c>
      <c r="Z377" s="377">
        <f t="shared" si="175"/>
        <v>-12000000</v>
      </c>
      <c r="AA377" s="377">
        <f t="shared" si="175"/>
        <v>-12000000</v>
      </c>
      <c r="AB377" s="377">
        <f t="shared" si="175"/>
        <v>-12000000</v>
      </c>
      <c r="AC377" s="377">
        <f t="shared" si="175"/>
        <v>-12000000</v>
      </c>
      <c r="AD377" s="377">
        <f t="shared" si="175"/>
        <v>-12000000</v>
      </c>
      <c r="AE377" s="377">
        <f t="shared" si="175"/>
        <v>-12000000</v>
      </c>
      <c r="AF377" s="377">
        <f t="shared" si="175"/>
        <v>-12000000</v>
      </c>
      <c r="AG377" s="377">
        <f t="shared" si="175"/>
        <v>-12000000</v>
      </c>
      <c r="AH377" s="377">
        <f t="shared" si="175"/>
        <v>-12000000</v>
      </c>
      <c r="AI377" s="377">
        <f t="shared" si="175"/>
        <v>-12000000</v>
      </c>
      <c r="AJ377" s="377">
        <f t="shared" si="175"/>
        <v>-12000000</v>
      </c>
      <c r="AK377" s="377"/>
      <c r="AL377" s="377"/>
      <c r="AM377" s="377"/>
      <c r="AN377" s="377"/>
      <c r="AO377" s="377"/>
      <c r="AP377" s="377"/>
      <c r="AQ377" s="377"/>
      <c r="AR377" s="377"/>
      <c r="AS377" s="377"/>
      <c r="AT377" s="377"/>
      <c r="AU377" s="377"/>
      <c r="AV377" s="377"/>
      <c r="AW377" s="377"/>
      <c r="AX377" s="377"/>
      <c r="AY377" s="377"/>
      <c r="AZ377" s="377"/>
      <c r="BA377" s="377"/>
      <c r="BB377" s="377"/>
      <c r="BC377" s="377"/>
      <c r="BD377" s="377"/>
      <c r="BE377" s="377"/>
      <c r="BF377" s="377"/>
      <c r="BG377" s="377"/>
      <c r="BH377" s="377"/>
      <c r="BI377" s="377"/>
      <c r="BJ377" s="377"/>
      <c r="BK377" s="377"/>
      <c r="BL377" s="377"/>
      <c r="BM377" s="377"/>
      <c r="BN377" s="377"/>
      <c r="BO377" s="377"/>
      <c r="BP377" s="377"/>
      <c r="BQ377" s="377"/>
      <c r="BR377" s="377"/>
    </row>
    <row r="378" spans="1:70" outlineLevel="1">
      <c r="A378" s="374">
        <f t="shared" si="89"/>
        <v>0</v>
      </c>
      <c r="B378" s="359"/>
      <c r="C378" s="359"/>
      <c r="D378" s="360"/>
      <c r="E378" s="360"/>
      <c r="F378" s="373"/>
      <c r="G378" s="360"/>
      <c r="H378" s="377"/>
      <c r="I378" s="537"/>
      <c r="J378" s="546"/>
      <c r="K378" s="383"/>
      <c r="L378" s="383"/>
      <c r="M378" s="383"/>
      <c r="N378" s="383"/>
      <c r="O378" s="383"/>
      <c r="P378" s="383"/>
      <c r="Q378" s="383"/>
      <c r="R378" s="383"/>
      <c r="S378" s="377"/>
      <c r="T378" s="377"/>
      <c r="U378" s="377"/>
      <c r="V378" s="377"/>
      <c r="W378" s="377"/>
      <c r="X378" s="377"/>
      <c r="Y378" s="377"/>
      <c r="Z378" s="377"/>
      <c r="AA378" s="377"/>
      <c r="AB378" s="377"/>
      <c r="AC378" s="377"/>
      <c r="AD378" s="377"/>
      <c r="AE378" s="377"/>
      <c r="AF378" s="377"/>
      <c r="AG378" s="377"/>
      <c r="AH378" s="377"/>
      <c r="AI378" s="377"/>
      <c r="AJ378" s="377"/>
      <c r="AK378" s="377"/>
      <c r="AL378" s="377"/>
      <c r="AM378" s="377"/>
      <c r="AN378" s="377"/>
      <c r="AO378" s="377"/>
      <c r="AP378" s="377"/>
      <c r="AQ378" s="377"/>
      <c r="AR378" s="377"/>
      <c r="AS378" s="377"/>
      <c r="AT378" s="377"/>
      <c r="AU378" s="377"/>
      <c r="AV378" s="377"/>
      <c r="AW378" s="377"/>
      <c r="AX378" s="377"/>
      <c r="AY378" s="377"/>
      <c r="AZ378" s="377"/>
      <c r="BA378" s="377"/>
      <c r="BB378" s="377"/>
      <c r="BC378" s="377"/>
      <c r="BD378" s="377"/>
      <c r="BE378" s="377"/>
      <c r="BF378" s="377"/>
      <c r="BG378" s="377"/>
      <c r="BH378" s="377"/>
      <c r="BI378" s="377"/>
      <c r="BJ378" s="377"/>
      <c r="BK378" s="377"/>
      <c r="BL378" s="377"/>
      <c r="BM378" s="377"/>
      <c r="BN378" s="377"/>
      <c r="BO378" s="377"/>
      <c r="BP378" s="377"/>
      <c r="BQ378" s="377"/>
      <c r="BR378" s="377"/>
    </row>
    <row r="379" spans="1:70" outlineLevel="1">
      <c r="A379" s="374">
        <f t="shared" si="89"/>
        <v>0</v>
      </c>
      <c r="B379" s="359"/>
      <c r="C379" s="359"/>
      <c r="D379" s="360"/>
      <c r="E379" s="360"/>
      <c r="F379" s="373"/>
      <c r="G379" s="360"/>
      <c r="H379" s="377"/>
      <c r="I379" s="537"/>
      <c r="J379" s="546"/>
      <c r="K379" s="383"/>
      <c r="L379" s="383"/>
      <c r="M379" s="383"/>
      <c r="N379" s="383"/>
      <c r="O379" s="383"/>
      <c r="P379" s="383"/>
      <c r="Q379" s="383"/>
      <c r="R379" s="383"/>
      <c r="S379" s="377"/>
      <c r="T379" s="377"/>
      <c r="U379" s="377"/>
      <c r="V379" s="377"/>
      <c r="W379" s="377"/>
      <c r="X379" s="377"/>
      <c r="Y379" s="377"/>
      <c r="Z379" s="377"/>
      <c r="AA379" s="377"/>
      <c r="AB379" s="377"/>
      <c r="AC379" s="377"/>
      <c r="AD379" s="377"/>
      <c r="AE379" s="377"/>
      <c r="AF379" s="377"/>
      <c r="AG379" s="377"/>
      <c r="AH379" s="377"/>
      <c r="AI379" s="377"/>
      <c r="AJ379" s="377"/>
      <c r="AK379" s="377"/>
      <c r="AL379" s="377"/>
      <c r="AM379" s="377"/>
      <c r="AN379" s="377"/>
      <c r="AO379" s="377"/>
      <c r="AP379" s="377"/>
      <c r="AQ379" s="377"/>
      <c r="AR379" s="377"/>
      <c r="AS379" s="377"/>
      <c r="AT379" s="377"/>
      <c r="AU379" s="377"/>
      <c r="AV379" s="377"/>
      <c r="AW379" s="377"/>
      <c r="AX379" s="377"/>
      <c r="AY379" s="377"/>
      <c r="AZ379" s="377"/>
      <c r="BA379" s="377"/>
      <c r="BB379" s="377"/>
      <c r="BC379" s="377"/>
      <c r="BD379" s="377"/>
      <c r="BE379" s="377"/>
      <c r="BF379" s="377"/>
      <c r="BG379" s="377"/>
      <c r="BH379" s="377"/>
      <c r="BI379" s="377"/>
      <c r="BJ379" s="377"/>
      <c r="BK379" s="377"/>
      <c r="BL379" s="377"/>
      <c r="BM379" s="377"/>
      <c r="BN379" s="377"/>
      <c r="BO379" s="377"/>
      <c r="BP379" s="377"/>
      <c r="BQ379" s="377"/>
      <c r="BR379" s="377"/>
    </row>
    <row r="380" spans="1:70" outlineLevel="1">
      <c r="A380" s="374">
        <f t="shared" si="89"/>
        <v>0</v>
      </c>
      <c r="B380" s="359"/>
      <c r="C380" s="359"/>
      <c r="D380" s="360"/>
      <c r="E380" s="360"/>
      <c r="F380" s="373"/>
      <c r="G380" s="360"/>
      <c r="H380" s="377"/>
      <c r="I380" s="537"/>
      <c r="J380" s="546"/>
      <c r="K380" s="383"/>
      <c r="L380" s="383"/>
      <c r="M380" s="383"/>
      <c r="N380" s="383"/>
      <c r="O380" s="383"/>
      <c r="P380" s="383"/>
      <c r="Q380" s="383"/>
      <c r="R380" s="383"/>
      <c r="S380" s="377"/>
      <c r="T380" s="377"/>
      <c r="U380" s="377"/>
      <c r="V380" s="377"/>
      <c r="W380" s="377"/>
      <c r="X380" s="377"/>
      <c r="Y380" s="377"/>
      <c r="Z380" s="377"/>
      <c r="AA380" s="377"/>
      <c r="AB380" s="377"/>
      <c r="AC380" s="377"/>
      <c r="AD380" s="377"/>
      <c r="AE380" s="377"/>
      <c r="AF380" s="377"/>
      <c r="AG380" s="377"/>
      <c r="AH380" s="377"/>
      <c r="AI380" s="377"/>
      <c r="AJ380" s="377"/>
      <c r="AK380" s="377"/>
      <c r="AL380" s="377"/>
      <c r="AM380" s="377"/>
      <c r="AN380" s="377"/>
      <c r="AO380" s="377"/>
      <c r="AP380" s="377"/>
      <c r="AQ380" s="377"/>
      <c r="AR380" s="377"/>
      <c r="AS380" s="377"/>
      <c r="AT380" s="377"/>
      <c r="AU380" s="377"/>
      <c r="AV380" s="377"/>
      <c r="AW380" s="377"/>
      <c r="AX380" s="377"/>
      <c r="AY380" s="377"/>
      <c r="AZ380" s="377"/>
      <c r="BA380" s="377"/>
      <c r="BB380" s="377"/>
      <c r="BC380" s="377"/>
      <c r="BD380" s="377"/>
      <c r="BE380" s="377"/>
      <c r="BF380" s="377"/>
      <c r="BG380" s="377"/>
      <c r="BH380" s="377"/>
      <c r="BI380" s="377"/>
      <c r="BJ380" s="377"/>
      <c r="BK380" s="377"/>
      <c r="BL380" s="377"/>
      <c r="BM380" s="377"/>
      <c r="BN380" s="377"/>
      <c r="BO380" s="377"/>
      <c r="BP380" s="377"/>
      <c r="BQ380" s="377"/>
      <c r="BR380" s="377"/>
    </row>
    <row r="381" spans="1:70" outlineLevel="1">
      <c r="A381" s="374">
        <f t="shared" si="89"/>
        <v>0</v>
      </c>
      <c r="B381" s="359"/>
      <c r="C381" s="359"/>
      <c r="D381" s="360"/>
      <c r="E381" s="360"/>
      <c r="F381" s="373"/>
      <c r="G381" s="360"/>
      <c r="H381" s="377"/>
      <c r="I381" s="537"/>
      <c r="J381" s="546"/>
      <c r="K381" s="383"/>
      <c r="L381" s="383"/>
      <c r="M381" s="383"/>
      <c r="N381" s="383"/>
      <c r="O381" s="383"/>
      <c r="P381" s="383"/>
      <c r="Q381" s="383"/>
      <c r="R381" s="383"/>
      <c r="S381" s="377"/>
      <c r="T381" s="377"/>
      <c r="U381" s="377"/>
      <c r="V381" s="377"/>
      <c r="W381" s="377"/>
      <c r="X381" s="377"/>
      <c r="Y381" s="377"/>
      <c r="Z381" s="377"/>
      <c r="AA381" s="377"/>
      <c r="AB381" s="377"/>
      <c r="AC381" s="377"/>
      <c r="AD381" s="377"/>
      <c r="AE381" s="377"/>
      <c r="AF381" s="377"/>
      <c r="AG381" s="377"/>
      <c r="AH381" s="377"/>
      <c r="AI381" s="377"/>
      <c r="AJ381" s="377"/>
      <c r="AK381" s="377"/>
      <c r="AL381" s="377"/>
      <c r="AM381" s="377"/>
      <c r="AN381" s="377"/>
      <c r="AO381" s="377"/>
      <c r="AP381" s="377"/>
      <c r="AQ381" s="377"/>
      <c r="AR381" s="377"/>
      <c r="AS381" s="377"/>
      <c r="AT381" s="377"/>
      <c r="AU381" s="377"/>
      <c r="AV381" s="377"/>
      <c r="AW381" s="377"/>
      <c r="AX381" s="377"/>
      <c r="AY381" s="377"/>
      <c r="AZ381" s="377"/>
      <c r="BA381" s="377"/>
      <c r="BB381" s="377"/>
      <c r="BC381" s="377"/>
      <c r="BD381" s="377"/>
      <c r="BE381" s="377"/>
      <c r="BF381" s="377"/>
      <c r="BG381" s="377"/>
      <c r="BH381" s="377"/>
      <c r="BI381" s="377"/>
      <c r="BJ381" s="377"/>
      <c r="BK381" s="377"/>
      <c r="BL381" s="377"/>
      <c r="BM381" s="377"/>
      <c r="BN381" s="377"/>
      <c r="BO381" s="377"/>
      <c r="BP381" s="377"/>
      <c r="BQ381" s="377"/>
      <c r="BR381" s="377"/>
    </row>
    <row r="382" spans="1:70" outlineLevel="1">
      <c r="A382" s="374">
        <f t="shared" si="89"/>
        <v>0</v>
      </c>
      <c r="B382" s="359"/>
      <c r="C382" s="359"/>
      <c r="D382" s="360"/>
      <c r="E382" s="360"/>
      <c r="F382" s="373"/>
      <c r="G382" s="360"/>
      <c r="H382" s="377"/>
      <c r="I382" s="537"/>
      <c r="J382" s="546"/>
      <c r="K382" s="383"/>
      <c r="L382" s="383"/>
      <c r="M382" s="383"/>
      <c r="N382" s="383"/>
      <c r="O382" s="383"/>
      <c r="P382" s="383"/>
      <c r="Q382" s="383"/>
      <c r="R382" s="383"/>
      <c r="S382" s="377"/>
      <c r="T382" s="377"/>
      <c r="U382" s="377"/>
      <c r="V382" s="377"/>
      <c r="W382" s="377"/>
      <c r="X382" s="377"/>
      <c r="Y382" s="377"/>
      <c r="Z382" s="377"/>
      <c r="AA382" s="377"/>
      <c r="AB382" s="377"/>
      <c r="AC382" s="377"/>
      <c r="AD382" s="377"/>
      <c r="AE382" s="377"/>
      <c r="AF382" s="377"/>
      <c r="AG382" s="377"/>
      <c r="AH382" s="377"/>
      <c r="AI382" s="377"/>
      <c r="AJ382" s="377"/>
      <c r="AK382" s="377"/>
      <c r="AL382" s="377"/>
      <c r="AM382" s="377"/>
      <c r="AN382" s="377"/>
      <c r="AO382" s="377"/>
      <c r="AP382" s="377"/>
      <c r="AQ382" s="377"/>
      <c r="AR382" s="377"/>
      <c r="AS382" s="377"/>
      <c r="AT382" s="377"/>
      <c r="AU382" s="377"/>
      <c r="AV382" s="377"/>
      <c r="AW382" s="377"/>
      <c r="AX382" s="377"/>
      <c r="AY382" s="377"/>
      <c r="AZ382" s="377"/>
      <c r="BA382" s="377"/>
      <c r="BB382" s="377"/>
      <c r="BC382" s="377"/>
      <c r="BD382" s="377"/>
      <c r="BE382" s="377"/>
      <c r="BF382" s="377"/>
      <c r="BG382" s="377"/>
      <c r="BH382" s="377"/>
      <c r="BI382" s="377"/>
      <c r="BJ382" s="377"/>
      <c r="BK382" s="377"/>
      <c r="BL382" s="377"/>
      <c r="BM382" s="377"/>
      <c r="BN382" s="377"/>
      <c r="BO382" s="377"/>
      <c r="BP382" s="377"/>
      <c r="BQ382" s="377"/>
      <c r="BR382" s="377"/>
    </row>
    <row r="383" spans="1:70" outlineLevel="1">
      <c r="A383" s="374">
        <f t="shared" si="89"/>
        <v>0</v>
      </c>
      <c r="B383" s="359"/>
      <c r="C383" s="359"/>
      <c r="D383" s="360"/>
      <c r="E383" s="360"/>
      <c r="F383" s="373"/>
      <c r="G383" s="360"/>
      <c r="H383" s="377"/>
      <c r="I383" s="537"/>
      <c r="J383" s="546"/>
      <c r="K383" s="383"/>
      <c r="L383" s="383"/>
      <c r="M383" s="383"/>
      <c r="N383" s="383"/>
      <c r="O383" s="383"/>
      <c r="P383" s="383"/>
      <c r="Q383" s="383"/>
      <c r="R383" s="383"/>
      <c r="S383" s="377"/>
      <c r="T383" s="377"/>
      <c r="U383" s="377"/>
      <c r="V383" s="377"/>
      <c r="W383" s="377"/>
      <c r="X383" s="377"/>
      <c r="Y383" s="377"/>
      <c r="Z383" s="377"/>
      <c r="AA383" s="377"/>
      <c r="AB383" s="377"/>
      <c r="AC383" s="377"/>
      <c r="AD383" s="377"/>
      <c r="AE383" s="377"/>
      <c r="AF383" s="377"/>
      <c r="AG383" s="377"/>
      <c r="AH383" s="377"/>
      <c r="AI383" s="377"/>
      <c r="AJ383" s="377"/>
      <c r="AK383" s="377"/>
      <c r="AL383" s="377"/>
      <c r="AM383" s="377"/>
      <c r="AN383" s="377"/>
      <c r="AO383" s="377"/>
      <c r="AP383" s="377"/>
      <c r="AQ383" s="377"/>
      <c r="AR383" s="377"/>
      <c r="AS383" s="377"/>
      <c r="AT383" s="377"/>
      <c r="AU383" s="377"/>
      <c r="AV383" s="377"/>
      <c r="AW383" s="377"/>
      <c r="AX383" s="377"/>
      <c r="AY383" s="377"/>
      <c r="AZ383" s="377"/>
      <c r="BA383" s="377"/>
      <c r="BB383" s="377"/>
      <c r="BC383" s="377"/>
      <c r="BD383" s="377"/>
      <c r="BE383" s="377"/>
      <c r="BF383" s="377"/>
      <c r="BG383" s="377"/>
      <c r="BH383" s="377"/>
      <c r="BI383" s="377"/>
      <c r="BJ383" s="377"/>
      <c r="BK383" s="377"/>
      <c r="BL383" s="377"/>
      <c r="BM383" s="377"/>
      <c r="BN383" s="377"/>
      <c r="BO383" s="377"/>
      <c r="BP383" s="377"/>
      <c r="BQ383" s="377"/>
      <c r="BR383" s="377"/>
    </row>
    <row r="384" spans="1:70" outlineLevel="1">
      <c r="A384" s="374">
        <f t="shared" si="89"/>
        <v>0</v>
      </c>
      <c r="B384" s="359">
        <v>5701</v>
      </c>
      <c r="C384" s="359">
        <v>2</v>
      </c>
      <c r="D384" s="360" t="s">
        <v>1099</v>
      </c>
      <c r="E384" s="360" t="s">
        <v>492</v>
      </c>
      <c r="F384" s="366" t="s">
        <v>448</v>
      </c>
      <c r="G384" s="360"/>
      <c r="H384" s="377"/>
      <c r="I384" s="540">
        <f>'DB2'!J40*-1000000-SUMIFS(I386:I393,$C$386:$C$393,$C$384)</f>
        <v>-48524990</v>
      </c>
      <c r="J384" s="546"/>
      <c r="K384" s="383"/>
      <c r="L384" s="383"/>
      <c r="M384" s="383"/>
      <c r="N384" s="383"/>
      <c r="O384" s="383"/>
      <c r="P384" s="383"/>
      <c r="Q384" s="383"/>
      <c r="R384" s="383"/>
      <c r="S384" s="377">
        <f>$I$384/COUNTIF('TS2'!$F$28:$AS$28,"&gt;0")*'TS2'!N$28</f>
        <v>0</v>
      </c>
      <c r="T384" s="377">
        <f>$I$384/COUNTIF('TS2'!$F$28:$AS$28,"&gt;0")*'TS2'!O$28</f>
        <v>0</v>
      </c>
      <c r="U384" s="377">
        <f>$I$384/COUNTIF('TS2'!$F$28:$AS$28,"&gt;0")*'TS2'!P$28</f>
        <v>0</v>
      </c>
      <c r="V384" s="377">
        <f>$I$384/COUNTIF('TS2'!$F$28:$AS$28,"&gt;0")*'TS2'!Q$28</f>
        <v>0</v>
      </c>
      <c r="W384" s="377">
        <f>$I$384/COUNTIF('TS2'!$F$28:$AS$28,"&gt;0")*'TS2'!R$28</f>
        <v>0</v>
      </c>
      <c r="X384" s="377">
        <f>$I$384/COUNTIF('TS2'!$F$28:$AS$28,"&gt;0")*'TS2'!S$28</f>
        <v>0</v>
      </c>
      <c r="Y384" s="377">
        <f>$I$384/COUNTIF('TS2'!$F$28:$AS$28,"&gt;0")*'TS2'!T$28</f>
        <v>0</v>
      </c>
      <c r="Z384" s="377">
        <f>$I$384/COUNTIF('TS2'!$F$28:$AS$28,"&gt;0")*'TS2'!U$28</f>
        <v>0</v>
      </c>
      <c r="AA384" s="377">
        <f>$I$384/COUNTIF('TS2'!$F$28:$AS$28,"&gt;0")*'TS2'!V$28</f>
        <v>0</v>
      </c>
      <c r="AB384" s="377">
        <f>$I$384/COUNTIF('TS2'!$F$28:$AS$28,"&gt;0")*'TS2'!W$28</f>
        <v>-3732691.5384615385</v>
      </c>
      <c r="AC384" s="377">
        <f>$I$384/COUNTIF('TS2'!$F$28:$AS$28,"&gt;0")*'TS2'!X$28</f>
        <v>-3732691.5384615385</v>
      </c>
      <c r="AD384" s="377">
        <f>$I$384/COUNTIF('TS2'!$F$28:$AS$28,"&gt;0")*'TS2'!Y$28</f>
        <v>-3732691.5384615385</v>
      </c>
      <c r="AE384" s="377">
        <f>$I$384/COUNTIF('TS2'!$F$28:$AS$28,"&gt;0")*'TS2'!Z$28</f>
        <v>-3732691.5384615385</v>
      </c>
      <c r="AF384" s="377">
        <f>$I$384/COUNTIF('TS2'!$F$28:$AS$28,"&gt;0")*'TS2'!AA$28</f>
        <v>-3732691.5384615385</v>
      </c>
      <c r="AG384" s="377">
        <f>$I$384/COUNTIF('TS2'!$F$28:$AS$28,"&gt;0")*'TS2'!AB$28</f>
        <v>-3732691.5384615385</v>
      </c>
      <c r="AH384" s="377">
        <f>$I$384/COUNTIF('TS2'!$F$28:$AS$28,"&gt;0")*'TS2'!AC$28</f>
        <v>-3732691.5384615385</v>
      </c>
      <c r="AI384" s="377">
        <f>$I$384/COUNTIF('TS2'!$F$28:$AS$28,"&gt;0")*'TS2'!AD$28</f>
        <v>-3732691.5384615385</v>
      </c>
      <c r="AJ384" s="377">
        <f>$I$384/COUNTIF('TS2'!$F$28:$AS$28,"&gt;0")*'TS2'!AE$28</f>
        <v>-3732691.5384615385</v>
      </c>
      <c r="AK384" s="377">
        <f>$I$384/COUNTIF('TS2'!$F$28:$AS$28,"&gt;0")*'TS2'!AF$28</f>
        <v>-3732691.5384615385</v>
      </c>
      <c r="AL384" s="377">
        <f>$I$384/COUNTIF('TS2'!$F$28:$AS$28,"&gt;0")*'TS2'!AG$28</f>
        <v>-3732691.5384615385</v>
      </c>
      <c r="AM384" s="377">
        <f>$I$384/COUNTIF('TS2'!$F$28:$AS$28,"&gt;0")*'TS2'!AH$28</f>
        <v>-3732691.5384615385</v>
      </c>
      <c r="AN384" s="377">
        <f>$I$384/COUNTIF('TS2'!$F$28:$AS$28,"&gt;0")*'TS2'!AI$28</f>
        <v>-3732691.5384615385</v>
      </c>
      <c r="AO384" s="377">
        <f>$I$384/COUNTIF('TS2'!$F$28:$AS$28,"&gt;0")*'TS2'!AJ$28</f>
        <v>0</v>
      </c>
      <c r="AP384" s="377">
        <f>$I$384/COUNTIF('TS2'!$F$28:$AS$28,"&gt;0")*'TS2'!AK$28</f>
        <v>0</v>
      </c>
      <c r="AQ384" s="377">
        <f>$I$384/COUNTIF('TS2'!$F$28:$AS$28,"&gt;0")*'TS2'!AL$28</f>
        <v>0</v>
      </c>
      <c r="AR384" s="377">
        <f>$I$384/COUNTIF('TS2'!$F$28:$AS$28,"&gt;0")*'TS2'!AM$28</f>
        <v>0</v>
      </c>
      <c r="AS384" s="377">
        <f>$I$384/COUNTIF('TS2'!$F$28:$AS$28,"&gt;0")*'TS2'!AN$28</f>
        <v>0</v>
      </c>
      <c r="AT384" s="377">
        <f>$I$384/COUNTIF('TS2'!$F$28:$AS$28,"&gt;0")*'TS2'!AO$28</f>
        <v>0</v>
      </c>
      <c r="AU384" s="377">
        <f>$I$384/COUNTIF('TS2'!$F$28:$AS$28,"&gt;0")*'TS2'!AP$28</f>
        <v>0</v>
      </c>
      <c r="AV384" s="377">
        <f>$I$384/COUNTIF('TS2'!$F$28:$AS$28,"&gt;0")*'TS2'!AQ$28</f>
        <v>0</v>
      </c>
      <c r="AW384" s="377">
        <f>$I$384/COUNTIF('TS2'!$F$28:$AS$28,"&gt;0")*'TS2'!AR$28</f>
        <v>0</v>
      </c>
      <c r="AX384" s="377">
        <f>$I$384/COUNTIF('TS2'!$F$28:$AS$28,"&gt;0")*'TS2'!AS$28</f>
        <v>0</v>
      </c>
      <c r="AY384" s="377">
        <f>$I$384/COUNTIF('TS2'!$F$28:$AS$28,"&gt;0")*'TS2'!AT$28</f>
        <v>0</v>
      </c>
      <c r="AZ384" s="377">
        <f>$I$384/COUNTIF('TS2'!$F$28:$AS$28,"&gt;0")*'TS2'!AU$28</f>
        <v>0</v>
      </c>
      <c r="BA384" s="377">
        <f>$I$384/COUNTIF('TS2'!$F$28:$AS$28,"&gt;0")*'TS2'!AV$28</f>
        <v>0</v>
      </c>
      <c r="BB384" s="377">
        <f>$I$384/COUNTIF('TS2'!$F$28:$AS$28,"&gt;0")*'TS2'!AW$28</f>
        <v>0</v>
      </c>
      <c r="BC384" s="377">
        <f>$I$384/COUNTIF('TS2'!$F$28:$AS$28,"&gt;0")*'TS2'!AX$28</f>
        <v>0</v>
      </c>
      <c r="BD384" s="377">
        <f>$I$384/COUNTIF('TS2'!$F$28:$AS$28,"&gt;0")*'TS2'!AY$28</f>
        <v>0</v>
      </c>
      <c r="BE384" s="377">
        <f>$I$384/COUNTIF('TS2'!$F$28:$AS$28,"&gt;0")*'TS2'!AZ$28</f>
        <v>0</v>
      </c>
      <c r="BF384" s="377">
        <f>$I$384/COUNTIF('TS2'!$F$28:$AS$28,"&gt;0")*'TS2'!BA$28</f>
        <v>0</v>
      </c>
      <c r="BG384" s="377">
        <f>$I$384/COUNTIF('TS2'!$F$28:$AS$28,"&gt;0")*'TS2'!BB$28</f>
        <v>0</v>
      </c>
      <c r="BH384" s="377">
        <f>$I$384/COUNTIF('TS2'!$F$28:$AS$28,"&gt;0")*'TS2'!BC$28</f>
        <v>0</v>
      </c>
      <c r="BI384" s="377">
        <f>$I$384/COUNTIF('TS2'!$F$28:$AS$28,"&gt;0")*'TS2'!BD$28</f>
        <v>0</v>
      </c>
      <c r="BJ384" s="377">
        <f>$I$384/COUNTIF('TS2'!$F$28:$AS$28,"&gt;0")*'TS2'!BE$28</f>
        <v>0</v>
      </c>
      <c r="BK384" s="377">
        <f>$I$384/COUNTIF('TS2'!$F$28:$AS$28,"&gt;0")*'TS2'!BF$28</f>
        <v>0</v>
      </c>
      <c r="BL384" s="377">
        <f>$I$384/COUNTIF('TS2'!$F$28:$AS$28,"&gt;0")*'TS2'!BG$28</f>
        <v>0</v>
      </c>
      <c r="BM384" s="377">
        <f>$I$384/COUNTIF('TS2'!$F$28:$AS$28,"&gt;0")*'TS2'!BH$28</f>
        <v>0</v>
      </c>
      <c r="BN384" s="377">
        <f>$I$384/COUNTIF('TS2'!$F$28:$AS$28,"&gt;0")*'TS2'!BI$28</f>
        <v>0</v>
      </c>
      <c r="BO384" s="377">
        <f>$I$384/COUNTIF('TS2'!$F$28:$AS$28,"&gt;0")*'TS2'!BJ$28</f>
        <v>0</v>
      </c>
      <c r="BP384" s="377">
        <f>$I$384/COUNTIF('TS2'!$F$28:$AS$28,"&gt;0")*'TS2'!BK$28</f>
        <v>0</v>
      </c>
      <c r="BQ384" s="377">
        <f>$I$384/COUNTIF('TS2'!$F$28:$AS$28,"&gt;0")*'TS2'!BL$28</f>
        <v>0</v>
      </c>
      <c r="BR384" s="377">
        <f>$I$384/COUNTIF('TS2'!$F$28:$AS$28,"&gt;0")*'TS2'!BM$28</f>
        <v>0</v>
      </c>
    </row>
    <row r="385" spans="1:70" outlineLevel="1">
      <c r="A385" s="374">
        <f t="shared" si="89"/>
        <v>0</v>
      </c>
      <c r="B385" s="359"/>
      <c r="C385" s="359"/>
      <c r="D385" s="360"/>
      <c r="E385" s="360"/>
      <c r="F385" s="373"/>
      <c r="G385" s="360"/>
      <c r="H385" s="377"/>
      <c r="I385" s="537"/>
      <c r="J385" s="546"/>
      <c r="K385" s="383"/>
      <c r="L385" s="383"/>
      <c r="M385" s="383"/>
      <c r="N385" s="383"/>
      <c r="O385" s="383"/>
      <c r="P385" s="383"/>
      <c r="Q385" s="383"/>
      <c r="R385" s="383"/>
      <c r="S385" s="377"/>
      <c r="T385" s="377"/>
      <c r="U385" s="377"/>
      <c r="V385" s="377"/>
      <c r="W385" s="377"/>
      <c r="X385" s="377"/>
      <c r="Y385" s="377"/>
      <c r="Z385" s="377"/>
      <c r="AA385" s="377"/>
      <c r="AB385" s="377"/>
      <c r="AC385" s="377"/>
      <c r="AD385" s="377"/>
      <c r="AE385" s="377"/>
      <c r="AF385" s="377"/>
      <c r="AG385" s="377"/>
      <c r="AH385" s="377"/>
      <c r="AI385" s="377"/>
      <c r="AJ385" s="377"/>
      <c r="AK385" s="377"/>
      <c r="AL385" s="377"/>
      <c r="AM385" s="377"/>
      <c r="AN385" s="377"/>
      <c r="AO385" s="377"/>
      <c r="AP385" s="377"/>
      <c r="AQ385" s="377"/>
      <c r="AR385" s="377"/>
      <c r="AS385" s="377"/>
      <c r="AT385" s="377"/>
      <c r="AU385" s="377"/>
      <c r="AV385" s="377"/>
      <c r="AW385" s="377"/>
      <c r="AX385" s="377"/>
      <c r="AY385" s="377"/>
      <c r="AZ385" s="377"/>
      <c r="BA385" s="377"/>
      <c r="BB385" s="377"/>
      <c r="BC385" s="377"/>
      <c r="BD385" s="377"/>
      <c r="BE385" s="377"/>
      <c r="BF385" s="377"/>
      <c r="BG385" s="377"/>
      <c r="BH385" s="377"/>
      <c r="BI385" s="377"/>
      <c r="BJ385" s="377"/>
      <c r="BK385" s="377"/>
      <c r="BL385" s="377"/>
      <c r="BM385" s="377"/>
      <c r="BN385" s="377"/>
      <c r="BO385" s="377"/>
      <c r="BP385" s="377"/>
      <c r="BQ385" s="377"/>
      <c r="BR385" s="377"/>
    </row>
    <row r="386" spans="1:70" outlineLevel="1">
      <c r="A386" s="374">
        <f t="shared" si="89"/>
        <v>0</v>
      </c>
      <c r="B386" s="359">
        <v>5701</v>
      </c>
      <c r="C386" s="359">
        <v>2</v>
      </c>
      <c r="D386" s="360" t="s">
        <v>944</v>
      </c>
      <c r="E386" s="360"/>
      <c r="F386" s="373"/>
      <c r="G386" s="360"/>
      <c r="H386" s="377"/>
      <c r="I386" s="537">
        <v>-3000000</v>
      </c>
      <c r="J386" s="546"/>
      <c r="K386" s="383"/>
      <c r="L386" s="383"/>
      <c r="M386" s="383"/>
      <c r="N386" s="383"/>
      <c r="O386" s="383"/>
      <c r="P386" s="383"/>
      <c r="Q386" s="383"/>
      <c r="R386" s="383"/>
      <c r="S386" s="377">
        <v>0</v>
      </c>
      <c r="T386" s="377">
        <v>0</v>
      </c>
      <c r="U386" s="377">
        <v>0</v>
      </c>
      <c r="V386" s="377">
        <v>0</v>
      </c>
      <c r="W386" s="377">
        <v>0</v>
      </c>
      <c r="X386" s="377">
        <v>0</v>
      </c>
      <c r="Y386" s="377">
        <v>0</v>
      </c>
      <c r="Z386" s="377">
        <v>-3000000</v>
      </c>
      <c r="AA386" s="377"/>
      <c r="AB386" s="377"/>
      <c r="AC386" s="377"/>
      <c r="AD386" s="377"/>
      <c r="AE386" s="377"/>
      <c r="AF386" s="377"/>
      <c r="AG386" s="377"/>
      <c r="AH386" s="377"/>
      <c r="AI386" s="377"/>
      <c r="AJ386" s="377"/>
      <c r="AK386" s="377"/>
      <c r="AL386" s="377"/>
      <c r="AM386" s="377"/>
      <c r="AN386" s="377"/>
      <c r="AO386" s="377"/>
      <c r="AP386" s="377"/>
      <c r="AQ386" s="377"/>
      <c r="AR386" s="377"/>
      <c r="AS386" s="377"/>
      <c r="AT386" s="377"/>
      <c r="AU386" s="377"/>
      <c r="AV386" s="377"/>
      <c r="AW386" s="377"/>
      <c r="AX386" s="377"/>
      <c r="AY386" s="377"/>
      <c r="AZ386" s="377"/>
      <c r="BA386" s="377"/>
      <c r="BB386" s="377"/>
      <c r="BC386" s="377"/>
      <c r="BD386" s="377"/>
      <c r="BE386" s="377"/>
      <c r="BF386" s="377"/>
      <c r="BG386" s="377"/>
      <c r="BH386" s="377"/>
      <c r="BI386" s="377"/>
      <c r="BJ386" s="377"/>
      <c r="BK386" s="377"/>
      <c r="BL386" s="377"/>
      <c r="BM386" s="377"/>
      <c r="BN386" s="377"/>
      <c r="BO386" s="377"/>
      <c r="BP386" s="377"/>
      <c r="BQ386" s="377"/>
      <c r="BR386" s="377"/>
    </row>
    <row r="387" spans="1:70" outlineLevel="1">
      <c r="A387" s="374">
        <f t="shared" si="89"/>
        <v>0</v>
      </c>
      <c r="B387" s="359">
        <v>5701</v>
      </c>
      <c r="C387" s="359">
        <v>2</v>
      </c>
      <c r="D387" s="360" t="s">
        <v>943</v>
      </c>
      <c r="E387" s="360"/>
      <c r="F387" s="373"/>
      <c r="G387" s="360"/>
      <c r="H387" s="377"/>
      <c r="I387" s="557">
        <v>-10000000</v>
      </c>
      <c r="J387" s="546"/>
      <c r="K387" s="383"/>
      <c r="L387" s="383"/>
      <c r="M387" s="383"/>
      <c r="N387" s="383"/>
      <c r="O387" s="383"/>
      <c r="P387" s="383"/>
      <c r="Q387" s="383"/>
      <c r="R387" s="383"/>
      <c r="S387" s="377">
        <v>0</v>
      </c>
      <c r="T387" s="377">
        <v>0</v>
      </c>
      <c r="U387" s="377">
        <v>0</v>
      </c>
      <c r="V387" s="377">
        <v>0</v>
      </c>
      <c r="W387" s="377">
        <v>0</v>
      </c>
      <c r="X387" s="377">
        <v>0</v>
      </c>
      <c r="Y387" s="377">
        <v>-10000000</v>
      </c>
      <c r="Z387" s="377">
        <v>0</v>
      </c>
      <c r="AA387" s="377"/>
      <c r="AB387" s="377"/>
      <c r="AC387" s="377"/>
      <c r="AD387" s="377"/>
      <c r="AE387" s="377"/>
      <c r="AF387" s="377"/>
      <c r="AG387" s="377"/>
      <c r="AH387" s="377"/>
      <c r="AI387" s="377"/>
      <c r="AJ387" s="377"/>
      <c r="AK387" s="377"/>
      <c r="AL387" s="377"/>
      <c r="AM387" s="377"/>
      <c r="AN387" s="377"/>
      <c r="AO387" s="377"/>
      <c r="AP387" s="377"/>
      <c r="AQ387" s="377"/>
      <c r="AR387" s="377"/>
      <c r="AS387" s="377"/>
      <c r="AT387" s="377"/>
      <c r="AU387" s="377"/>
      <c r="AV387" s="377"/>
      <c r="AW387" s="377"/>
      <c r="AX387" s="377"/>
      <c r="AY387" s="377"/>
      <c r="AZ387" s="377"/>
      <c r="BA387" s="377"/>
      <c r="BB387" s="377"/>
      <c r="BC387" s="377"/>
      <c r="BD387" s="377"/>
      <c r="BE387" s="377"/>
      <c r="BF387" s="377"/>
      <c r="BG387" s="377"/>
      <c r="BH387" s="377"/>
      <c r="BI387" s="377"/>
      <c r="BJ387" s="377"/>
      <c r="BK387" s="377"/>
      <c r="BL387" s="377"/>
      <c r="BM387" s="377"/>
      <c r="BN387" s="377"/>
      <c r="BO387" s="377"/>
      <c r="BP387" s="377"/>
      <c r="BQ387" s="377"/>
      <c r="BR387" s="377"/>
    </row>
    <row r="388" spans="1:70" outlineLevel="1">
      <c r="A388" s="374">
        <f t="shared" ref="A388" si="176">I388-SUM(K388:BR388)</f>
        <v>0</v>
      </c>
      <c r="B388" s="359">
        <v>5701</v>
      </c>
      <c r="C388" s="359">
        <v>2</v>
      </c>
      <c r="D388" s="360" t="s">
        <v>945</v>
      </c>
      <c r="E388" s="360" t="s">
        <v>492</v>
      </c>
      <c r="F388" s="373" t="s">
        <v>454</v>
      </c>
      <c r="G388" s="360"/>
      <c r="H388" s="377"/>
      <c r="I388" s="537">
        <f>SUM(K388:BR388)</f>
        <v>-180000000</v>
      </c>
      <c r="J388" s="546"/>
      <c r="K388" s="383"/>
      <c r="L388" s="383"/>
      <c r="M388" s="383"/>
      <c r="N388" s="383"/>
      <c r="O388" s="383"/>
      <c r="P388" s="383"/>
      <c r="Q388" s="383"/>
      <c r="R388" s="383"/>
      <c r="S388" s="377"/>
      <c r="T388" s="377"/>
      <c r="U388" s="377"/>
      <c r="V388" s="377"/>
      <c r="W388" s="377"/>
      <c r="X388" s="377"/>
      <c r="Y388" s="377"/>
      <c r="Z388" s="377">
        <f>-4000000*3</f>
        <v>-12000000</v>
      </c>
      <c r="AA388" s="377">
        <f>-4000000*3</f>
        <v>-12000000</v>
      </c>
      <c r="AB388" s="377">
        <f t="shared" ref="AB388:AM388" si="177">-4000000*3</f>
        <v>-12000000</v>
      </c>
      <c r="AC388" s="377">
        <f t="shared" si="177"/>
        <v>-12000000</v>
      </c>
      <c r="AD388" s="377">
        <f t="shared" si="177"/>
        <v>-12000000</v>
      </c>
      <c r="AE388" s="377">
        <f t="shared" si="177"/>
        <v>-12000000</v>
      </c>
      <c r="AF388" s="377">
        <f t="shared" si="177"/>
        <v>-12000000</v>
      </c>
      <c r="AG388" s="377">
        <f t="shared" si="177"/>
        <v>-12000000</v>
      </c>
      <c r="AH388" s="377">
        <f t="shared" si="177"/>
        <v>-12000000</v>
      </c>
      <c r="AI388" s="377">
        <f t="shared" si="177"/>
        <v>-12000000</v>
      </c>
      <c r="AJ388" s="377">
        <f t="shared" si="177"/>
        <v>-12000000</v>
      </c>
      <c r="AK388" s="377">
        <f t="shared" si="177"/>
        <v>-12000000</v>
      </c>
      <c r="AL388" s="377">
        <f t="shared" si="177"/>
        <v>-12000000</v>
      </c>
      <c r="AM388" s="377">
        <f t="shared" si="177"/>
        <v>-12000000</v>
      </c>
      <c r="AN388" s="377">
        <f>-4000000*3</f>
        <v>-12000000</v>
      </c>
      <c r="AO388" s="377"/>
      <c r="AP388" s="377"/>
      <c r="AQ388" s="377"/>
      <c r="AR388" s="377"/>
      <c r="AS388" s="377"/>
      <c r="AT388" s="377"/>
      <c r="AU388" s="377"/>
      <c r="AV388" s="377"/>
      <c r="AW388" s="377"/>
      <c r="AX388" s="377"/>
      <c r="AY388" s="377"/>
      <c r="AZ388" s="377"/>
      <c r="BA388" s="377"/>
      <c r="BB388" s="377"/>
      <c r="BC388" s="377"/>
      <c r="BD388" s="377"/>
      <c r="BE388" s="377"/>
      <c r="BF388" s="377"/>
      <c r="BG388" s="377"/>
      <c r="BH388" s="377"/>
      <c r="BI388" s="377"/>
      <c r="BJ388" s="377"/>
      <c r="BK388" s="377"/>
      <c r="BL388" s="377"/>
      <c r="BM388" s="377"/>
      <c r="BN388" s="377"/>
      <c r="BO388" s="377"/>
      <c r="BP388" s="377"/>
      <c r="BQ388" s="377"/>
      <c r="BR388" s="377"/>
    </row>
    <row r="389" spans="1:70" outlineLevel="1">
      <c r="A389" s="374">
        <f t="shared" si="89"/>
        <v>0</v>
      </c>
      <c r="B389" s="359"/>
      <c r="C389" s="359"/>
      <c r="D389" s="360"/>
      <c r="E389" s="360"/>
      <c r="F389" s="373"/>
      <c r="G389" s="360"/>
      <c r="H389" s="377"/>
      <c r="I389" s="537"/>
      <c r="J389" s="546"/>
      <c r="K389" s="383"/>
      <c r="L389" s="383"/>
      <c r="M389" s="383"/>
      <c r="N389" s="383"/>
      <c r="O389" s="383"/>
      <c r="P389" s="383"/>
      <c r="Q389" s="383"/>
      <c r="R389" s="383"/>
      <c r="S389" s="377"/>
      <c r="T389" s="377"/>
      <c r="U389" s="377"/>
      <c r="V389" s="377"/>
      <c r="W389" s="377"/>
      <c r="X389" s="377"/>
      <c r="Y389" s="377"/>
      <c r="Z389" s="377"/>
      <c r="AA389" s="377"/>
      <c r="AB389" s="377"/>
      <c r="AC389" s="377"/>
      <c r="AD389" s="377"/>
      <c r="AE389" s="377"/>
      <c r="AF389" s="377"/>
      <c r="AG389" s="377"/>
      <c r="AH389" s="377"/>
      <c r="AI389" s="377"/>
      <c r="AJ389" s="377"/>
      <c r="AK389" s="377"/>
      <c r="AL389" s="377"/>
      <c r="AM389" s="377"/>
      <c r="AN389" s="377"/>
      <c r="AO389" s="377"/>
      <c r="AP389" s="377"/>
      <c r="AQ389" s="377"/>
      <c r="AR389" s="377"/>
      <c r="AS389" s="377"/>
      <c r="AT389" s="377"/>
      <c r="AU389" s="377"/>
      <c r="AV389" s="377"/>
      <c r="AW389" s="377"/>
      <c r="AX389" s="377"/>
      <c r="AY389" s="377"/>
      <c r="AZ389" s="377"/>
      <c r="BA389" s="377"/>
      <c r="BB389" s="377"/>
      <c r="BC389" s="377"/>
      <c r="BD389" s="377"/>
      <c r="BE389" s="377"/>
      <c r="BF389" s="377"/>
      <c r="BG389" s="377"/>
      <c r="BH389" s="377"/>
      <c r="BI389" s="377"/>
      <c r="BJ389" s="377"/>
      <c r="BK389" s="377"/>
      <c r="BL389" s="377"/>
      <c r="BM389" s="377"/>
      <c r="BN389" s="377"/>
      <c r="BO389" s="377"/>
      <c r="BP389" s="377"/>
      <c r="BQ389" s="377"/>
      <c r="BR389" s="377"/>
    </row>
    <row r="390" spans="1:70" outlineLevel="1">
      <c r="A390" s="374">
        <f t="shared" si="89"/>
        <v>0</v>
      </c>
      <c r="B390" s="359"/>
      <c r="C390" s="359"/>
      <c r="D390" s="360"/>
      <c r="E390" s="360"/>
      <c r="F390" s="373"/>
      <c r="G390" s="360"/>
      <c r="H390" s="377"/>
      <c r="I390" s="537"/>
      <c r="J390" s="546"/>
      <c r="K390" s="383"/>
      <c r="L390" s="383"/>
      <c r="M390" s="383"/>
      <c r="N390" s="383"/>
      <c r="O390" s="383"/>
      <c r="P390" s="383"/>
      <c r="Q390" s="383"/>
      <c r="R390" s="383"/>
      <c r="S390" s="377"/>
      <c r="T390" s="377"/>
      <c r="U390" s="377"/>
      <c r="V390" s="377"/>
      <c r="W390" s="377"/>
      <c r="X390" s="377"/>
      <c r="Y390" s="377"/>
      <c r="Z390" s="377"/>
      <c r="AA390" s="377"/>
      <c r="AB390" s="377"/>
      <c r="AC390" s="377"/>
      <c r="AD390" s="377"/>
      <c r="AE390" s="377"/>
      <c r="AF390" s="377"/>
      <c r="AG390" s="377"/>
      <c r="AH390" s="377"/>
      <c r="AI390" s="377"/>
      <c r="AJ390" s="377"/>
      <c r="AK390" s="377"/>
      <c r="AL390" s="377"/>
      <c r="AM390" s="377"/>
      <c r="AN390" s="377"/>
      <c r="AO390" s="377"/>
      <c r="AP390" s="377"/>
      <c r="AQ390" s="377"/>
      <c r="AR390" s="377"/>
      <c r="AS390" s="377"/>
      <c r="AT390" s="377"/>
      <c r="AU390" s="377"/>
      <c r="AV390" s="377"/>
      <c r="AW390" s="377"/>
      <c r="AX390" s="377"/>
      <c r="AY390" s="377"/>
      <c r="AZ390" s="377"/>
      <c r="BA390" s="377"/>
      <c r="BB390" s="377"/>
      <c r="BC390" s="377"/>
      <c r="BD390" s="377"/>
      <c r="BE390" s="377"/>
      <c r="BF390" s="377"/>
      <c r="BG390" s="377"/>
      <c r="BH390" s="377"/>
      <c r="BI390" s="377"/>
      <c r="BJ390" s="377"/>
      <c r="BK390" s="377"/>
      <c r="BL390" s="377"/>
      <c r="BM390" s="377"/>
      <c r="BN390" s="377"/>
      <c r="BO390" s="377"/>
      <c r="BP390" s="377"/>
      <c r="BQ390" s="377"/>
      <c r="BR390" s="377"/>
    </row>
    <row r="391" spans="1:70" outlineLevel="1">
      <c r="A391" s="374">
        <f t="shared" si="89"/>
        <v>0</v>
      </c>
      <c r="B391" s="359"/>
      <c r="C391" s="359"/>
      <c r="D391" s="360"/>
      <c r="E391" s="360"/>
      <c r="F391" s="373"/>
      <c r="G391" s="360"/>
      <c r="H391" s="377"/>
      <c r="I391" s="537"/>
      <c r="J391" s="546"/>
      <c r="K391" s="383"/>
      <c r="L391" s="383"/>
      <c r="M391" s="383"/>
      <c r="N391" s="383"/>
      <c r="O391" s="383"/>
      <c r="P391" s="383"/>
      <c r="Q391" s="383"/>
      <c r="R391" s="383"/>
      <c r="S391" s="377"/>
      <c r="T391" s="377"/>
      <c r="U391" s="377"/>
      <c r="V391" s="377"/>
      <c r="W391" s="377"/>
      <c r="X391" s="377"/>
      <c r="Y391" s="377"/>
      <c r="Z391" s="377"/>
      <c r="AA391" s="377"/>
      <c r="AB391" s="377"/>
      <c r="AC391" s="377"/>
      <c r="AD391" s="377"/>
      <c r="AE391" s="377"/>
      <c r="AF391" s="377"/>
      <c r="AG391" s="377"/>
      <c r="AH391" s="377"/>
      <c r="AI391" s="377"/>
      <c r="AJ391" s="377"/>
      <c r="AK391" s="377"/>
      <c r="AL391" s="377"/>
      <c r="AM391" s="377"/>
      <c r="AN391" s="377"/>
      <c r="AO391" s="377"/>
      <c r="AP391" s="377"/>
      <c r="AQ391" s="377"/>
      <c r="AR391" s="377"/>
      <c r="AS391" s="377"/>
      <c r="AT391" s="377"/>
      <c r="AU391" s="377"/>
      <c r="AV391" s="377"/>
      <c r="AW391" s="377"/>
      <c r="AX391" s="377"/>
      <c r="AY391" s="377"/>
      <c r="AZ391" s="377"/>
      <c r="BA391" s="377"/>
      <c r="BB391" s="377"/>
      <c r="BC391" s="377"/>
      <c r="BD391" s="377"/>
      <c r="BE391" s="377"/>
      <c r="BF391" s="377"/>
      <c r="BG391" s="377"/>
      <c r="BH391" s="377"/>
      <c r="BI391" s="377"/>
      <c r="BJ391" s="377"/>
      <c r="BK391" s="377"/>
      <c r="BL391" s="377"/>
      <c r="BM391" s="377"/>
      <c r="BN391" s="377"/>
      <c r="BO391" s="377"/>
      <c r="BP391" s="377"/>
      <c r="BQ391" s="377"/>
      <c r="BR391" s="377"/>
    </row>
    <row r="392" spans="1:70" outlineLevel="1">
      <c r="A392" s="374">
        <f t="shared" ref="A392:A393" si="178">I392-SUM(K392:BR392)</f>
        <v>0</v>
      </c>
      <c r="B392" s="359"/>
      <c r="C392" s="359"/>
      <c r="D392" s="360"/>
      <c r="E392" s="360"/>
      <c r="F392" s="373"/>
      <c r="G392" s="360"/>
      <c r="H392" s="377"/>
      <c r="I392" s="537"/>
      <c r="J392" s="546"/>
      <c r="K392" s="383"/>
      <c r="L392" s="383"/>
      <c r="M392" s="383"/>
      <c r="N392" s="383"/>
      <c r="O392" s="383"/>
      <c r="P392" s="383"/>
      <c r="Q392" s="383"/>
      <c r="R392" s="383"/>
      <c r="S392" s="377"/>
      <c r="T392" s="377"/>
      <c r="U392" s="377"/>
      <c r="V392" s="377"/>
      <c r="W392" s="377"/>
      <c r="X392" s="377"/>
      <c r="Y392" s="377"/>
      <c r="Z392" s="377"/>
      <c r="AA392" s="377"/>
      <c r="AB392" s="377"/>
      <c r="AC392" s="377"/>
      <c r="AD392" s="377"/>
      <c r="AE392" s="377"/>
      <c r="AF392" s="377"/>
      <c r="AG392" s="377"/>
      <c r="AH392" s="377"/>
      <c r="AI392" s="377"/>
      <c r="AJ392" s="377"/>
      <c r="AK392" s="377"/>
      <c r="AL392" s="377"/>
      <c r="AM392" s="377"/>
      <c r="AN392" s="377"/>
      <c r="AO392" s="377"/>
      <c r="AP392" s="377"/>
      <c r="AQ392" s="377"/>
      <c r="AR392" s="377"/>
      <c r="AS392" s="377"/>
      <c r="AT392" s="377"/>
      <c r="AU392" s="377"/>
      <c r="AV392" s="377"/>
      <c r="AW392" s="377"/>
      <c r="AX392" s="377"/>
      <c r="AY392" s="377"/>
      <c r="AZ392" s="377"/>
      <c r="BA392" s="377"/>
      <c r="BB392" s="377"/>
      <c r="BC392" s="377"/>
      <c r="BD392" s="377"/>
      <c r="BE392" s="377"/>
      <c r="BF392" s="377"/>
      <c r="BG392" s="377"/>
      <c r="BH392" s="377"/>
      <c r="BI392" s="377"/>
      <c r="BJ392" s="377"/>
      <c r="BK392" s="377"/>
      <c r="BL392" s="377"/>
      <c r="BM392" s="377"/>
      <c r="BN392" s="377"/>
      <c r="BO392" s="377"/>
      <c r="BP392" s="377"/>
      <c r="BQ392" s="377"/>
      <c r="BR392" s="377"/>
    </row>
    <row r="393" spans="1:70" outlineLevel="1">
      <c r="A393" s="374">
        <f t="shared" si="178"/>
        <v>0</v>
      </c>
      <c r="B393" s="359"/>
      <c r="C393" s="359"/>
      <c r="D393" s="360"/>
      <c r="E393" s="360"/>
      <c r="F393" s="373"/>
      <c r="G393" s="360"/>
      <c r="H393" s="377"/>
      <c r="I393" s="537"/>
      <c r="J393" s="546"/>
      <c r="K393" s="383"/>
      <c r="L393" s="383"/>
      <c r="M393" s="383"/>
      <c r="N393" s="383"/>
      <c r="O393" s="383"/>
      <c r="P393" s="383"/>
      <c r="Q393" s="383"/>
      <c r="R393" s="383"/>
      <c r="S393" s="377"/>
      <c r="T393" s="377"/>
      <c r="U393" s="377"/>
      <c r="V393" s="377"/>
      <c r="W393" s="377"/>
      <c r="X393" s="377"/>
      <c r="Y393" s="377"/>
      <c r="Z393" s="377"/>
      <c r="AA393" s="377"/>
      <c r="AB393" s="377"/>
      <c r="AC393" s="377"/>
      <c r="AD393" s="377"/>
      <c r="AE393" s="377"/>
      <c r="AF393" s="377"/>
      <c r="AG393" s="377"/>
      <c r="AH393" s="377"/>
      <c r="AI393" s="377"/>
      <c r="AJ393" s="377"/>
      <c r="AK393" s="377"/>
      <c r="AL393" s="377"/>
      <c r="AM393" s="377"/>
      <c r="AN393" s="377"/>
      <c r="AO393" s="377"/>
      <c r="AP393" s="377"/>
      <c r="AQ393" s="377"/>
      <c r="AR393" s="377"/>
      <c r="AS393" s="377"/>
      <c r="AT393" s="377"/>
      <c r="AU393" s="377"/>
      <c r="AV393" s="377"/>
      <c r="AW393" s="377"/>
      <c r="AX393" s="377"/>
      <c r="AY393" s="377"/>
      <c r="AZ393" s="377"/>
      <c r="BA393" s="377"/>
      <c r="BB393" s="377"/>
      <c r="BC393" s="377"/>
      <c r="BD393" s="377"/>
      <c r="BE393" s="377"/>
      <c r="BF393" s="377"/>
      <c r="BG393" s="377"/>
      <c r="BH393" s="377"/>
      <c r="BI393" s="377"/>
      <c r="BJ393" s="377"/>
      <c r="BK393" s="377"/>
      <c r="BL393" s="377"/>
      <c r="BM393" s="377"/>
      <c r="BN393" s="377"/>
      <c r="BO393" s="377"/>
      <c r="BP393" s="377"/>
      <c r="BQ393" s="377"/>
      <c r="BR393" s="377"/>
    </row>
    <row r="394" spans="1:70" s="353" customFormat="1" outlineLevel="1">
      <c r="A394" s="374">
        <f t="shared" ref="A394:A400" si="179">I394-SUM(K394:BR394)</f>
        <v>0</v>
      </c>
      <c r="B394" s="363">
        <v>5990</v>
      </c>
      <c r="C394" s="363"/>
      <c r="D394" s="364" t="s">
        <v>431</v>
      </c>
      <c r="E394" s="364"/>
      <c r="F394" s="364"/>
      <c r="G394" s="364"/>
      <c r="H394" s="378">
        <f>SUM(H395:H400)</f>
        <v>0</v>
      </c>
      <c r="I394" s="538">
        <f t="shared" ref="I394:BR394" si="180">SUM(I395:I400)</f>
        <v>0</v>
      </c>
      <c r="J394" s="547">
        <f t="shared" si="180"/>
        <v>0</v>
      </c>
      <c r="K394" s="378">
        <f t="shared" si="180"/>
        <v>0</v>
      </c>
      <c r="L394" s="378">
        <f t="shared" si="180"/>
        <v>0</v>
      </c>
      <c r="M394" s="378">
        <f t="shared" si="180"/>
        <v>0</v>
      </c>
      <c r="N394" s="378">
        <f t="shared" si="180"/>
        <v>0</v>
      </c>
      <c r="O394" s="378">
        <f t="shared" si="180"/>
        <v>0</v>
      </c>
      <c r="P394" s="378">
        <f t="shared" si="180"/>
        <v>0</v>
      </c>
      <c r="Q394" s="378">
        <f t="shared" si="180"/>
        <v>0</v>
      </c>
      <c r="R394" s="378">
        <f t="shared" si="180"/>
        <v>0</v>
      </c>
      <c r="S394" s="378">
        <f t="shared" si="180"/>
        <v>0</v>
      </c>
      <c r="T394" s="378">
        <f t="shared" si="180"/>
        <v>0</v>
      </c>
      <c r="U394" s="378">
        <f t="shared" si="180"/>
        <v>0</v>
      </c>
      <c r="V394" s="378">
        <f t="shared" si="180"/>
        <v>0</v>
      </c>
      <c r="W394" s="378">
        <f t="shared" si="180"/>
        <v>0</v>
      </c>
      <c r="X394" s="378">
        <f t="shared" si="180"/>
        <v>0</v>
      </c>
      <c r="Y394" s="378">
        <f t="shared" si="180"/>
        <v>0</v>
      </c>
      <c r="Z394" s="378">
        <f t="shared" si="180"/>
        <v>0</v>
      </c>
      <c r="AA394" s="378">
        <f t="shared" si="180"/>
        <v>0</v>
      </c>
      <c r="AB394" s="378">
        <f t="shared" si="180"/>
        <v>0</v>
      </c>
      <c r="AC394" s="378">
        <f t="shared" si="180"/>
        <v>0</v>
      </c>
      <c r="AD394" s="378">
        <f t="shared" si="180"/>
        <v>0</v>
      </c>
      <c r="AE394" s="378">
        <f t="shared" si="180"/>
        <v>0</v>
      </c>
      <c r="AF394" s="378">
        <f t="shared" si="180"/>
        <v>0</v>
      </c>
      <c r="AG394" s="378">
        <f t="shared" si="180"/>
        <v>0</v>
      </c>
      <c r="AH394" s="378">
        <f t="shared" si="180"/>
        <v>0</v>
      </c>
      <c r="AI394" s="378">
        <f t="shared" si="180"/>
        <v>0</v>
      </c>
      <c r="AJ394" s="378">
        <f t="shared" si="180"/>
        <v>0</v>
      </c>
      <c r="AK394" s="378">
        <f t="shared" si="180"/>
        <v>0</v>
      </c>
      <c r="AL394" s="378">
        <f t="shared" si="180"/>
        <v>0</v>
      </c>
      <c r="AM394" s="378">
        <f t="shared" si="180"/>
        <v>0</v>
      </c>
      <c r="AN394" s="378">
        <f t="shared" si="180"/>
        <v>0</v>
      </c>
      <c r="AO394" s="378">
        <f t="shared" si="180"/>
        <v>0</v>
      </c>
      <c r="AP394" s="378">
        <f t="shared" si="180"/>
        <v>0</v>
      </c>
      <c r="AQ394" s="378">
        <f t="shared" si="180"/>
        <v>0</v>
      </c>
      <c r="AR394" s="378">
        <f t="shared" si="180"/>
        <v>0</v>
      </c>
      <c r="AS394" s="378">
        <f t="shared" si="180"/>
        <v>0</v>
      </c>
      <c r="AT394" s="378">
        <f t="shared" si="180"/>
        <v>0</v>
      </c>
      <c r="AU394" s="378">
        <f t="shared" si="180"/>
        <v>0</v>
      </c>
      <c r="AV394" s="378">
        <f t="shared" si="180"/>
        <v>0</v>
      </c>
      <c r="AW394" s="378">
        <f t="shared" si="180"/>
        <v>0</v>
      </c>
      <c r="AX394" s="378">
        <f t="shared" si="180"/>
        <v>0</v>
      </c>
      <c r="AY394" s="378">
        <f t="shared" si="180"/>
        <v>0</v>
      </c>
      <c r="AZ394" s="378">
        <f t="shared" si="180"/>
        <v>0</v>
      </c>
      <c r="BA394" s="378">
        <f t="shared" si="180"/>
        <v>0</v>
      </c>
      <c r="BB394" s="378">
        <f t="shared" si="180"/>
        <v>0</v>
      </c>
      <c r="BC394" s="378">
        <f t="shared" si="180"/>
        <v>0</v>
      </c>
      <c r="BD394" s="378">
        <f t="shared" si="180"/>
        <v>0</v>
      </c>
      <c r="BE394" s="378">
        <f t="shared" si="180"/>
        <v>0</v>
      </c>
      <c r="BF394" s="378">
        <f t="shared" si="180"/>
        <v>0</v>
      </c>
      <c r="BG394" s="378">
        <f t="shared" si="180"/>
        <v>0</v>
      </c>
      <c r="BH394" s="378">
        <f t="shared" si="180"/>
        <v>0</v>
      </c>
      <c r="BI394" s="378">
        <f t="shared" si="180"/>
        <v>0</v>
      </c>
      <c r="BJ394" s="378">
        <f t="shared" si="180"/>
        <v>0</v>
      </c>
      <c r="BK394" s="378">
        <f t="shared" si="180"/>
        <v>0</v>
      </c>
      <c r="BL394" s="378">
        <f t="shared" si="180"/>
        <v>0</v>
      </c>
      <c r="BM394" s="378">
        <f t="shared" si="180"/>
        <v>0</v>
      </c>
      <c r="BN394" s="378">
        <f t="shared" si="180"/>
        <v>0</v>
      </c>
      <c r="BO394" s="378">
        <f t="shared" si="180"/>
        <v>0</v>
      </c>
      <c r="BP394" s="378">
        <f t="shared" si="180"/>
        <v>0</v>
      </c>
      <c r="BQ394" s="378">
        <f t="shared" si="180"/>
        <v>0</v>
      </c>
      <c r="BR394" s="378">
        <f t="shared" si="180"/>
        <v>0</v>
      </c>
    </row>
    <row r="395" spans="1:70" outlineLevel="1">
      <c r="A395" s="374">
        <f t="shared" si="179"/>
        <v>0</v>
      </c>
      <c r="B395" s="359"/>
      <c r="C395" s="359"/>
      <c r="D395" s="360"/>
      <c r="E395" s="360"/>
      <c r="F395" s="373"/>
      <c r="G395" s="360"/>
      <c r="H395" s="377"/>
      <c r="I395" s="537"/>
      <c r="J395" s="546"/>
      <c r="K395" s="383"/>
      <c r="L395" s="383"/>
      <c r="M395" s="383"/>
      <c r="N395" s="383"/>
      <c r="O395" s="383"/>
      <c r="P395" s="383"/>
      <c r="Q395" s="383"/>
      <c r="R395" s="383"/>
      <c r="S395" s="377"/>
      <c r="T395" s="377"/>
      <c r="U395" s="377"/>
      <c r="V395" s="377"/>
      <c r="W395" s="377"/>
      <c r="X395" s="377"/>
      <c r="Y395" s="377"/>
      <c r="Z395" s="377"/>
      <c r="AA395" s="377"/>
      <c r="AB395" s="377"/>
      <c r="AC395" s="377"/>
      <c r="AD395" s="377"/>
      <c r="AE395" s="377"/>
      <c r="AF395" s="377"/>
      <c r="AG395" s="377"/>
      <c r="AH395" s="377"/>
      <c r="AI395" s="377"/>
      <c r="AJ395" s="377"/>
      <c r="AK395" s="377"/>
      <c r="AL395" s="377"/>
      <c r="AM395" s="377"/>
      <c r="AN395" s="377"/>
      <c r="AO395" s="377"/>
      <c r="AP395" s="377"/>
      <c r="AQ395" s="377"/>
      <c r="AR395" s="377"/>
      <c r="AS395" s="377"/>
      <c r="AT395" s="377"/>
      <c r="AU395" s="377"/>
      <c r="AV395" s="377"/>
      <c r="AW395" s="377"/>
      <c r="AX395" s="377"/>
      <c r="AY395" s="377"/>
      <c r="AZ395" s="377"/>
      <c r="BA395" s="377"/>
      <c r="BB395" s="377"/>
      <c r="BC395" s="377"/>
      <c r="BD395" s="377"/>
      <c r="BE395" s="377"/>
      <c r="BF395" s="377"/>
      <c r="BG395" s="377"/>
      <c r="BH395" s="377"/>
      <c r="BI395" s="377"/>
      <c r="BJ395" s="377"/>
      <c r="BK395" s="377"/>
      <c r="BL395" s="377"/>
      <c r="BM395" s="377"/>
      <c r="BN395" s="377"/>
      <c r="BO395" s="377"/>
      <c r="BP395" s="377"/>
      <c r="BQ395" s="377"/>
      <c r="BR395" s="377"/>
    </row>
    <row r="396" spans="1:70" outlineLevel="1">
      <c r="A396" s="374">
        <f t="shared" si="179"/>
        <v>0</v>
      </c>
      <c r="B396" s="359"/>
      <c r="C396" s="359"/>
      <c r="D396" s="360"/>
      <c r="E396" s="360"/>
      <c r="F396" s="373"/>
      <c r="G396" s="360"/>
      <c r="H396" s="377"/>
      <c r="I396" s="537"/>
      <c r="J396" s="546"/>
      <c r="K396" s="383"/>
      <c r="L396" s="383"/>
      <c r="M396" s="383"/>
      <c r="N396" s="383"/>
      <c r="O396" s="383"/>
      <c r="P396" s="383"/>
      <c r="Q396" s="383"/>
      <c r="R396" s="383"/>
      <c r="S396" s="377"/>
      <c r="T396" s="377"/>
      <c r="U396" s="377"/>
      <c r="V396" s="377"/>
      <c r="W396" s="377"/>
      <c r="X396" s="377"/>
      <c r="Y396" s="377"/>
      <c r="Z396" s="377"/>
      <c r="AA396" s="377"/>
      <c r="AB396" s="377"/>
      <c r="AC396" s="377"/>
      <c r="AD396" s="377"/>
      <c r="AE396" s="377"/>
      <c r="AF396" s="377"/>
      <c r="AG396" s="377"/>
      <c r="AH396" s="377"/>
      <c r="AI396" s="377"/>
      <c r="AJ396" s="377"/>
      <c r="AK396" s="377"/>
      <c r="AL396" s="377"/>
      <c r="AM396" s="377"/>
      <c r="AN396" s="377"/>
      <c r="AO396" s="377"/>
      <c r="AP396" s="377"/>
      <c r="AQ396" s="377"/>
      <c r="AR396" s="377"/>
      <c r="AS396" s="377"/>
      <c r="AT396" s="377"/>
      <c r="AU396" s="377"/>
      <c r="AV396" s="377"/>
      <c r="AW396" s="377"/>
      <c r="AX396" s="377"/>
      <c r="AY396" s="377"/>
      <c r="AZ396" s="377"/>
      <c r="BA396" s="377"/>
      <c r="BB396" s="377"/>
      <c r="BC396" s="377"/>
      <c r="BD396" s="377"/>
      <c r="BE396" s="377"/>
      <c r="BF396" s="377"/>
      <c r="BG396" s="377"/>
      <c r="BH396" s="377"/>
      <c r="BI396" s="377"/>
      <c r="BJ396" s="377"/>
      <c r="BK396" s="377"/>
      <c r="BL396" s="377"/>
      <c r="BM396" s="377"/>
      <c r="BN396" s="377"/>
      <c r="BO396" s="377"/>
      <c r="BP396" s="377"/>
      <c r="BQ396" s="377"/>
      <c r="BR396" s="377"/>
    </row>
    <row r="397" spans="1:70" outlineLevel="1">
      <c r="A397" s="374">
        <f t="shared" si="179"/>
        <v>0</v>
      </c>
      <c r="B397" s="359"/>
      <c r="C397" s="359"/>
      <c r="D397" s="360"/>
      <c r="E397" s="360"/>
      <c r="F397" s="373"/>
      <c r="G397" s="360"/>
      <c r="H397" s="377"/>
      <c r="I397" s="537"/>
      <c r="J397" s="546"/>
      <c r="K397" s="383"/>
      <c r="L397" s="383"/>
      <c r="M397" s="383"/>
      <c r="N397" s="383"/>
      <c r="O397" s="383"/>
      <c r="P397" s="383"/>
      <c r="Q397" s="383"/>
      <c r="R397" s="383"/>
      <c r="S397" s="377"/>
      <c r="T397" s="377"/>
      <c r="U397" s="377"/>
      <c r="V397" s="377"/>
      <c r="W397" s="377"/>
      <c r="X397" s="377"/>
      <c r="Y397" s="377"/>
      <c r="Z397" s="377"/>
      <c r="AA397" s="377"/>
      <c r="AB397" s="377"/>
      <c r="AC397" s="377"/>
      <c r="AD397" s="377"/>
      <c r="AE397" s="377"/>
      <c r="AF397" s="377"/>
      <c r="AG397" s="377"/>
      <c r="AH397" s="377"/>
      <c r="AI397" s="377"/>
      <c r="AJ397" s="377"/>
      <c r="AK397" s="377"/>
      <c r="AL397" s="377"/>
      <c r="AM397" s="377"/>
      <c r="AN397" s="377"/>
      <c r="AO397" s="377"/>
      <c r="AP397" s="377"/>
      <c r="AQ397" s="377"/>
      <c r="AR397" s="377"/>
      <c r="AS397" s="377"/>
      <c r="AT397" s="377"/>
      <c r="AU397" s="377"/>
      <c r="AV397" s="377"/>
      <c r="AW397" s="377"/>
      <c r="AX397" s="377"/>
      <c r="AY397" s="377"/>
      <c r="AZ397" s="377"/>
      <c r="BA397" s="377"/>
      <c r="BB397" s="377"/>
      <c r="BC397" s="377"/>
      <c r="BD397" s="377"/>
      <c r="BE397" s="377"/>
      <c r="BF397" s="377"/>
      <c r="BG397" s="377"/>
      <c r="BH397" s="377"/>
      <c r="BI397" s="377"/>
      <c r="BJ397" s="377"/>
      <c r="BK397" s="377"/>
      <c r="BL397" s="377"/>
      <c r="BM397" s="377"/>
      <c r="BN397" s="377"/>
      <c r="BO397" s="377"/>
      <c r="BP397" s="377"/>
      <c r="BQ397" s="377"/>
      <c r="BR397" s="377"/>
    </row>
    <row r="398" spans="1:70" outlineLevel="1">
      <c r="A398" s="374">
        <f t="shared" si="179"/>
        <v>0</v>
      </c>
      <c r="B398" s="359"/>
      <c r="C398" s="359"/>
      <c r="D398" s="360"/>
      <c r="E398" s="360"/>
      <c r="F398" s="373"/>
      <c r="G398" s="360"/>
      <c r="H398" s="377"/>
      <c r="I398" s="537"/>
      <c r="J398" s="546"/>
      <c r="K398" s="383"/>
      <c r="L398" s="383"/>
      <c r="M398" s="383"/>
      <c r="N398" s="383"/>
      <c r="O398" s="383"/>
      <c r="P398" s="383"/>
      <c r="Q398" s="383"/>
      <c r="R398" s="383"/>
      <c r="S398" s="377"/>
      <c r="T398" s="377"/>
      <c r="U398" s="377"/>
      <c r="V398" s="377"/>
      <c r="W398" s="377"/>
      <c r="X398" s="377"/>
      <c r="Y398" s="377"/>
      <c r="Z398" s="377"/>
      <c r="AA398" s="377"/>
      <c r="AB398" s="377"/>
      <c r="AC398" s="377"/>
      <c r="AD398" s="377"/>
      <c r="AE398" s="377"/>
      <c r="AF398" s="377"/>
      <c r="AG398" s="377"/>
      <c r="AH398" s="377"/>
      <c r="AI398" s="377"/>
      <c r="AJ398" s="377"/>
      <c r="AK398" s="377"/>
      <c r="AL398" s="377"/>
      <c r="AM398" s="377"/>
      <c r="AN398" s="377"/>
      <c r="AO398" s="377"/>
      <c r="AP398" s="377"/>
      <c r="AQ398" s="377"/>
      <c r="AR398" s="377"/>
      <c r="AS398" s="377"/>
      <c r="AT398" s="377"/>
      <c r="AU398" s="377"/>
      <c r="AV398" s="377"/>
      <c r="AW398" s="377"/>
      <c r="AX398" s="377"/>
      <c r="AY398" s="377"/>
      <c r="AZ398" s="377"/>
      <c r="BA398" s="377"/>
      <c r="BB398" s="377"/>
      <c r="BC398" s="377"/>
      <c r="BD398" s="377"/>
      <c r="BE398" s="377"/>
      <c r="BF398" s="377"/>
      <c r="BG398" s="377"/>
      <c r="BH398" s="377"/>
      <c r="BI398" s="377"/>
      <c r="BJ398" s="377"/>
      <c r="BK398" s="377"/>
      <c r="BL398" s="377"/>
      <c r="BM398" s="377"/>
      <c r="BN398" s="377"/>
      <c r="BO398" s="377"/>
      <c r="BP398" s="377"/>
      <c r="BQ398" s="377"/>
      <c r="BR398" s="377"/>
    </row>
    <row r="399" spans="1:70" outlineLevel="1">
      <c r="A399" s="374">
        <f t="shared" si="179"/>
        <v>0</v>
      </c>
      <c r="B399" s="359"/>
      <c r="C399" s="359"/>
      <c r="D399" s="360"/>
      <c r="E399" s="360"/>
      <c r="F399" s="373"/>
      <c r="G399" s="360"/>
      <c r="H399" s="377"/>
      <c r="I399" s="537"/>
      <c r="J399" s="546"/>
      <c r="K399" s="383"/>
      <c r="L399" s="383"/>
      <c r="M399" s="383"/>
      <c r="N399" s="383"/>
      <c r="O399" s="383"/>
      <c r="P399" s="383"/>
      <c r="Q399" s="383"/>
      <c r="R399" s="383"/>
      <c r="S399" s="377"/>
      <c r="T399" s="377"/>
      <c r="U399" s="377"/>
      <c r="V399" s="377"/>
      <c r="W399" s="377"/>
      <c r="X399" s="377"/>
      <c r="Y399" s="377"/>
      <c r="Z399" s="377"/>
      <c r="AA399" s="377"/>
      <c r="AB399" s="377"/>
      <c r="AC399" s="377"/>
      <c r="AD399" s="377"/>
      <c r="AE399" s="377"/>
      <c r="AF399" s="377"/>
      <c r="AG399" s="377"/>
      <c r="AH399" s="377"/>
      <c r="AI399" s="377"/>
      <c r="AJ399" s="377"/>
      <c r="AK399" s="377"/>
      <c r="AL399" s="377"/>
      <c r="AM399" s="377"/>
      <c r="AN399" s="377"/>
      <c r="AO399" s="377"/>
      <c r="AP399" s="377"/>
      <c r="AQ399" s="377"/>
      <c r="AR399" s="377"/>
      <c r="AS399" s="377"/>
      <c r="AT399" s="377"/>
      <c r="AU399" s="377"/>
      <c r="AV399" s="377"/>
      <c r="AW399" s="377"/>
      <c r="AX399" s="377"/>
      <c r="AY399" s="377"/>
      <c r="AZ399" s="377"/>
      <c r="BA399" s="377"/>
      <c r="BB399" s="377"/>
      <c r="BC399" s="377"/>
      <c r="BD399" s="377"/>
      <c r="BE399" s="377"/>
      <c r="BF399" s="377"/>
      <c r="BG399" s="377"/>
      <c r="BH399" s="377"/>
      <c r="BI399" s="377"/>
      <c r="BJ399" s="377"/>
      <c r="BK399" s="377"/>
      <c r="BL399" s="377"/>
      <c r="BM399" s="377"/>
      <c r="BN399" s="377"/>
      <c r="BO399" s="377"/>
      <c r="BP399" s="377"/>
      <c r="BQ399" s="377"/>
      <c r="BR399" s="377"/>
    </row>
    <row r="400" spans="1:70" outlineLevel="1">
      <c r="A400" s="374">
        <f t="shared" si="179"/>
        <v>0</v>
      </c>
      <c r="B400" s="359"/>
      <c r="C400" s="359"/>
      <c r="D400" s="360"/>
      <c r="E400" s="360"/>
      <c r="F400" s="373"/>
      <c r="G400" s="360"/>
      <c r="H400" s="377"/>
      <c r="I400" s="537"/>
      <c r="J400" s="546"/>
      <c r="K400" s="383"/>
      <c r="L400" s="383"/>
      <c r="M400" s="383"/>
      <c r="N400" s="383"/>
      <c r="O400" s="383"/>
      <c r="P400" s="383"/>
      <c r="Q400" s="383"/>
      <c r="R400" s="383"/>
      <c r="S400" s="377"/>
      <c r="T400" s="377"/>
      <c r="U400" s="377"/>
      <c r="V400" s="377"/>
      <c r="W400" s="377"/>
      <c r="X400" s="377"/>
      <c r="Y400" s="377"/>
      <c r="Z400" s="377"/>
      <c r="AA400" s="377"/>
      <c r="AB400" s="377"/>
      <c r="AC400" s="377"/>
      <c r="AD400" s="377"/>
      <c r="AE400" s="377"/>
      <c r="AF400" s="377"/>
      <c r="AG400" s="377"/>
      <c r="AH400" s="377"/>
      <c r="AI400" s="377"/>
      <c r="AJ400" s="377"/>
      <c r="AK400" s="377"/>
      <c r="AL400" s="377"/>
      <c r="AM400" s="377"/>
      <c r="AN400" s="377"/>
      <c r="AO400" s="377"/>
      <c r="AP400" s="377"/>
      <c r="AQ400" s="377"/>
      <c r="AR400" s="377"/>
      <c r="AS400" s="377"/>
      <c r="AT400" s="377"/>
      <c r="AU400" s="377"/>
      <c r="AV400" s="377"/>
      <c r="AW400" s="377"/>
      <c r="AX400" s="377"/>
      <c r="AY400" s="377"/>
      <c r="AZ400" s="377"/>
      <c r="BA400" s="377"/>
      <c r="BB400" s="377"/>
      <c r="BC400" s="377"/>
      <c r="BD400" s="377"/>
      <c r="BE400" s="377"/>
      <c r="BF400" s="377"/>
      <c r="BG400" s="377"/>
      <c r="BH400" s="377"/>
      <c r="BI400" s="377"/>
      <c r="BJ400" s="377"/>
      <c r="BK400" s="377"/>
      <c r="BL400" s="377"/>
      <c r="BM400" s="377"/>
      <c r="BN400" s="377"/>
      <c r="BO400" s="377"/>
      <c r="BP400" s="377"/>
      <c r="BQ400" s="377"/>
      <c r="BR400" s="377"/>
    </row>
    <row r="401" spans="1:70" s="353" customFormat="1">
      <c r="A401" s="374">
        <f t="shared" ref="A401:A413" si="181">I401-SUM(K401:BR401)</f>
        <v>0</v>
      </c>
      <c r="B401" s="361">
        <v>6000</v>
      </c>
      <c r="C401" s="361"/>
      <c r="D401" s="362" t="s">
        <v>356</v>
      </c>
      <c r="E401" s="362"/>
      <c r="F401" s="362"/>
      <c r="G401" s="362"/>
      <c r="H401" s="376"/>
      <c r="I401" s="539"/>
      <c r="J401" s="548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  <c r="Z401" s="376"/>
      <c r="AA401" s="376"/>
      <c r="AB401" s="376"/>
      <c r="AC401" s="376"/>
      <c r="AD401" s="376"/>
      <c r="AE401" s="376"/>
      <c r="AF401" s="376"/>
      <c r="AG401" s="376"/>
      <c r="AH401" s="376"/>
      <c r="AI401" s="376"/>
      <c r="AJ401" s="376"/>
      <c r="AK401" s="376"/>
      <c r="AL401" s="376"/>
      <c r="AM401" s="376"/>
      <c r="AN401" s="376"/>
      <c r="AO401" s="376"/>
      <c r="AP401" s="376"/>
      <c r="AQ401" s="376"/>
      <c r="AR401" s="376"/>
      <c r="AS401" s="376"/>
      <c r="AT401" s="376"/>
      <c r="AU401" s="376"/>
      <c r="AV401" s="376"/>
      <c r="AW401" s="376"/>
      <c r="AX401" s="376"/>
      <c r="AY401" s="376"/>
      <c r="AZ401" s="376"/>
      <c r="BA401" s="376"/>
      <c r="BB401" s="376"/>
      <c r="BC401" s="376"/>
      <c r="BD401" s="376"/>
      <c r="BE401" s="376"/>
      <c r="BF401" s="376"/>
      <c r="BG401" s="376"/>
      <c r="BH401" s="376"/>
      <c r="BI401" s="376"/>
      <c r="BJ401" s="376"/>
      <c r="BK401" s="376"/>
      <c r="BL401" s="376"/>
      <c r="BM401" s="376"/>
      <c r="BN401" s="376"/>
      <c r="BO401" s="376"/>
      <c r="BP401" s="376"/>
      <c r="BQ401" s="376"/>
      <c r="BR401" s="376"/>
    </row>
    <row r="402" spans="1:70" s="353" customFormat="1" outlineLevel="1">
      <c r="A402" s="374">
        <f t="shared" si="181"/>
        <v>0</v>
      </c>
      <c r="B402" s="363">
        <v>6200</v>
      </c>
      <c r="C402" s="363"/>
      <c r="D402" s="364" t="s">
        <v>443</v>
      </c>
      <c r="E402" s="364"/>
      <c r="F402" s="364"/>
      <c r="G402" s="364"/>
      <c r="H402" s="378"/>
      <c r="I402" s="538"/>
      <c r="J402" s="547"/>
      <c r="K402" s="378"/>
      <c r="L402" s="378"/>
      <c r="M402" s="378"/>
      <c r="N402" s="378"/>
      <c r="O402" s="378"/>
      <c r="P402" s="378"/>
      <c r="Q402" s="378"/>
      <c r="R402" s="378"/>
      <c r="S402" s="378"/>
      <c r="T402" s="378"/>
      <c r="U402" s="378"/>
      <c r="V402" s="378"/>
      <c r="W402" s="378"/>
      <c r="X402" s="378"/>
      <c r="Y402" s="378"/>
      <c r="Z402" s="378"/>
      <c r="AA402" s="378"/>
      <c r="AB402" s="378"/>
      <c r="AC402" s="378"/>
      <c r="AD402" s="378"/>
      <c r="AE402" s="378"/>
      <c r="AF402" s="378"/>
      <c r="AG402" s="378"/>
      <c r="AH402" s="378"/>
      <c r="AI402" s="378"/>
      <c r="AJ402" s="378"/>
      <c r="AK402" s="378"/>
      <c r="AL402" s="378"/>
      <c r="AM402" s="378"/>
      <c r="AN402" s="378"/>
      <c r="AO402" s="378"/>
      <c r="AP402" s="378"/>
      <c r="AQ402" s="378"/>
      <c r="AR402" s="378"/>
      <c r="AS402" s="378"/>
      <c r="AT402" s="378"/>
      <c r="AU402" s="378"/>
      <c r="AV402" s="378"/>
      <c r="AW402" s="378"/>
      <c r="AX402" s="378"/>
      <c r="AY402" s="378"/>
      <c r="AZ402" s="378"/>
      <c r="BA402" s="378"/>
      <c r="BB402" s="378"/>
      <c r="BC402" s="378"/>
      <c r="BD402" s="378"/>
      <c r="BE402" s="378"/>
      <c r="BF402" s="378"/>
      <c r="BG402" s="378"/>
      <c r="BH402" s="378"/>
      <c r="BI402" s="378"/>
      <c r="BJ402" s="378"/>
      <c r="BK402" s="378"/>
      <c r="BL402" s="378"/>
      <c r="BM402" s="378"/>
      <c r="BN402" s="378"/>
      <c r="BO402" s="378"/>
      <c r="BP402" s="378"/>
      <c r="BQ402" s="378"/>
      <c r="BR402" s="378"/>
    </row>
    <row r="403" spans="1:70" outlineLevel="1">
      <c r="A403" s="374">
        <f t="shared" si="181"/>
        <v>0</v>
      </c>
      <c r="B403" s="359"/>
      <c r="C403" s="359"/>
      <c r="D403" s="360"/>
      <c r="E403" s="360"/>
      <c r="F403" s="373"/>
      <c r="G403" s="360"/>
      <c r="H403" s="377"/>
      <c r="I403" s="537"/>
      <c r="J403" s="546"/>
      <c r="K403" s="377"/>
      <c r="L403" s="377"/>
      <c r="M403" s="377"/>
      <c r="N403" s="377"/>
      <c r="O403" s="377"/>
      <c r="P403" s="377"/>
      <c r="Q403" s="377"/>
      <c r="R403" s="377"/>
      <c r="S403" s="377"/>
      <c r="T403" s="377"/>
      <c r="U403" s="377"/>
      <c r="V403" s="377"/>
      <c r="W403" s="377"/>
      <c r="X403" s="377"/>
      <c r="Y403" s="377"/>
      <c r="Z403" s="377"/>
      <c r="AA403" s="377"/>
      <c r="AB403" s="377"/>
      <c r="AC403" s="377"/>
      <c r="AD403" s="377"/>
      <c r="AE403" s="377"/>
      <c r="AF403" s="377"/>
      <c r="AG403" s="377"/>
      <c r="AH403" s="377"/>
      <c r="AI403" s="377"/>
      <c r="AJ403" s="377"/>
      <c r="AK403" s="377"/>
      <c r="AL403" s="377"/>
      <c r="AM403" s="377"/>
      <c r="AN403" s="377"/>
      <c r="AO403" s="377"/>
      <c r="AP403" s="377"/>
      <c r="AQ403" s="377"/>
      <c r="AR403" s="377"/>
      <c r="AS403" s="377"/>
      <c r="AT403" s="377"/>
      <c r="AU403" s="377"/>
      <c r="AV403" s="377"/>
      <c r="AW403" s="377"/>
      <c r="AX403" s="377"/>
      <c r="AY403" s="377"/>
      <c r="AZ403" s="377"/>
      <c r="BA403" s="377"/>
      <c r="BB403" s="377"/>
      <c r="BC403" s="377"/>
      <c r="BD403" s="377"/>
      <c r="BE403" s="377"/>
      <c r="BF403" s="377"/>
      <c r="BG403" s="377"/>
      <c r="BH403" s="377"/>
      <c r="BI403" s="377"/>
      <c r="BJ403" s="377"/>
      <c r="BK403" s="377"/>
      <c r="BL403" s="377"/>
      <c r="BM403" s="377"/>
      <c r="BN403" s="377"/>
      <c r="BO403" s="377"/>
      <c r="BP403" s="377"/>
      <c r="BQ403" s="377"/>
      <c r="BR403" s="377"/>
    </row>
    <row r="404" spans="1:70" outlineLevel="1">
      <c r="A404" s="374">
        <f t="shared" si="181"/>
        <v>0</v>
      </c>
      <c r="B404" s="359"/>
      <c r="C404" s="359"/>
      <c r="D404" s="360"/>
      <c r="E404" s="360"/>
      <c r="F404" s="373"/>
      <c r="G404" s="360"/>
      <c r="H404" s="377"/>
      <c r="I404" s="537"/>
      <c r="J404" s="546"/>
      <c r="K404" s="377"/>
      <c r="L404" s="377"/>
      <c r="M404" s="377"/>
      <c r="N404" s="377"/>
      <c r="O404" s="377"/>
      <c r="P404" s="377"/>
      <c r="Q404" s="377"/>
      <c r="R404" s="377"/>
      <c r="S404" s="377"/>
      <c r="T404" s="377"/>
      <c r="U404" s="377"/>
      <c r="V404" s="377"/>
      <c r="W404" s="377"/>
      <c r="X404" s="377"/>
      <c r="Y404" s="377"/>
      <c r="Z404" s="377"/>
      <c r="AA404" s="377"/>
      <c r="AB404" s="377"/>
      <c r="AC404" s="377"/>
      <c r="AD404" s="377"/>
      <c r="AE404" s="377"/>
      <c r="AF404" s="377"/>
      <c r="AG404" s="377"/>
      <c r="AH404" s="377"/>
      <c r="AI404" s="377"/>
      <c r="AJ404" s="377"/>
      <c r="AK404" s="377"/>
      <c r="AL404" s="377"/>
      <c r="AM404" s="377"/>
      <c r="AN404" s="377"/>
      <c r="AO404" s="377"/>
      <c r="AP404" s="377"/>
      <c r="AQ404" s="377"/>
      <c r="AR404" s="377"/>
      <c r="AS404" s="377"/>
      <c r="AT404" s="377"/>
      <c r="AU404" s="377"/>
      <c r="AV404" s="377"/>
      <c r="AW404" s="377"/>
      <c r="AX404" s="377"/>
      <c r="AY404" s="377"/>
      <c r="AZ404" s="377"/>
      <c r="BA404" s="377"/>
      <c r="BB404" s="377"/>
      <c r="BC404" s="377"/>
      <c r="BD404" s="377"/>
      <c r="BE404" s="377"/>
      <c r="BF404" s="377"/>
      <c r="BG404" s="377"/>
      <c r="BH404" s="377"/>
      <c r="BI404" s="377"/>
      <c r="BJ404" s="377"/>
      <c r="BK404" s="377"/>
      <c r="BL404" s="377"/>
      <c r="BM404" s="377"/>
      <c r="BN404" s="377"/>
      <c r="BO404" s="377"/>
      <c r="BP404" s="377"/>
      <c r="BQ404" s="377"/>
      <c r="BR404" s="377"/>
    </row>
    <row r="405" spans="1:70" outlineLevel="1">
      <c r="A405" s="374">
        <f t="shared" si="181"/>
        <v>0</v>
      </c>
      <c r="B405" s="359"/>
      <c r="C405" s="359"/>
      <c r="D405" s="360"/>
      <c r="E405" s="360"/>
      <c r="F405" s="373"/>
      <c r="G405" s="360"/>
      <c r="H405" s="377"/>
      <c r="I405" s="537"/>
      <c r="J405" s="546"/>
      <c r="K405" s="377"/>
      <c r="L405" s="377"/>
      <c r="M405" s="377"/>
      <c r="N405" s="377"/>
      <c r="O405" s="377"/>
      <c r="P405" s="377"/>
      <c r="Q405" s="377"/>
      <c r="R405" s="377"/>
      <c r="S405" s="377"/>
      <c r="T405" s="377"/>
      <c r="U405" s="377"/>
      <c r="V405" s="377"/>
      <c r="W405" s="377"/>
      <c r="X405" s="377"/>
      <c r="Y405" s="377"/>
      <c r="Z405" s="377"/>
      <c r="AA405" s="377"/>
      <c r="AB405" s="377"/>
      <c r="AC405" s="377"/>
      <c r="AD405" s="377"/>
      <c r="AE405" s="377"/>
      <c r="AF405" s="377"/>
      <c r="AG405" s="377"/>
      <c r="AH405" s="377"/>
      <c r="AI405" s="377"/>
      <c r="AJ405" s="377"/>
      <c r="AK405" s="377"/>
      <c r="AL405" s="377"/>
      <c r="AM405" s="377"/>
      <c r="AN405" s="377"/>
      <c r="AO405" s="377"/>
      <c r="AP405" s="377"/>
      <c r="AQ405" s="377"/>
      <c r="AR405" s="377"/>
      <c r="AS405" s="377"/>
      <c r="AT405" s="377"/>
      <c r="AU405" s="377"/>
      <c r="AV405" s="377"/>
      <c r="AW405" s="377"/>
      <c r="AX405" s="377"/>
      <c r="AY405" s="377"/>
      <c r="AZ405" s="377"/>
      <c r="BA405" s="377"/>
      <c r="BB405" s="377"/>
      <c r="BC405" s="377"/>
      <c r="BD405" s="377"/>
      <c r="BE405" s="377"/>
      <c r="BF405" s="377"/>
      <c r="BG405" s="377"/>
      <c r="BH405" s="377"/>
      <c r="BI405" s="377"/>
      <c r="BJ405" s="377"/>
      <c r="BK405" s="377"/>
      <c r="BL405" s="377"/>
      <c r="BM405" s="377"/>
      <c r="BN405" s="377"/>
      <c r="BO405" s="377"/>
      <c r="BP405" s="377"/>
      <c r="BQ405" s="377"/>
      <c r="BR405" s="377"/>
    </row>
    <row r="406" spans="1:70" s="353" customFormat="1" outlineLevel="1">
      <c r="A406" s="374">
        <f t="shared" si="181"/>
        <v>0</v>
      </c>
      <c r="B406" s="363">
        <v>6500</v>
      </c>
      <c r="C406" s="363"/>
      <c r="D406" s="364" t="s">
        <v>444</v>
      </c>
      <c r="E406" s="364"/>
      <c r="F406" s="364"/>
      <c r="G406" s="364"/>
      <c r="H406" s="378"/>
      <c r="I406" s="538"/>
      <c r="J406" s="547"/>
      <c r="K406" s="378"/>
      <c r="L406" s="378"/>
      <c r="M406" s="378"/>
      <c r="N406" s="378"/>
      <c r="O406" s="378"/>
      <c r="P406" s="378"/>
      <c r="Q406" s="378"/>
      <c r="R406" s="378"/>
      <c r="S406" s="378"/>
      <c r="T406" s="378"/>
      <c r="U406" s="378"/>
      <c r="V406" s="378"/>
      <c r="W406" s="378"/>
      <c r="X406" s="378"/>
      <c r="Y406" s="378"/>
      <c r="Z406" s="378"/>
      <c r="AA406" s="378"/>
      <c r="AB406" s="378"/>
      <c r="AC406" s="378"/>
      <c r="AD406" s="378"/>
      <c r="AE406" s="378"/>
      <c r="AF406" s="378"/>
      <c r="AG406" s="378"/>
      <c r="AH406" s="378"/>
      <c r="AI406" s="378"/>
      <c r="AJ406" s="378"/>
      <c r="AK406" s="378"/>
      <c r="AL406" s="378"/>
      <c r="AM406" s="378"/>
      <c r="AN406" s="378"/>
      <c r="AO406" s="378"/>
      <c r="AP406" s="378"/>
      <c r="AQ406" s="378"/>
      <c r="AR406" s="378"/>
      <c r="AS406" s="378"/>
      <c r="AT406" s="378"/>
      <c r="AU406" s="378"/>
      <c r="AV406" s="378"/>
      <c r="AW406" s="378"/>
      <c r="AX406" s="378"/>
      <c r="AY406" s="378"/>
      <c r="AZ406" s="378"/>
      <c r="BA406" s="378"/>
      <c r="BB406" s="378"/>
      <c r="BC406" s="378"/>
      <c r="BD406" s="378"/>
      <c r="BE406" s="378"/>
      <c r="BF406" s="378"/>
      <c r="BG406" s="378"/>
      <c r="BH406" s="378"/>
      <c r="BI406" s="378"/>
      <c r="BJ406" s="378"/>
      <c r="BK406" s="378"/>
      <c r="BL406" s="378"/>
      <c r="BM406" s="378"/>
      <c r="BN406" s="378"/>
      <c r="BO406" s="378"/>
      <c r="BP406" s="378"/>
      <c r="BQ406" s="378"/>
      <c r="BR406" s="378"/>
    </row>
    <row r="407" spans="1:70" outlineLevel="1">
      <c r="A407" s="374">
        <f t="shared" si="181"/>
        <v>0</v>
      </c>
      <c r="B407" s="359"/>
      <c r="C407" s="359"/>
      <c r="D407" s="360"/>
      <c r="E407" s="360"/>
      <c r="F407" s="373"/>
      <c r="G407" s="360"/>
      <c r="H407" s="377"/>
      <c r="I407" s="537"/>
      <c r="J407" s="546"/>
      <c r="K407" s="377"/>
      <c r="L407" s="377"/>
      <c r="M407" s="377"/>
      <c r="N407" s="377"/>
      <c r="O407" s="377"/>
      <c r="P407" s="377"/>
      <c r="Q407" s="377"/>
      <c r="R407" s="377"/>
      <c r="S407" s="377"/>
      <c r="T407" s="377"/>
      <c r="U407" s="377"/>
      <c r="V407" s="377"/>
      <c r="W407" s="377"/>
      <c r="X407" s="377"/>
      <c r="Y407" s="377"/>
      <c r="Z407" s="377"/>
      <c r="AA407" s="377"/>
      <c r="AB407" s="377"/>
      <c r="AC407" s="377"/>
      <c r="AD407" s="377"/>
      <c r="AE407" s="377"/>
      <c r="AF407" s="377"/>
      <c r="AG407" s="377"/>
      <c r="AH407" s="377"/>
      <c r="AI407" s="377"/>
      <c r="AJ407" s="377"/>
      <c r="AK407" s="377"/>
      <c r="AL407" s="377"/>
      <c r="AM407" s="377"/>
      <c r="AN407" s="377"/>
      <c r="AO407" s="377"/>
      <c r="AP407" s="377"/>
      <c r="AQ407" s="377"/>
      <c r="AR407" s="377"/>
      <c r="AS407" s="377"/>
      <c r="AT407" s="377"/>
      <c r="AU407" s="377"/>
      <c r="AV407" s="377"/>
      <c r="AW407" s="377"/>
      <c r="AX407" s="377"/>
      <c r="AY407" s="377"/>
      <c r="AZ407" s="377"/>
      <c r="BA407" s="377"/>
      <c r="BB407" s="377"/>
      <c r="BC407" s="377"/>
      <c r="BD407" s="377"/>
      <c r="BE407" s="377"/>
      <c r="BF407" s="377"/>
      <c r="BG407" s="377"/>
      <c r="BH407" s="377"/>
      <c r="BI407" s="377"/>
      <c r="BJ407" s="377"/>
      <c r="BK407" s="377"/>
      <c r="BL407" s="377"/>
      <c r="BM407" s="377"/>
      <c r="BN407" s="377"/>
      <c r="BO407" s="377"/>
      <c r="BP407" s="377"/>
      <c r="BQ407" s="377"/>
      <c r="BR407" s="377"/>
    </row>
    <row r="408" spans="1:70" outlineLevel="1">
      <c r="A408" s="374">
        <f t="shared" si="181"/>
        <v>0</v>
      </c>
      <c r="B408" s="359"/>
      <c r="C408" s="359"/>
      <c r="D408" s="360"/>
      <c r="E408" s="360"/>
      <c r="F408" s="373"/>
      <c r="G408" s="360"/>
      <c r="H408" s="377"/>
      <c r="I408" s="537"/>
      <c r="J408" s="546"/>
      <c r="K408" s="377"/>
      <c r="L408" s="377"/>
      <c r="M408" s="377"/>
      <c r="N408" s="377"/>
      <c r="O408" s="377"/>
      <c r="P408" s="377"/>
      <c r="Q408" s="377"/>
      <c r="R408" s="377"/>
      <c r="S408" s="377"/>
      <c r="T408" s="377"/>
      <c r="U408" s="377"/>
      <c r="V408" s="377"/>
      <c r="W408" s="377"/>
      <c r="X408" s="377"/>
      <c r="Y408" s="377"/>
      <c r="Z408" s="377"/>
      <c r="AA408" s="377"/>
      <c r="AB408" s="377"/>
      <c r="AC408" s="377"/>
      <c r="AD408" s="377"/>
      <c r="AE408" s="377"/>
      <c r="AF408" s="377"/>
      <c r="AG408" s="377"/>
      <c r="AH408" s="377"/>
      <c r="AI408" s="377"/>
      <c r="AJ408" s="377"/>
      <c r="AK408" s="377"/>
      <c r="AL408" s="377"/>
      <c r="AM408" s="377"/>
      <c r="AN408" s="377"/>
      <c r="AO408" s="377"/>
      <c r="AP408" s="377"/>
      <c r="AQ408" s="377"/>
      <c r="AR408" s="377"/>
      <c r="AS408" s="377"/>
      <c r="AT408" s="377"/>
      <c r="AU408" s="377"/>
      <c r="AV408" s="377"/>
      <c r="AW408" s="377"/>
      <c r="AX408" s="377"/>
      <c r="AY408" s="377"/>
      <c r="AZ408" s="377"/>
      <c r="BA408" s="377"/>
      <c r="BB408" s="377"/>
      <c r="BC408" s="377"/>
      <c r="BD408" s="377"/>
      <c r="BE408" s="377"/>
      <c r="BF408" s="377"/>
      <c r="BG408" s="377"/>
      <c r="BH408" s="377"/>
      <c r="BI408" s="377"/>
      <c r="BJ408" s="377"/>
      <c r="BK408" s="377"/>
      <c r="BL408" s="377"/>
      <c r="BM408" s="377"/>
      <c r="BN408" s="377"/>
      <c r="BO408" s="377"/>
      <c r="BP408" s="377"/>
      <c r="BQ408" s="377"/>
      <c r="BR408" s="377"/>
    </row>
    <row r="409" spans="1:70" outlineLevel="1">
      <c r="A409" s="374">
        <f t="shared" si="181"/>
        <v>0</v>
      </c>
      <c r="B409" s="359"/>
      <c r="C409" s="359"/>
      <c r="D409" s="360"/>
      <c r="E409" s="360"/>
      <c r="F409" s="373"/>
      <c r="G409" s="360"/>
      <c r="H409" s="377"/>
      <c r="I409" s="537"/>
      <c r="J409" s="546"/>
      <c r="K409" s="377"/>
      <c r="L409" s="377"/>
      <c r="M409" s="377"/>
      <c r="N409" s="377"/>
      <c r="O409" s="377"/>
      <c r="P409" s="377"/>
      <c r="Q409" s="377"/>
      <c r="R409" s="377"/>
      <c r="S409" s="377"/>
      <c r="T409" s="377"/>
      <c r="U409" s="377"/>
      <c r="V409" s="377"/>
      <c r="W409" s="377"/>
      <c r="X409" s="377"/>
      <c r="Y409" s="377"/>
      <c r="Z409" s="377"/>
      <c r="AA409" s="377"/>
      <c r="AB409" s="377"/>
      <c r="AC409" s="377"/>
      <c r="AD409" s="377"/>
      <c r="AE409" s="377"/>
      <c r="AF409" s="377"/>
      <c r="AG409" s="377"/>
      <c r="AH409" s="377"/>
      <c r="AI409" s="377"/>
      <c r="AJ409" s="377"/>
      <c r="AK409" s="377"/>
      <c r="AL409" s="377"/>
      <c r="AM409" s="377"/>
      <c r="AN409" s="377"/>
      <c r="AO409" s="377"/>
      <c r="AP409" s="377"/>
      <c r="AQ409" s="377"/>
      <c r="AR409" s="377"/>
      <c r="AS409" s="377"/>
      <c r="AT409" s="377"/>
      <c r="AU409" s="377"/>
      <c r="AV409" s="377"/>
      <c r="AW409" s="377"/>
      <c r="AX409" s="377"/>
      <c r="AY409" s="377"/>
      <c r="AZ409" s="377"/>
      <c r="BA409" s="377"/>
      <c r="BB409" s="377"/>
      <c r="BC409" s="377"/>
      <c r="BD409" s="377"/>
      <c r="BE409" s="377"/>
      <c r="BF409" s="377"/>
      <c r="BG409" s="377"/>
      <c r="BH409" s="377"/>
      <c r="BI409" s="377"/>
      <c r="BJ409" s="377"/>
      <c r="BK409" s="377"/>
      <c r="BL409" s="377"/>
      <c r="BM409" s="377"/>
      <c r="BN409" s="377"/>
      <c r="BO409" s="377"/>
      <c r="BP409" s="377"/>
      <c r="BQ409" s="377"/>
      <c r="BR409" s="377"/>
    </row>
    <row r="410" spans="1:70" s="353" customFormat="1" outlineLevel="1">
      <c r="A410" s="374">
        <f t="shared" si="181"/>
        <v>0</v>
      </c>
      <c r="B410" s="363">
        <v>6600</v>
      </c>
      <c r="C410" s="363"/>
      <c r="D410" s="364" t="s">
        <v>445</v>
      </c>
      <c r="E410" s="364"/>
      <c r="F410" s="364"/>
      <c r="G410" s="364"/>
      <c r="H410" s="378"/>
      <c r="I410" s="538"/>
      <c r="J410" s="547"/>
      <c r="K410" s="378"/>
      <c r="L410" s="378"/>
      <c r="M410" s="378"/>
      <c r="N410" s="378"/>
      <c r="O410" s="378"/>
      <c r="P410" s="378"/>
      <c r="Q410" s="378"/>
      <c r="R410" s="378"/>
      <c r="S410" s="378"/>
      <c r="T410" s="378"/>
      <c r="U410" s="378"/>
      <c r="V410" s="378"/>
      <c r="W410" s="378"/>
      <c r="X410" s="378"/>
      <c r="Y410" s="378"/>
      <c r="Z410" s="378"/>
      <c r="AA410" s="378"/>
      <c r="AB410" s="378"/>
      <c r="AC410" s="378"/>
      <c r="AD410" s="378"/>
      <c r="AE410" s="378"/>
      <c r="AF410" s="378"/>
      <c r="AG410" s="378"/>
      <c r="AH410" s="378"/>
      <c r="AI410" s="378"/>
      <c r="AJ410" s="378"/>
      <c r="AK410" s="378"/>
      <c r="AL410" s="378"/>
      <c r="AM410" s="378"/>
      <c r="AN410" s="378"/>
      <c r="AO410" s="378"/>
      <c r="AP410" s="378"/>
      <c r="AQ410" s="378"/>
      <c r="AR410" s="378"/>
      <c r="AS410" s="378"/>
      <c r="AT410" s="378"/>
      <c r="AU410" s="378"/>
      <c r="AV410" s="378"/>
      <c r="AW410" s="378"/>
      <c r="AX410" s="378"/>
      <c r="AY410" s="378"/>
      <c r="AZ410" s="378"/>
      <c r="BA410" s="378"/>
      <c r="BB410" s="378"/>
      <c r="BC410" s="378"/>
      <c r="BD410" s="378"/>
      <c r="BE410" s="378"/>
      <c r="BF410" s="378"/>
      <c r="BG410" s="378"/>
      <c r="BH410" s="378"/>
      <c r="BI410" s="378"/>
      <c r="BJ410" s="378"/>
      <c r="BK410" s="378"/>
      <c r="BL410" s="378"/>
      <c r="BM410" s="378"/>
      <c r="BN410" s="378"/>
      <c r="BO410" s="378"/>
      <c r="BP410" s="378"/>
      <c r="BQ410" s="378"/>
      <c r="BR410" s="378"/>
    </row>
    <row r="411" spans="1:70" outlineLevel="1">
      <c r="A411" s="374">
        <f t="shared" si="181"/>
        <v>0</v>
      </c>
      <c r="B411" s="359"/>
      <c r="C411" s="359"/>
      <c r="D411" s="360"/>
      <c r="E411" s="360"/>
      <c r="F411" s="373"/>
      <c r="G411" s="360"/>
      <c r="H411" s="377"/>
      <c r="I411" s="537"/>
      <c r="J411" s="546"/>
      <c r="K411" s="377"/>
      <c r="L411" s="377"/>
      <c r="M411" s="377"/>
      <c r="N411" s="377"/>
      <c r="O411" s="377"/>
      <c r="P411" s="377"/>
      <c r="Q411" s="377"/>
      <c r="R411" s="377"/>
      <c r="S411" s="377"/>
      <c r="T411" s="377"/>
      <c r="U411" s="377"/>
      <c r="V411" s="377"/>
      <c r="W411" s="377"/>
      <c r="X411" s="377"/>
      <c r="Y411" s="377"/>
      <c r="Z411" s="377"/>
      <c r="AA411" s="377"/>
      <c r="AB411" s="377"/>
      <c r="AC411" s="377"/>
      <c r="AD411" s="377"/>
      <c r="AE411" s="377"/>
      <c r="AF411" s="377"/>
      <c r="AG411" s="377"/>
      <c r="AH411" s="377"/>
      <c r="AI411" s="377"/>
      <c r="AJ411" s="377"/>
      <c r="AK411" s="377"/>
      <c r="AL411" s="377"/>
      <c r="AM411" s="377"/>
      <c r="AN411" s="377"/>
      <c r="AO411" s="377"/>
      <c r="AP411" s="377"/>
      <c r="AQ411" s="377"/>
      <c r="AR411" s="377"/>
      <c r="AS411" s="377"/>
      <c r="AT411" s="377"/>
      <c r="AU411" s="377"/>
      <c r="AV411" s="377"/>
      <c r="AW411" s="377"/>
      <c r="AX411" s="377"/>
      <c r="AY411" s="377"/>
      <c r="AZ411" s="377"/>
      <c r="BA411" s="377"/>
      <c r="BB411" s="377"/>
      <c r="BC411" s="377"/>
      <c r="BD411" s="377"/>
      <c r="BE411" s="377"/>
      <c r="BF411" s="377"/>
      <c r="BG411" s="377"/>
      <c r="BH411" s="377"/>
      <c r="BI411" s="377"/>
      <c r="BJ411" s="377"/>
      <c r="BK411" s="377"/>
      <c r="BL411" s="377"/>
      <c r="BM411" s="377"/>
      <c r="BN411" s="377"/>
      <c r="BO411" s="377"/>
      <c r="BP411" s="377"/>
      <c r="BQ411" s="377"/>
      <c r="BR411" s="377"/>
    </row>
    <row r="412" spans="1:70" outlineLevel="1">
      <c r="A412" s="374">
        <f t="shared" si="181"/>
        <v>0</v>
      </c>
      <c r="B412" s="359"/>
      <c r="C412" s="359"/>
      <c r="D412" s="360"/>
      <c r="E412" s="360"/>
      <c r="F412" s="373"/>
      <c r="G412" s="360"/>
      <c r="H412" s="377"/>
      <c r="I412" s="537"/>
      <c r="J412" s="546"/>
      <c r="K412" s="377"/>
      <c r="L412" s="377"/>
      <c r="M412" s="377"/>
      <c r="N412" s="377"/>
      <c r="O412" s="377"/>
      <c r="P412" s="377"/>
      <c r="Q412" s="377"/>
      <c r="R412" s="377"/>
      <c r="S412" s="377"/>
      <c r="T412" s="377"/>
      <c r="U412" s="377"/>
      <c r="V412" s="377"/>
      <c r="W412" s="377"/>
      <c r="X412" s="377"/>
      <c r="Y412" s="377"/>
      <c r="Z412" s="377"/>
      <c r="AA412" s="377"/>
      <c r="AB412" s="377"/>
      <c r="AC412" s="377"/>
      <c r="AD412" s="377"/>
      <c r="AE412" s="377"/>
      <c r="AF412" s="377"/>
      <c r="AG412" s="377"/>
      <c r="AH412" s="377"/>
      <c r="AI412" s="377"/>
      <c r="AJ412" s="377"/>
      <c r="AK412" s="377"/>
      <c r="AL412" s="377"/>
      <c r="AM412" s="377"/>
      <c r="AN412" s="377"/>
      <c r="AO412" s="377"/>
      <c r="AP412" s="377"/>
      <c r="AQ412" s="377"/>
      <c r="AR412" s="377"/>
      <c r="AS412" s="377"/>
      <c r="AT412" s="377"/>
      <c r="AU412" s="377"/>
      <c r="AV412" s="377"/>
      <c r="AW412" s="377"/>
      <c r="AX412" s="377"/>
      <c r="AY412" s="377"/>
      <c r="AZ412" s="377"/>
      <c r="BA412" s="377"/>
      <c r="BB412" s="377"/>
      <c r="BC412" s="377"/>
      <c r="BD412" s="377"/>
      <c r="BE412" s="377"/>
      <c r="BF412" s="377"/>
      <c r="BG412" s="377"/>
      <c r="BH412" s="377"/>
      <c r="BI412" s="377"/>
      <c r="BJ412" s="377"/>
      <c r="BK412" s="377"/>
      <c r="BL412" s="377"/>
      <c r="BM412" s="377"/>
      <c r="BN412" s="377"/>
      <c r="BO412" s="377"/>
      <c r="BP412" s="377"/>
      <c r="BQ412" s="377"/>
      <c r="BR412" s="377"/>
    </row>
    <row r="413" spans="1:70" outlineLevel="1">
      <c r="A413" s="374">
        <f t="shared" si="181"/>
        <v>0</v>
      </c>
      <c r="B413" s="359"/>
      <c r="C413" s="359"/>
      <c r="D413" s="360"/>
      <c r="E413" s="360"/>
      <c r="F413" s="373"/>
      <c r="G413" s="360"/>
      <c r="H413" s="377"/>
      <c r="I413" s="537"/>
      <c r="J413" s="546"/>
      <c r="K413" s="377"/>
      <c r="L413" s="377"/>
      <c r="M413" s="377"/>
      <c r="N413" s="377"/>
      <c r="O413" s="377"/>
      <c r="P413" s="377"/>
      <c r="Q413" s="377"/>
      <c r="R413" s="377"/>
      <c r="S413" s="377"/>
      <c r="T413" s="377"/>
      <c r="U413" s="377"/>
      <c r="V413" s="377"/>
      <c r="W413" s="377"/>
      <c r="X413" s="377"/>
      <c r="Y413" s="377"/>
      <c r="Z413" s="377"/>
      <c r="AA413" s="377"/>
      <c r="AB413" s="377"/>
      <c r="AC413" s="377"/>
      <c r="AD413" s="377"/>
      <c r="AE413" s="377"/>
      <c r="AF413" s="377"/>
      <c r="AG413" s="377"/>
      <c r="AH413" s="377"/>
      <c r="AI413" s="377"/>
      <c r="AJ413" s="377"/>
      <c r="AK413" s="377"/>
      <c r="AL413" s="377"/>
      <c r="AM413" s="377"/>
      <c r="AN413" s="377"/>
      <c r="AO413" s="377"/>
      <c r="AP413" s="377"/>
      <c r="AQ413" s="377"/>
      <c r="AR413" s="377"/>
      <c r="AS413" s="377"/>
      <c r="AT413" s="377"/>
      <c r="AU413" s="377"/>
      <c r="AV413" s="377"/>
      <c r="AW413" s="377"/>
      <c r="AX413" s="377"/>
      <c r="AY413" s="377"/>
      <c r="AZ413" s="377"/>
      <c r="BA413" s="377"/>
      <c r="BB413" s="377"/>
      <c r="BC413" s="377"/>
      <c r="BD413" s="377"/>
      <c r="BE413" s="377"/>
      <c r="BF413" s="377"/>
      <c r="BG413" s="377"/>
      <c r="BH413" s="377"/>
      <c r="BI413" s="377"/>
      <c r="BJ413" s="377"/>
      <c r="BK413" s="377"/>
      <c r="BL413" s="377"/>
      <c r="BM413" s="377"/>
      <c r="BN413" s="377"/>
      <c r="BO413" s="377"/>
      <c r="BP413" s="377"/>
      <c r="BQ413" s="377"/>
      <c r="BR413" s="377"/>
    </row>
    <row r="414" spans="1:70" s="353" customFormat="1" outlineLevel="1">
      <c r="A414" s="374">
        <f t="shared" ref="A414:A417" si="182">I414-SUM(K414:BR414)</f>
        <v>0</v>
      </c>
      <c r="B414" s="363">
        <v>6700</v>
      </c>
      <c r="C414" s="363"/>
      <c r="D414" s="364" t="s">
        <v>446</v>
      </c>
      <c r="E414" s="364"/>
      <c r="F414" s="364"/>
      <c r="G414" s="364"/>
      <c r="H414" s="378"/>
      <c r="I414" s="538"/>
      <c r="J414" s="547"/>
      <c r="K414" s="378"/>
      <c r="L414" s="378"/>
      <c r="M414" s="378"/>
      <c r="N414" s="378"/>
      <c r="O414" s="378"/>
      <c r="P414" s="378"/>
      <c r="Q414" s="378"/>
      <c r="R414" s="378"/>
      <c r="S414" s="378"/>
      <c r="T414" s="378"/>
      <c r="U414" s="378"/>
      <c r="V414" s="378"/>
      <c r="W414" s="378"/>
      <c r="X414" s="378"/>
      <c r="Y414" s="378"/>
      <c r="Z414" s="378"/>
      <c r="AA414" s="378"/>
      <c r="AB414" s="378"/>
      <c r="AC414" s="378"/>
      <c r="AD414" s="378"/>
      <c r="AE414" s="378"/>
      <c r="AF414" s="378"/>
      <c r="AG414" s="378"/>
      <c r="AH414" s="378"/>
      <c r="AI414" s="378"/>
      <c r="AJ414" s="378"/>
      <c r="AK414" s="378"/>
      <c r="AL414" s="378"/>
      <c r="AM414" s="378"/>
      <c r="AN414" s="378"/>
      <c r="AO414" s="378"/>
      <c r="AP414" s="378"/>
      <c r="AQ414" s="378"/>
      <c r="AR414" s="378"/>
      <c r="AS414" s="378"/>
      <c r="AT414" s="378"/>
      <c r="AU414" s="378"/>
      <c r="AV414" s="378"/>
      <c r="AW414" s="378"/>
      <c r="AX414" s="378"/>
      <c r="AY414" s="378"/>
      <c r="AZ414" s="378"/>
      <c r="BA414" s="378"/>
      <c r="BB414" s="378"/>
      <c r="BC414" s="378"/>
      <c r="BD414" s="378"/>
      <c r="BE414" s="378"/>
      <c r="BF414" s="378"/>
      <c r="BG414" s="378"/>
      <c r="BH414" s="378"/>
      <c r="BI414" s="378"/>
      <c r="BJ414" s="378"/>
      <c r="BK414" s="378"/>
      <c r="BL414" s="378"/>
      <c r="BM414" s="378"/>
      <c r="BN414" s="378"/>
      <c r="BO414" s="378"/>
      <c r="BP414" s="378"/>
      <c r="BQ414" s="378"/>
      <c r="BR414" s="378"/>
    </row>
    <row r="415" spans="1:70" outlineLevel="1">
      <c r="A415" s="374">
        <f t="shared" si="182"/>
        <v>0</v>
      </c>
      <c r="B415" s="359"/>
      <c r="C415" s="359"/>
      <c r="D415" s="360"/>
      <c r="E415" s="360"/>
      <c r="F415" s="373"/>
      <c r="G415" s="360"/>
      <c r="H415" s="377"/>
      <c r="I415" s="537"/>
      <c r="J415" s="546"/>
      <c r="K415" s="377"/>
      <c r="L415" s="377"/>
      <c r="M415" s="377"/>
      <c r="N415" s="377"/>
      <c r="O415" s="377"/>
      <c r="P415" s="377"/>
      <c r="Q415" s="377"/>
      <c r="R415" s="377"/>
      <c r="S415" s="377"/>
      <c r="T415" s="377"/>
      <c r="U415" s="377"/>
      <c r="V415" s="377"/>
      <c r="W415" s="377"/>
      <c r="X415" s="377"/>
      <c r="Y415" s="377"/>
      <c r="Z415" s="377"/>
      <c r="AA415" s="377"/>
      <c r="AB415" s="377"/>
      <c r="AC415" s="377"/>
      <c r="AD415" s="377"/>
      <c r="AE415" s="377"/>
      <c r="AF415" s="377"/>
      <c r="AG415" s="377"/>
      <c r="AH415" s="377"/>
      <c r="AI415" s="377"/>
      <c r="AJ415" s="377"/>
      <c r="AK415" s="377"/>
      <c r="AL415" s="377"/>
      <c r="AM415" s="377"/>
      <c r="AN415" s="377"/>
      <c r="AO415" s="377"/>
      <c r="AP415" s="377"/>
      <c r="AQ415" s="377"/>
      <c r="AR415" s="377"/>
      <c r="AS415" s="377"/>
      <c r="AT415" s="377"/>
      <c r="AU415" s="377"/>
      <c r="AV415" s="377"/>
      <c r="AW415" s="377"/>
      <c r="AX415" s="377"/>
      <c r="AY415" s="377"/>
      <c r="AZ415" s="377"/>
      <c r="BA415" s="377"/>
      <c r="BB415" s="377"/>
      <c r="BC415" s="377"/>
      <c r="BD415" s="377"/>
      <c r="BE415" s="377"/>
      <c r="BF415" s="377"/>
      <c r="BG415" s="377"/>
      <c r="BH415" s="377"/>
      <c r="BI415" s="377"/>
      <c r="BJ415" s="377"/>
      <c r="BK415" s="377"/>
      <c r="BL415" s="377"/>
      <c r="BM415" s="377"/>
      <c r="BN415" s="377"/>
      <c r="BO415" s="377"/>
      <c r="BP415" s="377"/>
      <c r="BQ415" s="377"/>
      <c r="BR415" s="377"/>
    </row>
    <row r="416" spans="1:70" outlineLevel="1">
      <c r="A416" s="374">
        <f t="shared" si="182"/>
        <v>0</v>
      </c>
      <c r="B416" s="359"/>
      <c r="C416" s="359"/>
      <c r="D416" s="360"/>
      <c r="E416" s="360"/>
      <c r="F416" s="373"/>
      <c r="G416" s="360"/>
      <c r="H416" s="377"/>
      <c r="I416" s="537"/>
      <c r="J416" s="546"/>
      <c r="K416" s="377"/>
      <c r="L416" s="377"/>
      <c r="M416" s="377"/>
      <c r="N416" s="377"/>
      <c r="O416" s="377"/>
      <c r="P416" s="377"/>
      <c r="Q416" s="377"/>
      <c r="R416" s="377"/>
      <c r="S416" s="377"/>
      <c r="T416" s="377"/>
      <c r="U416" s="377"/>
      <c r="V416" s="377"/>
      <c r="W416" s="377"/>
      <c r="X416" s="377"/>
      <c r="Y416" s="377"/>
      <c r="Z416" s="377"/>
      <c r="AA416" s="377"/>
      <c r="AB416" s="377"/>
      <c r="AC416" s="377"/>
      <c r="AD416" s="377"/>
      <c r="AE416" s="377"/>
      <c r="AF416" s="377"/>
      <c r="AG416" s="377"/>
      <c r="AH416" s="377"/>
      <c r="AI416" s="377"/>
      <c r="AJ416" s="377"/>
      <c r="AK416" s="377"/>
      <c r="AL416" s="377"/>
      <c r="AM416" s="377"/>
      <c r="AN416" s="377"/>
      <c r="AO416" s="377"/>
      <c r="AP416" s="377"/>
      <c r="AQ416" s="377"/>
      <c r="AR416" s="377"/>
      <c r="AS416" s="377"/>
      <c r="AT416" s="377"/>
      <c r="AU416" s="377"/>
      <c r="AV416" s="377"/>
      <c r="AW416" s="377"/>
      <c r="AX416" s="377"/>
      <c r="AY416" s="377"/>
      <c r="AZ416" s="377"/>
      <c r="BA416" s="377"/>
      <c r="BB416" s="377"/>
      <c r="BC416" s="377"/>
      <c r="BD416" s="377"/>
      <c r="BE416" s="377"/>
      <c r="BF416" s="377"/>
      <c r="BG416" s="377"/>
      <c r="BH416" s="377"/>
      <c r="BI416" s="377"/>
      <c r="BJ416" s="377"/>
      <c r="BK416" s="377"/>
      <c r="BL416" s="377"/>
      <c r="BM416" s="377"/>
      <c r="BN416" s="377"/>
      <c r="BO416" s="377"/>
      <c r="BP416" s="377"/>
      <c r="BQ416" s="377"/>
      <c r="BR416" s="377"/>
    </row>
    <row r="417" spans="1:70" outlineLevel="1">
      <c r="A417" s="374">
        <f t="shared" si="182"/>
        <v>0</v>
      </c>
      <c r="B417" s="359"/>
      <c r="C417" s="359"/>
      <c r="D417" s="360"/>
      <c r="E417" s="360"/>
      <c r="F417" s="373"/>
      <c r="G417" s="360"/>
      <c r="H417" s="377"/>
      <c r="I417" s="537"/>
      <c r="J417" s="546"/>
      <c r="K417" s="377"/>
      <c r="L417" s="377"/>
      <c r="M417" s="377"/>
      <c r="N417" s="377"/>
      <c r="O417" s="377"/>
      <c r="P417" s="377"/>
      <c r="Q417" s="377"/>
      <c r="R417" s="377"/>
      <c r="S417" s="377"/>
      <c r="T417" s="377"/>
      <c r="U417" s="377"/>
      <c r="V417" s="377"/>
      <c r="W417" s="377"/>
      <c r="X417" s="377"/>
      <c r="Y417" s="377"/>
      <c r="Z417" s="377"/>
      <c r="AA417" s="377"/>
      <c r="AB417" s="377"/>
      <c r="AC417" s="377"/>
      <c r="AD417" s="377"/>
      <c r="AE417" s="377"/>
      <c r="AF417" s="377"/>
      <c r="AG417" s="377"/>
      <c r="AH417" s="377"/>
      <c r="AI417" s="377"/>
      <c r="AJ417" s="377"/>
      <c r="AK417" s="377"/>
      <c r="AL417" s="377"/>
      <c r="AM417" s="377"/>
      <c r="AN417" s="377"/>
      <c r="AO417" s="377"/>
      <c r="AP417" s="377"/>
      <c r="AQ417" s="377"/>
      <c r="AR417" s="377"/>
      <c r="AS417" s="377"/>
      <c r="AT417" s="377"/>
      <c r="AU417" s="377"/>
      <c r="AV417" s="377"/>
      <c r="AW417" s="377"/>
      <c r="AX417" s="377"/>
      <c r="AY417" s="377"/>
      <c r="AZ417" s="377"/>
      <c r="BA417" s="377"/>
      <c r="BB417" s="377"/>
      <c r="BC417" s="377"/>
      <c r="BD417" s="377"/>
      <c r="BE417" s="377"/>
      <c r="BF417" s="377"/>
      <c r="BG417" s="377"/>
      <c r="BH417" s="377"/>
      <c r="BI417" s="377"/>
      <c r="BJ417" s="377"/>
      <c r="BK417" s="377"/>
      <c r="BL417" s="377"/>
      <c r="BM417" s="377"/>
      <c r="BN417" s="377"/>
      <c r="BO417" s="377"/>
      <c r="BP417" s="377"/>
      <c r="BQ417" s="377"/>
      <c r="BR417" s="377"/>
    </row>
    <row r="418" spans="1:70">
      <c r="H418" s="380"/>
      <c r="I418" s="542"/>
      <c r="J418" s="550"/>
      <c r="K418" s="380"/>
      <c r="L418" s="380"/>
      <c r="M418" s="380"/>
      <c r="N418" s="380"/>
      <c r="O418" s="380"/>
      <c r="P418" s="380"/>
      <c r="Q418" s="380"/>
      <c r="R418" s="380"/>
      <c r="S418" s="380"/>
      <c r="T418" s="380"/>
      <c r="U418" s="380"/>
      <c r="V418" s="380"/>
      <c r="W418" s="380"/>
      <c r="X418" s="380"/>
      <c r="Y418" s="380"/>
      <c r="Z418" s="380"/>
      <c r="AA418" s="380"/>
      <c r="AB418" s="380"/>
      <c r="AC418" s="380"/>
      <c r="AD418" s="380"/>
      <c r="AE418" s="380"/>
      <c r="AF418" s="380"/>
      <c r="AG418" s="380"/>
      <c r="AH418" s="380"/>
      <c r="AI418" s="380"/>
      <c r="AJ418" s="380"/>
      <c r="AK418" s="380"/>
      <c r="AL418" s="380"/>
      <c r="AM418" s="380"/>
      <c r="AN418" s="380"/>
      <c r="AO418" s="380"/>
      <c r="AP418" s="380"/>
      <c r="AQ418" s="380"/>
      <c r="AR418" s="380"/>
      <c r="AS418" s="380"/>
      <c r="AT418" s="380"/>
      <c r="AU418" s="380"/>
      <c r="AV418" s="380"/>
      <c r="AW418" s="380"/>
      <c r="AX418" s="380"/>
      <c r="AY418" s="380"/>
      <c r="AZ418" s="380"/>
      <c r="BA418" s="380"/>
      <c r="BB418" s="380"/>
      <c r="BC418" s="380"/>
      <c r="BD418" s="380"/>
      <c r="BE418" s="380"/>
      <c r="BF418" s="380"/>
      <c r="BG418" s="380"/>
      <c r="BH418" s="380"/>
      <c r="BI418" s="380"/>
      <c r="BJ418" s="380"/>
      <c r="BK418" s="380"/>
      <c r="BL418" s="380"/>
      <c r="BM418" s="380"/>
      <c r="BN418" s="380"/>
      <c r="BO418" s="380"/>
      <c r="BP418" s="380"/>
      <c r="BQ418" s="380"/>
      <c r="BR418" s="380"/>
    </row>
    <row r="419" spans="1:70">
      <c r="H419" s="380"/>
      <c r="I419" s="542"/>
      <c r="J419" s="550"/>
      <c r="K419" s="380"/>
      <c r="L419" s="380"/>
      <c r="M419" s="380"/>
      <c r="N419" s="380"/>
      <c r="O419" s="380"/>
      <c r="P419" s="380"/>
      <c r="Q419" s="380"/>
      <c r="R419" s="380"/>
      <c r="S419" s="380"/>
      <c r="T419" s="380"/>
      <c r="U419" s="380"/>
      <c r="V419" s="380"/>
      <c r="W419" s="380"/>
      <c r="X419" s="380"/>
      <c r="Y419" s="380"/>
      <c r="Z419" s="380"/>
      <c r="AA419" s="380"/>
      <c r="AB419" s="380"/>
      <c r="AC419" s="380"/>
      <c r="AD419" s="380"/>
      <c r="AE419" s="380"/>
      <c r="AF419" s="380"/>
      <c r="AG419" s="380"/>
      <c r="AH419" s="380"/>
      <c r="AI419" s="380"/>
      <c r="AJ419" s="380"/>
      <c r="AK419" s="380"/>
      <c r="AL419" s="380"/>
      <c r="AM419" s="380"/>
      <c r="AN419" s="380"/>
      <c r="AO419" s="380"/>
      <c r="AP419" s="380"/>
      <c r="AQ419" s="380"/>
      <c r="AR419" s="380"/>
      <c r="AS419" s="380"/>
      <c r="AT419" s="380"/>
      <c r="AU419" s="380"/>
      <c r="AV419" s="380"/>
      <c r="AW419" s="380"/>
      <c r="AX419" s="380"/>
      <c r="AY419" s="380"/>
      <c r="AZ419" s="380"/>
      <c r="BA419" s="380"/>
      <c r="BB419" s="380"/>
      <c r="BC419" s="380"/>
      <c r="BD419" s="380"/>
      <c r="BE419" s="380"/>
      <c r="BF419" s="380"/>
      <c r="BG419" s="380"/>
      <c r="BH419" s="380"/>
      <c r="BI419" s="380"/>
      <c r="BJ419" s="380"/>
      <c r="BK419" s="380"/>
      <c r="BL419" s="380"/>
      <c r="BM419" s="380"/>
      <c r="BN419" s="380"/>
      <c r="BO419" s="380"/>
      <c r="BP419" s="380"/>
      <c r="BQ419" s="380"/>
      <c r="BR419" s="380"/>
    </row>
  </sheetData>
  <autoFilter ref="B4:BR417" xr:uid="{6E559D64-90D0-EA49-956A-7C970EE59367}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DE4F4-3C63-7D4E-9879-9FC9D8575F60}">
  <sheetPr>
    <tabColor rgb="FFF0CCB9"/>
  </sheetPr>
  <dimension ref="A1:AF199"/>
  <sheetViews>
    <sheetView showGridLines="0" workbookViewId="0">
      <pane ySplit="1" topLeftCell="A2" activePane="bottomLeft" state="frozen"/>
      <selection activeCell="AF28" sqref="AF28"/>
      <selection pane="bottomLeft" activeCell="AF28" sqref="AF28"/>
    </sheetView>
  </sheetViews>
  <sheetFormatPr baseColWidth="10" defaultColWidth="11.5" defaultRowHeight="15" outlineLevelCol="1"/>
  <cols>
    <col min="1" max="4" width="6.83203125" bestFit="1" customWidth="1"/>
    <col min="5" max="5" width="10.6640625" bestFit="1" customWidth="1"/>
    <col min="7" max="7" width="35.83203125" customWidth="1"/>
    <col min="9" max="9" width="22.1640625" customWidth="1"/>
    <col min="10" max="10" width="23.1640625" customWidth="1"/>
    <col min="11" max="11" width="11.5" customWidth="1" outlineLevel="1"/>
    <col min="12" max="12" width="25.5" customWidth="1"/>
    <col min="13" max="13" width="11.5" customWidth="1" outlineLevel="1"/>
    <col min="14" max="14" width="9.5" customWidth="1" outlineLevel="1"/>
    <col min="15" max="15" width="46.5" customWidth="1"/>
    <col min="16" max="16" width="45.33203125" customWidth="1" outlineLevel="1"/>
    <col min="17" max="18" width="16.5" customWidth="1" outlineLevel="1"/>
    <col min="19" max="20" width="10.1640625" customWidth="1"/>
    <col min="21" max="21" width="16" customWidth="1"/>
  </cols>
  <sheetData>
    <row r="1" spans="1:21" ht="30">
      <c r="A1" s="368" t="s">
        <v>451</v>
      </c>
      <c r="B1" s="368" t="s">
        <v>450</v>
      </c>
      <c r="C1" s="368" t="s">
        <v>385</v>
      </c>
      <c r="D1" s="369" t="s">
        <v>856</v>
      </c>
      <c r="E1" s="351" t="s">
        <v>385</v>
      </c>
      <c r="F1" s="351" t="s">
        <v>386</v>
      </c>
      <c r="G1" s="351" t="s">
        <v>387</v>
      </c>
      <c r="H1" s="351" t="s">
        <v>388</v>
      </c>
      <c r="I1" s="351" t="s">
        <v>389</v>
      </c>
      <c r="J1" s="351" t="s">
        <v>390</v>
      </c>
      <c r="K1" s="351" t="s">
        <v>391</v>
      </c>
      <c r="L1" s="351" t="s">
        <v>392</v>
      </c>
      <c r="M1" s="351" t="s">
        <v>393</v>
      </c>
      <c r="N1" s="351" t="s">
        <v>394</v>
      </c>
      <c r="O1" s="351" t="s">
        <v>395</v>
      </c>
      <c r="P1" s="351" t="s">
        <v>396</v>
      </c>
      <c r="Q1" s="351" t="s">
        <v>397</v>
      </c>
      <c r="R1" s="351" t="s">
        <v>398</v>
      </c>
      <c r="S1" s="351" t="s">
        <v>399</v>
      </c>
      <c r="T1" s="351" t="s">
        <v>400</v>
      </c>
      <c r="U1" s="352">
        <f>SUBTOTAL(9,S:T)</f>
        <v>847988.23</v>
      </c>
    </row>
    <row r="2" spans="1:21">
      <c r="A2" s="370" t="str">
        <f>LEFT(G2,4)</f>
        <v>4105</v>
      </c>
      <c r="B2" s="372">
        <f>+S2+T2</f>
        <v>-490</v>
      </c>
      <c r="C2" s="370" t="str">
        <f>CONCATENATE(IF(MONTH(E2)&lt;=3,"1",IF(MONTH(E2)&lt;=6,"2",IF(MONTH(E2)&lt;=9,"3","4"))),"Q",YEAR(E2))</f>
        <v>2Q2023</v>
      </c>
      <c r="D2" s="533">
        <v>1</v>
      </c>
      <c r="E2" s="371">
        <v>45064</v>
      </c>
      <c r="F2" s="343" t="s">
        <v>491</v>
      </c>
      <c r="G2" s="343" t="s">
        <v>403</v>
      </c>
      <c r="H2" s="343" t="s">
        <v>492</v>
      </c>
      <c r="I2" s="343" t="s">
        <v>493</v>
      </c>
      <c r="J2" s="343"/>
      <c r="K2" s="343"/>
      <c r="L2" s="343" t="s">
        <v>494</v>
      </c>
      <c r="M2" s="343" t="s">
        <v>24</v>
      </c>
      <c r="N2" s="344">
        <v>1</v>
      </c>
      <c r="O2" s="343" t="s">
        <v>495</v>
      </c>
      <c r="P2" s="343" t="s">
        <v>496</v>
      </c>
      <c r="Q2" s="345"/>
      <c r="R2" s="345"/>
      <c r="S2" s="346"/>
      <c r="T2" s="345">
        <v>-490</v>
      </c>
    </row>
    <row r="3" spans="1:21" ht="24">
      <c r="A3" s="370" t="str">
        <f t="shared" ref="A3:A66" si="0">LEFT(G3,4)</f>
        <v>3511</v>
      </c>
      <c r="B3" s="372">
        <f t="shared" ref="B3:B66" si="1">+S3+T3</f>
        <v>200000</v>
      </c>
      <c r="C3" s="370" t="str">
        <f t="shared" ref="C3:C66" si="2">CONCATENATE(IF(MONTH(E3)&lt;=3,"1",IF(MONTH(E3)&lt;=6,"2",IF(MONTH(E3)&lt;=9,"3","4"))),"Q",YEAR(E3))</f>
        <v>2Q2023</v>
      </c>
      <c r="D3" s="533">
        <v>1</v>
      </c>
      <c r="E3" s="371">
        <v>45064</v>
      </c>
      <c r="F3" s="343" t="s">
        <v>491</v>
      </c>
      <c r="G3" s="343" t="s">
        <v>401</v>
      </c>
      <c r="H3" s="343" t="s">
        <v>492</v>
      </c>
      <c r="I3" s="343"/>
      <c r="J3" s="343"/>
      <c r="K3" s="343"/>
      <c r="L3" s="343" t="s">
        <v>494</v>
      </c>
      <c r="M3" s="343" t="s">
        <v>24</v>
      </c>
      <c r="N3" s="344">
        <v>1</v>
      </c>
      <c r="O3" s="343" t="s">
        <v>497</v>
      </c>
      <c r="P3" s="343" t="s">
        <v>498</v>
      </c>
      <c r="Q3" s="345"/>
      <c r="R3" s="345"/>
      <c r="S3" s="345">
        <v>200000</v>
      </c>
      <c r="T3" s="346"/>
    </row>
    <row r="4" spans="1:21">
      <c r="A4" s="370" t="str">
        <f t="shared" si="0"/>
        <v>4105</v>
      </c>
      <c r="B4" s="372">
        <f t="shared" si="1"/>
        <v>-490</v>
      </c>
      <c r="C4" s="370" t="str">
        <f t="shared" si="2"/>
        <v>2Q2023</v>
      </c>
      <c r="D4" s="533">
        <v>1</v>
      </c>
      <c r="E4" s="371">
        <v>45078</v>
      </c>
      <c r="F4" s="343" t="s">
        <v>491</v>
      </c>
      <c r="G4" s="343" t="s">
        <v>403</v>
      </c>
      <c r="H4" s="343" t="s">
        <v>492</v>
      </c>
      <c r="I4" s="343" t="s">
        <v>493</v>
      </c>
      <c r="J4" s="343"/>
      <c r="K4" s="343"/>
      <c r="L4" s="343" t="s">
        <v>494</v>
      </c>
      <c r="M4" s="343" t="s">
        <v>24</v>
      </c>
      <c r="N4" s="344">
        <v>1</v>
      </c>
      <c r="O4" s="343" t="s">
        <v>495</v>
      </c>
      <c r="P4" s="343" t="s">
        <v>499</v>
      </c>
      <c r="Q4" s="345"/>
      <c r="R4" s="345"/>
      <c r="S4" s="345"/>
      <c r="T4" s="346">
        <v>-490</v>
      </c>
    </row>
    <row r="5" spans="1:21" ht="24">
      <c r="A5" s="370" t="str">
        <f t="shared" si="0"/>
        <v>4105</v>
      </c>
      <c r="B5" s="372">
        <f t="shared" si="1"/>
        <v>-100</v>
      </c>
      <c r="C5" s="370" t="str">
        <f t="shared" si="2"/>
        <v>2Q2023</v>
      </c>
      <c r="D5" s="533">
        <v>1</v>
      </c>
      <c r="E5" s="371">
        <v>45082</v>
      </c>
      <c r="F5" s="343" t="s">
        <v>491</v>
      </c>
      <c r="G5" s="343" t="s">
        <v>403</v>
      </c>
      <c r="H5" s="343" t="s">
        <v>492</v>
      </c>
      <c r="I5" s="343" t="s">
        <v>493</v>
      </c>
      <c r="J5" s="343"/>
      <c r="K5" s="343"/>
      <c r="L5" s="343" t="s">
        <v>494</v>
      </c>
      <c r="M5" s="343" t="s">
        <v>24</v>
      </c>
      <c r="N5" s="344">
        <v>1</v>
      </c>
      <c r="O5" s="343" t="s">
        <v>500</v>
      </c>
      <c r="P5" s="343" t="s">
        <v>501</v>
      </c>
      <c r="Q5" s="345"/>
      <c r="R5" s="345"/>
      <c r="S5" s="345"/>
      <c r="T5" s="346">
        <v>-100</v>
      </c>
    </row>
    <row r="6" spans="1:21" ht="24">
      <c r="A6" s="370" t="str">
        <f t="shared" si="0"/>
        <v>4105</v>
      </c>
      <c r="B6" s="372">
        <f t="shared" si="1"/>
        <v>-100</v>
      </c>
      <c r="C6" s="370" t="str">
        <f t="shared" si="2"/>
        <v>2Q2023</v>
      </c>
      <c r="D6" s="533">
        <v>1</v>
      </c>
      <c r="E6" s="371">
        <v>45082</v>
      </c>
      <c r="F6" s="343" t="s">
        <v>491</v>
      </c>
      <c r="G6" s="343" t="s">
        <v>403</v>
      </c>
      <c r="H6" s="343" t="s">
        <v>492</v>
      </c>
      <c r="I6" s="343" t="s">
        <v>493</v>
      </c>
      <c r="J6" s="343"/>
      <c r="K6" s="343"/>
      <c r="L6" s="343" t="s">
        <v>494</v>
      </c>
      <c r="M6" s="343" t="s">
        <v>24</v>
      </c>
      <c r="N6" s="344">
        <v>1</v>
      </c>
      <c r="O6" s="343" t="s">
        <v>500</v>
      </c>
      <c r="P6" s="343" t="s">
        <v>502</v>
      </c>
      <c r="Q6" s="345"/>
      <c r="R6" s="345"/>
      <c r="S6" s="345"/>
      <c r="T6" s="346">
        <v>-100</v>
      </c>
    </row>
    <row r="7" spans="1:21" ht="24">
      <c r="A7" s="370" t="str">
        <f t="shared" si="0"/>
        <v>4107</v>
      </c>
      <c r="B7" s="372">
        <f t="shared" si="1"/>
        <v>-2200</v>
      </c>
      <c r="C7" s="370" t="str">
        <f t="shared" si="2"/>
        <v>2Q2023</v>
      </c>
      <c r="D7" s="533">
        <v>1</v>
      </c>
      <c r="E7" s="371">
        <v>45082</v>
      </c>
      <c r="F7" s="343" t="s">
        <v>491</v>
      </c>
      <c r="G7" s="343" t="s">
        <v>409</v>
      </c>
      <c r="H7" s="343" t="s">
        <v>492</v>
      </c>
      <c r="I7" s="343" t="s">
        <v>414</v>
      </c>
      <c r="J7" s="343" t="s">
        <v>413</v>
      </c>
      <c r="K7" s="343" t="s">
        <v>503</v>
      </c>
      <c r="L7" s="343" t="s">
        <v>494</v>
      </c>
      <c r="M7" s="343" t="s">
        <v>24</v>
      </c>
      <c r="N7" s="344">
        <v>1</v>
      </c>
      <c r="O7" s="343" t="s">
        <v>504</v>
      </c>
      <c r="P7" s="343" t="s">
        <v>505</v>
      </c>
      <c r="Q7" s="345"/>
      <c r="R7" s="345"/>
      <c r="S7" s="346"/>
      <c r="T7" s="345">
        <v>-2200</v>
      </c>
    </row>
    <row r="8" spans="1:21" ht="36">
      <c r="A8" s="370" t="str">
        <f t="shared" si="0"/>
        <v>4107</v>
      </c>
      <c r="B8" s="372">
        <f t="shared" si="1"/>
        <v>-4500</v>
      </c>
      <c r="C8" s="370" t="str">
        <f t="shared" si="2"/>
        <v>2Q2023</v>
      </c>
      <c r="D8" s="533">
        <v>1</v>
      </c>
      <c r="E8" s="371">
        <v>45082</v>
      </c>
      <c r="F8" s="343" t="s">
        <v>491</v>
      </c>
      <c r="G8" s="343" t="s">
        <v>409</v>
      </c>
      <c r="H8" s="343" t="s">
        <v>492</v>
      </c>
      <c r="I8" s="343" t="s">
        <v>368</v>
      </c>
      <c r="J8" s="343" t="s">
        <v>506</v>
      </c>
      <c r="K8" s="343" t="s">
        <v>507</v>
      </c>
      <c r="L8" s="343" t="s">
        <v>494</v>
      </c>
      <c r="M8" s="343" t="s">
        <v>24</v>
      </c>
      <c r="N8" s="344">
        <v>1</v>
      </c>
      <c r="O8" s="343" t="s">
        <v>508</v>
      </c>
      <c r="P8" s="343" t="s">
        <v>509</v>
      </c>
      <c r="Q8" s="345"/>
      <c r="R8" s="345"/>
      <c r="S8" s="345"/>
      <c r="T8" s="347">
        <v>-4500</v>
      </c>
    </row>
    <row r="9" spans="1:21" ht="36">
      <c r="A9" s="370" t="str">
        <f t="shared" si="0"/>
        <v>4107</v>
      </c>
      <c r="B9" s="372">
        <f t="shared" si="1"/>
        <v>-17142.86</v>
      </c>
      <c r="C9" s="370" t="str">
        <f t="shared" si="2"/>
        <v>2Q2023</v>
      </c>
      <c r="D9" s="533">
        <v>1</v>
      </c>
      <c r="E9" s="371">
        <v>45082</v>
      </c>
      <c r="F9" s="343" t="s">
        <v>491</v>
      </c>
      <c r="G9" s="343" t="s">
        <v>409</v>
      </c>
      <c r="H9" s="343" t="s">
        <v>492</v>
      </c>
      <c r="I9" s="343" t="s">
        <v>368</v>
      </c>
      <c r="J9" s="343" t="s">
        <v>510</v>
      </c>
      <c r="K9" s="343" t="s">
        <v>511</v>
      </c>
      <c r="L9" s="343" t="s">
        <v>494</v>
      </c>
      <c r="M9" s="343" t="s">
        <v>24</v>
      </c>
      <c r="N9" s="344">
        <v>1</v>
      </c>
      <c r="O9" s="343" t="s">
        <v>512</v>
      </c>
      <c r="P9" s="343" t="s">
        <v>513</v>
      </c>
      <c r="Q9" s="345"/>
      <c r="R9" s="345"/>
      <c r="S9" s="345"/>
      <c r="T9" s="348">
        <v>-17142.86</v>
      </c>
    </row>
    <row r="10" spans="1:21" ht="24">
      <c r="A10" s="370" t="str">
        <f t="shared" si="0"/>
        <v>4107</v>
      </c>
      <c r="B10" s="372">
        <f t="shared" si="1"/>
        <v>-18000</v>
      </c>
      <c r="C10" s="370" t="str">
        <f t="shared" si="2"/>
        <v>2Q2023</v>
      </c>
      <c r="D10" s="533">
        <v>1</v>
      </c>
      <c r="E10" s="371">
        <v>45082</v>
      </c>
      <c r="F10" s="343" t="s">
        <v>491</v>
      </c>
      <c r="G10" s="343" t="s">
        <v>409</v>
      </c>
      <c r="H10" s="343" t="s">
        <v>492</v>
      </c>
      <c r="I10" s="343" t="s">
        <v>368</v>
      </c>
      <c r="J10" s="343" t="s">
        <v>506</v>
      </c>
      <c r="K10" s="343" t="s">
        <v>507</v>
      </c>
      <c r="L10" s="343" t="s">
        <v>494</v>
      </c>
      <c r="M10" s="343" t="s">
        <v>24</v>
      </c>
      <c r="N10" s="344">
        <v>1</v>
      </c>
      <c r="O10" s="343" t="s">
        <v>514</v>
      </c>
      <c r="P10" s="343" t="s">
        <v>515</v>
      </c>
      <c r="Q10" s="345"/>
      <c r="R10" s="345"/>
      <c r="S10" s="345"/>
      <c r="T10" s="346">
        <v>-18000</v>
      </c>
    </row>
    <row r="11" spans="1:21" ht="24">
      <c r="A11" s="370" t="str">
        <f t="shared" si="0"/>
        <v>4107</v>
      </c>
      <c r="B11" s="372">
        <f t="shared" si="1"/>
        <v>-18000</v>
      </c>
      <c r="C11" s="370" t="str">
        <f t="shared" si="2"/>
        <v>2Q2023</v>
      </c>
      <c r="D11" s="533">
        <v>1</v>
      </c>
      <c r="E11" s="371">
        <v>45082</v>
      </c>
      <c r="F11" s="343" t="s">
        <v>491</v>
      </c>
      <c r="G11" s="343" t="s">
        <v>409</v>
      </c>
      <c r="H11" s="343" t="s">
        <v>492</v>
      </c>
      <c r="I11" s="343" t="s">
        <v>368</v>
      </c>
      <c r="J11" s="343" t="s">
        <v>506</v>
      </c>
      <c r="K11" s="343" t="s">
        <v>507</v>
      </c>
      <c r="L11" s="343" t="s">
        <v>494</v>
      </c>
      <c r="M11" s="343" t="s">
        <v>24</v>
      </c>
      <c r="N11" s="344">
        <v>1</v>
      </c>
      <c r="O11" s="343" t="s">
        <v>516</v>
      </c>
      <c r="P11" s="343" t="s">
        <v>517</v>
      </c>
      <c r="Q11" s="345"/>
      <c r="R11" s="345"/>
      <c r="S11" s="345"/>
      <c r="T11" s="346">
        <v>-18000</v>
      </c>
    </row>
    <row r="12" spans="1:21" ht="36">
      <c r="A12" s="370" t="str">
        <f t="shared" si="0"/>
        <v>4107</v>
      </c>
      <c r="B12" s="372">
        <f t="shared" si="1"/>
        <v>-60000</v>
      </c>
      <c r="C12" s="370" t="str">
        <f t="shared" si="2"/>
        <v>2Q2023</v>
      </c>
      <c r="D12" s="533">
        <v>1</v>
      </c>
      <c r="E12" s="371">
        <v>45082</v>
      </c>
      <c r="F12" s="343" t="s">
        <v>491</v>
      </c>
      <c r="G12" s="343" t="s">
        <v>409</v>
      </c>
      <c r="H12" s="343" t="s">
        <v>492</v>
      </c>
      <c r="I12" s="343" t="s">
        <v>368</v>
      </c>
      <c r="J12" s="343" t="s">
        <v>510</v>
      </c>
      <c r="K12" s="343" t="s">
        <v>511</v>
      </c>
      <c r="L12" s="343" t="s">
        <v>494</v>
      </c>
      <c r="M12" s="343" t="s">
        <v>24</v>
      </c>
      <c r="N12" s="344">
        <v>1</v>
      </c>
      <c r="O12" s="343" t="s">
        <v>518</v>
      </c>
      <c r="P12" s="343" t="s">
        <v>519</v>
      </c>
      <c r="Q12" s="345"/>
      <c r="R12" s="345"/>
      <c r="S12" s="345"/>
      <c r="T12" s="349">
        <v>-60000</v>
      </c>
    </row>
    <row r="13" spans="1:21" ht="36">
      <c r="A13" s="370" t="str">
        <f t="shared" si="0"/>
        <v>4107</v>
      </c>
      <c r="B13" s="372">
        <f t="shared" si="1"/>
        <v>-60000</v>
      </c>
      <c r="C13" s="370" t="str">
        <f t="shared" si="2"/>
        <v>2Q2023</v>
      </c>
      <c r="D13" s="533">
        <v>1</v>
      </c>
      <c r="E13" s="371">
        <v>45082</v>
      </c>
      <c r="F13" s="343" t="s">
        <v>491</v>
      </c>
      <c r="G13" s="343" t="s">
        <v>409</v>
      </c>
      <c r="H13" s="343" t="s">
        <v>492</v>
      </c>
      <c r="I13" s="343" t="s">
        <v>368</v>
      </c>
      <c r="J13" s="343" t="s">
        <v>510</v>
      </c>
      <c r="K13" s="343" t="s">
        <v>511</v>
      </c>
      <c r="L13" s="343" t="s">
        <v>494</v>
      </c>
      <c r="M13" s="343" t="s">
        <v>24</v>
      </c>
      <c r="N13" s="344">
        <v>1</v>
      </c>
      <c r="O13" s="343" t="s">
        <v>520</v>
      </c>
      <c r="P13" s="343" t="s">
        <v>521</v>
      </c>
      <c r="Q13" s="345"/>
      <c r="R13" s="345"/>
      <c r="S13" s="345"/>
      <c r="T13" s="349">
        <v>-60000</v>
      </c>
    </row>
    <row r="14" spans="1:21" ht="24">
      <c r="A14" s="370" t="str">
        <f t="shared" si="0"/>
        <v>4105</v>
      </c>
      <c r="B14" s="372">
        <f t="shared" si="1"/>
        <v>-100</v>
      </c>
      <c r="C14" s="370" t="str">
        <f t="shared" si="2"/>
        <v>2Q2023</v>
      </c>
      <c r="D14" s="533">
        <v>1</v>
      </c>
      <c r="E14" s="371">
        <v>45106</v>
      </c>
      <c r="F14" s="343" t="s">
        <v>491</v>
      </c>
      <c r="G14" s="343" t="s">
        <v>403</v>
      </c>
      <c r="H14" s="343" t="s">
        <v>492</v>
      </c>
      <c r="I14" s="343" t="s">
        <v>493</v>
      </c>
      <c r="J14" s="343"/>
      <c r="K14" s="343"/>
      <c r="L14" s="343" t="s">
        <v>494</v>
      </c>
      <c r="M14" s="343" t="s">
        <v>24</v>
      </c>
      <c r="N14" s="344">
        <v>1</v>
      </c>
      <c r="O14" s="343" t="s">
        <v>500</v>
      </c>
      <c r="P14" s="343" t="s">
        <v>522</v>
      </c>
      <c r="Q14" s="345"/>
      <c r="R14" s="345"/>
      <c r="S14" s="345"/>
      <c r="T14" s="347">
        <v>-100</v>
      </c>
    </row>
    <row r="15" spans="1:21" ht="24">
      <c r="A15" s="370" t="str">
        <f t="shared" si="0"/>
        <v>4107</v>
      </c>
      <c r="B15" s="372">
        <f t="shared" si="1"/>
        <v>-400</v>
      </c>
      <c r="C15" s="370" t="str">
        <f t="shared" si="2"/>
        <v>2Q2023</v>
      </c>
      <c r="D15" s="533">
        <v>1</v>
      </c>
      <c r="E15" s="371">
        <v>45106</v>
      </c>
      <c r="F15" s="343" t="s">
        <v>491</v>
      </c>
      <c r="G15" s="343" t="s">
        <v>409</v>
      </c>
      <c r="H15" s="343" t="s">
        <v>492</v>
      </c>
      <c r="I15" s="343" t="s">
        <v>414</v>
      </c>
      <c r="J15" s="343" t="s">
        <v>413</v>
      </c>
      <c r="K15" s="343" t="s">
        <v>503</v>
      </c>
      <c r="L15" s="343" t="s">
        <v>494</v>
      </c>
      <c r="M15" s="343" t="s">
        <v>24</v>
      </c>
      <c r="N15" s="344">
        <v>1</v>
      </c>
      <c r="O15" s="343" t="s">
        <v>523</v>
      </c>
      <c r="P15" s="343" t="s">
        <v>524</v>
      </c>
      <c r="Q15" s="345"/>
      <c r="R15" s="345"/>
      <c r="S15" s="345"/>
      <c r="T15" s="349">
        <v>-400</v>
      </c>
    </row>
    <row r="16" spans="1:21">
      <c r="A16" s="370" t="str">
        <f t="shared" si="0"/>
        <v>4105</v>
      </c>
      <c r="B16" s="372">
        <f t="shared" si="1"/>
        <v>-490</v>
      </c>
      <c r="C16" s="370" t="str">
        <f t="shared" si="2"/>
        <v>3Q2023</v>
      </c>
      <c r="D16" s="533">
        <v>1</v>
      </c>
      <c r="E16" s="371">
        <v>45108</v>
      </c>
      <c r="F16" s="343" t="s">
        <v>491</v>
      </c>
      <c r="G16" s="343" t="s">
        <v>403</v>
      </c>
      <c r="H16" s="343" t="s">
        <v>492</v>
      </c>
      <c r="I16" s="343" t="s">
        <v>493</v>
      </c>
      <c r="J16" s="343"/>
      <c r="K16" s="343"/>
      <c r="L16" s="343" t="s">
        <v>494</v>
      </c>
      <c r="M16" s="343" t="s">
        <v>24</v>
      </c>
      <c r="N16" s="344">
        <v>1</v>
      </c>
      <c r="O16" s="343" t="s">
        <v>495</v>
      </c>
      <c r="P16" s="343" t="s">
        <v>525</v>
      </c>
      <c r="Q16" s="345"/>
      <c r="R16" s="345"/>
      <c r="S16" s="346"/>
      <c r="T16" s="345">
        <v>-490</v>
      </c>
    </row>
    <row r="17" spans="1:32" ht="24">
      <c r="A17" s="370" t="str">
        <f t="shared" si="0"/>
        <v>4105</v>
      </c>
      <c r="B17" s="372">
        <f t="shared" si="1"/>
        <v>-100</v>
      </c>
      <c r="C17" s="370" t="str">
        <f t="shared" si="2"/>
        <v>3Q2023</v>
      </c>
      <c r="D17" s="533">
        <v>1</v>
      </c>
      <c r="E17" s="371">
        <v>45127</v>
      </c>
      <c r="F17" s="343" t="s">
        <v>491</v>
      </c>
      <c r="G17" s="343" t="s">
        <v>403</v>
      </c>
      <c r="H17" s="343" t="s">
        <v>492</v>
      </c>
      <c r="I17" s="343" t="s">
        <v>493</v>
      </c>
      <c r="J17" s="343"/>
      <c r="K17" s="343"/>
      <c r="L17" s="343" t="s">
        <v>494</v>
      </c>
      <c r="M17" s="343" t="s">
        <v>24</v>
      </c>
      <c r="N17" s="344">
        <v>1</v>
      </c>
      <c r="O17" s="343" t="s">
        <v>500</v>
      </c>
      <c r="P17" s="343" t="s">
        <v>526</v>
      </c>
      <c r="Q17" s="345"/>
      <c r="R17" s="345"/>
      <c r="S17" s="345"/>
      <c r="T17" s="346">
        <v>-100</v>
      </c>
    </row>
    <row r="18" spans="1:32" ht="24">
      <c r="A18" s="370" t="str">
        <f t="shared" si="0"/>
        <v>4105</v>
      </c>
      <c r="B18" s="372">
        <f t="shared" si="1"/>
        <v>-100</v>
      </c>
      <c r="C18" s="370" t="str">
        <f t="shared" si="2"/>
        <v>3Q2023</v>
      </c>
      <c r="D18" s="533">
        <v>1</v>
      </c>
      <c r="E18" s="371">
        <v>45127</v>
      </c>
      <c r="F18" s="343" t="s">
        <v>491</v>
      </c>
      <c r="G18" s="343" t="s">
        <v>403</v>
      </c>
      <c r="H18" s="343" t="s">
        <v>492</v>
      </c>
      <c r="I18" s="343" t="s">
        <v>493</v>
      </c>
      <c r="J18" s="343"/>
      <c r="K18" s="343"/>
      <c r="L18" s="343" t="s">
        <v>494</v>
      </c>
      <c r="M18" s="343" t="s">
        <v>24</v>
      </c>
      <c r="N18" s="344">
        <v>1</v>
      </c>
      <c r="O18" s="343" t="s">
        <v>500</v>
      </c>
      <c r="P18" s="343" t="s">
        <v>527</v>
      </c>
      <c r="Q18" s="345"/>
      <c r="R18" s="345"/>
      <c r="S18" s="345"/>
      <c r="T18" s="349">
        <v>-100</v>
      </c>
    </row>
    <row r="19" spans="1:32" ht="24">
      <c r="A19" s="370" t="str">
        <f t="shared" si="0"/>
        <v>4105</v>
      </c>
      <c r="B19" s="372">
        <f t="shared" si="1"/>
        <v>-100</v>
      </c>
      <c r="C19" s="370" t="str">
        <f t="shared" si="2"/>
        <v>3Q2023</v>
      </c>
      <c r="D19" s="533">
        <v>1</v>
      </c>
      <c r="E19" s="371">
        <v>45127</v>
      </c>
      <c r="F19" s="343" t="s">
        <v>491</v>
      </c>
      <c r="G19" s="343" t="s">
        <v>403</v>
      </c>
      <c r="H19" s="343" t="s">
        <v>492</v>
      </c>
      <c r="I19" s="343" t="s">
        <v>493</v>
      </c>
      <c r="J19" s="343"/>
      <c r="K19" s="343"/>
      <c r="L19" s="343" t="s">
        <v>494</v>
      </c>
      <c r="M19" s="343" t="s">
        <v>24</v>
      </c>
      <c r="N19" s="344">
        <v>1</v>
      </c>
      <c r="O19" s="343" t="s">
        <v>500</v>
      </c>
      <c r="P19" s="343" t="s">
        <v>528</v>
      </c>
      <c r="Q19" s="345"/>
      <c r="R19" s="345"/>
      <c r="S19" s="345"/>
      <c r="T19" s="347">
        <v>-100</v>
      </c>
    </row>
    <row r="20" spans="1:32" ht="24">
      <c r="A20" s="370" t="str">
        <f t="shared" si="0"/>
        <v>4105</v>
      </c>
      <c r="B20" s="372">
        <f t="shared" si="1"/>
        <v>-100</v>
      </c>
      <c r="C20" s="370" t="str">
        <f t="shared" si="2"/>
        <v>3Q2023</v>
      </c>
      <c r="D20" s="533">
        <v>1</v>
      </c>
      <c r="E20" s="371">
        <v>45127</v>
      </c>
      <c r="F20" s="343" t="s">
        <v>491</v>
      </c>
      <c r="G20" s="343" t="s">
        <v>403</v>
      </c>
      <c r="H20" s="343" t="s">
        <v>492</v>
      </c>
      <c r="I20" s="343" t="s">
        <v>493</v>
      </c>
      <c r="J20" s="343"/>
      <c r="K20" s="343"/>
      <c r="L20" s="343" t="s">
        <v>494</v>
      </c>
      <c r="M20" s="343" t="s">
        <v>24</v>
      </c>
      <c r="N20" s="344">
        <v>1</v>
      </c>
      <c r="O20" s="343" t="s">
        <v>500</v>
      </c>
      <c r="P20" s="343" t="s">
        <v>529</v>
      </c>
      <c r="Q20" s="345"/>
      <c r="R20" s="345"/>
      <c r="S20" s="345"/>
      <c r="T20" s="346">
        <v>-100</v>
      </c>
    </row>
    <row r="21" spans="1:32" ht="24">
      <c r="A21" s="370" t="str">
        <f t="shared" si="0"/>
        <v>4105</v>
      </c>
      <c r="B21" s="372">
        <f t="shared" si="1"/>
        <v>-100</v>
      </c>
      <c r="C21" s="370" t="str">
        <f t="shared" si="2"/>
        <v>3Q2023</v>
      </c>
      <c r="D21" s="533">
        <v>1</v>
      </c>
      <c r="E21" s="371">
        <v>45127</v>
      </c>
      <c r="F21" s="343" t="s">
        <v>491</v>
      </c>
      <c r="G21" s="343" t="s">
        <v>403</v>
      </c>
      <c r="H21" s="343" t="s">
        <v>492</v>
      </c>
      <c r="I21" s="343" t="s">
        <v>493</v>
      </c>
      <c r="J21" s="343"/>
      <c r="K21" s="343"/>
      <c r="L21" s="343" t="s">
        <v>494</v>
      </c>
      <c r="M21" s="343" t="s">
        <v>24</v>
      </c>
      <c r="N21" s="344">
        <v>1</v>
      </c>
      <c r="O21" s="343" t="s">
        <v>500</v>
      </c>
      <c r="P21" s="343" t="s">
        <v>530</v>
      </c>
      <c r="Q21" s="345"/>
      <c r="R21" s="345"/>
      <c r="S21" s="345"/>
      <c r="T21" s="346">
        <v>-100</v>
      </c>
    </row>
    <row r="22" spans="1:32" ht="24">
      <c r="A22" s="370" t="str">
        <f t="shared" si="0"/>
        <v>4105</v>
      </c>
      <c r="B22" s="372">
        <f t="shared" si="1"/>
        <v>-100</v>
      </c>
      <c r="C22" s="370" t="str">
        <f t="shared" si="2"/>
        <v>3Q2023</v>
      </c>
      <c r="D22" s="533">
        <v>1</v>
      </c>
      <c r="E22" s="371">
        <v>45127</v>
      </c>
      <c r="F22" s="343" t="s">
        <v>491</v>
      </c>
      <c r="G22" s="343" t="s">
        <v>403</v>
      </c>
      <c r="H22" s="343" t="s">
        <v>492</v>
      </c>
      <c r="I22" s="343" t="s">
        <v>493</v>
      </c>
      <c r="J22" s="343"/>
      <c r="K22" s="343"/>
      <c r="L22" s="343" t="s">
        <v>494</v>
      </c>
      <c r="M22" s="343" t="s">
        <v>24</v>
      </c>
      <c r="N22" s="344">
        <v>1</v>
      </c>
      <c r="O22" s="343" t="s">
        <v>500</v>
      </c>
      <c r="P22" s="343" t="s">
        <v>531</v>
      </c>
      <c r="Q22" s="345"/>
      <c r="R22" s="345"/>
      <c r="S22" s="346"/>
      <c r="T22" s="345">
        <v>-100</v>
      </c>
    </row>
    <row r="23" spans="1:32" ht="24">
      <c r="A23" s="370" t="str">
        <f t="shared" si="0"/>
        <v>4105</v>
      </c>
      <c r="B23" s="372">
        <f t="shared" si="1"/>
        <v>-100</v>
      </c>
      <c r="C23" s="370" t="str">
        <f t="shared" si="2"/>
        <v>3Q2023</v>
      </c>
      <c r="D23" s="533">
        <v>1</v>
      </c>
      <c r="E23" s="371">
        <v>45127</v>
      </c>
      <c r="F23" s="343" t="s">
        <v>491</v>
      </c>
      <c r="G23" s="343" t="s">
        <v>403</v>
      </c>
      <c r="H23" s="343" t="s">
        <v>492</v>
      </c>
      <c r="I23" s="343" t="s">
        <v>493</v>
      </c>
      <c r="J23" s="343"/>
      <c r="K23" s="343"/>
      <c r="L23" s="343" t="s">
        <v>494</v>
      </c>
      <c r="M23" s="343" t="s">
        <v>24</v>
      </c>
      <c r="N23" s="344">
        <v>1</v>
      </c>
      <c r="O23" s="343" t="s">
        <v>500</v>
      </c>
      <c r="P23" s="343" t="s">
        <v>532</v>
      </c>
      <c r="Q23" s="345"/>
      <c r="R23" s="345"/>
      <c r="S23" s="345"/>
      <c r="T23" s="346">
        <v>-100</v>
      </c>
    </row>
    <row r="24" spans="1:32" ht="36">
      <c r="A24" s="370" t="str">
        <f t="shared" si="0"/>
        <v>4107</v>
      </c>
      <c r="B24" s="372">
        <f t="shared" si="1"/>
        <v>-245.92</v>
      </c>
      <c r="C24" s="370" t="str">
        <f t="shared" si="2"/>
        <v>3Q2023</v>
      </c>
      <c r="D24" s="533">
        <v>1</v>
      </c>
      <c r="E24" s="371">
        <v>45127</v>
      </c>
      <c r="F24" s="343" t="s">
        <v>491</v>
      </c>
      <c r="G24" s="343" t="s">
        <v>409</v>
      </c>
      <c r="H24" s="343" t="s">
        <v>492</v>
      </c>
      <c r="I24" s="343" t="s">
        <v>368</v>
      </c>
      <c r="J24" s="343" t="s">
        <v>533</v>
      </c>
      <c r="K24" s="343" t="s">
        <v>534</v>
      </c>
      <c r="L24" s="343" t="s">
        <v>494</v>
      </c>
      <c r="M24" s="343" t="s">
        <v>24</v>
      </c>
      <c r="N24" s="344">
        <v>1</v>
      </c>
      <c r="O24" s="343" t="s">
        <v>535</v>
      </c>
      <c r="P24" s="343" t="s">
        <v>536</v>
      </c>
      <c r="Q24" s="345"/>
      <c r="R24" s="345"/>
      <c r="S24" s="345"/>
      <c r="T24" s="349">
        <v>-245.92</v>
      </c>
    </row>
    <row r="25" spans="1:32" ht="36">
      <c r="A25" s="370" t="str">
        <f t="shared" si="0"/>
        <v>4107</v>
      </c>
      <c r="B25" s="372">
        <f t="shared" si="1"/>
        <v>-819.67</v>
      </c>
      <c r="C25" s="370" t="str">
        <f t="shared" si="2"/>
        <v>3Q2023</v>
      </c>
      <c r="D25" s="533">
        <v>1</v>
      </c>
      <c r="E25" s="371">
        <v>45127</v>
      </c>
      <c r="F25" s="343" t="s">
        <v>491</v>
      </c>
      <c r="G25" s="343" t="s">
        <v>409</v>
      </c>
      <c r="H25" s="343" t="s">
        <v>492</v>
      </c>
      <c r="I25" s="343" t="s">
        <v>368</v>
      </c>
      <c r="J25" s="343" t="s">
        <v>533</v>
      </c>
      <c r="K25" s="343" t="s">
        <v>534</v>
      </c>
      <c r="L25" s="343" t="s">
        <v>494</v>
      </c>
      <c r="M25" s="343" t="s">
        <v>24</v>
      </c>
      <c r="N25" s="344">
        <v>1</v>
      </c>
      <c r="O25" s="343" t="s">
        <v>535</v>
      </c>
      <c r="P25" s="343" t="s">
        <v>536</v>
      </c>
      <c r="Q25" s="345"/>
      <c r="R25" s="345"/>
      <c r="S25" s="345"/>
      <c r="T25" s="346">
        <v>-819.67</v>
      </c>
    </row>
    <row r="26" spans="1:32" ht="36">
      <c r="A26" s="370" t="str">
        <f t="shared" si="0"/>
        <v>4107</v>
      </c>
      <c r="B26" s="372">
        <f t="shared" si="1"/>
        <v>-8934.41</v>
      </c>
      <c r="C26" s="370" t="str">
        <f t="shared" si="2"/>
        <v>3Q2023</v>
      </c>
      <c r="D26" s="533">
        <v>1</v>
      </c>
      <c r="E26" s="371">
        <v>45127</v>
      </c>
      <c r="F26" s="343" t="s">
        <v>491</v>
      </c>
      <c r="G26" s="343" t="s">
        <v>409</v>
      </c>
      <c r="H26" s="343" t="s">
        <v>492</v>
      </c>
      <c r="I26" s="343" t="s">
        <v>368</v>
      </c>
      <c r="J26" s="343" t="s">
        <v>533</v>
      </c>
      <c r="K26" s="343" t="s">
        <v>534</v>
      </c>
      <c r="L26" s="343" t="s">
        <v>494</v>
      </c>
      <c r="M26" s="343" t="s">
        <v>24</v>
      </c>
      <c r="N26" s="344">
        <v>1</v>
      </c>
      <c r="O26" s="343" t="s">
        <v>535</v>
      </c>
      <c r="P26" s="343" t="s">
        <v>536</v>
      </c>
      <c r="Q26" s="345"/>
      <c r="R26" s="345"/>
      <c r="S26" s="345"/>
      <c r="T26" s="346">
        <v>-8934.41</v>
      </c>
    </row>
    <row r="27" spans="1:32" ht="36">
      <c r="A27" s="370" t="str">
        <f t="shared" si="0"/>
        <v>4106</v>
      </c>
      <c r="B27" s="372">
        <f t="shared" si="1"/>
        <v>-15000</v>
      </c>
      <c r="C27" s="370" t="str">
        <f t="shared" si="2"/>
        <v>3Q2023</v>
      </c>
      <c r="D27" s="533">
        <v>1</v>
      </c>
      <c r="E27" s="371">
        <v>45127</v>
      </c>
      <c r="F27" s="343" t="s">
        <v>491</v>
      </c>
      <c r="G27" s="343" t="s">
        <v>415</v>
      </c>
      <c r="H27" s="343" t="s">
        <v>492</v>
      </c>
      <c r="I27" s="343" t="s">
        <v>416</v>
      </c>
      <c r="J27" s="343" t="s">
        <v>537</v>
      </c>
      <c r="K27" s="343" t="s">
        <v>538</v>
      </c>
      <c r="L27" s="343" t="s">
        <v>494</v>
      </c>
      <c r="M27" s="343" t="s">
        <v>24</v>
      </c>
      <c r="N27" s="344">
        <v>1</v>
      </c>
      <c r="O27" s="343" t="s">
        <v>539</v>
      </c>
      <c r="P27" s="343" t="s">
        <v>540</v>
      </c>
      <c r="Q27" s="345"/>
      <c r="R27" s="345"/>
      <c r="S27" s="345"/>
      <c r="T27" s="349">
        <v>-15000</v>
      </c>
    </row>
    <row r="28" spans="1:32" ht="36">
      <c r="A28" s="370" t="str">
        <f t="shared" si="0"/>
        <v>4106</v>
      </c>
      <c r="B28" s="372">
        <f t="shared" si="1"/>
        <v>-15000</v>
      </c>
      <c r="C28" s="370" t="str">
        <f t="shared" si="2"/>
        <v>3Q2023</v>
      </c>
      <c r="D28" s="533">
        <v>1</v>
      </c>
      <c r="E28" s="371">
        <v>45127</v>
      </c>
      <c r="F28" s="343" t="s">
        <v>491</v>
      </c>
      <c r="G28" s="343" t="s">
        <v>415</v>
      </c>
      <c r="H28" s="343" t="s">
        <v>492</v>
      </c>
      <c r="I28" s="343" t="s">
        <v>416</v>
      </c>
      <c r="J28" s="343" t="s">
        <v>537</v>
      </c>
      <c r="K28" s="343" t="s">
        <v>538</v>
      </c>
      <c r="L28" s="343" t="s">
        <v>494</v>
      </c>
      <c r="M28" s="343" t="s">
        <v>24</v>
      </c>
      <c r="N28" s="344">
        <v>1</v>
      </c>
      <c r="O28" s="343" t="s">
        <v>541</v>
      </c>
      <c r="P28" s="343" t="s">
        <v>542</v>
      </c>
      <c r="Q28" s="345"/>
      <c r="R28" s="345"/>
      <c r="S28" s="345"/>
      <c r="T28" s="346">
        <v>-15000</v>
      </c>
      <c r="AF28" s="1396"/>
    </row>
    <row r="29" spans="1:32" ht="36">
      <c r="A29" s="370" t="str">
        <f t="shared" si="0"/>
        <v>4106</v>
      </c>
      <c r="B29" s="372">
        <f t="shared" si="1"/>
        <v>-15179</v>
      </c>
      <c r="C29" s="370" t="str">
        <f t="shared" si="2"/>
        <v>3Q2023</v>
      </c>
      <c r="D29" s="533">
        <v>1</v>
      </c>
      <c r="E29" s="371">
        <v>45127</v>
      </c>
      <c r="F29" s="343" t="s">
        <v>491</v>
      </c>
      <c r="G29" s="343" t="s">
        <v>415</v>
      </c>
      <c r="H29" s="343" t="s">
        <v>492</v>
      </c>
      <c r="I29" s="343" t="s">
        <v>416</v>
      </c>
      <c r="J29" s="343" t="s">
        <v>537</v>
      </c>
      <c r="K29" s="343" t="s">
        <v>538</v>
      </c>
      <c r="L29" s="343" t="s">
        <v>494</v>
      </c>
      <c r="M29" s="343" t="s">
        <v>24</v>
      </c>
      <c r="N29" s="344">
        <v>1</v>
      </c>
      <c r="O29" s="343" t="s">
        <v>543</v>
      </c>
      <c r="P29" s="343" t="s">
        <v>544</v>
      </c>
      <c r="Q29" s="345"/>
      <c r="R29" s="345"/>
      <c r="S29" s="345"/>
      <c r="T29" s="349">
        <v>-15179</v>
      </c>
    </row>
    <row r="30" spans="1:32" ht="36">
      <c r="A30" s="370" t="str">
        <f t="shared" si="0"/>
        <v>4107</v>
      </c>
      <c r="B30" s="372">
        <f t="shared" si="1"/>
        <v>-18000</v>
      </c>
      <c r="C30" s="370" t="str">
        <f t="shared" si="2"/>
        <v>3Q2023</v>
      </c>
      <c r="D30" s="533">
        <v>1</v>
      </c>
      <c r="E30" s="371">
        <v>45127</v>
      </c>
      <c r="F30" s="343" t="s">
        <v>491</v>
      </c>
      <c r="G30" s="343" t="s">
        <v>409</v>
      </c>
      <c r="H30" s="343" t="s">
        <v>492</v>
      </c>
      <c r="I30" s="343" t="s">
        <v>368</v>
      </c>
      <c r="J30" s="343" t="s">
        <v>506</v>
      </c>
      <c r="K30" s="343" t="s">
        <v>507</v>
      </c>
      <c r="L30" s="343" t="s">
        <v>494</v>
      </c>
      <c r="M30" s="343" t="s">
        <v>24</v>
      </c>
      <c r="N30" s="344">
        <v>1</v>
      </c>
      <c r="O30" s="343" t="s">
        <v>545</v>
      </c>
      <c r="P30" s="343" t="s">
        <v>546</v>
      </c>
      <c r="Q30" s="345"/>
      <c r="R30" s="345"/>
      <c r="S30" s="346"/>
      <c r="T30" s="345">
        <v>-18000</v>
      </c>
    </row>
    <row r="31" spans="1:32" ht="24">
      <c r="A31" s="370" t="str">
        <f t="shared" si="0"/>
        <v>4107</v>
      </c>
      <c r="B31" s="372">
        <f t="shared" si="1"/>
        <v>-18000</v>
      </c>
      <c r="C31" s="370" t="str">
        <f t="shared" si="2"/>
        <v>3Q2023</v>
      </c>
      <c r="D31" s="533">
        <v>1</v>
      </c>
      <c r="E31" s="371">
        <v>45127</v>
      </c>
      <c r="F31" s="343" t="s">
        <v>491</v>
      </c>
      <c r="G31" s="343" t="s">
        <v>409</v>
      </c>
      <c r="H31" s="343" t="s">
        <v>492</v>
      </c>
      <c r="I31" s="343" t="s">
        <v>414</v>
      </c>
      <c r="J31" s="343" t="s">
        <v>413</v>
      </c>
      <c r="K31" s="343" t="s">
        <v>503</v>
      </c>
      <c r="L31" s="343" t="s">
        <v>494</v>
      </c>
      <c r="M31" s="343" t="s">
        <v>24</v>
      </c>
      <c r="N31" s="344">
        <v>1</v>
      </c>
      <c r="O31" s="343" t="s">
        <v>547</v>
      </c>
      <c r="P31" s="343" t="s">
        <v>548</v>
      </c>
      <c r="Q31" s="345"/>
      <c r="R31" s="345"/>
      <c r="S31" s="345"/>
      <c r="T31" s="346">
        <v>-18000</v>
      </c>
    </row>
    <row r="32" spans="1:32" ht="36">
      <c r="A32" s="370" t="str">
        <f t="shared" si="0"/>
        <v>4107</v>
      </c>
      <c r="B32" s="372">
        <f t="shared" si="1"/>
        <v>-18000</v>
      </c>
      <c r="C32" s="370" t="str">
        <f t="shared" si="2"/>
        <v>3Q2023</v>
      </c>
      <c r="D32" s="533">
        <v>1</v>
      </c>
      <c r="E32" s="371">
        <v>45127</v>
      </c>
      <c r="F32" s="343" t="s">
        <v>491</v>
      </c>
      <c r="G32" s="343" t="s">
        <v>409</v>
      </c>
      <c r="H32" s="343" t="s">
        <v>492</v>
      </c>
      <c r="I32" s="343" t="s">
        <v>368</v>
      </c>
      <c r="J32" s="343" t="s">
        <v>506</v>
      </c>
      <c r="K32" s="343" t="s">
        <v>507</v>
      </c>
      <c r="L32" s="343" t="s">
        <v>494</v>
      </c>
      <c r="M32" s="343" t="s">
        <v>24</v>
      </c>
      <c r="N32" s="344">
        <v>1</v>
      </c>
      <c r="O32" s="343" t="s">
        <v>549</v>
      </c>
      <c r="P32" s="343" t="s">
        <v>550</v>
      </c>
      <c r="Q32" s="345"/>
      <c r="R32" s="345"/>
      <c r="S32" s="345"/>
      <c r="T32" s="346">
        <v>-18000</v>
      </c>
    </row>
    <row r="33" spans="1:20" ht="36">
      <c r="A33" s="370" t="str">
        <f t="shared" si="0"/>
        <v>4106</v>
      </c>
      <c r="B33" s="372">
        <f t="shared" si="1"/>
        <v>-25214.29</v>
      </c>
      <c r="C33" s="370" t="str">
        <f t="shared" si="2"/>
        <v>3Q2023</v>
      </c>
      <c r="D33" s="533">
        <v>1</v>
      </c>
      <c r="E33" s="371">
        <v>45127</v>
      </c>
      <c r="F33" s="343" t="s">
        <v>491</v>
      </c>
      <c r="G33" s="343" t="s">
        <v>415</v>
      </c>
      <c r="H33" s="343" t="s">
        <v>492</v>
      </c>
      <c r="I33" s="343" t="s">
        <v>416</v>
      </c>
      <c r="J33" s="343" t="s">
        <v>537</v>
      </c>
      <c r="K33" s="343" t="s">
        <v>538</v>
      </c>
      <c r="L33" s="343" t="s">
        <v>494</v>
      </c>
      <c r="M33" s="343" t="s">
        <v>24</v>
      </c>
      <c r="N33" s="344">
        <v>1</v>
      </c>
      <c r="O33" s="343" t="s">
        <v>551</v>
      </c>
      <c r="P33" s="343" t="s">
        <v>552</v>
      </c>
      <c r="Q33" s="345"/>
      <c r="R33" s="345"/>
      <c r="S33" s="345"/>
      <c r="T33" s="346">
        <v>-25214.29</v>
      </c>
    </row>
    <row r="34" spans="1:20" ht="24">
      <c r="A34" s="370" t="str">
        <f t="shared" si="0"/>
        <v>4107</v>
      </c>
      <c r="B34" s="372">
        <f t="shared" si="1"/>
        <v>-30000</v>
      </c>
      <c r="C34" s="370" t="str">
        <f t="shared" si="2"/>
        <v>3Q2023</v>
      </c>
      <c r="D34" s="533">
        <v>1</v>
      </c>
      <c r="E34" s="371">
        <v>45127</v>
      </c>
      <c r="F34" s="343" t="s">
        <v>491</v>
      </c>
      <c r="G34" s="343" t="s">
        <v>409</v>
      </c>
      <c r="H34" s="343" t="s">
        <v>492</v>
      </c>
      <c r="I34" s="343" t="s">
        <v>368</v>
      </c>
      <c r="J34" s="343" t="s">
        <v>533</v>
      </c>
      <c r="K34" s="343" t="s">
        <v>534</v>
      </c>
      <c r="L34" s="343" t="s">
        <v>494</v>
      </c>
      <c r="M34" s="343" t="s">
        <v>24</v>
      </c>
      <c r="N34" s="344">
        <v>1</v>
      </c>
      <c r="O34" s="343" t="s">
        <v>553</v>
      </c>
      <c r="P34" s="343" t="s">
        <v>554</v>
      </c>
      <c r="Q34" s="345"/>
      <c r="R34" s="345"/>
      <c r="S34" s="345"/>
      <c r="T34" s="346">
        <v>-30000</v>
      </c>
    </row>
    <row r="35" spans="1:20" ht="36">
      <c r="A35" s="370" t="str">
        <f t="shared" si="0"/>
        <v>4107</v>
      </c>
      <c r="B35" s="372">
        <f t="shared" si="1"/>
        <v>-60000</v>
      </c>
      <c r="C35" s="370" t="str">
        <f t="shared" si="2"/>
        <v>3Q2023</v>
      </c>
      <c r="D35" s="533">
        <v>1</v>
      </c>
      <c r="E35" s="371">
        <v>45127</v>
      </c>
      <c r="F35" s="343" t="s">
        <v>491</v>
      </c>
      <c r="G35" s="343" t="s">
        <v>409</v>
      </c>
      <c r="H35" s="343" t="s">
        <v>492</v>
      </c>
      <c r="I35" s="343" t="s">
        <v>368</v>
      </c>
      <c r="J35" s="343" t="s">
        <v>510</v>
      </c>
      <c r="K35" s="343" t="s">
        <v>511</v>
      </c>
      <c r="L35" s="343" t="s">
        <v>494</v>
      </c>
      <c r="M35" s="343" t="s">
        <v>24</v>
      </c>
      <c r="N35" s="344">
        <v>1</v>
      </c>
      <c r="O35" s="343" t="s">
        <v>555</v>
      </c>
      <c r="P35" s="343" t="s">
        <v>556</v>
      </c>
      <c r="Q35" s="345"/>
      <c r="R35" s="345"/>
      <c r="S35" s="345"/>
      <c r="T35" s="346">
        <v>-60000</v>
      </c>
    </row>
    <row r="36" spans="1:20" ht="36">
      <c r="A36" s="370" t="str">
        <f t="shared" si="0"/>
        <v>4107</v>
      </c>
      <c r="B36" s="372">
        <f t="shared" si="1"/>
        <v>-60000</v>
      </c>
      <c r="C36" s="370" t="str">
        <f t="shared" si="2"/>
        <v>3Q2023</v>
      </c>
      <c r="D36" s="533">
        <v>1</v>
      </c>
      <c r="E36" s="371">
        <v>45127</v>
      </c>
      <c r="F36" s="343" t="s">
        <v>491</v>
      </c>
      <c r="G36" s="343" t="s">
        <v>409</v>
      </c>
      <c r="H36" s="343" t="s">
        <v>492</v>
      </c>
      <c r="I36" s="343" t="s">
        <v>368</v>
      </c>
      <c r="J36" s="343" t="s">
        <v>510</v>
      </c>
      <c r="K36" s="343" t="s">
        <v>511</v>
      </c>
      <c r="L36" s="343" t="s">
        <v>494</v>
      </c>
      <c r="M36" s="343" t="s">
        <v>24</v>
      </c>
      <c r="N36" s="344">
        <v>1</v>
      </c>
      <c r="O36" s="343" t="s">
        <v>557</v>
      </c>
      <c r="P36" s="343" t="s">
        <v>558</v>
      </c>
      <c r="Q36" s="345"/>
      <c r="R36" s="345"/>
      <c r="S36" s="345"/>
      <c r="T36" s="346">
        <v>-60000</v>
      </c>
    </row>
    <row r="37" spans="1:20" ht="36">
      <c r="A37" s="370" t="str">
        <f t="shared" si="0"/>
        <v>4107</v>
      </c>
      <c r="B37" s="372">
        <f t="shared" si="1"/>
        <v>-60000</v>
      </c>
      <c r="C37" s="370" t="str">
        <f t="shared" si="2"/>
        <v>3Q2023</v>
      </c>
      <c r="D37" s="533">
        <v>1</v>
      </c>
      <c r="E37" s="371">
        <v>45127</v>
      </c>
      <c r="F37" s="343" t="s">
        <v>491</v>
      </c>
      <c r="G37" s="343" t="s">
        <v>409</v>
      </c>
      <c r="H37" s="343" t="s">
        <v>492</v>
      </c>
      <c r="I37" s="343" t="s">
        <v>368</v>
      </c>
      <c r="J37" s="343" t="s">
        <v>510</v>
      </c>
      <c r="K37" s="343" t="s">
        <v>511</v>
      </c>
      <c r="L37" s="343" t="s">
        <v>494</v>
      </c>
      <c r="M37" s="343" t="s">
        <v>24</v>
      </c>
      <c r="N37" s="344">
        <v>1</v>
      </c>
      <c r="O37" s="343" t="s">
        <v>559</v>
      </c>
      <c r="P37" s="343" t="s">
        <v>560</v>
      </c>
      <c r="Q37" s="345"/>
      <c r="R37" s="345"/>
      <c r="S37" s="345"/>
      <c r="T37" s="346">
        <v>-60000</v>
      </c>
    </row>
    <row r="38" spans="1:20" ht="36">
      <c r="A38" s="370" t="str">
        <f t="shared" si="0"/>
        <v>3203</v>
      </c>
      <c r="B38" s="372">
        <f t="shared" si="1"/>
        <v>600000</v>
      </c>
      <c r="C38" s="370" t="str">
        <f t="shared" si="2"/>
        <v>3Q2023</v>
      </c>
      <c r="D38" s="533">
        <v>1</v>
      </c>
      <c r="E38" s="371">
        <v>45127</v>
      </c>
      <c r="F38" s="343" t="s">
        <v>491</v>
      </c>
      <c r="G38" s="343" t="s">
        <v>561</v>
      </c>
      <c r="H38" s="343" t="s">
        <v>492</v>
      </c>
      <c r="I38" s="343" t="s">
        <v>562</v>
      </c>
      <c r="J38" s="343" t="s">
        <v>563</v>
      </c>
      <c r="K38" s="343" t="s">
        <v>564</v>
      </c>
      <c r="L38" s="343" t="s">
        <v>494</v>
      </c>
      <c r="M38" s="343" t="s">
        <v>24</v>
      </c>
      <c r="N38" s="344">
        <v>1</v>
      </c>
      <c r="O38" s="343" t="s">
        <v>565</v>
      </c>
      <c r="P38" s="343" t="s">
        <v>566</v>
      </c>
      <c r="Q38" s="345"/>
      <c r="R38" s="345"/>
      <c r="S38" s="345">
        <v>600000</v>
      </c>
      <c r="T38" s="346"/>
    </row>
    <row r="39" spans="1:20">
      <c r="A39" s="370" t="str">
        <f t="shared" si="0"/>
        <v>4105</v>
      </c>
      <c r="B39" s="372">
        <f t="shared" si="1"/>
        <v>-490</v>
      </c>
      <c r="C39" s="370" t="str">
        <f t="shared" si="2"/>
        <v>3Q2023</v>
      </c>
      <c r="D39" s="533">
        <v>1</v>
      </c>
      <c r="E39" s="371">
        <v>45139</v>
      </c>
      <c r="F39" s="343" t="s">
        <v>491</v>
      </c>
      <c r="G39" s="343" t="s">
        <v>403</v>
      </c>
      <c r="H39" s="343" t="s">
        <v>492</v>
      </c>
      <c r="I39" s="343" t="s">
        <v>493</v>
      </c>
      <c r="J39" s="343"/>
      <c r="K39" s="343"/>
      <c r="L39" s="343" t="s">
        <v>494</v>
      </c>
      <c r="M39" s="343" t="s">
        <v>24</v>
      </c>
      <c r="N39" s="344">
        <v>1</v>
      </c>
      <c r="O39" s="343" t="s">
        <v>495</v>
      </c>
      <c r="P39" s="343" t="s">
        <v>567</v>
      </c>
      <c r="Q39" s="345"/>
      <c r="R39" s="345"/>
      <c r="S39" s="345"/>
      <c r="T39" s="346">
        <v>-490</v>
      </c>
    </row>
    <row r="40" spans="1:20" ht="36">
      <c r="A40" s="370" t="str">
        <f t="shared" si="0"/>
        <v>4106</v>
      </c>
      <c r="B40" s="372">
        <f t="shared" si="1"/>
        <v>-15000</v>
      </c>
      <c r="C40" s="370" t="str">
        <f t="shared" si="2"/>
        <v>3Q2023</v>
      </c>
      <c r="D40" s="533">
        <v>1</v>
      </c>
      <c r="E40" s="371">
        <v>45145</v>
      </c>
      <c r="F40" s="343" t="s">
        <v>491</v>
      </c>
      <c r="G40" s="343" t="s">
        <v>415</v>
      </c>
      <c r="H40" s="343" t="s">
        <v>492</v>
      </c>
      <c r="I40" s="343" t="s">
        <v>416</v>
      </c>
      <c r="J40" s="343" t="s">
        <v>537</v>
      </c>
      <c r="K40" s="343" t="s">
        <v>538</v>
      </c>
      <c r="L40" s="343" t="s">
        <v>494</v>
      </c>
      <c r="M40" s="343" t="s">
        <v>24</v>
      </c>
      <c r="N40" s="344">
        <v>1</v>
      </c>
      <c r="O40" s="343" t="s">
        <v>568</v>
      </c>
      <c r="P40" s="343" t="s">
        <v>569</v>
      </c>
      <c r="Q40" s="345"/>
      <c r="R40" s="345"/>
      <c r="S40" s="345"/>
      <c r="T40" s="349">
        <v>-15000</v>
      </c>
    </row>
    <row r="41" spans="1:20" ht="36">
      <c r="A41" s="370" t="str">
        <f t="shared" si="0"/>
        <v>4107</v>
      </c>
      <c r="B41" s="372">
        <f t="shared" si="1"/>
        <v>-18000</v>
      </c>
      <c r="C41" s="370" t="str">
        <f t="shared" si="2"/>
        <v>3Q2023</v>
      </c>
      <c r="D41" s="533">
        <v>1</v>
      </c>
      <c r="E41" s="371">
        <v>45146</v>
      </c>
      <c r="F41" s="343" t="s">
        <v>491</v>
      </c>
      <c r="G41" s="343" t="s">
        <v>409</v>
      </c>
      <c r="H41" s="343" t="s">
        <v>492</v>
      </c>
      <c r="I41" s="343" t="s">
        <v>368</v>
      </c>
      <c r="J41" s="343" t="s">
        <v>506</v>
      </c>
      <c r="K41" s="343" t="s">
        <v>507</v>
      </c>
      <c r="L41" s="343" t="s">
        <v>494</v>
      </c>
      <c r="M41" s="343" t="s">
        <v>24</v>
      </c>
      <c r="N41" s="344">
        <v>1</v>
      </c>
      <c r="O41" s="343" t="s">
        <v>570</v>
      </c>
      <c r="P41" s="343" t="s">
        <v>571</v>
      </c>
      <c r="Q41" s="345"/>
      <c r="R41" s="345"/>
      <c r="S41" s="345"/>
      <c r="T41" s="347">
        <v>-18000</v>
      </c>
    </row>
    <row r="42" spans="1:20" ht="36">
      <c r="A42" s="370" t="str">
        <f t="shared" si="0"/>
        <v>4107</v>
      </c>
      <c r="B42" s="372">
        <f t="shared" si="1"/>
        <v>-60000</v>
      </c>
      <c r="C42" s="370" t="str">
        <f t="shared" si="2"/>
        <v>3Q2023</v>
      </c>
      <c r="D42" s="533">
        <v>1</v>
      </c>
      <c r="E42" s="371">
        <v>45152</v>
      </c>
      <c r="F42" s="343" t="s">
        <v>491</v>
      </c>
      <c r="G42" s="343" t="s">
        <v>409</v>
      </c>
      <c r="H42" s="343" t="s">
        <v>492</v>
      </c>
      <c r="I42" s="343" t="s">
        <v>368</v>
      </c>
      <c r="J42" s="343" t="s">
        <v>510</v>
      </c>
      <c r="K42" s="343" t="s">
        <v>511</v>
      </c>
      <c r="L42" s="343" t="s">
        <v>494</v>
      </c>
      <c r="M42" s="343" t="s">
        <v>24</v>
      </c>
      <c r="N42" s="344">
        <v>1</v>
      </c>
      <c r="O42" s="343" t="s">
        <v>572</v>
      </c>
      <c r="P42" s="343" t="s">
        <v>573</v>
      </c>
      <c r="Q42" s="345"/>
      <c r="R42" s="345"/>
      <c r="S42" s="345"/>
      <c r="T42" s="348">
        <v>-60000</v>
      </c>
    </row>
    <row r="43" spans="1:20">
      <c r="A43" s="370" t="str">
        <f t="shared" si="0"/>
        <v>4105</v>
      </c>
      <c r="B43" s="372">
        <f t="shared" si="1"/>
        <v>-490</v>
      </c>
      <c r="C43" s="370" t="str">
        <f t="shared" si="2"/>
        <v>3Q2023</v>
      </c>
      <c r="D43" s="533">
        <v>1</v>
      </c>
      <c r="E43" s="371">
        <v>45170</v>
      </c>
      <c r="F43" s="343" t="s">
        <v>491</v>
      </c>
      <c r="G43" s="343" t="s">
        <v>403</v>
      </c>
      <c r="H43" s="343" t="s">
        <v>492</v>
      </c>
      <c r="I43" s="343" t="s">
        <v>493</v>
      </c>
      <c r="J43" s="343"/>
      <c r="K43" s="343"/>
      <c r="L43" s="343" t="s">
        <v>494</v>
      </c>
      <c r="M43" s="343" t="s">
        <v>24</v>
      </c>
      <c r="N43" s="344">
        <v>1</v>
      </c>
      <c r="O43" s="343" t="s">
        <v>495</v>
      </c>
      <c r="P43" s="343" t="s">
        <v>574</v>
      </c>
      <c r="Q43" s="345"/>
      <c r="R43" s="345"/>
      <c r="S43" s="345"/>
      <c r="T43" s="346">
        <v>-490</v>
      </c>
    </row>
    <row r="44" spans="1:20" ht="36">
      <c r="A44" s="370" t="str">
        <f t="shared" si="0"/>
        <v>4106</v>
      </c>
      <c r="B44" s="372">
        <f t="shared" si="1"/>
        <v>-15000</v>
      </c>
      <c r="C44" s="370" t="str">
        <f t="shared" si="2"/>
        <v>3Q2023</v>
      </c>
      <c r="D44" s="533">
        <v>1</v>
      </c>
      <c r="E44" s="371">
        <v>45177</v>
      </c>
      <c r="F44" s="343" t="s">
        <v>491</v>
      </c>
      <c r="G44" s="343" t="s">
        <v>415</v>
      </c>
      <c r="H44" s="343" t="s">
        <v>492</v>
      </c>
      <c r="I44" s="343" t="s">
        <v>416</v>
      </c>
      <c r="J44" s="343" t="s">
        <v>537</v>
      </c>
      <c r="K44" s="343" t="s">
        <v>538</v>
      </c>
      <c r="L44" s="343" t="s">
        <v>494</v>
      </c>
      <c r="M44" s="343" t="s">
        <v>24</v>
      </c>
      <c r="N44" s="344">
        <v>1</v>
      </c>
      <c r="O44" s="343" t="s">
        <v>575</v>
      </c>
      <c r="P44" s="343" t="s">
        <v>576</v>
      </c>
      <c r="Q44" s="345"/>
      <c r="R44" s="345"/>
      <c r="S44" s="345"/>
      <c r="T44" s="346">
        <v>-15000</v>
      </c>
    </row>
    <row r="45" spans="1:20" ht="36">
      <c r="A45" s="370" t="str">
        <f t="shared" si="0"/>
        <v>4107</v>
      </c>
      <c r="B45" s="372">
        <f t="shared" si="1"/>
        <v>-18000</v>
      </c>
      <c r="C45" s="370" t="str">
        <f t="shared" si="2"/>
        <v>3Q2023</v>
      </c>
      <c r="D45" s="533">
        <v>1</v>
      </c>
      <c r="E45" s="371">
        <v>45177</v>
      </c>
      <c r="F45" s="343" t="s">
        <v>491</v>
      </c>
      <c r="G45" s="343" t="s">
        <v>409</v>
      </c>
      <c r="H45" s="343" t="s">
        <v>492</v>
      </c>
      <c r="I45" s="343" t="s">
        <v>368</v>
      </c>
      <c r="J45" s="343" t="s">
        <v>506</v>
      </c>
      <c r="K45" s="343" t="s">
        <v>507</v>
      </c>
      <c r="L45" s="343" t="s">
        <v>494</v>
      </c>
      <c r="M45" s="343" t="s">
        <v>24</v>
      </c>
      <c r="N45" s="344">
        <v>1</v>
      </c>
      <c r="O45" s="343" t="s">
        <v>577</v>
      </c>
      <c r="P45" s="343" t="s">
        <v>578</v>
      </c>
      <c r="Q45" s="345"/>
      <c r="R45" s="345"/>
      <c r="S45" s="345"/>
      <c r="T45" s="348">
        <v>-18000</v>
      </c>
    </row>
    <row r="46" spans="1:20" ht="36">
      <c r="A46" s="370" t="str">
        <f t="shared" si="0"/>
        <v>4420</v>
      </c>
      <c r="B46" s="372">
        <f t="shared" si="1"/>
        <v>-7800</v>
      </c>
      <c r="C46" s="370" t="str">
        <f t="shared" si="2"/>
        <v>3Q2023</v>
      </c>
      <c r="D46" s="533">
        <v>1</v>
      </c>
      <c r="E46" s="371">
        <v>45184</v>
      </c>
      <c r="F46" s="343" t="s">
        <v>491</v>
      </c>
      <c r="G46" s="343" t="s">
        <v>412</v>
      </c>
      <c r="H46" s="343" t="s">
        <v>492</v>
      </c>
      <c r="I46" s="343" t="s">
        <v>579</v>
      </c>
      <c r="J46" s="343" t="s">
        <v>413</v>
      </c>
      <c r="K46" s="343" t="s">
        <v>580</v>
      </c>
      <c r="L46" s="343" t="s">
        <v>494</v>
      </c>
      <c r="M46" s="343" t="s">
        <v>24</v>
      </c>
      <c r="N46" s="344">
        <v>1</v>
      </c>
      <c r="O46" s="343" t="s">
        <v>581</v>
      </c>
      <c r="P46" s="343" t="s">
        <v>582</v>
      </c>
      <c r="Q46" s="345"/>
      <c r="R46" s="345"/>
      <c r="S46" s="345"/>
      <c r="T46" s="346">
        <v>-7800</v>
      </c>
    </row>
    <row r="47" spans="1:20" ht="36">
      <c r="A47" s="370" t="str">
        <f t="shared" si="0"/>
        <v>4107</v>
      </c>
      <c r="B47" s="372">
        <f t="shared" si="1"/>
        <v>-18000</v>
      </c>
      <c r="C47" s="370" t="str">
        <f t="shared" si="2"/>
        <v>3Q2023</v>
      </c>
      <c r="D47" s="533">
        <v>1</v>
      </c>
      <c r="E47" s="371">
        <v>45184</v>
      </c>
      <c r="F47" s="343" t="s">
        <v>491</v>
      </c>
      <c r="G47" s="343" t="s">
        <v>409</v>
      </c>
      <c r="H47" s="343" t="s">
        <v>492</v>
      </c>
      <c r="I47" s="343" t="s">
        <v>368</v>
      </c>
      <c r="J47" s="343" t="s">
        <v>506</v>
      </c>
      <c r="K47" s="343" t="s">
        <v>507</v>
      </c>
      <c r="L47" s="343" t="s">
        <v>494</v>
      </c>
      <c r="M47" s="343" t="s">
        <v>24</v>
      </c>
      <c r="N47" s="344">
        <v>1</v>
      </c>
      <c r="O47" s="343" t="s">
        <v>583</v>
      </c>
      <c r="P47" s="343" t="s">
        <v>584</v>
      </c>
      <c r="Q47" s="345"/>
      <c r="R47" s="345"/>
      <c r="S47" s="345"/>
      <c r="T47" s="349">
        <v>-18000</v>
      </c>
    </row>
    <row r="48" spans="1:20" ht="36">
      <c r="A48" s="370" t="str">
        <f t="shared" si="0"/>
        <v>4107</v>
      </c>
      <c r="B48" s="372">
        <f t="shared" si="1"/>
        <v>-60000</v>
      </c>
      <c r="C48" s="370" t="str">
        <f t="shared" si="2"/>
        <v>3Q2023</v>
      </c>
      <c r="D48" s="533">
        <v>1</v>
      </c>
      <c r="E48" s="371">
        <v>45184</v>
      </c>
      <c r="F48" s="343" t="s">
        <v>491</v>
      </c>
      <c r="G48" s="343" t="s">
        <v>409</v>
      </c>
      <c r="H48" s="343" t="s">
        <v>492</v>
      </c>
      <c r="I48" s="343" t="s">
        <v>368</v>
      </c>
      <c r="J48" s="343" t="s">
        <v>510</v>
      </c>
      <c r="K48" s="343" t="s">
        <v>511</v>
      </c>
      <c r="L48" s="343" t="s">
        <v>494</v>
      </c>
      <c r="M48" s="343" t="s">
        <v>24</v>
      </c>
      <c r="N48" s="344">
        <v>1</v>
      </c>
      <c r="O48" s="343" t="s">
        <v>585</v>
      </c>
      <c r="P48" s="343" t="s">
        <v>586</v>
      </c>
      <c r="Q48" s="345"/>
      <c r="R48" s="345"/>
      <c r="S48" s="345"/>
      <c r="T48" s="347">
        <v>-60000</v>
      </c>
    </row>
    <row r="49" spans="1:20">
      <c r="A49" s="370" t="str">
        <f t="shared" si="0"/>
        <v>4105</v>
      </c>
      <c r="B49" s="372">
        <f t="shared" si="1"/>
        <v>-490</v>
      </c>
      <c r="C49" s="370" t="str">
        <f t="shared" si="2"/>
        <v>4Q2023</v>
      </c>
      <c r="D49" s="533">
        <v>1</v>
      </c>
      <c r="E49" s="371">
        <v>45200</v>
      </c>
      <c r="F49" s="343" t="s">
        <v>491</v>
      </c>
      <c r="G49" s="343" t="s">
        <v>403</v>
      </c>
      <c r="H49" s="343" t="s">
        <v>492</v>
      </c>
      <c r="I49" s="343" t="s">
        <v>493</v>
      </c>
      <c r="J49" s="343"/>
      <c r="K49" s="343"/>
      <c r="L49" s="343" t="s">
        <v>494</v>
      </c>
      <c r="M49" s="343" t="s">
        <v>24</v>
      </c>
      <c r="N49" s="344">
        <v>1</v>
      </c>
      <c r="O49" s="343" t="s">
        <v>495</v>
      </c>
      <c r="P49" s="343" t="s">
        <v>587</v>
      </c>
      <c r="Q49" s="345"/>
      <c r="R49" s="345"/>
      <c r="S49" s="345"/>
      <c r="T49" s="346">
        <v>-490</v>
      </c>
    </row>
    <row r="50" spans="1:20">
      <c r="A50" s="370" t="str">
        <f t="shared" si="0"/>
        <v>4105</v>
      </c>
      <c r="B50" s="372">
        <f t="shared" si="1"/>
        <v>-490</v>
      </c>
      <c r="C50" s="370" t="str">
        <f t="shared" si="2"/>
        <v>4Q2023</v>
      </c>
      <c r="D50" s="533">
        <v>1</v>
      </c>
      <c r="E50" s="371">
        <v>45231</v>
      </c>
      <c r="F50" s="343" t="s">
        <v>491</v>
      </c>
      <c r="G50" s="343" t="s">
        <v>403</v>
      </c>
      <c r="H50" s="343" t="s">
        <v>492</v>
      </c>
      <c r="I50" s="343" t="s">
        <v>493</v>
      </c>
      <c r="J50" s="343"/>
      <c r="K50" s="343"/>
      <c r="L50" s="343" t="s">
        <v>494</v>
      </c>
      <c r="M50" s="343" t="s">
        <v>24</v>
      </c>
      <c r="N50" s="344">
        <v>1</v>
      </c>
      <c r="O50" s="343" t="s">
        <v>495</v>
      </c>
      <c r="P50" s="343" t="s">
        <v>588</v>
      </c>
      <c r="Q50" s="345"/>
      <c r="R50" s="345"/>
      <c r="S50" s="345"/>
      <c r="T50" s="347">
        <v>-490</v>
      </c>
    </row>
    <row r="51" spans="1:20" ht="36">
      <c r="A51" s="370" t="str">
        <f t="shared" si="0"/>
        <v>3203</v>
      </c>
      <c r="B51" s="372">
        <f t="shared" si="1"/>
        <v>300000</v>
      </c>
      <c r="C51" s="370" t="str">
        <f t="shared" si="2"/>
        <v>4Q2023</v>
      </c>
      <c r="D51" s="533">
        <v>1</v>
      </c>
      <c r="E51" s="371">
        <v>45232</v>
      </c>
      <c r="F51" s="343" t="s">
        <v>491</v>
      </c>
      <c r="G51" s="343" t="s">
        <v>561</v>
      </c>
      <c r="H51" s="343" t="s">
        <v>492</v>
      </c>
      <c r="I51" s="343" t="s">
        <v>562</v>
      </c>
      <c r="J51" s="343" t="s">
        <v>563</v>
      </c>
      <c r="K51" s="343" t="s">
        <v>564</v>
      </c>
      <c r="L51" s="343" t="s">
        <v>494</v>
      </c>
      <c r="M51" s="343" t="s">
        <v>24</v>
      </c>
      <c r="N51" s="344">
        <v>1</v>
      </c>
      <c r="O51" s="343" t="s">
        <v>565</v>
      </c>
      <c r="P51" s="343" t="s">
        <v>589</v>
      </c>
      <c r="Q51" s="345"/>
      <c r="R51" s="345"/>
      <c r="S51" s="345">
        <v>300000</v>
      </c>
      <c r="T51" s="346"/>
    </row>
    <row r="52" spans="1:20" ht="36">
      <c r="A52" s="370" t="str">
        <f t="shared" si="0"/>
        <v>4106</v>
      </c>
      <c r="B52" s="372">
        <f t="shared" si="1"/>
        <v>-15000</v>
      </c>
      <c r="C52" s="370" t="str">
        <f t="shared" si="2"/>
        <v>4Q2023</v>
      </c>
      <c r="D52" s="533">
        <v>1</v>
      </c>
      <c r="E52" s="371">
        <v>45238</v>
      </c>
      <c r="F52" s="343" t="s">
        <v>491</v>
      </c>
      <c r="G52" s="343" t="s">
        <v>415</v>
      </c>
      <c r="H52" s="343" t="s">
        <v>492</v>
      </c>
      <c r="I52" s="343" t="s">
        <v>416</v>
      </c>
      <c r="J52" s="343" t="s">
        <v>537</v>
      </c>
      <c r="K52" s="343" t="s">
        <v>538</v>
      </c>
      <c r="L52" s="343" t="s">
        <v>494</v>
      </c>
      <c r="M52" s="343" t="s">
        <v>24</v>
      </c>
      <c r="N52" s="344">
        <v>1</v>
      </c>
      <c r="O52" s="343" t="s">
        <v>590</v>
      </c>
      <c r="P52" s="343" t="s">
        <v>591</v>
      </c>
      <c r="Q52" s="345"/>
      <c r="R52" s="345"/>
      <c r="S52" s="345"/>
      <c r="T52" s="349">
        <v>-15000</v>
      </c>
    </row>
    <row r="53" spans="1:20" ht="36">
      <c r="A53" s="370" t="str">
        <f t="shared" si="0"/>
        <v>4106</v>
      </c>
      <c r="B53" s="372">
        <f t="shared" si="1"/>
        <v>-15000</v>
      </c>
      <c r="C53" s="370" t="str">
        <f t="shared" si="2"/>
        <v>4Q2023</v>
      </c>
      <c r="D53" s="533">
        <v>1</v>
      </c>
      <c r="E53" s="371">
        <v>45238</v>
      </c>
      <c r="F53" s="343" t="s">
        <v>491</v>
      </c>
      <c r="G53" s="343" t="s">
        <v>415</v>
      </c>
      <c r="H53" s="343" t="s">
        <v>492</v>
      </c>
      <c r="I53" s="343" t="s">
        <v>416</v>
      </c>
      <c r="J53" s="343" t="s">
        <v>537</v>
      </c>
      <c r="K53" s="343" t="s">
        <v>538</v>
      </c>
      <c r="L53" s="343" t="s">
        <v>494</v>
      </c>
      <c r="M53" s="343" t="s">
        <v>24</v>
      </c>
      <c r="N53" s="344">
        <v>1</v>
      </c>
      <c r="O53" s="343" t="s">
        <v>592</v>
      </c>
      <c r="P53" s="343" t="s">
        <v>593</v>
      </c>
      <c r="Q53" s="345"/>
      <c r="R53" s="345"/>
      <c r="S53" s="345"/>
      <c r="T53" s="346">
        <v>-15000</v>
      </c>
    </row>
    <row r="54" spans="1:20" ht="36">
      <c r="A54" s="370" t="str">
        <f t="shared" si="0"/>
        <v>4107</v>
      </c>
      <c r="B54" s="372">
        <f t="shared" si="1"/>
        <v>-18000</v>
      </c>
      <c r="C54" s="370" t="str">
        <f t="shared" si="2"/>
        <v>4Q2023</v>
      </c>
      <c r="D54" s="533">
        <v>1</v>
      </c>
      <c r="E54" s="371">
        <v>45238</v>
      </c>
      <c r="F54" s="343" t="s">
        <v>491</v>
      </c>
      <c r="G54" s="343" t="s">
        <v>409</v>
      </c>
      <c r="H54" s="343" t="s">
        <v>492</v>
      </c>
      <c r="I54" s="343" t="s">
        <v>368</v>
      </c>
      <c r="J54" s="343" t="s">
        <v>506</v>
      </c>
      <c r="K54" s="343" t="s">
        <v>507</v>
      </c>
      <c r="L54" s="343" t="s">
        <v>494</v>
      </c>
      <c r="M54" s="343" t="s">
        <v>24</v>
      </c>
      <c r="N54" s="344">
        <v>1</v>
      </c>
      <c r="O54" s="343" t="s">
        <v>594</v>
      </c>
      <c r="P54" s="343" t="s">
        <v>595</v>
      </c>
      <c r="Q54" s="345"/>
      <c r="R54" s="345"/>
      <c r="S54" s="345"/>
      <c r="T54" s="347">
        <v>-18000</v>
      </c>
    </row>
    <row r="55" spans="1:20" ht="36">
      <c r="A55" s="370" t="str">
        <f t="shared" si="0"/>
        <v>4107</v>
      </c>
      <c r="B55" s="372">
        <f t="shared" si="1"/>
        <v>-60000</v>
      </c>
      <c r="C55" s="370" t="str">
        <f t="shared" si="2"/>
        <v>4Q2023</v>
      </c>
      <c r="D55" s="533">
        <v>1</v>
      </c>
      <c r="E55" s="371">
        <v>45238</v>
      </c>
      <c r="F55" s="343" t="s">
        <v>491</v>
      </c>
      <c r="G55" s="343" t="s">
        <v>409</v>
      </c>
      <c r="H55" s="343" t="s">
        <v>492</v>
      </c>
      <c r="I55" s="343" t="s">
        <v>368</v>
      </c>
      <c r="J55" s="343" t="s">
        <v>510</v>
      </c>
      <c r="K55" s="343" t="s">
        <v>511</v>
      </c>
      <c r="L55" s="343" t="s">
        <v>494</v>
      </c>
      <c r="M55" s="343" t="s">
        <v>24</v>
      </c>
      <c r="N55" s="344">
        <v>1</v>
      </c>
      <c r="O55" s="343" t="s">
        <v>596</v>
      </c>
      <c r="P55" s="343" t="s">
        <v>597</v>
      </c>
      <c r="Q55" s="345"/>
      <c r="R55" s="345"/>
      <c r="S55" s="345"/>
      <c r="T55" s="349">
        <v>-60000</v>
      </c>
    </row>
    <row r="56" spans="1:20" ht="24">
      <c r="A56" s="370" t="str">
        <f t="shared" si="0"/>
        <v>4105</v>
      </c>
      <c r="B56" s="372">
        <f t="shared" si="1"/>
        <v>-100</v>
      </c>
      <c r="C56" s="370" t="str">
        <f t="shared" si="2"/>
        <v>4Q2023</v>
      </c>
      <c r="D56" s="533">
        <v>1</v>
      </c>
      <c r="E56" s="371">
        <v>45253</v>
      </c>
      <c r="F56" s="343" t="s">
        <v>491</v>
      </c>
      <c r="G56" s="343" t="s">
        <v>403</v>
      </c>
      <c r="H56" s="343" t="s">
        <v>492</v>
      </c>
      <c r="I56" s="343" t="s">
        <v>493</v>
      </c>
      <c r="J56" s="343"/>
      <c r="K56" s="343"/>
      <c r="L56" s="343" t="s">
        <v>494</v>
      </c>
      <c r="M56" s="343" t="s">
        <v>24</v>
      </c>
      <c r="N56" s="344">
        <v>1</v>
      </c>
      <c r="O56" s="343" t="s">
        <v>500</v>
      </c>
      <c r="P56" s="343" t="s">
        <v>598</v>
      </c>
      <c r="Q56" s="345"/>
      <c r="R56" s="345"/>
      <c r="S56" s="346"/>
      <c r="T56" s="345">
        <v>-100</v>
      </c>
    </row>
    <row r="57" spans="1:20" ht="36">
      <c r="A57" s="370" t="str">
        <f t="shared" si="0"/>
        <v>4107</v>
      </c>
      <c r="B57" s="372">
        <f t="shared" si="1"/>
        <v>-18000</v>
      </c>
      <c r="C57" s="370" t="str">
        <f t="shared" si="2"/>
        <v>4Q2023</v>
      </c>
      <c r="D57" s="533">
        <v>1</v>
      </c>
      <c r="E57" s="371">
        <v>45253</v>
      </c>
      <c r="F57" s="343" t="s">
        <v>491</v>
      </c>
      <c r="G57" s="343" t="s">
        <v>409</v>
      </c>
      <c r="H57" s="343" t="s">
        <v>492</v>
      </c>
      <c r="I57" s="343" t="s">
        <v>368</v>
      </c>
      <c r="J57" s="343" t="s">
        <v>506</v>
      </c>
      <c r="K57" s="343" t="s">
        <v>507</v>
      </c>
      <c r="L57" s="343" t="s">
        <v>494</v>
      </c>
      <c r="M57" s="343" t="s">
        <v>24</v>
      </c>
      <c r="N57" s="344">
        <v>1</v>
      </c>
      <c r="O57" s="343" t="s">
        <v>599</v>
      </c>
      <c r="P57" s="343" t="s">
        <v>600</v>
      </c>
      <c r="Q57" s="345"/>
      <c r="R57" s="345"/>
      <c r="S57" s="345"/>
      <c r="T57" s="347">
        <v>-18000</v>
      </c>
    </row>
    <row r="58" spans="1:20" ht="36">
      <c r="A58" s="370" t="str">
        <f t="shared" si="0"/>
        <v>4107</v>
      </c>
      <c r="B58" s="372">
        <f t="shared" si="1"/>
        <v>-60000</v>
      </c>
      <c r="C58" s="370" t="str">
        <f t="shared" si="2"/>
        <v>4Q2023</v>
      </c>
      <c r="D58" s="533">
        <v>1</v>
      </c>
      <c r="E58" s="371">
        <v>45253</v>
      </c>
      <c r="F58" s="343" t="s">
        <v>491</v>
      </c>
      <c r="G58" s="343" t="s">
        <v>409</v>
      </c>
      <c r="H58" s="343" t="s">
        <v>492</v>
      </c>
      <c r="I58" s="343" t="s">
        <v>368</v>
      </c>
      <c r="J58" s="343" t="s">
        <v>510</v>
      </c>
      <c r="K58" s="343" t="s">
        <v>511</v>
      </c>
      <c r="L58" s="343" t="s">
        <v>494</v>
      </c>
      <c r="M58" s="343" t="s">
        <v>24</v>
      </c>
      <c r="N58" s="344">
        <v>1</v>
      </c>
      <c r="O58" s="343" t="s">
        <v>601</v>
      </c>
      <c r="P58" s="343" t="s">
        <v>602</v>
      </c>
      <c r="Q58" s="345"/>
      <c r="R58" s="345"/>
      <c r="S58" s="345"/>
      <c r="T58" s="346">
        <v>-60000</v>
      </c>
    </row>
    <row r="59" spans="1:20">
      <c r="A59" s="370" t="str">
        <f t="shared" si="0"/>
        <v>4105</v>
      </c>
      <c r="B59" s="372">
        <f t="shared" si="1"/>
        <v>-490</v>
      </c>
      <c r="C59" s="370" t="str">
        <f t="shared" si="2"/>
        <v>4Q2023</v>
      </c>
      <c r="D59" s="533">
        <v>1</v>
      </c>
      <c r="E59" s="371">
        <v>45261</v>
      </c>
      <c r="F59" s="343" t="s">
        <v>491</v>
      </c>
      <c r="G59" s="343" t="s">
        <v>403</v>
      </c>
      <c r="H59" s="343" t="s">
        <v>492</v>
      </c>
      <c r="I59" s="343" t="s">
        <v>493</v>
      </c>
      <c r="J59" s="343"/>
      <c r="K59" s="343"/>
      <c r="L59" s="343" t="s">
        <v>494</v>
      </c>
      <c r="M59" s="343" t="s">
        <v>24</v>
      </c>
      <c r="N59" s="344">
        <v>1</v>
      </c>
      <c r="O59" s="343" t="s">
        <v>495</v>
      </c>
      <c r="P59" s="343" t="s">
        <v>603</v>
      </c>
      <c r="Q59" s="345"/>
      <c r="R59" s="345"/>
      <c r="S59" s="345"/>
      <c r="T59" s="349">
        <v>-490</v>
      </c>
    </row>
    <row r="60" spans="1:20" ht="36">
      <c r="A60" s="370" t="str">
        <f t="shared" si="0"/>
        <v>3203</v>
      </c>
      <c r="B60" s="372">
        <f t="shared" si="1"/>
        <v>300000</v>
      </c>
      <c r="C60" s="370" t="str">
        <f t="shared" si="2"/>
        <v>4Q2023</v>
      </c>
      <c r="D60" s="533">
        <v>1</v>
      </c>
      <c r="E60" s="371">
        <v>45275</v>
      </c>
      <c r="F60" s="343" t="s">
        <v>491</v>
      </c>
      <c r="G60" s="343" t="s">
        <v>561</v>
      </c>
      <c r="H60" s="343" t="s">
        <v>492</v>
      </c>
      <c r="I60" s="343" t="s">
        <v>562</v>
      </c>
      <c r="J60" s="343" t="s">
        <v>563</v>
      </c>
      <c r="K60" s="343" t="s">
        <v>564</v>
      </c>
      <c r="L60" s="343" t="s">
        <v>494</v>
      </c>
      <c r="M60" s="343" t="s">
        <v>24</v>
      </c>
      <c r="N60" s="344">
        <v>1</v>
      </c>
      <c r="O60" s="343" t="s">
        <v>565</v>
      </c>
      <c r="P60" s="343" t="s">
        <v>604</v>
      </c>
      <c r="Q60" s="345"/>
      <c r="R60" s="345"/>
      <c r="S60" s="345">
        <v>300000</v>
      </c>
      <c r="T60" s="348"/>
    </row>
    <row r="61" spans="1:20" ht="36">
      <c r="A61" s="370" t="str">
        <f t="shared" si="0"/>
        <v>4106</v>
      </c>
      <c r="B61" s="372">
        <f t="shared" si="1"/>
        <v>-18000</v>
      </c>
      <c r="C61" s="370" t="str">
        <f t="shared" si="2"/>
        <v>4Q2023</v>
      </c>
      <c r="D61" s="533">
        <v>1</v>
      </c>
      <c r="E61" s="371">
        <v>45280</v>
      </c>
      <c r="F61" s="343" t="s">
        <v>491</v>
      </c>
      <c r="G61" s="343" t="s">
        <v>415</v>
      </c>
      <c r="H61" s="343" t="s">
        <v>492</v>
      </c>
      <c r="I61" s="343" t="s">
        <v>416</v>
      </c>
      <c r="J61" s="343" t="s">
        <v>537</v>
      </c>
      <c r="K61" s="343" t="s">
        <v>538</v>
      </c>
      <c r="L61" s="343" t="s">
        <v>494</v>
      </c>
      <c r="M61" s="343" t="s">
        <v>24</v>
      </c>
      <c r="N61" s="344">
        <v>1</v>
      </c>
      <c r="O61" s="343" t="s">
        <v>605</v>
      </c>
      <c r="P61" s="343" t="s">
        <v>606</v>
      </c>
      <c r="Q61" s="345"/>
      <c r="R61" s="345"/>
      <c r="S61" s="345"/>
      <c r="T61" s="347">
        <v>-18000</v>
      </c>
    </row>
    <row r="62" spans="1:20" ht="36">
      <c r="A62" s="370" t="str">
        <f t="shared" si="0"/>
        <v>4107</v>
      </c>
      <c r="B62" s="372">
        <f t="shared" si="1"/>
        <v>-60000</v>
      </c>
      <c r="C62" s="370" t="str">
        <f t="shared" si="2"/>
        <v>4Q2023</v>
      </c>
      <c r="D62" s="533">
        <v>1</v>
      </c>
      <c r="E62" s="371">
        <v>45280</v>
      </c>
      <c r="F62" s="343" t="s">
        <v>491</v>
      </c>
      <c r="G62" s="343" t="s">
        <v>409</v>
      </c>
      <c r="H62" s="343" t="s">
        <v>492</v>
      </c>
      <c r="I62" s="343" t="s">
        <v>368</v>
      </c>
      <c r="J62" s="343" t="s">
        <v>510</v>
      </c>
      <c r="K62" s="343" t="s">
        <v>511</v>
      </c>
      <c r="L62" s="343" t="s">
        <v>494</v>
      </c>
      <c r="M62" s="343" t="s">
        <v>24</v>
      </c>
      <c r="N62" s="344">
        <v>1</v>
      </c>
      <c r="O62" s="343" t="s">
        <v>607</v>
      </c>
      <c r="P62" s="343" t="s">
        <v>608</v>
      </c>
      <c r="Q62" s="345"/>
      <c r="R62" s="345"/>
      <c r="S62" s="345"/>
      <c r="T62" s="349">
        <v>-60000</v>
      </c>
    </row>
    <row r="63" spans="1:20" ht="36">
      <c r="A63" s="370" t="str">
        <f t="shared" si="0"/>
        <v>4107</v>
      </c>
      <c r="B63" s="372">
        <f t="shared" si="1"/>
        <v>-18000</v>
      </c>
      <c r="C63" s="370" t="str">
        <f t="shared" si="2"/>
        <v>4Q2023</v>
      </c>
      <c r="D63" s="533">
        <v>1</v>
      </c>
      <c r="E63" s="371">
        <v>45288</v>
      </c>
      <c r="F63" s="343" t="s">
        <v>491</v>
      </c>
      <c r="G63" s="343" t="s">
        <v>409</v>
      </c>
      <c r="H63" s="343" t="s">
        <v>492</v>
      </c>
      <c r="I63" s="343" t="s">
        <v>368</v>
      </c>
      <c r="J63" s="343" t="s">
        <v>506</v>
      </c>
      <c r="K63" s="343" t="s">
        <v>507</v>
      </c>
      <c r="L63" s="343" t="s">
        <v>494</v>
      </c>
      <c r="M63" s="343" t="s">
        <v>24</v>
      </c>
      <c r="N63" s="344">
        <v>1</v>
      </c>
      <c r="O63" s="343" t="s">
        <v>609</v>
      </c>
      <c r="P63" s="343" t="s">
        <v>610</v>
      </c>
      <c r="Q63" s="345"/>
      <c r="R63" s="345"/>
      <c r="S63" s="345"/>
      <c r="T63" s="346">
        <v>-18000</v>
      </c>
    </row>
    <row r="64" spans="1:20">
      <c r="A64" s="370" t="str">
        <f t="shared" si="0"/>
        <v>4105</v>
      </c>
      <c r="B64" s="372">
        <f t="shared" si="1"/>
        <v>-490</v>
      </c>
      <c r="C64" s="370" t="str">
        <f t="shared" si="2"/>
        <v>1Q2024</v>
      </c>
      <c r="D64" s="533">
        <v>1</v>
      </c>
      <c r="E64" s="371">
        <v>45292</v>
      </c>
      <c r="F64" s="343" t="s">
        <v>491</v>
      </c>
      <c r="G64" s="343" t="s">
        <v>403</v>
      </c>
      <c r="H64" s="343" t="s">
        <v>492</v>
      </c>
      <c r="I64" s="343" t="s">
        <v>493</v>
      </c>
      <c r="J64" s="343"/>
      <c r="K64" s="343"/>
      <c r="L64" s="343" t="s">
        <v>494</v>
      </c>
      <c r="M64" s="343" t="s">
        <v>24</v>
      </c>
      <c r="N64" s="344">
        <v>1</v>
      </c>
      <c r="O64" s="343" t="s">
        <v>495</v>
      </c>
      <c r="P64" s="343" t="s">
        <v>611</v>
      </c>
      <c r="Q64" s="345"/>
      <c r="R64" s="345"/>
      <c r="S64" s="345"/>
      <c r="T64" s="349">
        <v>-490</v>
      </c>
    </row>
    <row r="65" spans="1:20" ht="36">
      <c r="A65" s="370" t="str">
        <f t="shared" si="0"/>
        <v>4107</v>
      </c>
      <c r="B65" s="372">
        <f t="shared" si="1"/>
        <v>-54000</v>
      </c>
      <c r="C65" s="370" t="str">
        <f t="shared" si="2"/>
        <v>1Q2024</v>
      </c>
      <c r="D65" s="533">
        <v>1</v>
      </c>
      <c r="E65" s="371">
        <v>45314</v>
      </c>
      <c r="F65" s="343" t="s">
        <v>491</v>
      </c>
      <c r="G65" s="343" t="s">
        <v>409</v>
      </c>
      <c r="H65" s="343" t="s">
        <v>492</v>
      </c>
      <c r="I65" s="343" t="s">
        <v>368</v>
      </c>
      <c r="J65" s="343" t="s">
        <v>506</v>
      </c>
      <c r="K65" s="343" t="s">
        <v>507</v>
      </c>
      <c r="L65" s="343" t="s">
        <v>494</v>
      </c>
      <c r="M65" s="343" t="s">
        <v>24</v>
      </c>
      <c r="N65" s="344">
        <v>1</v>
      </c>
      <c r="O65" s="343" t="s">
        <v>612</v>
      </c>
      <c r="P65" s="343" t="s">
        <v>613</v>
      </c>
      <c r="Q65" s="345"/>
      <c r="R65" s="345"/>
      <c r="S65" s="345"/>
      <c r="T65" s="346">
        <v>-54000</v>
      </c>
    </row>
    <row r="66" spans="1:20" ht="36">
      <c r="A66" s="370" t="str">
        <f t="shared" si="0"/>
        <v>4107</v>
      </c>
      <c r="B66" s="372">
        <f t="shared" si="1"/>
        <v>-60000</v>
      </c>
      <c r="C66" s="370" t="str">
        <f t="shared" si="2"/>
        <v>1Q2024</v>
      </c>
      <c r="D66" s="533">
        <v>1</v>
      </c>
      <c r="E66" s="371">
        <v>45314</v>
      </c>
      <c r="F66" s="343" t="s">
        <v>491</v>
      </c>
      <c r="G66" s="343" t="s">
        <v>409</v>
      </c>
      <c r="H66" s="343" t="s">
        <v>492</v>
      </c>
      <c r="I66" s="343" t="s">
        <v>368</v>
      </c>
      <c r="J66" s="343" t="s">
        <v>510</v>
      </c>
      <c r="K66" s="343" t="s">
        <v>511</v>
      </c>
      <c r="L66" s="343" t="s">
        <v>494</v>
      </c>
      <c r="M66" s="343" t="s">
        <v>24</v>
      </c>
      <c r="N66" s="344">
        <v>1</v>
      </c>
      <c r="O66" s="343" t="s">
        <v>614</v>
      </c>
      <c r="P66" s="343" t="s">
        <v>615</v>
      </c>
      <c r="Q66" s="345"/>
      <c r="R66" s="345"/>
      <c r="S66" s="345"/>
      <c r="T66" s="346">
        <v>-60000</v>
      </c>
    </row>
    <row r="67" spans="1:20">
      <c r="A67" s="370" t="str">
        <f t="shared" ref="A67:A130" si="3">LEFT(G67,4)</f>
        <v>4105</v>
      </c>
      <c r="B67" s="372">
        <f t="shared" ref="B67:B130" si="4">+S67+T67</f>
        <v>-490</v>
      </c>
      <c r="C67" s="370" t="str">
        <f t="shared" ref="C67:C130" si="5">CONCATENATE(IF(MONTH(E67)&lt;=3,"1",IF(MONTH(E67)&lt;=6,"2",IF(MONTH(E67)&lt;=9,"3","4"))),"Q",YEAR(E67))</f>
        <v>1Q2024</v>
      </c>
      <c r="D67" s="533">
        <v>1</v>
      </c>
      <c r="E67" s="371">
        <v>45323</v>
      </c>
      <c r="F67" s="343" t="s">
        <v>491</v>
      </c>
      <c r="G67" s="343" t="s">
        <v>403</v>
      </c>
      <c r="H67" s="343" t="s">
        <v>492</v>
      </c>
      <c r="I67" s="343" t="s">
        <v>493</v>
      </c>
      <c r="J67" s="343"/>
      <c r="K67" s="343"/>
      <c r="L67" s="343" t="s">
        <v>494</v>
      </c>
      <c r="M67" s="343" t="s">
        <v>24</v>
      </c>
      <c r="N67" s="344">
        <v>1</v>
      </c>
      <c r="O67" s="343" t="s">
        <v>495</v>
      </c>
      <c r="P67" s="343" t="s">
        <v>616</v>
      </c>
      <c r="Q67" s="345"/>
      <c r="R67" s="345"/>
      <c r="S67" s="345"/>
      <c r="T67" s="346">
        <v>-490</v>
      </c>
    </row>
    <row r="68" spans="1:20" ht="36">
      <c r="A68" s="370" t="str">
        <f t="shared" si="3"/>
        <v>4106</v>
      </c>
      <c r="B68" s="372">
        <f t="shared" si="4"/>
        <v>-15000</v>
      </c>
      <c r="C68" s="370" t="str">
        <f t="shared" si="5"/>
        <v>1Q2024</v>
      </c>
      <c r="D68" s="533">
        <v>1</v>
      </c>
      <c r="E68" s="371">
        <v>45331</v>
      </c>
      <c r="F68" s="343" t="s">
        <v>491</v>
      </c>
      <c r="G68" s="343" t="s">
        <v>415</v>
      </c>
      <c r="H68" s="343" t="s">
        <v>492</v>
      </c>
      <c r="I68" s="343" t="s">
        <v>416</v>
      </c>
      <c r="J68" s="343" t="s">
        <v>537</v>
      </c>
      <c r="K68" s="343" t="s">
        <v>538</v>
      </c>
      <c r="L68" s="343" t="s">
        <v>494</v>
      </c>
      <c r="M68" s="343" t="s">
        <v>24</v>
      </c>
      <c r="N68" s="344">
        <v>1</v>
      </c>
      <c r="O68" s="343" t="s">
        <v>617</v>
      </c>
      <c r="P68" s="343" t="s">
        <v>618</v>
      </c>
      <c r="Q68" s="345"/>
      <c r="R68" s="345"/>
      <c r="S68" s="345"/>
      <c r="T68" s="346">
        <v>-15000</v>
      </c>
    </row>
    <row r="69" spans="1:20" ht="24">
      <c r="A69" s="370" t="str">
        <f t="shared" si="3"/>
        <v>4106</v>
      </c>
      <c r="B69" s="372">
        <f t="shared" si="4"/>
        <v>-15000</v>
      </c>
      <c r="C69" s="370" t="str">
        <f t="shared" si="5"/>
        <v>1Q2024</v>
      </c>
      <c r="D69" s="533">
        <v>1</v>
      </c>
      <c r="E69" s="371">
        <v>45331</v>
      </c>
      <c r="F69" s="343" t="s">
        <v>491</v>
      </c>
      <c r="G69" s="343" t="s">
        <v>415</v>
      </c>
      <c r="H69" s="343" t="s">
        <v>492</v>
      </c>
      <c r="I69" s="343" t="s">
        <v>416</v>
      </c>
      <c r="J69" s="343" t="s">
        <v>537</v>
      </c>
      <c r="K69" s="343" t="s">
        <v>538</v>
      </c>
      <c r="L69" s="343" t="s">
        <v>494</v>
      </c>
      <c r="M69" s="343" t="s">
        <v>24</v>
      </c>
      <c r="N69" s="344">
        <v>1</v>
      </c>
      <c r="O69" s="343" t="s">
        <v>619</v>
      </c>
      <c r="P69" s="343" t="s">
        <v>620</v>
      </c>
      <c r="Q69" s="345"/>
      <c r="R69" s="345"/>
      <c r="S69" s="345"/>
      <c r="T69" s="346">
        <v>-15000</v>
      </c>
    </row>
    <row r="70" spans="1:20" ht="36">
      <c r="A70" s="370" t="str">
        <f t="shared" si="3"/>
        <v>4107</v>
      </c>
      <c r="B70" s="372">
        <f t="shared" si="4"/>
        <v>-60000</v>
      </c>
      <c r="C70" s="370" t="str">
        <f t="shared" si="5"/>
        <v>1Q2024</v>
      </c>
      <c r="D70" s="533">
        <v>1</v>
      </c>
      <c r="E70" s="371">
        <v>45331</v>
      </c>
      <c r="F70" s="343" t="s">
        <v>491</v>
      </c>
      <c r="G70" s="343" t="s">
        <v>409</v>
      </c>
      <c r="H70" s="343" t="s">
        <v>492</v>
      </c>
      <c r="I70" s="343" t="s">
        <v>368</v>
      </c>
      <c r="J70" s="343" t="s">
        <v>510</v>
      </c>
      <c r="K70" s="343" t="s">
        <v>511</v>
      </c>
      <c r="L70" s="343" t="s">
        <v>494</v>
      </c>
      <c r="M70" s="343" t="s">
        <v>24</v>
      </c>
      <c r="N70" s="344">
        <v>1</v>
      </c>
      <c r="O70" s="343" t="s">
        <v>621</v>
      </c>
      <c r="P70" s="343" t="s">
        <v>622</v>
      </c>
      <c r="Q70" s="345"/>
      <c r="R70" s="345"/>
      <c r="S70" s="345"/>
      <c r="T70" s="346">
        <v>-60000</v>
      </c>
    </row>
    <row r="71" spans="1:20">
      <c r="A71" s="370" t="str">
        <f t="shared" si="3"/>
        <v>4105</v>
      </c>
      <c r="B71" s="372">
        <f t="shared" si="4"/>
        <v>-490</v>
      </c>
      <c r="C71" s="370" t="str">
        <f t="shared" si="5"/>
        <v>1Q2024</v>
      </c>
      <c r="D71" s="533">
        <v>1</v>
      </c>
      <c r="E71" s="371">
        <v>45352</v>
      </c>
      <c r="F71" s="343" t="s">
        <v>491</v>
      </c>
      <c r="G71" s="343" t="s">
        <v>403</v>
      </c>
      <c r="H71" s="343" t="s">
        <v>492</v>
      </c>
      <c r="I71" s="343" t="s">
        <v>493</v>
      </c>
      <c r="J71" s="343"/>
      <c r="K71" s="343"/>
      <c r="L71" s="343" t="s">
        <v>494</v>
      </c>
      <c r="M71" s="343" t="s">
        <v>24</v>
      </c>
      <c r="N71" s="344">
        <v>1</v>
      </c>
      <c r="O71" s="343" t="s">
        <v>495</v>
      </c>
      <c r="P71" s="343" t="s">
        <v>623</v>
      </c>
      <c r="Q71" s="345"/>
      <c r="R71" s="345"/>
      <c r="S71" s="345"/>
      <c r="T71" s="349">
        <v>-490</v>
      </c>
    </row>
    <row r="72" spans="1:20" ht="24">
      <c r="A72" s="370" t="str">
        <f t="shared" si="3"/>
        <v>4102</v>
      </c>
      <c r="B72" s="372">
        <f t="shared" si="4"/>
        <v>-10000</v>
      </c>
      <c r="C72" s="370" t="str">
        <f t="shared" si="5"/>
        <v>1Q2024</v>
      </c>
      <c r="D72" s="533">
        <v>1</v>
      </c>
      <c r="E72" s="371">
        <v>45355</v>
      </c>
      <c r="F72" s="343" t="s">
        <v>491</v>
      </c>
      <c r="G72" s="343" t="s">
        <v>790</v>
      </c>
      <c r="H72" s="343" t="s">
        <v>492</v>
      </c>
      <c r="I72" s="343" t="s">
        <v>417</v>
      </c>
      <c r="J72" s="343" t="s">
        <v>624</v>
      </c>
      <c r="K72" s="343" t="s">
        <v>625</v>
      </c>
      <c r="L72" s="343" t="s">
        <v>494</v>
      </c>
      <c r="M72" s="343" t="s">
        <v>24</v>
      </c>
      <c r="N72" s="344">
        <v>1</v>
      </c>
      <c r="O72" s="343" t="s">
        <v>626</v>
      </c>
      <c r="P72" s="343" t="s">
        <v>627</v>
      </c>
      <c r="Q72" s="345"/>
      <c r="R72" s="345"/>
      <c r="S72" s="345"/>
      <c r="T72" s="346">
        <v>-10000</v>
      </c>
    </row>
    <row r="73" spans="1:20" ht="36">
      <c r="A73" s="370" t="str">
        <f t="shared" si="3"/>
        <v>4106</v>
      </c>
      <c r="B73" s="372">
        <f t="shared" si="4"/>
        <v>-15000</v>
      </c>
      <c r="C73" s="370" t="str">
        <f t="shared" si="5"/>
        <v>1Q2024</v>
      </c>
      <c r="D73" s="533">
        <v>1</v>
      </c>
      <c r="E73" s="371">
        <v>45373</v>
      </c>
      <c r="F73" s="343" t="s">
        <v>491</v>
      </c>
      <c r="G73" s="343" t="s">
        <v>415</v>
      </c>
      <c r="H73" s="343" t="s">
        <v>492</v>
      </c>
      <c r="I73" s="343" t="s">
        <v>416</v>
      </c>
      <c r="J73" s="343" t="s">
        <v>537</v>
      </c>
      <c r="K73" s="343" t="s">
        <v>538</v>
      </c>
      <c r="L73" s="343" t="s">
        <v>494</v>
      </c>
      <c r="M73" s="343" t="s">
        <v>24</v>
      </c>
      <c r="N73" s="344">
        <v>1</v>
      </c>
      <c r="O73" s="343" t="s">
        <v>628</v>
      </c>
      <c r="P73" s="343" t="s">
        <v>629</v>
      </c>
      <c r="Q73" s="345"/>
      <c r="R73" s="345"/>
      <c r="S73" s="345"/>
      <c r="T73" s="349">
        <v>-15000</v>
      </c>
    </row>
    <row r="74" spans="1:20" ht="36">
      <c r="A74" s="370" t="str">
        <f t="shared" si="3"/>
        <v>4107</v>
      </c>
      <c r="B74" s="372">
        <f t="shared" si="4"/>
        <v>-60000</v>
      </c>
      <c r="C74" s="370" t="str">
        <f t="shared" si="5"/>
        <v>1Q2024</v>
      </c>
      <c r="D74" s="533">
        <v>1</v>
      </c>
      <c r="E74" s="371">
        <v>45373</v>
      </c>
      <c r="F74" s="343" t="s">
        <v>491</v>
      </c>
      <c r="G74" s="343" t="s">
        <v>409</v>
      </c>
      <c r="H74" s="343" t="s">
        <v>492</v>
      </c>
      <c r="I74" s="343" t="s">
        <v>368</v>
      </c>
      <c r="J74" s="343" t="s">
        <v>510</v>
      </c>
      <c r="K74" s="343" t="s">
        <v>511</v>
      </c>
      <c r="L74" s="343" t="s">
        <v>494</v>
      </c>
      <c r="M74" s="343" t="s">
        <v>24</v>
      </c>
      <c r="N74" s="344">
        <v>1</v>
      </c>
      <c r="O74" s="343" t="s">
        <v>630</v>
      </c>
      <c r="P74" s="343" t="s">
        <v>631</v>
      </c>
      <c r="Q74" s="345"/>
      <c r="R74" s="345"/>
      <c r="S74" s="346"/>
      <c r="T74" s="345">
        <v>-60000</v>
      </c>
    </row>
    <row r="75" spans="1:20" ht="36">
      <c r="A75" s="370" t="str">
        <f t="shared" si="3"/>
        <v>3203</v>
      </c>
      <c r="B75" s="372">
        <f t="shared" si="4"/>
        <v>300000</v>
      </c>
      <c r="C75" s="370" t="str">
        <f t="shared" si="5"/>
        <v>1Q2024</v>
      </c>
      <c r="D75" s="533">
        <v>1</v>
      </c>
      <c r="E75" s="371">
        <v>45376</v>
      </c>
      <c r="F75" s="343" t="s">
        <v>491</v>
      </c>
      <c r="G75" s="343" t="s">
        <v>561</v>
      </c>
      <c r="H75" s="343" t="s">
        <v>492</v>
      </c>
      <c r="I75" s="343" t="s">
        <v>562</v>
      </c>
      <c r="J75" s="343" t="s">
        <v>563</v>
      </c>
      <c r="K75" s="343" t="s">
        <v>564</v>
      </c>
      <c r="L75" s="343" t="s">
        <v>494</v>
      </c>
      <c r="M75" s="343" t="s">
        <v>24</v>
      </c>
      <c r="N75" s="344">
        <v>1</v>
      </c>
      <c r="O75" s="343" t="s">
        <v>565</v>
      </c>
      <c r="P75" s="343" t="s">
        <v>632</v>
      </c>
      <c r="Q75" s="345"/>
      <c r="R75" s="345"/>
      <c r="S75" s="345">
        <v>300000</v>
      </c>
      <c r="T75" s="347"/>
    </row>
    <row r="76" spans="1:20">
      <c r="A76" s="370" t="str">
        <f t="shared" si="3"/>
        <v>4105</v>
      </c>
      <c r="B76" s="372">
        <f t="shared" si="4"/>
        <v>-490</v>
      </c>
      <c r="C76" s="370" t="str">
        <f t="shared" si="5"/>
        <v>2Q2024</v>
      </c>
      <c r="D76" s="533">
        <v>1</v>
      </c>
      <c r="E76" s="371">
        <v>45383</v>
      </c>
      <c r="F76" s="343" t="s">
        <v>491</v>
      </c>
      <c r="G76" s="343" t="s">
        <v>403</v>
      </c>
      <c r="H76" s="343" t="s">
        <v>492</v>
      </c>
      <c r="I76" s="343" t="s">
        <v>493</v>
      </c>
      <c r="J76" s="343"/>
      <c r="K76" s="343"/>
      <c r="L76" s="343" t="s">
        <v>494</v>
      </c>
      <c r="M76" s="343" t="s">
        <v>24</v>
      </c>
      <c r="N76" s="344">
        <v>1</v>
      </c>
      <c r="O76" s="343" t="s">
        <v>495</v>
      </c>
      <c r="P76" s="343" t="s">
        <v>633</v>
      </c>
      <c r="Q76" s="345"/>
      <c r="R76" s="345"/>
      <c r="S76" s="345"/>
      <c r="T76" s="346">
        <v>-490</v>
      </c>
    </row>
    <row r="77" spans="1:20" ht="36">
      <c r="A77" s="370" t="str">
        <f t="shared" si="3"/>
        <v>4107</v>
      </c>
      <c r="B77" s="372">
        <f t="shared" si="4"/>
        <v>-54000</v>
      </c>
      <c r="C77" s="370" t="str">
        <f t="shared" si="5"/>
        <v>2Q2024</v>
      </c>
      <c r="D77" s="533">
        <v>1</v>
      </c>
      <c r="E77" s="371">
        <v>45394</v>
      </c>
      <c r="F77" s="343" t="s">
        <v>491</v>
      </c>
      <c r="G77" s="343" t="s">
        <v>409</v>
      </c>
      <c r="H77" s="343" t="s">
        <v>492</v>
      </c>
      <c r="I77" s="343" t="s">
        <v>368</v>
      </c>
      <c r="J77" s="343" t="s">
        <v>506</v>
      </c>
      <c r="K77" s="343" t="s">
        <v>507</v>
      </c>
      <c r="L77" s="343" t="s">
        <v>494</v>
      </c>
      <c r="M77" s="343" t="s">
        <v>24</v>
      </c>
      <c r="N77" s="344">
        <v>1</v>
      </c>
      <c r="O77" s="343" t="s">
        <v>634</v>
      </c>
      <c r="P77" s="343" t="s">
        <v>635</v>
      </c>
      <c r="Q77" s="345"/>
      <c r="R77" s="345"/>
      <c r="S77" s="345"/>
      <c r="T77" s="348">
        <v>-54000</v>
      </c>
    </row>
    <row r="78" spans="1:20" ht="36">
      <c r="A78" s="370" t="str">
        <f t="shared" si="3"/>
        <v>4107</v>
      </c>
      <c r="B78" s="372">
        <f t="shared" si="4"/>
        <v>-60000</v>
      </c>
      <c r="C78" s="370" t="str">
        <f t="shared" si="5"/>
        <v>2Q2024</v>
      </c>
      <c r="D78" s="533">
        <v>1</v>
      </c>
      <c r="E78" s="371">
        <v>45394</v>
      </c>
      <c r="F78" s="343" t="s">
        <v>491</v>
      </c>
      <c r="G78" s="343" t="s">
        <v>409</v>
      </c>
      <c r="H78" s="343" t="s">
        <v>492</v>
      </c>
      <c r="I78" s="343" t="s">
        <v>368</v>
      </c>
      <c r="J78" s="343" t="s">
        <v>510</v>
      </c>
      <c r="K78" s="343" t="s">
        <v>511</v>
      </c>
      <c r="L78" s="343" t="s">
        <v>494</v>
      </c>
      <c r="M78" s="343" t="s">
        <v>24</v>
      </c>
      <c r="N78" s="344">
        <v>1</v>
      </c>
      <c r="O78" s="343" t="s">
        <v>636</v>
      </c>
      <c r="P78" s="343" t="s">
        <v>637</v>
      </c>
      <c r="Q78" s="345"/>
      <c r="R78" s="345"/>
      <c r="S78" s="345"/>
      <c r="T78" s="346">
        <v>-60000</v>
      </c>
    </row>
    <row r="79" spans="1:20" ht="24">
      <c r="A79" s="370" t="str">
        <f t="shared" si="3"/>
        <v>4106</v>
      </c>
      <c r="B79" s="372">
        <f t="shared" si="4"/>
        <v>-15000</v>
      </c>
      <c r="C79" s="370" t="str">
        <f t="shared" si="5"/>
        <v>2Q2024</v>
      </c>
      <c r="D79" s="533">
        <v>1</v>
      </c>
      <c r="E79" s="371">
        <v>45409</v>
      </c>
      <c r="F79" s="343" t="s">
        <v>491</v>
      </c>
      <c r="G79" s="343" t="s">
        <v>415</v>
      </c>
      <c r="H79" s="343" t="s">
        <v>492</v>
      </c>
      <c r="I79" s="343" t="s">
        <v>416</v>
      </c>
      <c r="J79" s="343" t="s">
        <v>537</v>
      </c>
      <c r="K79" s="343" t="s">
        <v>538</v>
      </c>
      <c r="L79" s="343" t="s">
        <v>494</v>
      </c>
      <c r="M79" s="343" t="s">
        <v>24</v>
      </c>
      <c r="N79" s="344">
        <v>1</v>
      </c>
      <c r="O79" s="343" t="s">
        <v>638</v>
      </c>
      <c r="P79" s="343" t="s">
        <v>639</v>
      </c>
      <c r="Q79" s="345"/>
      <c r="R79" s="345"/>
      <c r="S79" s="345"/>
      <c r="T79" s="349">
        <v>-15000</v>
      </c>
    </row>
    <row r="80" spans="1:20">
      <c r="A80" s="370" t="str">
        <f t="shared" si="3"/>
        <v>4105</v>
      </c>
      <c r="B80" s="372">
        <f t="shared" si="4"/>
        <v>-490</v>
      </c>
      <c r="C80" s="370" t="str">
        <f t="shared" si="5"/>
        <v>2Q2024</v>
      </c>
      <c r="D80" s="533">
        <v>1</v>
      </c>
      <c r="E80" s="371">
        <v>45413</v>
      </c>
      <c r="F80" s="343" t="s">
        <v>491</v>
      </c>
      <c r="G80" s="343" t="s">
        <v>403</v>
      </c>
      <c r="H80" s="343" t="s">
        <v>492</v>
      </c>
      <c r="I80" s="343" t="s">
        <v>493</v>
      </c>
      <c r="J80" s="343"/>
      <c r="K80" s="343"/>
      <c r="L80" s="343" t="s">
        <v>494</v>
      </c>
      <c r="M80" s="343" t="s">
        <v>24</v>
      </c>
      <c r="N80" s="344">
        <v>1</v>
      </c>
      <c r="O80" s="343" t="s">
        <v>495</v>
      </c>
      <c r="P80" s="343" t="s">
        <v>640</v>
      </c>
      <c r="Q80" s="345"/>
      <c r="R80" s="345"/>
      <c r="S80" s="346"/>
      <c r="T80" s="345">
        <v>-490</v>
      </c>
    </row>
    <row r="81" spans="1:20" ht="36">
      <c r="A81" s="370" t="str">
        <f t="shared" si="3"/>
        <v>4107</v>
      </c>
      <c r="B81" s="372">
        <f t="shared" si="4"/>
        <v>-60000</v>
      </c>
      <c r="C81" s="370" t="str">
        <f t="shared" si="5"/>
        <v>2Q2024</v>
      </c>
      <c r="D81" s="533">
        <v>1</v>
      </c>
      <c r="E81" s="371">
        <v>45426</v>
      </c>
      <c r="F81" s="343" t="s">
        <v>491</v>
      </c>
      <c r="G81" s="343" t="s">
        <v>409</v>
      </c>
      <c r="H81" s="343" t="s">
        <v>492</v>
      </c>
      <c r="I81" s="343" t="s">
        <v>368</v>
      </c>
      <c r="J81" s="343" t="s">
        <v>510</v>
      </c>
      <c r="K81" s="343" t="s">
        <v>511</v>
      </c>
      <c r="L81" s="343" t="s">
        <v>494</v>
      </c>
      <c r="M81" s="343" t="s">
        <v>24</v>
      </c>
      <c r="N81" s="344">
        <v>1</v>
      </c>
      <c r="O81" s="343" t="s">
        <v>641</v>
      </c>
      <c r="P81" s="343" t="s">
        <v>642</v>
      </c>
      <c r="Q81" s="345"/>
      <c r="R81" s="345"/>
      <c r="S81" s="345"/>
      <c r="T81" s="346">
        <v>-60000</v>
      </c>
    </row>
    <row r="82" spans="1:20" ht="36">
      <c r="A82" s="370" t="str">
        <f t="shared" si="3"/>
        <v>4106</v>
      </c>
      <c r="B82" s="372">
        <f t="shared" si="4"/>
        <v>-18000</v>
      </c>
      <c r="C82" s="370" t="str">
        <f t="shared" si="5"/>
        <v>2Q2024</v>
      </c>
      <c r="D82" s="533">
        <v>1</v>
      </c>
      <c r="E82" s="371">
        <v>45434</v>
      </c>
      <c r="F82" s="343" t="s">
        <v>491</v>
      </c>
      <c r="G82" s="343" t="s">
        <v>415</v>
      </c>
      <c r="H82" s="343" t="s">
        <v>492</v>
      </c>
      <c r="I82" s="343" t="s">
        <v>416</v>
      </c>
      <c r="J82" s="343" t="s">
        <v>537</v>
      </c>
      <c r="K82" s="343" t="s">
        <v>538</v>
      </c>
      <c r="L82" s="343" t="s">
        <v>494</v>
      </c>
      <c r="M82" s="343" t="s">
        <v>24</v>
      </c>
      <c r="N82" s="344">
        <v>1</v>
      </c>
      <c r="O82" s="343" t="s">
        <v>643</v>
      </c>
      <c r="P82" s="343" t="s">
        <v>644</v>
      </c>
      <c r="Q82" s="345"/>
      <c r="R82" s="345"/>
      <c r="S82" s="345"/>
      <c r="T82" s="349">
        <v>-18000</v>
      </c>
    </row>
    <row r="83" spans="1:20">
      <c r="A83" s="370" t="str">
        <f t="shared" si="3"/>
        <v>4105</v>
      </c>
      <c r="B83" s="372">
        <f t="shared" si="4"/>
        <v>-490</v>
      </c>
      <c r="C83" s="370" t="str">
        <f t="shared" si="5"/>
        <v>2Q2024</v>
      </c>
      <c r="D83" s="533">
        <v>1</v>
      </c>
      <c r="E83" s="371">
        <v>45444</v>
      </c>
      <c r="F83" s="343" t="s">
        <v>491</v>
      </c>
      <c r="G83" s="343" t="s">
        <v>403</v>
      </c>
      <c r="H83" s="343" t="s">
        <v>492</v>
      </c>
      <c r="I83" s="343" t="s">
        <v>493</v>
      </c>
      <c r="J83" s="343"/>
      <c r="K83" s="343"/>
      <c r="L83" s="343" t="s">
        <v>494</v>
      </c>
      <c r="M83" s="343" t="s">
        <v>24</v>
      </c>
      <c r="N83" s="344">
        <v>1</v>
      </c>
      <c r="O83" s="343" t="s">
        <v>495</v>
      </c>
      <c r="P83" s="343" t="s">
        <v>645</v>
      </c>
      <c r="Q83" s="345"/>
      <c r="R83" s="345"/>
      <c r="S83" s="345"/>
      <c r="T83" s="346">
        <v>-490</v>
      </c>
    </row>
    <row r="84" spans="1:20" ht="36">
      <c r="A84" s="370" t="str">
        <f t="shared" si="3"/>
        <v>4107</v>
      </c>
      <c r="B84" s="372">
        <f t="shared" si="4"/>
        <v>-60000</v>
      </c>
      <c r="C84" s="370" t="str">
        <f t="shared" si="5"/>
        <v>2Q2024</v>
      </c>
      <c r="D84" s="533">
        <v>1</v>
      </c>
      <c r="E84" s="371">
        <v>45449</v>
      </c>
      <c r="F84" s="343" t="s">
        <v>491</v>
      </c>
      <c r="G84" s="343" t="s">
        <v>409</v>
      </c>
      <c r="H84" s="343" t="s">
        <v>492</v>
      </c>
      <c r="I84" s="343" t="s">
        <v>368</v>
      </c>
      <c r="J84" s="343" t="s">
        <v>510</v>
      </c>
      <c r="K84" s="343" t="s">
        <v>511</v>
      </c>
      <c r="L84" s="343" t="s">
        <v>494</v>
      </c>
      <c r="M84" s="343" t="s">
        <v>24</v>
      </c>
      <c r="N84" s="344">
        <v>1</v>
      </c>
      <c r="O84" s="343" t="s">
        <v>646</v>
      </c>
      <c r="P84" s="343" t="s">
        <v>647</v>
      </c>
      <c r="Q84" s="345"/>
      <c r="R84" s="345"/>
      <c r="S84" s="345"/>
      <c r="T84" s="349">
        <v>-60000</v>
      </c>
    </row>
    <row r="85" spans="1:20" ht="24">
      <c r="A85" s="370" t="str">
        <f t="shared" si="3"/>
        <v>4107</v>
      </c>
      <c r="B85" s="372">
        <f t="shared" si="4"/>
        <v>-35000</v>
      </c>
      <c r="C85" s="370" t="str">
        <f t="shared" si="5"/>
        <v>2Q2024</v>
      </c>
      <c r="D85" s="533">
        <v>1</v>
      </c>
      <c r="E85" s="371">
        <v>45464</v>
      </c>
      <c r="F85" s="343" t="s">
        <v>491</v>
      </c>
      <c r="G85" s="343" t="s">
        <v>409</v>
      </c>
      <c r="H85" s="343" t="s">
        <v>492</v>
      </c>
      <c r="I85" s="343" t="s">
        <v>648</v>
      </c>
      <c r="J85" s="343" t="s">
        <v>413</v>
      </c>
      <c r="K85" s="343"/>
      <c r="L85" s="343" t="s">
        <v>494</v>
      </c>
      <c r="M85" s="343" t="s">
        <v>24</v>
      </c>
      <c r="N85" s="344">
        <v>1</v>
      </c>
      <c r="O85" s="343" t="s">
        <v>649</v>
      </c>
      <c r="P85" s="343" t="s">
        <v>650</v>
      </c>
      <c r="Q85" s="345"/>
      <c r="R85" s="345"/>
      <c r="S85" s="345"/>
      <c r="T85" s="346">
        <v>-35000</v>
      </c>
    </row>
    <row r="86" spans="1:20" ht="36">
      <c r="A86" s="370" t="str">
        <f t="shared" si="3"/>
        <v>4107</v>
      </c>
      <c r="B86" s="372">
        <f t="shared" si="4"/>
        <v>-246.58</v>
      </c>
      <c r="C86" s="370" t="str">
        <f t="shared" si="5"/>
        <v>2Q2024</v>
      </c>
      <c r="D86" s="533">
        <v>1</v>
      </c>
      <c r="E86" s="371">
        <v>45467</v>
      </c>
      <c r="F86" s="343" t="s">
        <v>491</v>
      </c>
      <c r="G86" s="343" t="s">
        <v>409</v>
      </c>
      <c r="H86" s="343" t="s">
        <v>492</v>
      </c>
      <c r="I86" s="343" t="s">
        <v>368</v>
      </c>
      <c r="J86" s="343" t="s">
        <v>533</v>
      </c>
      <c r="K86" s="343" t="s">
        <v>534</v>
      </c>
      <c r="L86" s="343" t="s">
        <v>494</v>
      </c>
      <c r="M86" s="343" t="s">
        <v>24</v>
      </c>
      <c r="N86" s="344">
        <v>1</v>
      </c>
      <c r="O86" s="343" t="s">
        <v>651</v>
      </c>
      <c r="P86" s="343" t="s">
        <v>652</v>
      </c>
      <c r="Q86" s="345"/>
      <c r="R86" s="345"/>
      <c r="S86" s="345"/>
      <c r="T86" s="346">
        <v>-246.58</v>
      </c>
    </row>
    <row r="87" spans="1:20" ht="36">
      <c r="A87" s="370" t="str">
        <f t="shared" si="3"/>
        <v>4106</v>
      </c>
      <c r="B87" s="372">
        <f t="shared" si="4"/>
        <v>-22000</v>
      </c>
      <c r="C87" s="370" t="str">
        <f t="shared" si="5"/>
        <v>2Q2024</v>
      </c>
      <c r="D87" s="533">
        <v>1</v>
      </c>
      <c r="E87" s="371">
        <v>45467</v>
      </c>
      <c r="F87" s="343" t="s">
        <v>491</v>
      </c>
      <c r="G87" s="343" t="s">
        <v>415</v>
      </c>
      <c r="H87" s="343" t="s">
        <v>492</v>
      </c>
      <c r="I87" s="343" t="s">
        <v>416</v>
      </c>
      <c r="J87" s="343" t="s">
        <v>537</v>
      </c>
      <c r="K87" s="343" t="s">
        <v>538</v>
      </c>
      <c r="L87" s="343" t="s">
        <v>494</v>
      </c>
      <c r="M87" s="343" t="s">
        <v>24</v>
      </c>
      <c r="N87" s="344">
        <v>1</v>
      </c>
      <c r="O87" s="343" t="s">
        <v>653</v>
      </c>
      <c r="P87" s="343" t="s">
        <v>654</v>
      </c>
      <c r="Q87" s="345"/>
      <c r="R87" s="345"/>
      <c r="S87" s="345"/>
      <c r="T87" s="346">
        <v>-22000</v>
      </c>
    </row>
    <row r="88" spans="1:20" ht="36">
      <c r="A88" s="370" t="str">
        <f t="shared" si="3"/>
        <v>4107</v>
      </c>
      <c r="B88" s="372">
        <f t="shared" si="4"/>
        <v>-9753.42</v>
      </c>
      <c r="C88" s="370" t="str">
        <f t="shared" si="5"/>
        <v>2Q2024</v>
      </c>
      <c r="D88" s="533">
        <v>1</v>
      </c>
      <c r="E88" s="371">
        <v>45467</v>
      </c>
      <c r="F88" s="343" t="s">
        <v>491</v>
      </c>
      <c r="G88" s="343" t="s">
        <v>409</v>
      </c>
      <c r="H88" s="343" t="s">
        <v>492</v>
      </c>
      <c r="I88" s="343" t="s">
        <v>368</v>
      </c>
      <c r="J88" s="343" t="s">
        <v>533</v>
      </c>
      <c r="K88" s="343" t="s">
        <v>534</v>
      </c>
      <c r="L88" s="343" t="s">
        <v>494</v>
      </c>
      <c r="M88" s="343" t="s">
        <v>24</v>
      </c>
      <c r="N88" s="344">
        <v>1</v>
      </c>
      <c r="O88" s="343" t="s">
        <v>651</v>
      </c>
      <c r="P88" s="343" t="s">
        <v>652</v>
      </c>
      <c r="Q88" s="345"/>
      <c r="R88" s="345"/>
      <c r="S88" s="345"/>
      <c r="T88" s="346">
        <v>-9753.42</v>
      </c>
    </row>
    <row r="89" spans="1:20">
      <c r="A89" s="370" t="str">
        <f t="shared" si="3"/>
        <v>4105</v>
      </c>
      <c r="B89" s="372">
        <f t="shared" si="4"/>
        <v>-490</v>
      </c>
      <c r="C89" s="370" t="str">
        <f t="shared" si="5"/>
        <v>3Q2024</v>
      </c>
      <c r="D89" s="533">
        <v>1</v>
      </c>
      <c r="E89" s="371">
        <v>45474</v>
      </c>
      <c r="F89" s="343" t="s">
        <v>491</v>
      </c>
      <c r="G89" s="343" t="s">
        <v>403</v>
      </c>
      <c r="H89" s="343" t="s">
        <v>492</v>
      </c>
      <c r="I89" s="343" t="s">
        <v>493</v>
      </c>
      <c r="J89" s="343"/>
      <c r="K89" s="343"/>
      <c r="L89" s="343" t="s">
        <v>494</v>
      </c>
      <c r="M89" s="343" t="s">
        <v>24</v>
      </c>
      <c r="N89" s="344">
        <v>1</v>
      </c>
      <c r="O89" s="343" t="s">
        <v>495</v>
      </c>
      <c r="P89" s="343" t="s">
        <v>655</v>
      </c>
      <c r="Q89" s="345"/>
      <c r="R89" s="345"/>
      <c r="S89" s="345"/>
      <c r="T89" s="349">
        <v>-490</v>
      </c>
    </row>
    <row r="90" spans="1:20" ht="24">
      <c r="A90" s="370" t="str">
        <f t="shared" si="3"/>
        <v>4107</v>
      </c>
      <c r="B90" s="372">
        <f t="shared" si="4"/>
        <v>-1260</v>
      </c>
      <c r="C90" s="370" t="str">
        <f t="shared" si="5"/>
        <v>3Q2024</v>
      </c>
      <c r="D90" s="533">
        <v>1</v>
      </c>
      <c r="E90" s="371">
        <v>45492</v>
      </c>
      <c r="F90" s="343" t="s">
        <v>491</v>
      </c>
      <c r="G90" s="343" t="s">
        <v>409</v>
      </c>
      <c r="H90" s="343" t="s">
        <v>492</v>
      </c>
      <c r="I90" s="343" t="s">
        <v>368</v>
      </c>
      <c r="J90" s="343" t="s">
        <v>533</v>
      </c>
      <c r="K90" s="343" t="s">
        <v>534</v>
      </c>
      <c r="L90" s="343" t="s">
        <v>494</v>
      </c>
      <c r="M90" s="343" t="s">
        <v>24</v>
      </c>
      <c r="N90" s="344">
        <v>1</v>
      </c>
      <c r="O90" s="343" t="s">
        <v>656</v>
      </c>
      <c r="P90" s="343" t="s">
        <v>657</v>
      </c>
      <c r="Q90" s="345"/>
      <c r="R90" s="345"/>
      <c r="S90" s="345"/>
      <c r="T90" s="348">
        <v>-1260</v>
      </c>
    </row>
    <row r="91" spans="1:20" ht="36">
      <c r="A91" s="370" t="str">
        <f t="shared" si="3"/>
        <v>4107</v>
      </c>
      <c r="B91" s="372">
        <f t="shared" si="4"/>
        <v>-18000</v>
      </c>
      <c r="C91" s="370" t="str">
        <f t="shared" si="5"/>
        <v>3Q2024</v>
      </c>
      <c r="D91" s="533">
        <v>1</v>
      </c>
      <c r="E91" s="371">
        <v>45492</v>
      </c>
      <c r="F91" s="343" t="s">
        <v>491</v>
      </c>
      <c r="G91" s="343" t="s">
        <v>409</v>
      </c>
      <c r="H91" s="343" t="s">
        <v>492</v>
      </c>
      <c r="I91" s="343" t="s">
        <v>368</v>
      </c>
      <c r="J91" s="343" t="s">
        <v>533</v>
      </c>
      <c r="K91" s="343" t="s">
        <v>534</v>
      </c>
      <c r="L91" s="343" t="s">
        <v>494</v>
      </c>
      <c r="M91" s="343" t="s">
        <v>24</v>
      </c>
      <c r="N91" s="344">
        <v>1</v>
      </c>
      <c r="O91" s="343" t="s">
        <v>658</v>
      </c>
      <c r="P91" s="343" t="s">
        <v>659</v>
      </c>
      <c r="Q91" s="345"/>
      <c r="R91" s="345"/>
      <c r="S91" s="345"/>
      <c r="T91" s="349">
        <v>-18000</v>
      </c>
    </row>
    <row r="92" spans="1:20" ht="36">
      <c r="A92" s="370" t="str">
        <f t="shared" si="3"/>
        <v>3203</v>
      </c>
      <c r="B92" s="372">
        <f t="shared" si="4"/>
        <v>300000</v>
      </c>
      <c r="C92" s="370" t="str">
        <f t="shared" si="5"/>
        <v>3Q2024</v>
      </c>
      <c r="D92" s="533">
        <v>1</v>
      </c>
      <c r="E92" s="371">
        <v>45496</v>
      </c>
      <c r="F92" s="343" t="s">
        <v>491</v>
      </c>
      <c r="G92" s="343" t="s">
        <v>561</v>
      </c>
      <c r="H92" s="343" t="s">
        <v>492</v>
      </c>
      <c r="I92" s="343" t="s">
        <v>562</v>
      </c>
      <c r="J92" s="343" t="s">
        <v>563</v>
      </c>
      <c r="K92" s="343" t="s">
        <v>564</v>
      </c>
      <c r="L92" s="343" t="s">
        <v>494</v>
      </c>
      <c r="M92" s="343" t="s">
        <v>24</v>
      </c>
      <c r="N92" s="344">
        <v>1</v>
      </c>
      <c r="O92" s="343" t="s">
        <v>565</v>
      </c>
      <c r="P92" s="343" t="s">
        <v>660</v>
      </c>
      <c r="Q92" s="345"/>
      <c r="R92" s="345"/>
      <c r="S92" s="345">
        <v>300000</v>
      </c>
      <c r="T92" s="348"/>
    </row>
    <row r="93" spans="1:20" ht="24">
      <c r="A93" s="370" t="str">
        <f t="shared" si="3"/>
        <v>4106</v>
      </c>
      <c r="B93" s="372">
        <f t="shared" si="4"/>
        <v>-15000</v>
      </c>
      <c r="C93" s="370" t="str">
        <f t="shared" si="5"/>
        <v>3Q2024</v>
      </c>
      <c r="D93" s="533">
        <v>1</v>
      </c>
      <c r="E93" s="371">
        <v>45502</v>
      </c>
      <c r="F93" s="343" t="s">
        <v>491</v>
      </c>
      <c r="G93" s="343" t="s">
        <v>415</v>
      </c>
      <c r="H93" s="343" t="s">
        <v>492</v>
      </c>
      <c r="I93" s="343" t="s">
        <v>416</v>
      </c>
      <c r="J93" s="343" t="s">
        <v>537</v>
      </c>
      <c r="K93" s="343" t="s">
        <v>538</v>
      </c>
      <c r="L93" s="343" t="s">
        <v>494</v>
      </c>
      <c r="M93" s="343" t="s">
        <v>24</v>
      </c>
      <c r="N93" s="344">
        <v>1</v>
      </c>
      <c r="O93" s="343" t="s">
        <v>661</v>
      </c>
      <c r="P93" s="343" t="s">
        <v>662</v>
      </c>
      <c r="Q93" s="345"/>
      <c r="R93" s="345"/>
      <c r="S93" s="345"/>
      <c r="T93" s="349">
        <v>-15000</v>
      </c>
    </row>
    <row r="94" spans="1:20" ht="36">
      <c r="A94" s="370" t="str">
        <f t="shared" si="3"/>
        <v>4107</v>
      </c>
      <c r="B94" s="372">
        <f t="shared" si="4"/>
        <v>-54000</v>
      </c>
      <c r="C94" s="370" t="str">
        <f t="shared" si="5"/>
        <v>3Q2024</v>
      </c>
      <c r="D94" s="533">
        <v>1</v>
      </c>
      <c r="E94" s="371">
        <v>45502</v>
      </c>
      <c r="F94" s="343" t="s">
        <v>491</v>
      </c>
      <c r="G94" s="343" t="s">
        <v>409</v>
      </c>
      <c r="H94" s="343" t="s">
        <v>492</v>
      </c>
      <c r="I94" s="343" t="s">
        <v>368</v>
      </c>
      <c r="J94" s="343" t="s">
        <v>506</v>
      </c>
      <c r="K94" s="343" t="s">
        <v>507</v>
      </c>
      <c r="L94" s="343" t="s">
        <v>494</v>
      </c>
      <c r="M94" s="343" t="s">
        <v>24</v>
      </c>
      <c r="N94" s="344">
        <v>1</v>
      </c>
      <c r="O94" s="343" t="s">
        <v>663</v>
      </c>
      <c r="P94" s="343" t="s">
        <v>664</v>
      </c>
      <c r="Q94" s="345"/>
      <c r="R94" s="345"/>
      <c r="S94" s="345"/>
      <c r="T94" s="347">
        <v>-54000</v>
      </c>
    </row>
    <row r="95" spans="1:20" ht="36">
      <c r="A95" s="370" t="str">
        <f t="shared" si="3"/>
        <v>4107</v>
      </c>
      <c r="B95" s="372">
        <f t="shared" si="4"/>
        <v>-60000</v>
      </c>
      <c r="C95" s="370" t="str">
        <f t="shared" si="5"/>
        <v>3Q2024</v>
      </c>
      <c r="D95" s="533">
        <v>1</v>
      </c>
      <c r="E95" s="371">
        <v>45502</v>
      </c>
      <c r="F95" s="343" t="s">
        <v>491</v>
      </c>
      <c r="G95" s="343" t="s">
        <v>409</v>
      </c>
      <c r="H95" s="343" t="s">
        <v>492</v>
      </c>
      <c r="I95" s="343" t="s">
        <v>368</v>
      </c>
      <c r="J95" s="343" t="s">
        <v>510</v>
      </c>
      <c r="K95" s="343" t="s">
        <v>511</v>
      </c>
      <c r="L95" s="343" t="s">
        <v>494</v>
      </c>
      <c r="M95" s="343" t="s">
        <v>24</v>
      </c>
      <c r="N95" s="344">
        <v>1</v>
      </c>
      <c r="O95" s="343" t="s">
        <v>665</v>
      </c>
      <c r="P95" s="343" t="s">
        <v>666</v>
      </c>
      <c r="Q95" s="345"/>
      <c r="R95" s="345"/>
      <c r="S95" s="345"/>
      <c r="T95" s="346">
        <v>-60000</v>
      </c>
    </row>
    <row r="96" spans="1:20">
      <c r="A96" s="370" t="str">
        <f t="shared" si="3"/>
        <v>4105</v>
      </c>
      <c r="B96" s="372">
        <f t="shared" si="4"/>
        <v>-490</v>
      </c>
      <c r="C96" s="370" t="str">
        <f t="shared" si="5"/>
        <v>3Q2024</v>
      </c>
      <c r="D96" s="533">
        <v>1</v>
      </c>
      <c r="E96" s="371">
        <v>45505</v>
      </c>
      <c r="F96" s="343" t="s">
        <v>491</v>
      </c>
      <c r="G96" s="343" t="s">
        <v>403</v>
      </c>
      <c r="H96" s="343" t="s">
        <v>492</v>
      </c>
      <c r="I96" s="343" t="s">
        <v>493</v>
      </c>
      <c r="J96" s="343"/>
      <c r="K96" s="343"/>
      <c r="L96" s="343" t="s">
        <v>494</v>
      </c>
      <c r="M96" s="343" t="s">
        <v>24</v>
      </c>
      <c r="N96" s="344">
        <v>1</v>
      </c>
      <c r="O96" s="343" t="s">
        <v>495</v>
      </c>
      <c r="P96" s="343" t="s">
        <v>667</v>
      </c>
      <c r="Q96" s="345"/>
      <c r="R96" s="345"/>
      <c r="S96" s="345"/>
      <c r="T96" s="346">
        <v>-490</v>
      </c>
    </row>
    <row r="97" spans="1:20" ht="36">
      <c r="A97" s="370" t="str">
        <f t="shared" si="3"/>
        <v>4107</v>
      </c>
      <c r="B97" s="372">
        <f t="shared" si="4"/>
        <v>-60000</v>
      </c>
      <c r="C97" s="370" t="str">
        <f t="shared" si="5"/>
        <v>3Q2024</v>
      </c>
      <c r="D97" s="533">
        <v>1</v>
      </c>
      <c r="E97" s="371">
        <v>45516</v>
      </c>
      <c r="F97" s="343" t="s">
        <v>491</v>
      </c>
      <c r="G97" s="343" t="s">
        <v>409</v>
      </c>
      <c r="H97" s="343" t="s">
        <v>492</v>
      </c>
      <c r="I97" s="343" t="s">
        <v>368</v>
      </c>
      <c r="J97" s="343" t="s">
        <v>510</v>
      </c>
      <c r="K97" s="343" t="s">
        <v>511</v>
      </c>
      <c r="L97" s="343" t="s">
        <v>494</v>
      </c>
      <c r="M97" s="343" t="s">
        <v>24</v>
      </c>
      <c r="N97" s="344">
        <v>1</v>
      </c>
      <c r="O97" s="343" t="s">
        <v>668</v>
      </c>
      <c r="P97" s="343" t="s">
        <v>669</v>
      </c>
      <c r="Q97" s="345"/>
      <c r="R97" s="345"/>
      <c r="S97" s="345"/>
      <c r="T97" s="346">
        <v>-60000</v>
      </c>
    </row>
    <row r="98" spans="1:20">
      <c r="A98" s="370" t="str">
        <f t="shared" si="3"/>
        <v>4105</v>
      </c>
      <c r="B98" s="372">
        <f t="shared" si="4"/>
        <v>-490</v>
      </c>
      <c r="C98" s="370" t="str">
        <f t="shared" si="5"/>
        <v>3Q2024</v>
      </c>
      <c r="D98" s="533">
        <v>1</v>
      </c>
      <c r="E98" s="371">
        <v>45536</v>
      </c>
      <c r="F98" s="343" t="s">
        <v>491</v>
      </c>
      <c r="G98" s="343" t="s">
        <v>403</v>
      </c>
      <c r="H98" s="343" t="s">
        <v>492</v>
      </c>
      <c r="I98" s="343" t="s">
        <v>493</v>
      </c>
      <c r="J98" s="343"/>
      <c r="K98" s="343"/>
      <c r="L98" s="343" t="s">
        <v>494</v>
      </c>
      <c r="M98" s="343" t="s">
        <v>24</v>
      </c>
      <c r="N98" s="344">
        <v>1</v>
      </c>
      <c r="O98" s="343" t="s">
        <v>495</v>
      </c>
      <c r="P98" s="343" t="s">
        <v>670</v>
      </c>
      <c r="Q98" s="345"/>
      <c r="R98" s="345"/>
      <c r="S98" s="345"/>
      <c r="T98" s="346">
        <v>-490</v>
      </c>
    </row>
    <row r="99" spans="1:20" ht="24">
      <c r="A99" s="370" t="str">
        <f t="shared" si="3"/>
        <v>4105</v>
      </c>
      <c r="B99" s="372">
        <f t="shared" si="4"/>
        <v>-3500</v>
      </c>
      <c r="C99" s="370" t="str">
        <f t="shared" si="5"/>
        <v>3Q2024</v>
      </c>
      <c r="D99" s="533">
        <v>1</v>
      </c>
      <c r="E99" s="371">
        <v>45539</v>
      </c>
      <c r="F99" s="343" t="s">
        <v>491</v>
      </c>
      <c r="G99" s="343" t="s">
        <v>403</v>
      </c>
      <c r="H99" s="343" t="s">
        <v>671</v>
      </c>
      <c r="I99" s="343" t="s">
        <v>404</v>
      </c>
      <c r="J99" s="343"/>
      <c r="K99" s="343"/>
      <c r="L99" s="343" t="s">
        <v>672</v>
      </c>
      <c r="M99" s="343" t="s">
        <v>24</v>
      </c>
      <c r="N99" s="344">
        <v>1</v>
      </c>
      <c r="O99" s="343" t="s">
        <v>673</v>
      </c>
      <c r="P99" s="343" t="s">
        <v>674</v>
      </c>
      <c r="Q99" s="345"/>
      <c r="R99" s="345"/>
      <c r="S99" s="345"/>
      <c r="T99" s="346">
        <v>-3500</v>
      </c>
    </row>
    <row r="100" spans="1:20" ht="24">
      <c r="A100" s="370" t="str">
        <f t="shared" si="3"/>
        <v>4105</v>
      </c>
      <c r="B100" s="372">
        <f t="shared" si="4"/>
        <v>-3000</v>
      </c>
      <c r="C100" s="370" t="str">
        <f t="shared" si="5"/>
        <v>3Q2024</v>
      </c>
      <c r="D100" s="533">
        <v>1</v>
      </c>
      <c r="E100" s="371">
        <v>45539</v>
      </c>
      <c r="F100" s="343" t="s">
        <v>491</v>
      </c>
      <c r="G100" s="343" t="s">
        <v>403</v>
      </c>
      <c r="H100" s="343" t="s">
        <v>671</v>
      </c>
      <c r="I100" s="343" t="s">
        <v>404</v>
      </c>
      <c r="J100" s="343"/>
      <c r="K100" s="343"/>
      <c r="L100" s="343" t="s">
        <v>672</v>
      </c>
      <c r="M100" s="343" t="s">
        <v>24</v>
      </c>
      <c r="N100" s="344">
        <v>1</v>
      </c>
      <c r="O100" s="343" t="s">
        <v>405</v>
      </c>
      <c r="P100" s="343" t="s">
        <v>675</v>
      </c>
      <c r="Q100" s="345"/>
      <c r="R100" s="345"/>
      <c r="S100" s="345"/>
      <c r="T100" s="349">
        <v>-3000</v>
      </c>
    </row>
    <row r="101" spans="1:20" ht="24">
      <c r="A101" s="370" t="str">
        <f t="shared" si="3"/>
        <v>4105</v>
      </c>
      <c r="B101" s="372">
        <f t="shared" si="4"/>
        <v>-2800</v>
      </c>
      <c r="C101" s="370" t="str">
        <f t="shared" si="5"/>
        <v>3Q2024</v>
      </c>
      <c r="D101" s="533">
        <v>1</v>
      </c>
      <c r="E101" s="371">
        <v>45539</v>
      </c>
      <c r="F101" s="343" t="s">
        <v>491</v>
      </c>
      <c r="G101" s="343" t="s">
        <v>403</v>
      </c>
      <c r="H101" s="343" t="s">
        <v>671</v>
      </c>
      <c r="I101" s="343" t="s">
        <v>404</v>
      </c>
      <c r="J101" s="343"/>
      <c r="K101" s="343"/>
      <c r="L101" s="343" t="s">
        <v>672</v>
      </c>
      <c r="M101" s="343" t="s">
        <v>24</v>
      </c>
      <c r="N101" s="344">
        <v>1</v>
      </c>
      <c r="O101" s="343" t="s">
        <v>676</v>
      </c>
      <c r="P101" s="343" t="s">
        <v>677</v>
      </c>
      <c r="Q101" s="345"/>
      <c r="R101" s="345"/>
      <c r="S101" s="345"/>
      <c r="T101" s="346">
        <v>-2800</v>
      </c>
    </row>
    <row r="102" spans="1:20" ht="24">
      <c r="A102" s="370" t="str">
        <f t="shared" si="3"/>
        <v>4105</v>
      </c>
      <c r="B102" s="372">
        <f t="shared" si="4"/>
        <v>-2500</v>
      </c>
      <c r="C102" s="370" t="str">
        <f t="shared" si="5"/>
        <v>3Q2024</v>
      </c>
      <c r="D102" s="533">
        <v>1</v>
      </c>
      <c r="E102" s="371">
        <v>45539</v>
      </c>
      <c r="F102" s="343" t="s">
        <v>491</v>
      </c>
      <c r="G102" s="343" t="s">
        <v>403</v>
      </c>
      <c r="H102" s="343" t="s">
        <v>671</v>
      </c>
      <c r="I102" s="343" t="s">
        <v>404</v>
      </c>
      <c r="J102" s="343"/>
      <c r="K102" s="343"/>
      <c r="L102" s="343" t="s">
        <v>672</v>
      </c>
      <c r="M102" s="343" t="s">
        <v>24</v>
      </c>
      <c r="N102" s="344">
        <v>1</v>
      </c>
      <c r="O102" s="343" t="s">
        <v>406</v>
      </c>
      <c r="P102" s="343" t="s">
        <v>678</v>
      </c>
      <c r="Q102" s="345"/>
      <c r="R102" s="345"/>
      <c r="S102" s="345"/>
      <c r="T102" s="349">
        <v>-2500</v>
      </c>
    </row>
    <row r="103" spans="1:20" ht="24">
      <c r="A103" s="370" t="str">
        <f t="shared" si="3"/>
        <v>3511</v>
      </c>
      <c r="B103" s="372">
        <f t="shared" si="4"/>
        <v>400000</v>
      </c>
      <c r="C103" s="370" t="str">
        <f t="shared" si="5"/>
        <v>3Q2024</v>
      </c>
      <c r="D103" s="533">
        <v>1</v>
      </c>
      <c r="E103" s="371">
        <v>45539</v>
      </c>
      <c r="F103" s="343" t="s">
        <v>491</v>
      </c>
      <c r="G103" s="343" t="s">
        <v>401</v>
      </c>
      <c r="H103" s="343" t="s">
        <v>671</v>
      </c>
      <c r="I103" s="343"/>
      <c r="J103" s="343"/>
      <c r="K103" s="343"/>
      <c r="L103" s="343" t="s">
        <v>672</v>
      </c>
      <c r="M103" s="343" t="s">
        <v>24</v>
      </c>
      <c r="N103" s="344">
        <v>1</v>
      </c>
      <c r="O103" s="343" t="s">
        <v>679</v>
      </c>
      <c r="P103" s="343" t="s">
        <v>680</v>
      </c>
      <c r="Q103" s="345"/>
      <c r="R103" s="345"/>
      <c r="S103" s="346">
        <v>400000</v>
      </c>
      <c r="T103" s="345"/>
    </row>
    <row r="104" spans="1:20" ht="36">
      <c r="A104" s="370" t="str">
        <f t="shared" si="3"/>
        <v>4420</v>
      </c>
      <c r="B104" s="372">
        <f t="shared" si="4"/>
        <v>-6970</v>
      </c>
      <c r="C104" s="370" t="str">
        <f t="shared" si="5"/>
        <v>3Q2024</v>
      </c>
      <c r="D104" s="533">
        <v>1</v>
      </c>
      <c r="E104" s="371">
        <v>45540</v>
      </c>
      <c r="F104" s="343" t="s">
        <v>491</v>
      </c>
      <c r="G104" s="343" t="s">
        <v>412</v>
      </c>
      <c r="H104" s="343" t="s">
        <v>492</v>
      </c>
      <c r="I104" s="343" t="s">
        <v>579</v>
      </c>
      <c r="J104" s="343" t="s">
        <v>413</v>
      </c>
      <c r="K104" s="343" t="s">
        <v>580</v>
      </c>
      <c r="L104" s="343" t="s">
        <v>494</v>
      </c>
      <c r="M104" s="343" t="s">
        <v>24</v>
      </c>
      <c r="N104" s="344">
        <v>1</v>
      </c>
      <c r="O104" s="343" t="s">
        <v>681</v>
      </c>
      <c r="P104" s="343" t="s">
        <v>682</v>
      </c>
      <c r="Q104" s="345"/>
      <c r="R104" s="345"/>
      <c r="S104" s="345"/>
      <c r="T104" s="346">
        <v>-6970</v>
      </c>
    </row>
    <row r="105" spans="1:20" ht="24">
      <c r="A105" s="370" t="str">
        <f t="shared" si="3"/>
        <v>4106</v>
      </c>
      <c r="B105" s="372">
        <f t="shared" si="4"/>
        <v>-15000</v>
      </c>
      <c r="C105" s="370" t="str">
        <f t="shared" si="5"/>
        <v>3Q2024</v>
      </c>
      <c r="D105" s="533">
        <v>1</v>
      </c>
      <c r="E105" s="371">
        <v>45540</v>
      </c>
      <c r="F105" s="343" t="s">
        <v>491</v>
      </c>
      <c r="G105" s="343" t="s">
        <v>415</v>
      </c>
      <c r="H105" s="343" t="s">
        <v>492</v>
      </c>
      <c r="I105" s="343" t="s">
        <v>416</v>
      </c>
      <c r="J105" s="343" t="s">
        <v>537</v>
      </c>
      <c r="K105" s="343" t="s">
        <v>538</v>
      </c>
      <c r="L105" s="343" t="s">
        <v>494</v>
      </c>
      <c r="M105" s="343" t="s">
        <v>24</v>
      </c>
      <c r="N105" s="344">
        <v>1</v>
      </c>
      <c r="O105" s="343" t="s">
        <v>683</v>
      </c>
      <c r="P105" s="343" t="s">
        <v>684</v>
      </c>
      <c r="Q105" s="345"/>
      <c r="R105" s="345"/>
      <c r="S105" s="345"/>
      <c r="T105" s="349">
        <v>-15000</v>
      </c>
    </row>
    <row r="106" spans="1:20" ht="24">
      <c r="A106" s="370" t="str">
        <f t="shared" si="3"/>
        <v>4105</v>
      </c>
      <c r="B106" s="372">
        <f t="shared" si="4"/>
        <v>-2083.33</v>
      </c>
      <c r="C106" s="370" t="str">
        <f t="shared" si="5"/>
        <v>3Q2024</v>
      </c>
      <c r="D106" s="533">
        <v>1</v>
      </c>
      <c r="E106" s="371">
        <v>45545</v>
      </c>
      <c r="F106" s="343" t="s">
        <v>491</v>
      </c>
      <c r="G106" s="343" t="s">
        <v>403</v>
      </c>
      <c r="H106" s="343" t="s">
        <v>671</v>
      </c>
      <c r="I106" s="343" t="s">
        <v>404</v>
      </c>
      <c r="J106" s="343"/>
      <c r="K106" s="343"/>
      <c r="L106" s="343" t="s">
        <v>672</v>
      </c>
      <c r="M106" s="343" t="s">
        <v>24</v>
      </c>
      <c r="N106" s="344">
        <v>1</v>
      </c>
      <c r="O106" s="343" t="s">
        <v>407</v>
      </c>
      <c r="P106" s="343" t="s">
        <v>685</v>
      </c>
      <c r="Q106" s="345"/>
      <c r="R106" s="345"/>
      <c r="S106" s="345"/>
      <c r="T106" s="346">
        <v>-2083.33</v>
      </c>
    </row>
    <row r="107" spans="1:20" ht="24">
      <c r="A107" s="370" t="str">
        <f t="shared" si="3"/>
        <v>4105</v>
      </c>
      <c r="B107" s="372">
        <f t="shared" si="4"/>
        <v>-416.67</v>
      </c>
      <c r="C107" s="370" t="str">
        <f t="shared" si="5"/>
        <v>3Q2024</v>
      </c>
      <c r="D107" s="533">
        <v>1</v>
      </c>
      <c r="E107" s="371">
        <v>45545</v>
      </c>
      <c r="F107" s="343" t="s">
        <v>491</v>
      </c>
      <c r="G107" s="343" t="s">
        <v>403</v>
      </c>
      <c r="H107" s="343" t="s">
        <v>671</v>
      </c>
      <c r="I107" s="343" t="s">
        <v>404</v>
      </c>
      <c r="J107" s="343"/>
      <c r="K107" s="343"/>
      <c r="L107" s="343" t="s">
        <v>672</v>
      </c>
      <c r="M107" s="343" t="s">
        <v>24</v>
      </c>
      <c r="N107" s="344">
        <v>1</v>
      </c>
      <c r="O107" s="343" t="s">
        <v>408</v>
      </c>
      <c r="P107" s="343" t="s">
        <v>686</v>
      </c>
      <c r="Q107" s="345"/>
      <c r="R107" s="345"/>
      <c r="S107" s="345"/>
      <c r="T107" s="349">
        <v>-416.67</v>
      </c>
    </row>
    <row r="108" spans="1:20" ht="36">
      <c r="A108" s="370" t="str">
        <f t="shared" si="3"/>
        <v>4107</v>
      </c>
      <c r="B108" s="372">
        <f t="shared" si="4"/>
        <v>-60000</v>
      </c>
      <c r="C108" s="370" t="str">
        <f t="shared" si="5"/>
        <v>3Q2024</v>
      </c>
      <c r="D108" s="533">
        <v>1</v>
      </c>
      <c r="E108" s="371">
        <v>45552</v>
      </c>
      <c r="F108" s="343" t="s">
        <v>491</v>
      </c>
      <c r="G108" s="343" t="s">
        <v>409</v>
      </c>
      <c r="H108" s="343" t="s">
        <v>492</v>
      </c>
      <c r="I108" s="343" t="s">
        <v>368</v>
      </c>
      <c r="J108" s="343" t="s">
        <v>510</v>
      </c>
      <c r="K108" s="343" t="s">
        <v>511</v>
      </c>
      <c r="L108" s="343" t="s">
        <v>494</v>
      </c>
      <c r="M108" s="343" t="s">
        <v>24</v>
      </c>
      <c r="N108" s="344">
        <v>1</v>
      </c>
      <c r="O108" s="343" t="s">
        <v>687</v>
      </c>
      <c r="P108" s="343" t="s">
        <v>688</v>
      </c>
      <c r="Q108" s="345"/>
      <c r="R108" s="345"/>
      <c r="S108" s="345"/>
      <c r="T108" s="346">
        <v>-60000</v>
      </c>
    </row>
    <row r="109" spans="1:20" ht="24">
      <c r="A109" s="370" t="str">
        <f t="shared" si="3"/>
        <v>3202</v>
      </c>
      <c r="B109" s="372">
        <f t="shared" si="4"/>
        <v>100000</v>
      </c>
      <c r="C109" s="370" t="str">
        <f t="shared" si="5"/>
        <v>3Q2024</v>
      </c>
      <c r="D109" s="533">
        <v>1</v>
      </c>
      <c r="E109" s="371">
        <v>45558</v>
      </c>
      <c r="F109" s="343" t="s">
        <v>491</v>
      </c>
      <c r="G109" s="343" t="s">
        <v>410</v>
      </c>
      <c r="H109" s="343" t="s">
        <v>671</v>
      </c>
      <c r="I109" s="343" t="s">
        <v>402</v>
      </c>
      <c r="J109" s="343" t="s">
        <v>689</v>
      </c>
      <c r="K109" s="343" t="s">
        <v>690</v>
      </c>
      <c r="L109" s="343" t="s">
        <v>672</v>
      </c>
      <c r="M109" s="343" t="s">
        <v>24</v>
      </c>
      <c r="N109" s="344">
        <v>1</v>
      </c>
      <c r="O109" s="343" t="s">
        <v>691</v>
      </c>
      <c r="P109" s="343" t="s">
        <v>692</v>
      </c>
      <c r="Q109" s="345"/>
      <c r="R109" s="345"/>
      <c r="S109" s="345">
        <v>100000</v>
      </c>
      <c r="T109" s="349"/>
    </row>
    <row r="110" spans="1:20" ht="24">
      <c r="A110" s="370" t="str">
        <f t="shared" si="3"/>
        <v>4106</v>
      </c>
      <c r="B110" s="372">
        <f t="shared" si="4"/>
        <v>-15000</v>
      </c>
      <c r="C110" s="370" t="str">
        <f t="shared" si="5"/>
        <v>3Q2024</v>
      </c>
      <c r="D110" s="533">
        <v>1</v>
      </c>
      <c r="E110" s="371">
        <v>45562</v>
      </c>
      <c r="F110" s="343" t="s">
        <v>491</v>
      </c>
      <c r="G110" s="343" t="s">
        <v>415</v>
      </c>
      <c r="H110" s="343" t="s">
        <v>492</v>
      </c>
      <c r="I110" s="343" t="s">
        <v>416</v>
      </c>
      <c r="J110" s="343" t="s">
        <v>537</v>
      </c>
      <c r="K110" s="343" t="s">
        <v>538</v>
      </c>
      <c r="L110" s="343" t="s">
        <v>494</v>
      </c>
      <c r="M110" s="343" t="s">
        <v>24</v>
      </c>
      <c r="N110" s="344">
        <v>1</v>
      </c>
      <c r="O110" s="343" t="s">
        <v>693</v>
      </c>
      <c r="P110" s="343" t="s">
        <v>694</v>
      </c>
      <c r="Q110" s="345"/>
      <c r="R110" s="345"/>
      <c r="S110" s="345"/>
      <c r="T110" s="349">
        <v>-15000</v>
      </c>
    </row>
    <row r="111" spans="1:20" ht="36">
      <c r="A111" s="370" t="str">
        <f t="shared" si="3"/>
        <v>4420</v>
      </c>
      <c r="B111" s="372">
        <f t="shared" si="4"/>
        <v>-17500</v>
      </c>
      <c r="C111" s="370" t="str">
        <f t="shared" si="5"/>
        <v>3Q2024</v>
      </c>
      <c r="D111" s="533">
        <v>1</v>
      </c>
      <c r="E111" s="371">
        <v>45562</v>
      </c>
      <c r="F111" s="343" t="s">
        <v>491</v>
      </c>
      <c r="G111" s="343" t="s">
        <v>412</v>
      </c>
      <c r="H111" s="343" t="s">
        <v>492</v>
      </c>
      <c r="I111" s="343" t="s">
        <v>579</v>
      </c>
      <c r="J111" s="343" t="s">
        <v>413</v>
      </c>
      <c r="K111" s="343" t="s">
        <v>580</v>
      </c>
      <c r="L111" s="343" t="s">
        <v>494</v>
      </c>
      <c r="M111" s="343" t="s">
        <v>24</v>
      </c>
      <c r="N111" s="344">
        <v>1</v>
      </c>
      <c r="O111" s="343" t="s">
        <v>695</v>
      </c>
      <c r="P111" s="343" t="s">
        <v>696</v>
      </c>
      <c r="Q111" s="345"/>
      <c r="R111" s="345"/>
      <c r="S111" s="345"/>
      <c r="T111" s="346">
        <v>-17500</v>
      </c>
    </row>
    <row r="112" spans="1:20" ht="24">
      <c r="A112" s="370" t="str">
        <f t="shared" si="3"/>
        <v>4105</v>
      </c>
      <c r="B112" s="372">
        <f t="shared" si="4"/>
        <v>-3500</v>
      </c>
      <c r="C112" s="370" t="str">
        <f t="shared" si="5"/>
        <v>3Q2024</v>
      </c>
      <c r="D112" s="533">
        <v>1</v>
      </c>
      <c r="E112" s="371">
        <v>45565</v>
      </c>
      <c r="F112" s="343" t="s">
        <v>491</v>
      </c>
      <c r="G112" s="343" t="s">
        <v>403</v>
      </c>
      <c r="H112" s="343" t="s">
        <v>671</v>
      </c>
      <c r="I112" s="343" t="s">
        <v>404</v>
      </c>
      <c r="J112" s="343"/>
      <c r="K112" s="343"/>
      <c r="L112" s="343" t="s">
        <v>672</v>
      </c>
      <c r="M112" s="343" t="s">
        <v>24</v>
      </c>
      <c r="N112" s="344">
        <v>1</v>
      </c>
      <c r="O112" s="343" t="s">
        <v>697</v>
      </c>
      <c r="P112" s="343" t="s">
        <v>698</v>
      </c>
      <c r="Q112" s="345"/>
      <c r="R112" s="345"/>
      <c r="S112" s="345"/>
      <c r="T112" s="349">
        <v>-3500</v>
      </c>
    </row>
    <row r="113" spans="1:20" ht="24">
      <c r="A113" s="370" t="str">
        <f t="shared" si="3"/>
        <v>4105</v>
      </c>
      <c r="B113" s="372">
        <f t="shared" si="4"/>
        <v>-2800</v>
      </c>
      <c r="C113" s="370" t="str">
        <f t="shared" si="5"/>
        <v>3Q2024</v>
      </c>
      <c r="D113" s="533">
        <v>1</v>
      </c>
      <c r="E113" s="371">
        <v>45565</v>
      </c>
      <c r="F113" s="343" t="s">
        <v>491</v>
      </c>
      <c r="G113" s="343" t="s">
        <v>403</v>
      </c>
      <c r="H113" s="343" t="s">
        <v>671</v>
      </c>
      <c r="I113" s="343" t="s">
        <v>404</v>
      </c>
      <c r="J113" s="343"/>
      <c r="K113" s="343"/>
      <c r="L113" s="343" t="s">
        <v>672</v>
      </c>
      <c r="M113" s="343" t="s">
        <v>24</v>
      </c>
      <c r="N113" s="344">
        <v>1</v>
      </c>
      <c r="O113" s="343" t="s">
        <v>699</v>
      </c>
      <c r="P113" s="343" t="s">
        <v>700</v>
      </c>
      <c r="Q113" s="345"/>
      <c r="R113" s="345"/>
      <c r="S113" s="345"/>
      <c r="T113" s="346">
        <v>-2800</v>
      </c>
    </row>
    <row r="114" spans="1:20">
      <c r="A114" s="370" t="str">
        <f t="shared" si="3"/>
        <v>4105</v>
      </c>
      <c r="B114" s="372">
        <f t="shared" si="4"/>
        <v>-490</v>
      </c>
      <c r="C114" s="370" t="str">
        <f t="shared" si="5"/>
        <v>4Q2024</v>
      </c>
      <c r="D114" s="533">
        <v>1</v>
      </c>
      <c r="E114" s="371">
        <v>45566</v>
      </c>
      <c r="F114" s="343" t="s">
        <v>491</v>
      </c>
      <c r="G114" s="343" t="s">
        <v>403</v>
      </c>
      <c r="H114" s="343" t="s">
        <v>492</v>
      </c>
      <c r="I114" s="343" t="s">
        <v>493</v>
      </c>
      <c r="J114" s="343"/>
      <c r="K114" s="343"/>
      <c r="L114" s="343" t="s">
        <v>494</v>
      </c>
      <c r="M114" s="343" t="s">
        <v>24</v>
      </c>
      <c r="N114" s="344">
        <v>1</v>
      </c>
      <c r="O114" s="343" t="s">
        <v>495</v>
      </c>
      <c r="P114" s="343" t="s">
        <v>701</v>
      </c>
      <c r="Q114" s="345"/>
      <c r="R114" s="345"/>
      <c r="S114" s="345"/>
      <c r="T114" s="346">
        <v>-490</v>
      </c>
    </row>
    <row r="115" spans="1:20" ht="36">
      <c r="A115" s="370" t="str">
        <f t="shared" si="3"/>
        <v>4101</v>
      </c>
      <c r="B115" s="372">
        <f t="shared" si="4"/>
        <v>-18548.39</v>
      </c>
      <c r="C115" s="370" t="str">
        <f t="shared" si="5"/>
        <v>4Q2024</v>
      </c>
      <c r="D115" s="533">
        <v>1</v>
      </c>
      <c r="E115" s="371">
        <v>45573</v>
      </c>
      <c r="F115" s="343" t="s">
        <v>491</v>
      </c>
      <c r="G115" s="343" t="s">
        <v>411</v>
      </c>
      <c r="H115" s="343" t="s">
        <v>671</v>
      </c>
      <c r="I115" s="343" t="s">
        <v>368</v>
      </c>
      <c r="J115" s="343" t="s">
        <v>702</v>
      </c>
      <c r="K115" s="343" t="s">
        <v>703</v>
      </c>
      <c r="L115" s="343" t="s">
        <v>672</v>
      </c>
      <c r="M115" s="343" t="s">
        <v>24</v>
      </c>
      <c r="N115" s="344">
        <v>1</v>
      </c>
      <c r="O115" s="343" t="s">
        <v>704</v>
      </c>
      <c r="P115" s="343" t="s">
        <v>705</v>
      </c>
      <c r="Q115" s="345"/>
      <c r="R115" s="345"/>
      <c r="S115" s="345"/>
      <c r="T115" s="346">
        <v>-18548.39</v>
      </c>
    </row>
    <row r="116" spans="1:20" ht="24">
      <c r="A116" s="370" t="str">
        <f t="shared" si="3"/>
        <v>4105</v>
      </c>
      <c r="B116" s="372">
        <f t="shared" si="4"/>
        <v>-50</v>
      </c>
      <c r="C116" s="370" t="str">
        <f t="shared" si="5"/>
        <v>4Q2024</v>
      </c>
      <c r="D116" s="533">
        <v>1</v>
      </c>
      <c r="E116" s="371">
        <v>45573</v>
      </c>
      <c r="F116" s="343" t="s">
        <v>491</v>
      </c>
      <c r="G116" s="343" t="s">
        <v>403</v>
      </c>
      <c r="H116" s="343" t="s">
        <v>671</v>
      </c>
      <c r="I116" s="343" t="s">
        <v>404</v>
      </c>
      <c r="J116" s="343"/>
      <c r="K116" s="343"/>
      <c r="L116" s="343" t="s">
        <v>672</v>
      </c>
      <c r="M116" s="343" t="s">
        <v>24</v>
      </c>
      <c r="N116" s="344">
        <v>1</v>
      </c>
      <c r="O116" s="343" t="s">
        <v>706</v>
      </c>
      <c r="P116" s="343" t="s">
        <v>707</v>
      </c>
      <c r="Q116" s="345"/>
      <c r="R116" s="345"/>
      <c r="S116" s="345"/>
      <c r="T116" s="346">
        <v>-50</v>
      </c>
    </row>
    <row r="117" spans="1:20" ht="36">
      <c r="A117" s="370" t="str">
        <f t="shared" si="3"/>
        <v>4101</v>
      </c>
      <c r="B117" s="372">
        <f t="shared" si="4"/>
        <v>-25000</v>
      </c>
      <c r="C117" s="370" t="str">
        <f t="shared" si="5"/>
        <v>4Q2024</v>
      </c>
      <c r="D117" s="533">
        <v>1</v>
      </c>
      <c r="E117" s="371">
        <v>45573</v>
      </c>
      <c r="F117" s="343" t="s">
        <v>491</v>
      </c>
      <c r="G117" s="343" t="s">
        <v>411</v>
      </c>
      <c r="H117" s="343" t="s">
        <v>671</v>
      </c>
      <c r="I117" s="343" t="s">
        <v>368</v>
      </c>
      <c r="J117" s="343" t="s">
        <v>702</v>
      </c>
      <c r="K117" s="343" t="s">
        <v>703</v>
      </c>
      <c r="L117" s="343" t="s">
        <v>672</v>
      </c>
      <c r="M117" s="343" t="s">
        <v>24</v>
      </c>
      <c r="N117" s="344">
        <v>1</v>
      </c>
      <c r="O117" s="343" t="s">
        <v>704</v>
      </c>
      <c r="P117" s="343" t="s">
        <v>705</v>
      </c>
      <c r="Q117" s="345"/>
      <c r="R117" s="345"/>
      <c r="S117" s="345"/>
      <c r="T117" s="346">
        <v>-25000</v>
      </c>
    </row>
    <row r="118" spans="1:20" ht="24">
      <c r="A118" s="370" t="str">
        <f t="shared" si="3"/>
        <v>3202</v>
      </c>
      <c r="B118" s="372">
        <f t="shared" si="4"/>
        <v>230000</v>
      </c>
      <c r="C118" s="370" t="str">
        <f t="shared" si="5"/>
        <v>4Q2024</v>
      </c>
      <c r="D118" s="533">
        <v>1</v>
      </c>
      <c r="E118" s="371">
        <v>45575</v>
      </c>
      <c r="F118" s="343" t="s">
        <v>491</v>
      </c>
      <c r="G118" s="343" t="s">
        <v>410</v>
      </c>
      <c r="H118" s="343" t="s">
        <v>671</v>
      </c>
      <c r="I118" s="343" t="s">
        <v>402</v>
      </c>
      <c r="J118" s="343" t="s">
        <v>689</v>
      </c>
      <c r="K118" s="343" t="s">
        <v>690</v>
      </c>
      <c r="L118" s="343" t="s">
        <v>672</v>
      </c>
      <c r="M118" s="343" t="s">
        <v>24</v>
      </c>
      <c r="N118" s="344">
        <v>1</v>
      </c>
      <c r="O118" s="343" t="s">
        <v>708</v>
      </c>
      <c r="P118" s="343" t="s">
        <v>709</v>
      </c>
      <c r="Q118" s="345"/>
      <c r="R118" s="345"/>
      <c r="S118" s="345">
        <v>230000</v>
      </c>
      <c r="T118" s="349"/>
    </row>
    <row r="119" spans="1:20" ht="36">
      <c r="A119" s="370" t="str">
        <f t="shared" si="3"/>
        <v>4106</v>
      </c>
      <c r="B119" s="372">
        <f t="shared" si="4"/>
        <v>-15000</v>
      </c>
      <c r="C119" s="370" t="str">
        <f t="shared" si="5"/>
        <v>4Q2024</v>
      </c>
      <c r="D119" s="533">
        <v>1</v>
      </c>
      <c r="E119" s="371">
        <v>45580</v>
      </c>
      <c r="F119" s="343" t="s">
        <v>491</v>
      </c>
      <c r="G119" s="343" t="s">
        <v>415</v>
      </c>
      <c r="H119" s="343" t="s">
        <v>492</v>
      </c>
      <c r="I119" s="343" t="s">
        <v>416</v>
      </c>
      <c r="J119" s="343" t="s">
        <v>537</v>
      </c>
      <c r="K119" s="343" t="s">
        <v>538</v>
      </c>
      <c r="L119" s="343" t="s">
        <v>494</v>
      </c>
      <c r="M119" s="343" t="s">
        <v>24</v>
      </c>
      <c r="N119" s="344">
        <v>1</v>
      </c>
      <c r="O119" s="343" t="s">
        <v>710</v>
      </c>
      <c r="P119" s="343" t="s">
        <v>711</v>
      </c>
      <c r="Q119" s="345"/>
      <c r="R119" s="345"/>
      <c r="S119" s="345"/>
      <c r="T119" s="347">
        <v>-15000</v>
      </c>
    </row>
    <row r="120" spans="1:20" ht="36">
      <c r="A120" s="370" t="str">
        <f t="shared" si="3"/>
        <v>4107</v>
      </c>
      <c r="B120" s="372">
        <f t="shared" si="4"/>
        <v>-18000</v>
      </c>
      <c r="C120" s="370" t="str">
        <f t="shared" si="5"/>
        <v>4Q2024</v>
      </c>
      <c r="D120" s="533">
        <v>1</v>
      </c>
      <c r="E120" s="371">
        <v>45580</v>
      </c>
      <c r="F120" s="343" t="s">
        <v>491</v>
      </c>
      <c r="G120" s="343" t="s">
        <v>409</v>
      </c>
      <c r="H120" s="343" t="s">
        <v>492</v>
      </c>
      <c r="I120" s="343" t="s">
        <v>368</v>
      </c>
      <c r="J120" s="343" t="s">
        <v>506</v>
      </c>
      <c r="K120" s="343" t="s">
        <v>507</v>
      </c>
      <c r="L120" s="343" t="s">
        <v>494</v>
      </c>
      <c r="M120" s="343" t="s">
        <v>24</v>
      </c>
      <c r="N120" s="344">
        <v>1</v>
      </c>
      <c r="O120" s="343" t="s">
        <v>712</v>
      </c>
      <c r="P120" s="343" t="s">
        <v>713</v>
      </c>
      <c r="Q120" s="345"/>
      <c r="R120" s="345"/>
      <c r="S120" s="345"/>
      <c r="T120" s="349">
        <v>-18000</v>
      </c>
    </row>
    <row r="121" spans="1:20" ht="36">
      <c r="A121" s="370" t="str">
        <f t="shared" si="3"/>
        <v>4107</v>
      </c>
      <c r="B121" s="372">
        <f t="shared" si="4"/>
        <v>-60000</v>
      </c>
      <c r="C121" s="370" t="str">
        <f t="shared" si="5"/>
        <v>4Q2024</v>
      </c>
      <c r="D121" s="533">
        <v>1</v>
      </c>
      <c r="E121" s="371">
        <v>45580</v>
      </c>
      <c r="F121" s="343" t="s">
        <v>491</v>
      </c>
      <c r="G121" s="343" t="s">
        <v>409</v>
      </c>
      <c r="H121" s="343" t="s">
        <v>492</v>
      </c>
      <c r="I121" s="343" t="s">
        <v>368</v>
      </c>
      <c r="J121" s="343" t="s">
        <v>510</v>
      </c>
      <c r="K121" s="343" t="s">
        <v>511</v>
      </c>
      <c r="L121" s="343" t="s">
        <v>494</v>
      </c>
      <c r="M121" s="343" t="s">
        <v>24</v>
      </c>
      <c r="N121" s="344">
        <v>1</v>
      </c>
      <c r="O121" s="343" t="s">
        <v>714</v>
      </c>
      <c r="P121" s="343" t="s">
        <v>715</v>
      </c>
      <c r="Q121" s="345"/>
      <c r="R121" s="345"/>
      <c r="S121" s="345"/>
      <c r="T121" s="346">
        <v>-60000</v>
      </c>
    </row>
    <row r="122" spans="1:20" ht="36">
      <c r="A122" s="370" t="str">
        <f t="shared" si="3"/>
        <v>3203</v>
      </c>
      <c r="B122" s="372">
        <f t="shared" si="4"/>
        <v>150000</v>
      </c>
      <c r="C122" s="370" t="str">
        <f t="shared" si="5"/>
        <v>4Q2024</v>
      </c>
      <c r="D122" s="533">
        <v>1</v>
      </c>
      <c r="E122" s="371">
        <v>45580</v>
      </c>
      <c r="F122" s="343" t="s">
        <v>491</v>
      </c>
      <c r="G122" s="343" t="s">
        <v>561</v>
      </c>
      <c r="H122" s="343" t="s">
        <v>492</v>
      </c>
      <c r="I122" s="343" t="s">
        <v>562</v>
      </c>
      <c r="J122" s="343" t="s">
        <v>563</v>
      </c>
      <c r="K122" s="343" t="s">
        <v>564</v>
      </c>
      <c r="L122" s="343" t="s">
        <v>494</v>
      </c>
      <c r="M122" s="343" t="s">
        <v>24</v>
      </c>
      <c r="N122" s="344">
        <v>1</v>
      </c>
      <c r="O122" s="343" t="s">
        <v>565</v>
      </c>
      <c r="P122" s="343" t="s">
        <v>716</v>
      </c>
      <c r="Q122" s="345"/>
      <c r="R122" s="345"/>
      <c r="S122" s="345">
        <v>150000</v>
      </c>
      <c r="T122" s="346"/>
    </row>
    <row r="123" spans="1:20" ht="36">
      <c r="A123" s="370" t="str">
        <f t="shared" si="3"/>
        <v>4101</v>
      </c>
      <c r="B123" s="372">
        <f t="shared" si="4"/>
        <v>-25000</v>
      </c>
      <c r="C123" s="370" t="str">
        <f t="shared" si="5"/>
        <v>4Q2024</v>
      </c>
      <c r="D123" s="533">
        <v>1</v>
      </c>
      <c r="E123" s="371">
        <v>45583</v>
      </c>
      <c r="F123" s="343" t="s">
        <v>491</v>
      </c>
      <c r="G123" s="343" t="s">
        <v>411</v>
      </c>
      <c r="H123" s="343" t="s">
        <v>671</v>
      </c>
      <c r="I123" s="343" t="s">
        <v>368</v>
      </c>
      <c r="J123" s="343" t="s">
        <v>702</v>
      </c>
      <c r="K123" s="343" t="s">
        <v>703</v>
      </c>
      <c r="L123" s="343" t="s">
        <v>672</v>
      </c>
      <c r="M123" s="343" t="s">
        <v>24</v>
      </c>
      <c r="N123" s="344">
        <v>1</v>
      </c>
      <c r="O123" s="343" t="s">
        <v>717</v>
      </c>
      <c r="P123" s="343" t="s">
        <v>718</v>
      </c>
      <c r="Q123" s="345"/>
      <c r="R123" s="345"/>
      <c r="S123" s="346"/>
      <c r="T123" s="345">
        <v>-25000</v>
      </c>
    </row>
    <row r="124" spans="1:20" ht="48">
      <c r="A124" s="370" t="str">
        <f t="shared" si="3"/>
        <v>4420</v>
      </c>
      <c r="B124" s="372">
        <f t="shared" si="4"/>
        <v>-6970</v>
      </c>
      <c r="C124" s="370" t="str">
        <f t="shared" si="5"/>
        <v>4Q2024</v>
      </c>
      <c r="D124" s="533">
        <v>1</v>
      </c>
      <c r="E124" s="371">
        <v>45583</v>
      </c>
      <c r="F124" s="343" t="s">
        <v>491</v>
      </c>
      <c r="G124" s="343" t="s">
        <v>412</v>
      </c>
      <c r="H124" s="343" t="s">
        <v>671</v>
      </c>
      <c r="I124" s="343" t="s">
        <v>579</v>
      </c>
      <c r="J124" s="343" t="s">
        <v>413</v>
      </c>
      <c r="K124" s="343" t="s">
        <v>719</v>
      </c>
      <c r="L124" s="343" t="s">
        <v>672</v>
      </c>
      <c r="M124" s="343" t="s">
        <v>24</v>
      </c>
      <c r="N124" s="344">
        <v>1</v>
      </c>
      <c r="O124" s="343" t="s">
        <v>720</v>
      </c>
      <c r="P124" s="343" t="s">
        <v>721</v>
      </c>
      <c r="Q124" s="345"/>
      <c r="R124" s="345"/>
      <c r="S124" s="346"/>
      <c r="T124" s="345">
        <v>-6970</v>
      </c>
    </row>
    <row r="125" spans="1:20" ht="24">
      <c r="A125" s="370" t="str">
        <f t="shared" si="3"/>
        <v>4105</v>
      </c>
      <c r="B125" s="372">
        <f t="shared" si="4"/>
        <v>-100</v>
      </c>
      <c r="C125" s="370" t="str">
        <f t="shared" si="5"/>
        <v>4Q2024</v>
      </c>
      <c r="D125" s="533">
        <v>1</v>
      </c>
      <c r="E125" s="371">
        <v>45583</v>
      </c>
      <c r="F125" s="343" t="s">
        <v>491</v>
      </c>
      <c r="G125" s="343" t="s">
        <v>403</v>
      </c>
      <c r="H125" s="343" t="s">
        <v>671</v>
      </c>
      <c r="I125" s="343" t="s">
        <v>404</v>
      </c>
      <c r="J125" s="343"/>
      <c r="K125" s="343"/>
      <c r="L125" s="343" t="s">
        <v>672</v>
      </c>
      <c r="M125" s="343" t="s">
        <v>24</v>
      </c>
      <c r="N125" s="344">
        <v>1</v>
      </c>
      <c r="O125" s="343" t="s">
        <v>722</v>
      </c>
      <c r="P125" s="343" t="s">
        <v>723</v>
      </c>
      <c r="Q125" s="345"/>
      <c r="R125" s="345"/>
      <c r="S125" s="345"/>
      <c r="T125" s="346">
        <v>-100</v>
      </c>
    </row>
    <row r="126" spans="1:20" ht="48">
      <c r="A126" s="370" t="str">
        <f t="shared" si="3"/>
        <v>4107</v>
      </c>
      <c r="B126" s="372">
        <f t="shared" si="4"/>
        <v>-44516.13</v>
      </c>
      <c r="C126" s="370" t="str">
        <f t="shared" si="5"/>
        <v>4Q2024</v>
      </c>
      <c r="D126" s="533">
        <v>1</v>
      </c>
      <c r="E126" s="371">
        <v>45587</v>
      </c>
      <c r="F126" s="343" t="s">
        <v>491</v>
      </c>
      <c r="G126" s="343" t="s">
        <v>409</v>
      </c>
      <c r="H126" s="343" t="s">
        <v>671</v>
      </c>
      <c r="I126" s="343" t="s">
        <v>368</v>
      </c>
      <c r="J126" s="343" t="s">
        <v>724</v>
      </c>
      <c r="K126" s="343" t="s">
        <v>725</v>
      </c>
      <c r="L126" s="343" t="s">
        <v>672</v>
      </c>
      <c r="M126" s="343" t="s">
        <v>24</v>
      </c>
      <c r="N126" s="344">
        <v>1</v>
      </c>
      <c r="O126" s="343" t="s">
        <v>726</v>
      </c>
      <c r="P126" s="343" t="s">
        <v>727</v>
      </c>
      <c r="Q126" s="345"/>
      <c r="R126" s="345"/>
      <c r="S126" s="345"/>
      <c r="T126" s="346">
        <v>-44516.13</v>
      </c>
    </row>
    <row r="127" spans="1:20" ht="48">
      <c r="A127" s="370" t="str">
        <f t="shared" si="3"/>
        <v>4107</v>
      </c>
      <c r="B127" s="372">
        <f t="shared" si="4"/>
        <v>-44516.13</v>
      </c>
      <c r="C127" s="370" t="str">
        <f t="shared" si="5"/>
        <v>4Q2024</v>
      </c>
      <c r="D127" s="533">
        <v>1</v>
      </c>
      <c r="E127" s="371">
        <v>45587</v>
      </c>
      <c r="F127" s="343" t="s">
        <v>491</v>
      </c>
      <c r="G127" s="343" t="s">
        <v>409</v>
      </c>
      <c r="H127" s="343" t="s">
        <v>671</v>
      </c>
      <c r="I127" s="343" t="s">
        <v>368</v>
      </c>
      <c r="J127" s="343" t="s">
        <v>724</v>
      </c>
      <c r="K127" s="343" t="s">
        <v>725</v>
      </c>
      <c r="L127" s="343" t="s">
        <v>672</v>
      </c>
      <c r="M127" s="343" t="s">
        <v>24</v>
      </c>
      <c r="N127" s="344">
        <v>1</v>
      </c>
      <c r="O127" s="343" t="s">
        <v>728</v>
      </c>
      <c r="P127" s="343" t="s">
        <v>729</v>
      </c>
      <c r="Q127" s="345"/>
      <c r="R127" s="345"/>
      <c r="S127" s="345"/>
      <c r="T127" s="349">
        <v>-44516.13</v>
      </c>
    </row>
    <row r="128" spans="1:20" ht="24">
      <c r="A128" s="370" t="str">
        <f t="shared" si="3"/>
        <v>4105</v>
      </c>
      <c r="B128" s="372">
        <f t="shared" si="4"/>
        <v>-150</v>
      </c>
      <c r="C128" s="370" t="str">
        <f t="shared" si="5"/>
        <v>4Q2024</v>
      </c>
      <c r="D128" s="533">
        <v>1</v>
      </c>
      <c r="E128" s="371">
        <v>45587</v>
      </c>
      <c r="F128" s="343" t="s">
        <v>491</v>
      </c>
      <c r="G128" s="343" t="s">
        <v>403</v>
      </c>
      <c r="H128" s="343" t="s">
        <v>671</v>
      </c>
      <c r="I128" s="343" t="s">
        <v>404</v>
      </c>
      <c r="J128" s="343"/>
      <c r="K128" s="343"/>
      <c r="L128" s="343" t="s">
        <v>672</v>
      </c>
      <c r="M128" s="343" t="s">
        <v>24</v>
      </c>
      <c r="N128" s="344">
        <v>1</v>
      </c>
      <c r="O128" s="343" t="s">
        <v>730</v>
      </c>
      <c r="P128" s="343" t="s">
        <v>731</v>
      </c>
      <c r="Q128" s="345"/>
      <c r="R128" s="345"/>
      <c r="S128" s="345"/>
      <c r="T128" s="346">
        <v>-150</v>
      </c>
    </row>
    <row r="129" spans="1:20" ht="36">
      <c r="A129" s="370" t="str">
        <f t="shared" si="3"/>
        <v>4107</v>
      </c>
      <c r="B129" s="372">
        <f t="shared" si="4"/>
        <v>-44516.13</v>
      </c>
      <c r="C129" s="370" t="str">
        <f t="shared" si="5"/>
        <v>4Q2024</v>
      </c>
      <c r="D129" s="533">
        <v>1</v>
      </c>
      <c r="E129" s="371">
        <v>45587</v>
      </c>
      <c r="F129" s="343" t="s">
        <v>491</v>
      </c>
      <c r="G129" s="343" t="s">
        <v>409</v>
      </c>
      <c r="H129" s="343" t="s">
        <v>671</v>
      </c>
      <c r="I129" s="343" t="s">
        <v>368</v>
      </c>
      <c r="J129" s="343" t="s">
        <v>724</v>
      </c>
      <c r="K129" s="343" t="s">
        <v>725</v>
      </c>
      <c r="L129" s="343" t="s">
        <v>672</v>
      </c>
      <c r="M129" s="343" t="s">
        <v>24</v>
      </c>
      <c r="N129" s="344">
        <v>1</v>
      </c>
      <c r="O129" s="343" t="s">
        <v>732</v>
      </c>
      <c r="P129" s="343" t="s">
        <v>733</v>
      </c>
      <c r="Q129" s="345"/>
      <c r="R129" s="345"/>
      <c r="S129" s="345"/>
      <c r="T129" s="346">
        <v>-44516.13</v>
      </c>
    </row>
    <row r="130" spans="1:20" ht="36">
      <c r="A130" s="370" t="str">
        <f t="shared" si="3"/>
        <v>4107</v>
      </c>
      <c r="B130" s="372">
        <f t="shared" si="4"/>
        <v>-15483.87</v>
      </c>
      <c r="C130" s="370" t="str">
        <f t="shared" si="5"/>
        <v>4Q2024</v>
      </c>
      <c r="D130" s="533">
        <v>1</v>
      </c>
      <c r="E130" s="371">
        <v>45587</v>
      </c>
      <c r="F130" s="343" t="s">
        <v>491</v>
      </c>
      <c r="G130" s="343" t="s">
        <v>409</v>
      </c>
      <c r="H130" s="343" t="s">
        <v>671</v>
      </c>
      <c r="I130" s="343" t="s">
        <v>368</v>
      </c>
      <c r="J130" s="343" t="s">
        <v>724</v>
      </c>
      <c r="K130" s="343" t="s">
        <v>725</v>
      </c>
      <c r="L130" s="343" t="s">
        <v>672</v>
      </c>
      <c r="M130" s="343" t="s">
        <v>24</v>
      </c>
      <c r="N130" s="344">
        <v>1</v>
      </c>
      <c r="O130" s="343" t="s">
        <v>732</v>
      </c>
      <c r="P130" s="343" t="s">
        <v>733</v>
      </c>
      <c r="Q130" s="345"/>
      <c r="R130" s="345"/>
      <c r="S130" s="345"/>
      <c r="T130" s="346">
        <v>-15483.87</v>
      </c>
    </row>
    <row r="131" spans="1:20" ht="48">
      <c r="A131" s="370" t="str">
        <f t="shared" ref="A131:A150" si="6">LEFT(G131,4)</f>
        <v>4107</v>
      </c>
      <c r="B131" s="372">
        <f t="shared" ref="B131:B150" si="7">+S131+T131</f>
        <v>-15483.87</v>
      </c>
      <c r="C131" s="370" t="str">
        <f t="shared" ref="C131:C150" si="8">CONCATENATE(IF(MONTH(E131)&lt;=3,"1",IF(MONTH(E131)&lt;=6,"2",IF(MONTH(E131)&lt;=9,"3","4"))),"Q",YEAR(E131))</f>
        <v>4Q2024</v>
      </c>
      <c r="D131" s="533">
        <v>1</v>
      </c>
      <c r="E131" s="371">
        <v>45587</v>
      </c>
      <c r="F131" s="343" t="s">
        <v>491</v>
      </c>
      <c r="G131" s="343" t="s">
        <v>409</v>
      </c>
      <c r="H131" s="343" t="s">
        <v>671</v>
      </c>
      <c r="I131" s="343" t="s">
        <v>368</v>
      </c>
      <c r="J131" s="343" t="s">
        <v>724</v>
      </c>
      <c r="K131" s="343" t="s">
        <v>725</v>
      </c>
      <c r="L131" s="343" t="s">
        <v>672</v>
      </c>
      <c r="M131" s="343" t="s">
        <v>24</v>
      </c>
      <c r="N131" s="344">
        <v>1</v>
      </c>
      <c r="O131" s="343" t="s">
        <v>726</v>
      </c>
      <c r="P131" s="343" t="s">
        <v>727</v>
      </c>
      <c r="Q131" s="345"/>
      <c r="R131" s="345"/>
      <c r="S131" s="345"/>
      <c r="T131" s="348">
        <v>-15483.87</v>
      </c>
    </row>
    <row r="132" spans="1:20" ht="36">
      <c r="A132" s="370" t="str">
        <f t="shared" si="6"/>
        <v>4107</v>
      </c>
      <c r="B132" s="372">
        <f t="shared" si="7"/>
        <v>-308</v>
      </c>
      <c r="C132" s="370" t="str">
        <f t="shared" si="8"/>
        <v>4Q2024</v>
      </c>
      <c r="D132" s="533">
        <v>1</v>
      </c>
      <c r="E132" s="371">
        <v>45589</v>
      </c>
      <c r="F132" s="343" t="s">
        <v>491</v>
      </c>
      <c r="G132" s="343" t="s">
        <v>409</v>
      </c>
      <c r="H132" s="343" t="s">
        <v>492</v>
      </c>
      <c r="I132" s="343" t="s">
        <v>368</v>
      </c>
      <c r="J132" s="343" t="s">
        <v>533</v>
      </c>
      <c r="K132" s="343" t="s">
        <v>534</v>
      </c>
      <c r="L132" s="343" t="s">
        <v>494</v>
      </c>
      <c r="M132" s="343" t="s">
        <v>24</v>
      </c>
      <c r="N132" s="344">
        <v>1</v>
      </c>
      <c r="O132" s="343" t="s">
        <v>734</v>
      </c>
      <c r="P132" s="343" t="s">
        <v>735</v>
      </c>
      <c r="Q132" s="345"/>
      <c r="R132" s="345"/>
      <c r="S132" s="345"/>
      <c r="T132" s="349">
        <v>-308</v>
      </c>
    </row>
    <row r="133" spans="1:20" ht="36">
      <c r="A133" s="370" t="str">
        <f t="shared" si="6"/>
        <v>4107</v>
      </c>
      <c r="B133" s="372">
        <f t="shared" si="7"/>
        <v>-4400</v>
      </c>
      <c r="C133" s="370" t="str">
        <f t="shared" si="8"/>
        <v>4Q2024</v>
      </c>
      <c r="D133" s="533">
        <v>1</v>
      </c>
      <c r="E133" s="371">
        <v>45589</v>
      </c>
      <c r="F133" s="343" t="s">
        <v>491</v>
      </c>
      <c r="G133" s="343" t="s">
        <v>409</v>
      </c>
      <c r="H133" s="343" t="s">
        <v>492</v>
      </c>
      <c r="I133" s="343" t="s">
        <v>368</v>
      </c>
      <c r="J133" s="343" t="s">
        <v>533</v>
      </c>
      <c r="K133" s="343" t="s">
        <v>534</v>
      </c>
      <c r="L133" s="343" t="s">
        <v>494</v>
      </c>
      <c r="M133" s="343" t="s">
        <v>24</v>
      </c>
      <c r="N133" s="344">
        <v>1</v>
      </c>
      <c r="O133" s="343" t="s">
        <v>736</v>
      </c>
      <c r="P133" s="343" t="s">
        <v>737</v>
      </c>
      <c r="Q133" s="345"/>
      <c r="R133" s="345"/>
      <c r="S133" s="346"/>
      <c r="T133" s="345">
        <v>-4400</v>
      </c>
    </row>
    <row r="134" spans="1:20" ht="24">
      <c r="A134" s="370" t="str">
        <f t="shared" si="6"/>
        <v>4105</v>
      </c>
      <c r="B134" s="372">
        <f t="shared" si="7"/>
        <v>-3500</v>
      </c>
      <c r="C134" s="370" t="str">
        <f t="shared" si="8"/>
        <v>4Q2024</v>
      </c>
      <c r="D134" s="533">
        <v>1</v>
      </c>
      <c r="E134" s="371">
        <v>45596</v>
      </c>
      <c r="F134" s="343" t="s">
        <v>491</v>
      </c>
      <c r="G134" s="343" t="s">
        <v>403</v>
      </c>
      <c r="H134" s="343" t="s">
        <v>671</v>
      </c>
      <c r="I134" s="343" t="s">
        <v>404</v>
      </c>
      <c r="J134" s="343"/>
      <c r="K134" s="343"/>
      <c r="L134" s="343" t="s">
        <v>672</v>
      </c>
      <c r="M134" s="343" t="s">
        <v>24</v>
      </c>
      <c r="N134" s="344">
        <v>1</v>
      </c>
      <c r="O134" s="343" t="s">
        <v>738</v>
      </c>
      <c r="P134" s="343" t="s">
        <v>739</v>
      </c>
      <c r="Q134" s="345"/>
      <c r="R134" s="345"/>
      <c r="S134" s="345"/>
      <c r="T134" s="346">
        <v>-3500</v>
      </c>
    </row>
    <row r="135" spans="1:20" ht="24">
      <c r="A135" s="370" t="str">
        <f t="shared" si="6"/>
        <v>4105</v>
      </c>
      <c r="B135" s="372">
        <f t="shared" si="7"/>
        <v>-2500</v>
      </c>
      <c r="C135" s="370" t="str">
        <f t="shared" si="8"/>
        <v>4Q2024</v>
      </c>
      <c r="D135" s="533">
        <v>1</v>
      </c>
      <c r="E135" s="371">
        <v>45596</v>
      </c>
      <c r="F135" s="343" t="s">
        <v>491</v>
      </c>
      <c r="G135" s="343" t="s">
        <v>403</v>
      </c>
      <c r="H135" s="343" t="s">
        <v>671</v>
      </c>
      <c r="I135" s="343" t="s">
        <v>404</v>
      </c>
      <c r="J135" s="343"/>
      <c r="K135" s="343"/>
      <c r="L135" s="343" t="s">
        <v>672</v>
      </c>
      <c r="M135" s="343" t="s">
        <v>24</v>
      </c>
      <c r="N135" s="344">
        <v>1</v>
      </c>
      <c r="O135" s="343" t="s">
        <v>740</v>
      </c>
      <c r="P135" s="343" t="s">
        <v>741</v>
      </c>
      <c r="Q135" s="345"/>
      <c r="R135" s="345"/>
      <c r="S135" s="345"/>
      <c r="T135" s="349">
        <v>-2500</v>
      </c>
    </row>
    <row r="136" spans="1:20">
      <c r="A136" s="370" t="str">
        <f t="shared" si="6"/>
        <v>4105</v>
      </c>
      <c r="B136" s="372">
        <f t="shared" si="7"/>
        <v>-490</v>
      </c>
      <c r="C136" s="370" t="str">
        <f t="shared" si="8"/>
        <v>4Q2024</v>
      </c>
      <c r="D136" s="533">
        <v>1</v>
      </c>
      <c r="E136" s="371">
        <v>45597</v>
      </c>
      <c r="F136" s="343" t="s">
        <v>491</v>
      </c>
      <c r="G136" s="343" t="s">
        <v>403</v>
      </c>
      <c r="H136" s="343" t="s">
        <v>492</v>
      </c>
      <c r="I136" s="343" t="s">
        <v>493</v>
      </c>
      <c r="J136" s="343"/>
      <c r="K136" s="343"/>
      <c r="L136" s="343" t="s">
        <v>494</v>
      </c>
      <c r="M136" s="343" t="s">
        <v>24</v>
      </c>
      <c r="N136" s="344">
        <v>1</v>
      </c>
      <c r="O136" s="343" t="s">
        <v>495</v>
      </c>
      <c r="P136" s="343" t="s">
        <v>742</v>
      </c>
      <c r="Q136" s="345"/>
      <c r="R136" s="345"/>
      <c r="S136" s="345"/>
      <c r="T136" s="346">
        <v>-490</v>
      </c>
    </row>
    <row r="137" spans="1:20" ht="48">
      <c r="A137" s="370" t="str">
        <f t="shared" si="6"/>
        <v>4107</v>
      </c>
      <c r="B137" s="372">
        <f t="shared" si="7"/>
        <v>-60000</v>
      </c>
      <c r="C137" s="370" t="str">
        <f t="shared" si="8"/>
        <v>4Q2024</v>
      </c>
      <c r="D137" s="533">
        <v>1</v>
      </c>
      <c r="E137" s="371">
        <v>45607</v>
      </c>
      <c r="F137" s="343" t="s">
        <v>491</v>
      </c>
      <c r="G137" s="343" t="s">
        <v>409</v>
      </c>
      <c r="H137" s="343" t="s">
        <v>671</v>
      </c>
      <c r="I137" s="343" t="s">
        <v>368</v>
      </c>
      <c r="J137" s="343" t="s">
        <v>724</v>
      </c>
      <c r="K137" s="343" t="s">
        <v>725</v>
      </c>
      <c r="L137" s="343" t="s">
        <v>672</v>
      </c>
      <c r="M137" s="343" t="s">
        <v>24</v>
      </c>
      <c r="N137" s="344">
        <v>1</v>
      </c>
      <c r="O137" s="343" t="s">
        <v>743</v>
      </c>
      <c r="P137" s="343" t="s">
        <v>744</v>
      </c>
      <c r="Q137" s="345"/>
      <c r="R137" s="345"/>
      <c r="S137" s="345"/>
      <c r="T137" s="349">
        <v>-60000</v>
      </c>
    </row>
    <row r="138" spans="1:20" ht="24">
      <c r="A138" s="370" t="str">
        <f t="shared" si="6"/>
        <v>4105</v>
      </c>
      <c r="B138" s="372">
        <f t="shared" si="7"/>
        <v>-40</v>
      </c>
      <c r="C138" s="370" t="str">
        <f t="shared" si="8"/>
        <v>4Q2024</v>
      </c>
      <c r="D138" s="533">
        <v>1</v>
      </c>
      <c r="E138" s="371">
        <v>45607</v>
      </c>
      <c r="F138" s="343" t="s">
        <v>491</v>
      </c>
      <c r="G138" s="343" t="s">
        <v>403</v>
      </c>
      <c r="H138" s="343" t="s">
        <v>671</v>
      </c>
      <c r="I138" s="343" t="s">
        <v>404</v>
      </c>
      <c r="J138" s="343"/>
      <c r="K138" s="343"/>
      <c r="L138" s="343" t="s">
        <v>672</v>
      </c>
      <c r="M138" s="343" t="s">
        <v>24</v>
      </c>
      <c r="N138" s="344">
        <v>1</v>
      </c>
      <c r="O138" s="343" t="s">
        <v>745</v>
      </c>
      <c r="P138" s="343" t="s">
        <v>746</v>
      </c>
      <c r="Q138" s="345"/>
      <c r="R138" s="345"/>
      <c r="S138" s="345"/>
      <c r="T138" s="346">
        <v>-40</v>
      </c>
    </row>
    <row r="139" spans="1:20" ht="24">
      <c r="A139" s="370" t="str">
        <f t="shared" si="6"/>
        <v>3202</v>
      </c>
      <c r="B139" s="372">
        <f t="shared" si="7"/>
        <v>110000</v>
      </c>
      <c r="C139" s="370" t="str">
        <f t="shared" si="8"/>
        <v>4Q2024</v>
      </c>
      <c r="D139" s="533">
        <v>1</v>
      </c>
      <c r="E139" s="371">
        <v>45611</v>
      </c>
      <c r="F139" s="343" t="s">
        <v>491</v>
      </c>
      <c r="G139" s="343" t="s">
        <v>410</v>
      </c>
      <c r="H139" s="343" t="s">
        <v>671</v>
      </c>
      <c r="I139" s="343" t="s">
        <v>402</v>
      </c>
      <c r="J139" s="343" t="s">
        <v>689</v>
      </c>
      <c r="K139" s="343" t="s">
        <v>690</v>
      </c>
      <c r="L139" s="343" t="s">
        <v>672</v>
      </c>
      <c r="M139" s="343" t="s">
        <v>24</v>
      </c>
      <c r="N139" s="344">
        <v>1</v>
      </c>
      <c r="O139" s="343" t="s">
        <v>747</v>
      </c>
      <c r="P139" s="343" t="s">
        <v>748</v>
      </c>
      <c r="Q139" s="345"/>
      <c r="R139" s="345"/>
      <c r="S139" s="345">
        <v>110000</v>
      </c>
      <c r="T139" s="349"/>
    </row>
    <row r="140" spans="1:20" ht="24">
      <c r="A140" s="370" t="str">
        <f t="shared" si="6"/>
        <v>4106</v>
      </c>
      <c r="B140" s="372">
        <f t="shared" si="7"/>
        <v>-15000</v>
      </c>
      <c r="C140" s="370" t="str">
        <f t="shared" si="8"/>
        <v>4Q2024</v>
      </c>
      <c r="D140" s="533">
        <v>1</v>
      </c>
      <c r="E140" s="371">
        <v>45617</v>
      </c>
      <c r="F140" s="343" t="s">
        <v>491</v>
      </c>
      <c r="G140" s="343" t="s">
        <v>415</v>
      </c>
      <c r="H140" s="343" t="s">
        <v>492</v>
      </c>
      <c r="I140" s="343" t="s">
        <v>416</v>
      </c>
      <c r="J140" s="343" t="s">
        <v>537</v>
      </c>
      <c r="K140" s="343" t="s">
        <v>538</v>
      </c>
      <c r="L140" s="343" t="s">
        <v>494</v>
      </c>
      <c r="M140" s="343" t="s">
        <v>24</v>
      </c>
      <c r="N140" s="344">
        <v>1</v>
      </c>
      <c r="O140" s="343" t="s">
        <v>749</v>
      </c>
      <c r="P140" s="343" t="s">
        <v>750</v>
      </c>
      <c r="Q140" s="345"/>
      <c r="R140" s="345"/>
      <c r="S140" s="345"/>
      <c r="T140" s="349">
        <v>-15000</v>
      </c>
    </row>
    <row r="141" spans="1:20" ht="36">
      <c r="A141" s="370" t="str">
        <f t="shared" si="6"/>
        <v>4101</v>
      </c>
      <c r="B141" s="372">
        <f t="shared" si="7"/>
        <v>-36000</v>
      </c>
      <c r="C141" s="370" t="str">
        <f t="shared" si="8"/>
        <v>4Q2024</v>
      </c>
      <c r="D141" s="533">
        <v>1</v>
      </c>
      <c r="E141" s="371">
        <v>45617</v>
      </c>
      <c r="F141" s="343" t="s">
        <v>491</v>
      </c>
      <c r="G141" s="343" t="s">
        <v>411</v>
      </c>
      <c r="H141" s="343" t="s">
        <v>492</v>
      </c>
      <c r="I141" s="343" t="s">
        <v>368</v>
      </c>
      <c r="J141" s="343" t="s">
        <v>506</v>
      </c>
      <c r="K141" s="343" t="s">
        <v>507</v>
      </c>
      <c r="L141" s="343" t="s">
        <v>494</v>
      </c>
      <c r="M141" s="343" t="s">
        <v>24</v>
      </c>
      <c r="N141" s="344">
        <v>1</v>
      </c>
      <c r="O141" s="343" t="s">
        <v>751</v>
      </c>
      <c r="P141" s="343" t="s">
        <v>752</v>
      </c>
      <c r="Q141" s="345"/>
      <c r="R141" s="345"/>
      <c r="S141" s="345"/>
      <c r="T141" s="349">
        <v>-36000</v>
      </c>
    </row>
    <row r="142" spans="1:20" ht="36">
      <c r="A142" s="370" t="str">
        <f t="shared" si="6"/>
        <v>4101</v>
      </c>
      <c r="B142" s="372">
        <f t="shared" si="7"/>
        <v>-50000</v>
      </c>
      <c r="C142" s="370" t="str">
        <f t="shared" si="8"/>
        <v>4Q2024</v>
      </c>
      <c r="D142" s="533">
        <v>1</v>
      </c>
      <c r="E142" s="371">
        <v>45623</v>
      </c>
      <c r="F142" s="343" t="s">
        <v>491</v>
      </c>
      <c r="G142" s="343" t="s">
        <v>411</v>
      </c>
      <c r="H142" s="343" t="s">
        <v>671</v>
      </c>
      <c r="I142" s="343" t="s">
        <v>368</v>
      </c>
      <c r="J142" s="343" t="s">
        <v>702</v>
      </c>
      <c r="K142" s="343" t="s">
        <v>703</v>
      </c>
      <c r="L142" s="343" t="s">
        <v>672</v>
      </c>
      <c r="M142" s="343" t="s">
        <v>24</v>
      </c>
      <c r="N142" s="344">
        <v>1</v>
      </c>
      <c r="O142" s="343" t="s">
        <v>753</v>
      </c>
      <c r="P142" s="343" t="s">
        <v>754</v>
      </c>
      <c r="Q142" s="345"/>
      <c r="R142" s="345"/>
      <c r="S142" s="345"/>
      <c r="T142" s="348">
        <v>-50000</v>
      </c>
    </row>
    <row r="143" spans="1:20" ht="24">
      <c r="A143" s="370" t="str">
        <f t="shared" si="6"/>
        <v>4105</v>
      </c>
      <c r="B143" s="372">
        <f t="shared" si="7"/>
        <v>-40</v>
      </c>
      <c r="C143" s="370" t="str">
        <f t="shared" si="8"/>
        <v>4Q2024</v>
      </c>
      <c r="D143" s="533">
        <v>1</v>
      </c>
      <c r="E143" s="371">
        <v>45623</v>
      </c>
      <c r="F143" s="343" t="s">
        <v>491</v>
      </c>
      <c r="G143" s="343" t="s">
        <v>403</v>
      </c>
      <c r="H143" s="343" t="s">
        <v>671</v>
      </c>
      <c r="I143" s="343" t="s">
        <v>404</v>
      </c>
      <c r="J143" s="343"/>
      <c r="K143" s="343"/>
      <c r="L143" s="343" t="s">
        <v>672</v>
      </c>
      <c r="M143" s="343" t="s">
        <v>24</v>
      </c>
      <c r="N143" s="344">
        <v>1</v>
      </c>
      <c r="O143" s="343" t="s">
        <v>745</v>
      </c>
      <c r="P143" s="343" t="s">
        <v>755</v>
      </c>
      <c r="Q143" s="345"/>
      <c r="R143" s="345"/>
      <c r="S143" s="345"/>
      <c r="T143" s="347">
        <v>-40</v>
      </c>
    </row>
    <row r="144" spans="1:20" ht="24">
      <c r="A144" s="370" t="str">
        <f t="shared" si="6"/>
        <v>4105</v>
      </c>
      <c r="B144" s="372">
        <f t="shared" si="7"/>
        <v>-3500</v>
      </c>
      <c r="C144" s="370" t="str">
        <f t="shared" si="8"/>
        <v>4Q2024</v>
      </c>
      <c r="D144" s="533">
        <v>1</v>
      </c>
      <c r="E144" s="371">
        <v>45625</v>
      </c>
      <c r="F144" s="343" t="s">
        <v>491</v>
      </c>
      <c r="G144" s="343" t="s">
        <v>403</v>
      </c>
      <c r="H144" s="343" t="s">
        <v>671</v>
      </c>
      <c r="I144" s="343" t="s">
        <v>404</v>
      </c>
      <c r="J144" s="343"/>
      <c r="K144" s="343"/>
      <c r="L144" s="343" t="s">
        <v>672</v>
      </c>
      <c r="M144" s="343" t="s">
        <v>24</v>
      </c>
      <c r="N144" s="344">
        <v>1</v>
      </c>
      <c r="O144" s="343" t="s">
        <v>756</v>
      </c>
      <c r="P144" s="343" t="s">
        <v>757</v>
      </c>
      <c r="Q144" s="345"/>
      <c r="R144" s="345"/>
      <c r="S144" s="345"/>
      <c r="T144" s="346">
        <v>-3500</v>
      </c>
    </row>
    <row r="145" spans="1:20" ht="24">
      <c r="A145" s="370" t="str">
        <f t="shared" si="6"/>
        <v>4105</v>
      </c>
      <c r="B145" s="372">
        <f t="shared" si="7"/>
        <v>-2500</v>
      </c>
      <c r="C145" s="370" t="str">
        <f t="shared" si="8"/>
        <v>4Q2024</v>
      </c>
      <c r="D145" s="533">
        <v>1</v>
      </c>
      <c r="E145" s="371">
        <v>45625</v>
      </c>
      <c r="F145" s="343" t="s">
        <v>491</v>
      </c>
      <c r="G145" s="343" t="s">
        <v>403</v>
      </c>
      <c r="H145" s="343" t="s">
        <v>671</v>
      </c>
      <c r="I145" s="343" t="s">
        <v>404</v>
      </c>
      <c r="J145" s="343"/>
      <c r="K145" s="343"/>
      <c r="L145" s="343" t="s">
        <v>672</v>
      </c>
      <c r="M145" s="343" t="s">
        <v>24</v>
      </c>
      <c r="N145" s="344">
        <v>1</v>
      </c>
      <c r="O145" s="343" t="s">
        <v>758</v>
      </c>
      <c r="P145" s="343" t="s">
        <v>759</v>
      </c>
      <c r="Q145" s="345"/>
      <c r="R145" s="345"/>
      <c r="S145" s="345"/>
      <c r="T145" s="346">
        <v>-2500</v>
      </c>
    </row>
    <row r="146" spans="1:20">
      <c r="A146" s="370" t="str">
        <f t="shared" si="6"/>
        <v>4105</v>
      </c>
      <c r="B146" s="372">
        <f t="shared" si="7"/>
        <v>-490</v>
      </c>
      <c r="C146" s="370" t="str">
        <f t="shared" si="8"/>
        <v>4Q2024</v>
      </c>
      <c r="D146" s="533">
        <v>1</v>
      </c>
      <c r="E146" s="371">
        <v>45627</v>
      </c>
      <c r="F146" s="343" t="s">
        <v>491</v>
      </c>
      <c r="G146" s="343" t="s">
        <v>403</v>
      </c>
      <c r="H146" s="343" t="s">
        <v>492</v>
      </c>
      <c r="I146" s="343" t="s">
        <v>493</v>
      </c>
      <c r="J146" s="343"/>
      <c r="K146" s="343"/>
      <c r="L146" s="343" t="s">
        <v>494</v>
      </c>
      <c r="M146" s="343" t="s">
        <v>24</v>
      </c>
      <c r="N146" s="344">
        <v>1</v>
      </c>
      <c r="O146" s="343" t="s">
        <v>495</v>
      </c>
      <c r="P146" s="343" t="s">
        <v>760</v>
      </c>
      <c r="Q146" s="345"/>
      <c r="R146" s="345"/>
      <c r="S146" s="345"/>
      <c r="T146" s="346">
        <v>-490</v>
      </c>
    </row>
    <row r="147" spans="1:20" ht="36">
      <c r="A147" s="370" t="str">
        <f t="shared" si="6"/>
        <v>4106</v>
      </c>
      <c r="B147" s="372">
        <f t="shared" si="7"/>
        <v>-15000</v>
      </c>
      <c r="C147" s="370" t="str">
        <f t="shared" si="8"/>
        <v>4Q2024</v>
      </c>
      <c r="D147" s="533">
        <v>1</v>
      </c>
      <c r="E147" s="371">
        <v>45629</v>
      </c>
      <c r="F147" s="343" t="s">
        <v>491</v>
      </c>
      <c r="G147" s="343" t="s">
        <v>415</v>
      </c>
      <c r="H147" s="343" t="s">
        <v>671</v>
      </c>
      <c r="I147" s="343" t="s">
        <v>761</v>
      </c>
      <c r="J147" s="343" t="s">
        <v>762</v>
      </c>
      <c r="K147" s="343" t="s">
        <v>763</v>
      </c>
      <c r="L147" s="343" t="s">
        <v>672</v>
      </c>
      <c r="M147" s="343" t="s">
        <v>24</v>
      </c>
      <c r="N147" s="344">
        <v>1</v>
      </c>
      <c r="O147" s="343" t="s">
        <v>764</v>
      </c>
      <c r="P147" s="343" t="s">
        <v>765</v>
      </c>
      <c r="Q147" s="345"/>
      <c r="R147" s="345"/>
      <c r="S147" s="345"/>
      <c r="T147" s="346">
        <v>-15000</v>
      </c>
    </row>
    <row r="148" spans="1:20" ht="36">
      <c r="A148" s="370" t="str">
        <f t="shared" si="6"/>
        <v>4106</v>
      </c>
      <c r="B148" s="372">
        <f t="shared" si="7"/>
        <v>-11129.1</v>
      </c>
      <c r="C148" s="370" t="str">
        <f t="shared" si="8"/>
        <v>4Q2024</v>
      </c>
      <c r="D148" s="533">
        <v>1</v>
      </c>
      <c r="E148" s="371">
        <v>45629</v>
      </c>
      <c r="F148" s="343" t="s">
        <v>491</v>
      </c>
      <c r="G148" s="343" t="s">
        <v>415</v>
      </c>
      <c r="H148" s="343" t="s">
        <v>671</v>
      </c>
      <c r="I148" s="343" t="s">
        <v>761</v>
      </c>
      <c r="J148" s="343" t="s">
        <v>762</v>
      </c>
      <c r="K148" s="343" t="s">
        <v>763</v>
      </c>
      <c r="L148" s="343" t="s">
        <v>672</v>
      </c>
      <c r="M148" s="343" t="s">
        <v>24</v>
      </c>
      <c r="N148" s="344">
        <v>1</v>
      </c>
      <c r="O148" s="343" t="s">
        <v>766</v>
      </c>
      <c r="P148" s="343" t="s">
        <v>767</v>
      </c>
      <c r="Q148" s="345"/>
      <c r="R148" s="345"/>
      <c r="S148" s="345"/>
      <c r="T148" s="348">
        <v>-11129.1</v>
      </c>
    </row>
    <row r="149" spans="1:20" ht="36">
      <c r="A149" s="370" t="str">
        <f t="shared" si="6"/>
        <v>4106</v>
      </c>
      <c r="B149" s="372">
        <f t="shared" si="7"/>
        <v>-3870.9</v>
      </c>
      <c r="C149" s="370" t="str">
        <f t="shared" si="8"/>
        <v>4Q2024</v>
      </c>
      <c r="D149" s="533">
        <v>1</v>
      </c>
      <c r="E149" s="371">
        <v>45629</v>
      </c>
      <c r="F149" s="343" t="s">
        <v>491</v>
      </c>
      <c r="G149" s="343" t="s">
        <v>415</v>
      </c>
      <c r="H149" s="343" t="s">
        <v>671</v>
      </c>
      <c r="I149" s="343" t="s">
        <v>761</v>
      </c>
      <c r="J149" s="343" t="s">
        <v>762</v>
      </c>
      <c r="K149" s="343" t="s">
        <v>763</v>
      </c>
      <c r="L149" s="343" t="s">
        <v>672</v>
      </c>
      <c r="M149" s="343" t="s">
        <v>24</v>
      </c>
      <c r="N149" s="344">
        <v>1</v>
      </c>
      <c r="O149" s="343" t="s">
        <v>766</v>
      </c>
      <c r="P149" s="343" t="s">
        <v>767</v>
      </c>
      <c r="Q149" s="345"/>
      <c r="R149" s="345"/>
      <c r="S149" s="345"/>
      <c r="T149" s="347">
        <v>-3870.9</v>
      </c>
    </row>
    <row r="150" spans="1:20" ht="36">
      <c r="A150" s="370" t="str">
        <f t="shared" si="6"/>
        <v>4106</v>
      </c>
      <c r="B150" s="372">
        <f t="shared" si="7"/>
        <v>-11129.1</v>
      </c>
      <c r="C150" s="370" t="str">
        <f t="shared" si="8"/>
        <v>4Q2024</v>
      </c>
      <c r="D150" s="533">
        <v>1</v>
      </c>
      <c r="E150" s="371">
        <v>45629</v>
      </c>
      <c r="F150" s="343" t="s">
        <v>491</v>
      </c>
      <c r="G150" s="343" t="s">
        <v>415</v>
      </c>
      <c r="H150" s="343" t="s">
        <v>671</v>
      </c>
      <c r="I150" s="343" t="s">
        <v>761</v>
      </c>
      <c r="J150" s="343" t="s">
        <v>762</v>
      </c>
      <c r="K150" s="343" t="s">
        <v>763</v>
      </c>
      <c r="L150" s="343" t="s">
        <v>672</v>
      </c>
      <c r="M150" s="343" t="s">
        <v>24</v>
      </c>
      <c r="N150" s="344">
        <v>1</v>
      </c>
      <c r="O150" s="343" t="s">
        <v>768</v>
      </c>
      <c r="P150" s="343" t="s">
        <v>769</v>
      </c>
      <c r="Q150" s="345"/>
      <c r="R150" s="345"/>
      <c r="S150" s="345"/>
      <c r="T150" s="347">
        <v>-11129.1</v>
      </c>
    </row>
    <row r="151" spans="1:20" ht="36">
      <c r="A151" s="370" t="str">
        <f t="shared" ref="A151:A199" si="9">LEFT(G151,4)</f>
        <v>4106</v>
      </c>
      <c r="B151" s="372">
        <f t="shared" ref="B151:B199" si="10">+S151+T151</f>
        <v>-3870.9</v>
      </c>
      <c r="C151" s="370" t="str">
        <f t="shared" ref="C151:C199" si="11">CONCATENATE(IF(MONTH(E151)&lt;=3,"1",IF(MONTH(E151)&lt;=6,"2",IF(MONTH(E151)&lt;=9,"3","4"))),"Q",YEAR(E151))</f>
        <v>4Q2024</v>
      </c>
      <c r="D151" s="533">
        <v>1</v>
      </c>
      <c r="E151" s="371">
        <v>45629</v>
      </c>
      <c r="F151" s="343" t="s">
        <v>491</v>
      </c>
      <c r="G151" s="343" t="s">
        <v>415</v>
      </c>
      <c r="H151" s="343" t="s">
        <v>671</v>
      </c>
      <c r="I151" s="343" t="s">
        <v>761</v>
      </c>
      <c r="J151" s="343" t="s">
        <v>762</v>
      </c>
      <c r="K151" s="343" t="s">
        <v>763</v>
      </c>
      <c r="L151" s="343" t="s">
        <v>672</v>
      </c>
      <c r="M151" s="343" t="s">
        <v>24</v>
      </c>
      <c r="N151" s="344">
        <v>1</v>
      </c>
      <c r="O151" s="343" t="s">
        <v>768</v>
      </c>
      <c r="P151" s="343" t="s">
        <v>769</v>
      </c>
      <c r="Q151" s="345"/>
      <c r="R151" s="345"/>
      <c r="S151" s="345"/>
      <c r="T151" s="349">
        <v>-3870.9</v>
      </c>
    </row>
    <row r="152" spans="1:20" ht="36">
      <c r="A152" s="370" t="str">
        <f t="shared" si="9"/>
        <v>4106</v>
      </c>
      <c r="B152" s="372">
        <f t="shared" si="10"/>
        <v>-11129.1</v>
      </c>
      <c r="C152" s="370" t="str">
        <f t="shared" si="11"/>
        <v>4Q2024</v>
      </c>
      <c r="D152" s="533">
        <v>1</v>
      </c>
      <c r="E152" s="371">
        <v>45629</v>
      </c>
      <c r="F152" s="343" t="s">
        <v>491</v>
      </c>
      <c r="G152" s="343" t="s">
        <v>415</v>
      </c>
      <c r="H152" s="343" t="s">
        <v>671</v>
      </c>
      <c r="I152" s="343" t="s">
        <v>761</v>
      </c>
      <c r="J152" s="343" t="s">
        <v>762</v>
      </c>
      <c r="K152" s="343" t="s">
        <v>763</v>
      </c>
      <c r="L152" s="343" t="s">
        <v>672</v>
      </c>
      <c r="M152" s="343" t="s">
        <v>24</v>
      </c>
      <c r="N152" s="344">
        <v>1</v>
      </c>
      <c r="O152" s="343" t="s">
        <v>770</v>
      </c>
      <c r="P152" s="343" t="s">
        <v>771</v>
      </c>
      <c r="Q152" s="345"/>
      <c r="R152" s="345"/>
      <c r="S152" s="345"/>
      <c r="T152" s="349">
        <v>-11129.1</v>
      </c>
    </row>
    <row r="153" spans="1:20" ht="24">
      <c r="A153" s="370" t="str">
        <f t="shared" si="9"/>
        <v>4105</v>
      </c>
      <c r="B153" s="372">
        <f t="shared" si="10"/>
        <v>-160</v>
      </c>
      <c r="C153" s="370" t="str">
        <f t="shared" si="11"/>
        <v>4Q2024</v>
      </c>
      <c r="D153" s="533">
        <v>1</v>
      </c>
      <c r="E153" s="371">
        <v>45629</v>
      </c>
      <c r="F153" s="343" t="s">
        <v>491</v>
      </c>
      <c r="G153" s="343" t="s">
        <v>403</v>
      </c>
      <c r="H153" s="343" t="s">
        <v>671</v>
      </c>
      <c r="I153" s="343" t="s">
        <v>404</v>
      </c>
      <c r="J153" s="343"/>
      <c r="K153" s="343"/>
      <c r="L153" s="343" t="s">
        <v>672</v>
      </c>
      <c r="M153" s="343" t="s">
        <v>24</v>
      </c>
      <c r="N153" s="344">
        <v>1</v>
      </c>
      <c r="O153" s="343" t="s">
        <v>772</v>
      </c>
      <c r="P153" s="343" t="s">
        <v>773</v>
      </c>
      <c r="Q153" s="345"/>
      <c r="R153" s="345"/>
      <c r="S153" s="345"/>
      <c r="T153" s="349">
        <v>-160</v>
      </c>
    </row>
    <row r="154" spans="1:20" ht="24">
      <c r="A154" s="370" t="str">
        <f t="shared" si="9"/>
        <v>3202</v>
      </c>
      <c r="B154" s="372">
        <f t="shared" si="10"/>
        <v>110000</v>
      </c>
      <c r="C154" s="370" t="str">
        <f t="shared" si="11"/>
        <v>4Q2024</v>
      </c>
      <c r="D154" s="533">
        <v>1</v>
      </c>
      <c r="E154" s="371">
        <v>45632</v>
      </c>
      <c r="F154" s="343" t="s">
        <v>491</v>
      </c>
      <c r="G154" s="343" t="s">
        <v>410</v>
      </c>
      <c r="H154" s="343" t="s">
        <v>671</v>
      </c>
      <c r="I154" s="343" t="s">
        <v>402</v>
      </c>
      <c r="J154" s="343" t="s">
        <v>689</v>
      </c>
      <c r="K154" s="343" t="s">
        <v>690</v>
      </c>
      <c r="L154" s="343" t="s">
        <v>672</v>
      </c>
      <c r="M154" s="343" t="s">
        <v>24</v>
      </c>
      <c r="N154" s="344">
        <v>1</v>
      </c>
      <c r="O154" s="343" t="s">
        <v>774</v>
      </c>
      <c r="P154" s="343" t="s">
        <v>775</v>
      </c>
      <c r="Q154" s="345"/>
      <c r="R154" s="345"/>
      <c r="S154" s="345">
        <v>110000</v>
      </c>
      <c r="T154" s="349"/>
    </row>
    <row r="155" spans="1:20" ht="48">
      <c r="A155" s="370" t="str">
        <f t="shared" si="9"/>
        <v>4107</v>
      </c>
      <c r="B155" s="372">
        <f t="shared" si="10"/>
        <v>-3940</v>
      </c>
      <c r="C155" s="370" t="str">
        <f t="shared" si="11"/>
        <v>4Q2024</v>
      </c>
      <c r="D155" s="533">
        <v>1</v>
      </c>
      <c r="E155" s="371">
        <v>45636</v>
      </c>
      <c r="F155" s="343" t="s">
        <v>491</v>
      </c>
      <c r="G155" s="343" t="s">
        <v>409</v>
      </c>
      <c r="H155" s="343" t="s">
        <v>671</v>
      </c>
      <c r="I155" s="343" t="s">
        <v>368</v>
      </c>
      <c r="J155" s="343" t="s">
        <v>724</v>
      </c>
      <c r="K155" s="343" t="s">
        <v>725</v>
      </c>
      <c r="L155" s="343" t="s">
        <v>672</v>
      </c>
      <c r="M155" s="343" t="s">
        <v>24</v>
      </c>
      <c r="N155" s="344">
        <v>1</v>
      </c>
      <c r="O155" s="343" t="s">
        <v>776</v>
      </c>
      <c r="P155" s="343" t="s">
        <v>777</v>
      </c>
      <c r="Q155" s="345"/>
      <c r="R155" s="345"/>
      <c r="S155" s="345"/>
      <c r="T155" s="349">
        <v>-3940</v>
      </c>
    </row>
    <row r="156" spans="1:20" ht="48">
      <c r="A156" s="370" t="str">
        <f t="shared" si="9"/>
        <v>4107</v>
      </c>
      <c r="B156" s="372">
        <f t="shared" si="10"/>
        <v>-394</v>
      </c>
      <c r="C156" s="370" t="str">
        <f t="shared" si="11"/>
        <v>4Q2024</v>
      </c>
      <c r="D156" s="533">
        <v>1</v>
      </c>
      <c r="E156" s="371">
        <v>45636</v>
      </c>
      <c r="F156" s="343" t="s">
        <v>491</v>
      </c>
      <c r="G156" s="343" t="s">
        <v>409</v>
      </c>
      <c r="H156" s="343" t="s">
        <v>671</v>
      </c>
      <c r="I156" s="343" t="s">
        <v>368</v>
      </c>
      <c r="J156" s="343" t="s">
        <v>724</v>
      </c>
      <c r="K156" s="343" t="s">
        <v>725</v>
      </c>
      <c r="L156" s="343" t="s">
        <v>672</v>
      </c>
      <c r="M156" s="343" t="s">
        <v>24</v>
      </c>
      <c r="N156" s="344">
        <v>1</v>
      </c>
      <c r="O156" s="343" t="s">
        <v>776</v>
      </c>
      <c r="P156" s="343" t="s">
        <v>777</v>
      </c>
      <c r="Q156" s="345"/>
      <c r="R156" s="345"/>
      <c r="S156" s="345"/>
      <c r="T156" s="349">
        <v>-394</v>
      </c>
    </row>
    <row r="157" spans="1:20" ht="48">
      <c r="A157" s="370" t="str">
        <f t="shared" si="9"/>
        <v>4107</v>
      </c>
      <c r="B157" s="372">
        <f t="shared" si="10"/>
        <v>-301.37</v>
      </c>
      <c r="C157" s="370" t="str">
        <f t="shared" si="11"/>
        <v>4Q2024</v>
      </c>
      <c r="D157" s="533">
        <v>1</v>
      </c>
      <c r="E157" s="371">
        <v>45636</v>
      </c>
      <c r="F157" s="343" t="s">
        <v>491</v>
      </c>
      <c r="G157" s="343" t="s">
        <v>409</v>
      </c>
      <c r="H157" s="343" t="s">
        <v>671</v>
      </c>
      <c r="I157" s="343" t="s">
        <v>368</v>
      </c>
      <c r="J157" s="343" t="s">
        <v>724</v>
      </c>
      <c r="K157" s="343" t="s">
        <v>725</v>
      </c>
      <c r="L157" s="343" t="s">
        <v>672</v>
      </c>
      <c r="M157" s="343" t="s">
        <v>24</v>
      </c>
      <c r="N157" s="344">
        <v>1</v>
      </c>
      <c r="O157" s="343" t="s">
        <v>776</v>
      </c>
      <c r="P157" s="343" t="s">
        <v>777</v>
      </c>
      <c r="Q157" s="345"/>
      <c r="R157" s="345"/>
      <c r="S157" s="345"/>
      <c r="T157" s="349">
        <v>-301.37</v>
      </c>
    </row>
    <row r="158" spans="1:20" ht="48">
      <c r="A158" s="370" t="str">
        <f t="shared" si="9"/>
        <v>4107</v>
      </c>
      <c r="B158" s="372">
        <f t="shared" si="10"/>
        <v>-55364.63</v>
      </c>
      <c r="C158" s="370" t="str">
        <f t="shared" si="11"/>
        <v>4Q2024</v>
      </c>
      <c r="D158" s="533">
        <v>1</v>
      </c>
      <c r="E158" s="371">
        <v>45636</v>
      </c>
      <c r="F158" s="343" t="s">
        <v>491</v>
      </c>
      <c r="G158" s="343" t="s">
        <v>409</v>
      </c>
      <c r="H158" s="343" t="s">
        <v>671</v>
      </c>
      <c r="I158" s="343" t="s">
        <v>368</v>
      </c>
      <c r="J158" s="343" t="s">
        <v>724</v>
      </c>
      <c r="K158" s="343" t="s">
        <v>725</v>
      </c>
      <c r="L158" s="343" t="s">
        <v>672</v>
      </c>
      <c r="M158" s="343" t="s">
        <v>24</v>
      </c>
      <c r="N158" s="344">
        <v>1</v>
      </c>
      <c r="O158" s="343" t="s">
        <v>776</v>
      </c>
      <c r="P158" s="343" t="s">
        <v>777</v>
      </c>
      <c r="Q158" s="345"/>
      <c r="R158" s="345"/>
      <c r="S158" s="345"/>
      <c r="T158" s="349">
        <v>-55364.63</v>
      </c>
    </row>
    <row r="159" spans="1:20" ht="24">
      <c r="A159" s="370" t="str">
        <f t="shared" si="9"/>
        <v>4105</v>
      </c>
      <c r="B159" s="372">
        <f t="shared" si="10"/>
        <v>-40</v>
      </c>
      <c r="C159" s="370" t="str">
        <f t="shared" si="11"/>
        <v>4Q2024</v>
      </c>
      <c r="D159" s="533">
        <v>1</v>
      </c>
      <c r="E159" s="371">
        <v>45636</v>
      </c>
      <c r="F159" s="343" t="s">
        <v>491</v>
      </c>
      <c r="G159" s="343" t="s">
        <v>403</v>
      </c>
      <c r="H159" s="343" t="s">
        <v>671</v>
      </c>
      <c r="I159" s="343" t="s">
        <v>404</v>
      </c>
      <c r="J159" s="343"/>
      <c r="K159" s="343"/>
      <c r="L159" s="343" t="s">
        <v>672</v>
      </c>
      <c r="M159" s="343" t="s">
        <v>24</v>
      </c>
      <c r="N159" s="344">
        <v>1</v>
      </c>
      <c r="O159" s="343" t="s">
        <v>745</v>
      </c>
      <c r="P159" s="343" t="s">
        <v>778</v>
      </c>
      <c r="Q159" s="345"/>
      <c r="R159" s="345"/>
      <c r="S159" s="345"/>
      <c r="T159" s="349">
        <v>-40</v>
      </c>
    </row>
    <row r="160" spans="1:20" ht="36">
      <c r="A160" s="370" t="str">
        <f t="shared" si="9"/>
        <v>4107</v>
      </c>
      <c r="B160" s="372">
        <f t="shared" si="10"/>
        <v>-3940</v>
      </c>
      <c r="C160" s="370" t="str">
        <f t="shared" si="11"/>
        <v>4Q2024</v>
      </c>
      <c r="D160" s="533">
        <v>1</v>
      </c>
      <c r="E160" s="371">
        <v>45642</v>
      </c>
      <c r="F160" s="343" t="s">
        <v>491</v>
      </c>
      <c r="G160" s="343" t="s">
        <v>409</v>
      </c>
      <c r="H160" s="343" t="s">
        <v>671</v>
      </c>
      <c r="I160" s="343" t="s">
        <v>368</v>
      </c>
      <c r="J160" s="343" t="s">
        <v>724</v>
      </c>
      <c r="K160" s="343" t="s">
        <v>725</v>
      </c>
      <c r="L160" s="343" t="s">
        <v>672</v>
      </c>
      <c r="M160" s="343" t="s">
        <v>24</v>
      </c>
      <c r="N160" s="344">
        <v>1</v>
      </c>
      <c r="O160" s="343" t="s">
        <v>779</v>
      </c>
      <c r="P160" s="343" t="s">
        <v>780</v>
      </c>
      <c r="Q160" s="345"/>
      <c r="R160" s="345"/>
      <c r="S160" s="345"/>
      <c r="T160" s="349">
        <v>-3940</v>
      </c>
    </row>
    <row r="161" spans="1:20" ht="36">
      <c r="A161" s="370" t="str">
        <f t="shared" si="9"/>
        <v>4107</v>
      </c>
      <c r="B161" s="372">
        <f t="shared" si="10"/>
        <v>-394</v>
      </c>
      <c r="C161" s="370" t="str">
        <f t="shared" si="11"/>
        <v>4Q2024</v>
      </c>
      <c r="D161" s="533">
        <v>1</v>
      </c>
      <c r="E161" s="371">
        <v>45642</v>
      </c>
      <c r="F161" s="343" t="s">
        <v>491</v>
      </c>
      <c r="G161" s="343" t="s">
        <v>409</v>
      </c>
      <c r="H161" s="343" t="s">
        <v>671</v>
      </c>
      <c r="I161" s="343" t="s">
        <v>368</v>
      </c>
      <c r="J161" s="343" t="s">
        <v>724</v>
      </c>
      <c r="K161" s="343" t="s">
        <v>725</v>
      </c>
      <c r="L161" s="343" t="s">
        <v>672</v>
      </c>
      <c r="M161" s="343" t="s">
        <v>24</v>
      </c>
      <c r="N161" s="344">
        <v>1</v>
      </c>
      <c r="O161" s="343" t="s">
        <v>781</v>
      </c>
      <c r="P161" s="343" t="s">
        <v>782</v>
      </c>
      <c r="Q161" s="345"/>
      <c r="R161" s="345"/>
      <c r="S161" s="345"/>
      <c r="T161" s="349">
        <v>-394</v>
      </c>
    </row>
    <row r="162" spans="1:20" ht="24">
      <c r="A162" s="370" t="str">
        <f t="shared" si="9"/>
        <v>4105</v>
      </c>
      <c r="B162" s="372">
        <f t="shared" si="10"/>
        <v>-80</v>
      </c>
      <c r="C162" s="370" t="str">
        <f t="shared" si="11"/>
        <v>4Q2024</v>
      </c>
      <c r="D162" s="533">
        <v>1</v>
      </c>
      <c r="E162" s="371">
        <v>45642</v>
      </c>
      <c r="F162" s="343" t="s">
        <v>491</v>
      </c>
      <c r="G162" s="343" t="s">
        <v>403</v>
      </c>
      <c r="H162" s="343" t="s">
        <v>671</v>
      </c>
      <c r="I162" s="343" t="s">
        <v>404</v>
      </c>
      <c r="J162" s="343"/>
      <c r="K162" s="343"/>
      <c r="L162" s="343" t="s">
        <v>672</v>
      </c>
      <c r="M162" s="343" t="s">
        <v>24</v>
      </c>
      <c r="N162" s="344">
        <v>1</v>
      </c>
      <c r="O162" s="343" t="s">
        <v>783</v>
      </c>
      <c r="P162" s="343" t="s">
        <v>784</v>
      </c>
      <c r="Q162" s="345"/>
      <c r="R162" s="345"/>
      <c r="S162" s="345"/>
      <c r="T162" s="349">
        <v>-80</v>
      </c>
    </row>
    <row r="163" spans="1:20" ht="24">
      <c r="A163" s="370" t="str">
        <f t="shared" si="9"/>
        <v>4105</v>
      </c>
      <c r="B163" s="372">
        <f t="shared" si="10"/>
        <v>-3500</v>
      </c>
      <c r="C163" s="370" t="str">
        <f t="shared" si="11"/>
        <v>4Q2024</v>
      </c>
      <c r="D163" s="533">
        <v>1</v>
      </c>
      <c r="E163" s="371">
        <v>45654</v>
      </c>
      <c r="F163" s="343" t="s">
        <v>491</v>
      </c>
      <c r="G163" s="343" t="s">
        <v>403</v>
      </c>
      <c r="H163" s="343" t="s">
        <v>671</v>
      </c>
      <c r="I163" s="343" t="s">
        <v>404</v>
      </c>
      <c r="J163" s="343"/>
      <c r="K163" s="343"/>
      <c r="L163" s="343" t="s">
        <v>672</v>
      </c>
      <c r="M163" s="343" t="s">
        <v>24</v>
      </c>
      <c r="N163" s="344">
        <v>1</v>
      </c>
      <c r="O163" s="343" t="s">
        <v>785</v>
      </c>
      <c r="P163" s="343" t="s">
        <v>786</v>
      </c>
      <c r="Q163" s="345"/>
      <c r="R163" s="345"/>
      <c r="S163" s="345"/>
      <c r="T163" s="349">
        <v>-3500</v>
      </c>
    </row>
    <row r="164" spans="1:20" ht="24">
      <c r="A164" s="370" t="str">
        <f t="shared" si="9"/>
        <v>4105</v>
      </c>
      <c r="B164" s="372">
        <f t="shared" si="10"/>
        <v>-2500</v>
      </c>
      <c r="C164" s="370" t="str">
        <f t="shared" si="11"/>
        <v>4Q2024</v>
      </c>
      <c r="D164" s="533">
        <v>1</v>
      </c>
      <c r="E164" s="371">
        <v>45654</v>
      </c>
      <c r="F164" s="343" t="s">
        <v>491</v>
      </c>
      <c r="G164" s="343" t="s">
        <v>403</v>
      </c>
      <c r="H164" s="343" t="s">
        <v>671</v>
      </c>
      <c r="I164" s="343" t="s">
        <v>404</v>
      </c>
      <c r="J164" s="343"/>
      <c r="K164" s="343"/>
      <c r="L164" s="343" t="s">
        <v>672</v>
      </c>
      <c r="M164" s="343" t="s">
        <v>24</v>
      </c>
      <c r="N164" s="344">
        <v>1</v>
      </c>
      <c r="O164" s="343" t="s">
        <v>787</v>
      </c>
      <c r="P164" s="343" t="s">
        <v>788</v>
      </c>
      <c r="Q164" s="345"/>
      <c r="R164" s="345"/>
      <c r="S164" s="345"/>
      <c r="T164" s="349">
        <v>-2500</v>
      </c>
    </row>
    <row r="165" spans="1:20">
      <c r="A165" s="370" t="str">
        <f t="shared" si="9"/>
        <v>4105</v>
      </c>
      <c r="B165" s="372">
        <f t="shared" si="10"/>
        <v>-490</v>
      </c>
      <c r="C165" s="370" t="str">
        <f t="shared" si="11"/>
        <v>1Q2025</v>
      </c>
      <c r="D165" s="533">
        <v>1</v>
      </c>
      <c r="E165" s="371">
        <v>45658</v>
      </c>
      <c r="F165" s="343" t="s">
        <v>491</v>
      </c>
      <c r="G165" s="343" t="s">
        <v>403</v>
      </c>
      <c r="H165" s="343" t="s">
        <v>492</v>
      </c>
      <c r="I165" s="343" t="s">
        <v>493</v>
      </c>
      <c r="J165" s="343"/>
      <c r="K165" s="343"/>
      <c r="L165" s="343" t="s">
        <v>494</v>
      </c>
      <c r="M165" s="343" t="s">
        <v>24</v>
      </c>
      <c r="N165" s="344">
        <v>1</v>
      </c>
      <c r="O165" s="343" t="s">
        <v>495</v>
      </c>
      <c r="P165" s="343" t="s">
        <v>789</v>
      </c>
      <c r="Q165" s="345"/>
      <c r="R165" s="345"/>
      <c r="S165" s="345"/>
      <c r="T165" s="349">
        <v>-490</v>
      </c>
    </row>
    <row r="166" spans="1:20" ht="36">
      <c r="A166" s="370" t="str">
        <f t="shared" si="9"/>
        <v>4102</v>
      </c>
      <c r="B166" s="372">
        <f t="shared" si="10"/>
        <v>-10000</v>
      </c>
      <c r="C166" s="370" t="str">
        <f t="shared" si="11"/>
        <v>1Q2025</v>
      </c>
      <c r="D166" s="533">
        <v>1</v>
      </c>
      <c r="E166" s="371">
        <v>45672</v>
      </c>
      <c r="F166" s="343" t="s">
        <v>491</v>
      </c>
      <c r="G166" s="343" t="s">
        <v>790</v>
      </c>
      <c r="H166" s="343" t="s">
        <v>671</v>
      </c>
      <c r="I166" s="343" t="s">
        <v>417</v>
      </c>
      <c r="J166" s="343" t="s">
        <v>791</v>
      </c>
      <c r="K166" s="343" t="s">
        <v>792</v>
      </c>
      <c r="L166" s="343" t="s">
        <v>672</v>
      </c>
      <c r="M166" s="343" t="s">
        <v>24</v>
      </c>
      <c r="N166" s="344">
        <v>1</v>
      </c>
      <c r="O166" s="343" t="s">
        <v>793</v>
      </c>
      <c r="P166" s="343" t="s">
        <v>794</v>
      </c>
      <c r="Q166" s="345"/>
      <c r="R166" s="345"/>
      <c r="S166" s="345"/>
      <c r="T166" s="349">
        <v>-10000</v>
      </c>
    </row>
    <row r="167" spans="1:20" ht="24">
      <c r="A167" s="370" t="str">
        <f t="shared" si="9"/>
        <v>4105</v>
      </c>
      <c r="B167" s="372">
        <f t="shared" si="10"/>
        <v>-40</v>
      </c>
      <c r="C167" s="370" t="str">
        <f t="shared" si="11"/>
        <v>1Q2025</v>
      </c>
      <c r="D167" s="533">
        <v>1</v>
      </c>
      <c r="E167" s="371">
        <v>45672</v>
      </c>
      <c r="F167" s="343" t="s">
        <v>491</v>
      </c>
      <c r="G167" s="343" t="s">
        <v>403</v>
      </c>
      <c r="H167" s="343" t="s">
        <v>671</v>
      </c>
      <c r="I167" s="343" t="s">
        <v>404</v>
      </c>
      <c r="J167" s="343"/>
      <c r="K167" s="343"/>
      <c r="L167" s="343" t="s">
        <v>672</v>
      </c>
      <c r="M167" s="343" t="s">
        <v>24</v>
      </c>
      <c r="N167" s="344">
        <v>1</v>
      </c>
      <c r="O167" s="343" t="s">
        <v>745</v>
      </c>
      <c r="P167" s="343" t="s">
        <v>795</v>
      </c>
      <c r="Q167" s="345"/>
      <c r="R167" s="345"/>
      <c r="S167" s="345"/>
      <c r="T167" s="349">
        <v>-40</v>
      </c>
    </row>
    <row r="168" spans="1:20" ht="24">
      <c r="A168" s="370" t="str">
        <f t="shared" si="9"/>
        <v>3202</v>
      </c>
      <c r="B168" s="372">
        <f t="shared" si="10"/>
        <v>190000</v>
      </c>
      <c r="C168" s="370" t="str">
        <f t="shared" si="11"/>
        <v>1Q2025</v>
      </c>
      <c r="D168" s="533">
        <v>1</v>
      </c>
      <c r="E168" s="371">
        <v>45678</v>
      </c>
      <c r="F168" s="343" t="s">
        <v>491</v>
      </c>
      <c r="G168" s="343" t="s">
        <v>410</v>
      </c>
      <c r="H168" s="343" t="s">
        <v>671</v>
      </c>
      <c r="I168" s="343" t="s">
        <v>402</v>
      </c>
      <c r="J168" s="343" t="s">
        <v>689</v>
      </c>
      <c r="K168" s="343" t="s">
        <v>690</v>
      </c>
      <c r="L168" s="343" t="s">
        <v>672</v>
      </c>
      <c r="M168" s="343" t="s">
        <v>24</v>
      </c>
      <c r="N168" s="344">
        <v>1</v>
      </c>
      <c r="O168" s="343" t="s">
        <v>796</v>
      </c>
      <c r="P168" s="343" t="s">
        <v>797</v>
      </c>
      <c r="Q168" s="345"/>
      <c r="R168" s="345"/>
      <c r="S168" s="345">
        <v>190000</v>
      </c>
      <c r="T168" s="349"/>
    </row>
    <row r="169" spans="1:20" ht="36">
      <c r="A169" s="370" t="str">
        <f t="shared" si="9"/>
        <v>4107</v>
      </c>
      <c r="B169" s="372">
        <f t="shared" si="10"/>
        <v>-1150.69</v>
      </c>
      <c r="C169" s="370" t="str">
        <f t="shared" si="11"/>
        <v>1Q2025</v>
      </c>
      <c r="D169" s="533">
        <v>1</v>
      </c>
      <c r="E169" s="371">
        <v>45680</v>
      </c>
      <c r="F169" s="343" t="s">
        <v>491</v>
      </c>
      <c r="G169" s="343" t="s">
        <v>409</v>
      </c>
      <c r="H169" s="343" t="s">
        <v>671</v>
      </c>
      <c r="I169" s="343" t="s">
        <v>368</v>
      </c>
      <c r="J169" s="343" t="s">
        <v>724</v>
      </c>
      <c r="K169" s="343" t="s">
        <v>725</v>
      </c>
      <c r="L169" s="343" t="s">
        <v>672</v>
      </c>
      <c r="M169" s="343" t="s">
        <v>24</v>
      </c>
      <c r="N169" s="344">
        <v>1</v>
      </c>
      <c r="O169" s="343" t="s">
        <v>798</v>
      </c>
      <c r="P169" s="343" t="s">
        <v>799</v>
      </c>
      <c r="Q169" s="345"/>
      <c r="R169" s="345"/>
      <c r="S169" s="345"/>
      <c r="T169" s="349">
        <v>-1150.69</v>
      </c>
    </row>
    <row r="170" spans="1:20" ht="24">
      <c r="A170" s="370" t="str">
        <f t="shared" si="9"/>
        <v>4105</v>
      </c>
      <c r="B170" s="372">
        <f t="shared" si="10"/>
        <v>-40</v>
      </c>
      <c r="C170" s="370" t="str">
        <f t="shared" si="11"/>
        <v>1Q2025</v>
      </c>
      <c r="D170" s="533">
        <v>1</v>
      </c>
      <c r="E170" s="371">
        <v>45680</v>
      </c>
      <c r="F170" s="343" t="s">
        <v>491</v>
      </c>
      <c r="G170" s="343" t="s">
        <v>403</v>
      </c>
      <c r="H170" s="343" t="s">
        <v>671</v>
      </c>
      <c r="I170" s="343" t="s">
        <v>404</v>
      </c>
      <c r="J170" s="343"/>
      <c r="K170" s="343"/>
      <c r="L170" s="343" t="s">
        <v>672</v>
      </c>
      <c r="M170" s="343" t="s">
        <v>24</v>
      </c>
      <c r="N170" s="344">
        <v>1</v>
      </c>
      <c r="O170" s="343" t="s">
        <v>745</v>
      </c>
      <c r="P170" s="343" t="s">
        <v>800</v>
      </c>
      <c r="Q170" s="345"/>
      <c r="R170" s="345"/>
      <c r="S170" s="345"/>
      <c r="T170" s="349">
        <v>-40</v>
      </c>
    </row>
    <row r="171" spans="1:20" ht="36">
      <c r="A171" s="370" t="str">
        <f t="shared" si="9"/>
        <v>4107</v>
      </c>
      <c r="B171" s="372">
        <f t="shared" si="10"/>
        <v>-61849.31</v>
      </c>
      <c r="C171" s="370" t="str">
        <f t="shared" si="11"/>
        <v>1Q2025</v>
      </c>
      <c r="D171" s="533">
        <v>1</v>
      </c>
      <c r="E171" s="371">
        <v>45680</v>
      </c>
      <c r="F171" s="343" t="s">
        <v>491</v>
      </c>
      <c r="G171" s="343" t="s">
        <v>409</v>
      </c>
      <c r="H171" s="343" t="s">
        <v>671</v>
      </c>
      <c r="I171" s="343" t="s">
        <v>368</v>
      </c>
      <c r="J171" s="343" t="s">
        <v>724</v>
      </c>
      <c r="K171" s="343" t="s">
        <v>725</v>
      </c>
      <c r="L171" s="343" t="s">
        <v>672</v>
      </c>
      <c r="M171" s="343" t="s">
        <v>24</v>
      </c>
      <c r="N171" s="344">
        <v>1</v>
      </c>
      <c r="O171" s="343" t="s">
        <v>798</v>
      </c>
      <c r="P171" s="343" t="s">
        <v>799</v>
      </c>
      <c r="Q171" s="345"/>
      <c r="R171" s="345"/>
      <c r="S171" s="345"/>
      <c r="T171" s="349">
        <v>-61849.31</v>
      </c>
    </row>
    <row r="172" spans="1:20" ht="24">
      <c r="A172" s="370" t="str">
        <f t="shared" si="9"/>
        <v>4105</v>
      </c>
      <c r="B172" s="372">
        <f t="shared" si="10"/>
        <v>-3500</v>
      </c>
      <c r="C172" s="370" t="str">
        <f t="shared" si="11"/>
        <v>1Q2025</v>
      </c>
      <c r="D172" s="533">
        <v>1</v>
      </c>
      <c r="E172" s="371">
        <v>45688</v>
      </c>
      <c r="F172" s="343" t="s">
        <v>491</v>
      </c>
      <c r="G172" s="343" t="s">
        <v>403</v>
      </c>
      <c r="H172" s="343" t="s">
        <v>671</v>
      </c>
      <c r="I172" s="343" t="s">
        <v>404</v>
      </c>
      <c r="J172" s="343"/>
      <c r="K172" s="343"/>
      <c r="L172" s="343" t="s">
        <v>672</v>
      </c>
      <c r="M172" s="343" t="s">
        <v>24</v>
      </c>
      <c r="N172" s="344">
        <v>1</v>
      </c>
      <c r="O172" s="343" t="s">
        <v>801</v>
      </c>
      <c r="P172" s="343" t="s">
        <v>802</v>
      </c>
      <c r="Q172" s="345"/>
      <c r="R172" s="345"/>
      <c r="S172" s="345"/>
      <c r="T172" s="349">
        <v>-3500</v>
      </c>
    </row>
    <row r="173" spans="1:20" ht="24">
      <c r="A173" s="370" t="str">
        <f t="shared" si="9"/>
        <v>4105</v>
      </c>
      <c r="B173" s="372">
        <f t="shared" si="10"/>
        <v>-2500</v>
      </c>
      <c r="C173" s="370" t="str">
        <f t="shared" si="11"/>
        <v>1Q2025</v>
      </c>
      <c r="D173" s="533">
        <v>1</v>
      </c>
      <c r="E173" s="371">
        <v>45688</v>
      </c>
      <c r="F173" s="343" t="s">
        <v>491</v>
      </c>
      <c r="G173" s="343" t="s">
        <v>403</v>
      </c>
      <c r="H173" s="343" t="s">
        <v>671</v>
      </c>
      <c r="I173" s="343" t="s">
        <v>404</v>
      </c>
      <c r="J173" s="343"/>
      <c r="K173" s="343"/>
      <c r="L173" s="343" t="s">
        <v>672</v>
      </c>
      <c r="M173" s="343" t="s">
        <v>24</v>
      </c>
      <c r="N173" s="344">
        <v>1</v>
      </c>
      <c r="O173" s="343" t="s">
        <v>803</v>
      </c>
      <c r="P173" s="343" t="s">
        <v>804</v>
      </c>
      <c r="Q173" s="345"/>
      <c r="R173" s="345"/>
      <c r="S173" s="345"/>
      <c r="T173" s="349">
        <v>-2500</v>
      </c>
    </row>
    <row r="174" spans="1:20">
      <c r="A174" s="370" t="str">
        <f t="shared" si="9"/>
        <v>4105</v>
      </c>
      <c r="B174" s="372">
        <f t="shared" si="10"/>
        <v>-490</v>
      </c>
      <c r="C174" s="370" t="str">
        <f t="shared" si="11"/>
        <v>1Q2025</v>
      </c>
      <c r="D174" s="533">
        <v>1</v>
      </c>
      <c r="E174" s="371">
        <v>45689</v>
      </c>
      <c r="F174" s="343" t="s">
        <v>491</v>
      </c>
      <c r="G174" s="343" t="s">
        <v>403</v>
      </c>
      <c r="H174" s="343" t="s">
        <v>492</v>
      </c>
      <c r="I174" s="343" t="s">
        <v>493</v>
      </c>
      <c r="J174" s="343"/>
      <c r="K174" s="343"/>
      <c r="L174" s="343" t="s">
        <v>494</v>
      </c>
      <c r="M174" s="343" t="s">
        <v>24</v>
      </c>
      <c r="N174" s="344">
        <v>1</v>
      </c>
      <c r="O174" s="343" t="s">
        <v>495</v>
      </c>
      <c r="P174" s="343" t="s">
        <v>805</v>
      </c>
      <c r="Q174" s="345"/>
      <c r="R174" s="345"/>
      <c r="S174" s="345"/>
      <c r="T174" s="349">
        <v>-490</v>
      </c>
    </row>
    <row r="175" spans="1:20" ht="36">
      <c r="A175" s="370" t="str">
        <f t="shared" si="9"/>
        <v>3202</v>
      </c>
      <c r="B175" s="372">
        <f t="shared" si="10"/>
        <v>190000</v>
      </c>
      <c r="C175" s="370" t="str">
        <f t="shared" si="11"/>
        <v>1Q2025</v>
      </c>
      <c r="D175" s="533">
        <v>1</v>
      </c>
      <c r="E175" s="371">
        <v>45699</v>
      </c>
      <c r="F175" s="343" t="s">
        <v>491</v>
      </c>
      <c r="G175" s="343" t="s">
        <v>410</v>
      </c>
      <c r="H175" s="343" t="s">
        <v>671</v>
      </c>
      <c r="I175" s="343" t="s">
        <v>402</v>
      </c>
      <c r="J175" s="343" t="s">
        <v>806</v>
      </c>
      <c r="K175" s="343" t="s">
        <v>807</v>
      </c>
      <c r="L175" s="343" t="s">
        <v>672</v>
      </c>
      <c r="M175" s="343" t="s">
        <v>24</v>
      </c>
      <c r="N175" s="344">
        <v>1</v>
      </c>
      <c r="O175" s="343" t="s">
        <v>808</v>
      </c>
      <c r="P175" s="343" t="s">
        <v>809</v>
      </c>
      <c r="Q175" s="345"/>
      <c r="R175" s="345"/>
      <c r="S175" s="345">
        <v>190000</v>
      </c>
      <c r="T175" s="349"/>
    </row>
    <row r="176" spans="1:20" ht="36">
      <c r="A176" s="370" t="str">
        <f t="shared" si="9"/>
        <v>4101</v>
      </c>
      <c r="B176" s="372">
        <f t="shared" si="10"/>
        <v>-85050</v>
      </c>
      <c r="C176" s="370" t="str">
        <f t="shared" si="11"/>
        <v>1Q2025</v>
      </c>
      <c r="D176" s="533">
        <v>1</v>
      </c>
      <c r="E176" s="371">
        <v>45708</v>
      </c>
      <c r="F176" s="343" t="s">
        <v>491</v>
      </c>
      <c r="G176" s="343" t="s">
        <v>411</v>
      </c>
      <c r="H176" s="343" t="s">
        <v>671</v>
      </c>
      <c r="I176" s="343" t="s">
        <v>368</v>
      </c>
      <c r="J176" s="343" t="s">
        <v>702</v>
      </c>
      <c r="K176" s="343" t="s">
        <v>703</v>
      </c>
      <c r="L176" s="343" t="s">
        <v>672</v>
      </c>
      <c r="M176" s="343" t="s">
        <v>24</v>
      </c>
      <c r="N176" s="344">
        <v>1</v>
      </c>
      <c r="O176" s="343" t="s">
        <v>810</v>
      </c>
      <c r="P176" s="343" t="s">
        <v>811</v>
      </c>
      <c r="Q176" s="345"/>
      <c r="R176" s="345"/>
      <c r="S176" s="345"/>
      <c r="T176" s="349">
        <v>-85050</v>
      </c>
    </row>
    <row r="177" spans="1:20" ht="36">
      <c r="A177" s="370" t="str">
        <f t="shared" si="9"/>
        <v>4107</v>
      </c>
      <c r="B177" s="372">
        <f t="shared" si="10"/>
        <v>-63000</v>
      </c>
      <c r="C177" s="370" t="str">
        <f t="shared" si="11"/>
        <v>1Q2025</v>
      </c>
      <c r="D177" s="533">
        <v>1</v>
      </c>
      <c r="E177" s="371">
        <v>45708</v>
      </c>
      <c r="F177" s="343" t="s">
        <v>491</v>
      </c>
      <c r="G177" s="343" t="s">
        <v>409</v>
      </c>
      <c r="H177" s="343" t="s">
        <v>671</v>
      </c>
      <c r="I177" s="343" t="s">
        <v>368</v>
      </c>
      <c r="J177" s="343" t="s">
        <v>724</v>
      </c>
      <c r="K177" s="343" t="s">
        <v>725</v>
      </c>
      <c r="L177" s="343" t="s">
        <v>672</v>
      </c>
      <c r="M177" s="343" t="s">
        <v>24</v>
      </c>
      <c r="N177" s="344">
        <v>1</v>
      </c>
      <c r="O177" s="343" t="s">
        <v>812</v>
      </c>
      <c r="P177" s="343" t="s">
        <v>813</v>
      </c>
      <c r="Q177" s="345"/>
      <c r="R177" s="345"/>
      <c r="S177" s="345"/>
      <c r="T177" s="349">
        <v>-63000</v>
      </c>
    </row>
    <row r="178" spans="1:20" ht="24">
      <c r="A178" s="370" t="str">
        <f t="shared" si="9"/>
        <v>4105</v>
      </c>
      <c r="B178" s="372">
        <f t="shared" si="10"/>
        <v>-80</v>
      </c>
      <c r="C178" s="370" t="str">
        <f t="shared" si="11"/>
        <v>1Q2025</v>
      </c>
      <c r="D178" s="533">
        <v>1</v>
      </c>
      <c r="E178" s="371">
        <v>45708</v>
      </c>
      <c r="F178" s="343" t="s">
        <v>491</v>
      </c>
      <c r="G178" s="343" t="s">
        <v>403</v>
      </c>
      <c r="H178" s="343" t="s">
        <v>671</v>
      </c>
      <c r="I178" s="343" t="s">
        <v>404</v>
      </c>
      <c r="J178" s="343"/>
      <c r="K178" s="343"/>
      <c r="L178" s="343" t="s">
        <v>672</v>
      </c>
      <c r="M178" s="343" t="s">
        <v>24</v>
      </c>
      <c r="N178" s="344">
        <v>1</v>
      </c>
      <c r="O178" s="343" t="s">
        <v>783</v>
      </c>
      <c r="P178" s="343" t="s">
        <v>814</v>
      </c>
      <c r="Q178" s="345"/>
      <c r="R178" s="345"/>
      <c r="S178" s="345"/>
      <c r="T178" s="349">
        <v>-80</v>
      </c>
    </row>
    <row r="179" spans="1:20" ht="24">
      <c r="A179" s="370" t="str">
        <f t="shared" si="9"/>
        <v>4105</v>
      </c>
      <c r="B179" s="372">
        <f t="shared" si="10"/>
        <v>-3500</v>
      </c>
      <c r="C179" s="370" t="str">
        <f t="shared" si="11"/>
        <v>1Q2025</v>
      </c>
      <c r="D179" s="533">
        <v>1</v>
      </c>
      <c r="E179" s="371">
        <v>45716</v>
      </c>
      <c r="F179" s="343" t="s">
        <v>491</v>
      </c>
      <c r="G179" s="343" t="s">
        <v>403</v>
      </c>
      <c r="H179" s="343" t="s">
        <v>671</v>
      </c>
      <c r="I179" s="343" t="s">
        <v>404</v>
      </c>
      <c r="J179" s="343"/>
      <c r="K179" s="343"/>
      <c r="L179" s="343" t="s">
        <v>672</v>
      </c>
      <c r="M179" s="343" t="s">
        <v>24</v>
      </c>
      <c r="N179" s="344">
        <v>1</v>
      </c>
      <c r="O179" s="343" t="s">
        <v>815</v>
      </c>
      <c r="P179" s="343" t="s">
        <v>816</v>
      </c>
      <c r="Q179" s="345"/>
      <c r="R179" s="345"/>
      <c r="S179" s="345"/>
      <c r="T179" s="349">
        <v>-3500</v>
      </c>
    </row>
    <row r="180" spans="1:20" ht="24">
      <c r="A180" s="370" t="str">
        <f t="shared" si="9"/>
        <v>4105</v>
      </c>
      <c r="B180" s="372">
        <f t="shared" si="10"/>
        <v>-2500</v>
      </c>
      <c r="C180" s="370" t="str">
        <f t="shared" si="11"/>
        <v>1Q2025</v>
      </c>
      <c r="D180" s="533">
        <v>1</v>
      </c>
      <c r="E180" s="371">
        <v>45716</v>
      </c>
      <c r="F180" s="343" t="s">
        <v>491</v>
      </c>
      <c r="G180" s="343" t="s">
        <v>403</v>
      </c>
      <c r="H180" s="343" t="s">
        <v>671</v>
      </c>
      <c r="I180" s="343" t="s">
        <v>404</v>
      </c>
      <c r="J180" s="343"/>
      <c r="K180" s="343"/>
      <c r="L180" s="343" t="s">
        <v>672</v>
      </c>
      <c r="M180" s="343" t="s">
        <v>24</v>
      </c>
      <c r="N180" s="344">
        <v>1</v>
      </c>
      <c r="O180" s="343" t="s">
        <v>817</v>
      </c>
      <c r="P180" s="343" t="s">
        <v>818</v>
      </c>
      <c r="Q180" s="345"/>
      <c r="R180" s="345"/>
      <c r="S180" s="345"/>
      <c r="T180" s="349">
        <v>-2500</v>
      </c>
    </row>
    <row r="181" spans="1:20">
      <c r="A181" s="370" t="str">
        <f t="shared" si="9"/>
        <v>4105</v>
      </c>
      <c r="B181" s="372">
        <f t="shared" si="10"/>
        <v>-490</v>
      </c>
      <c r="C181" s="370" t="str">
        <f t="shared" si="11"/>
        <v>1Q2025</v>
      </c>
      <c r="D181" s="533">
        <v>1</v>
      </c>
      <c r="E181" s="371">
        <v>45717</v>
      </c>
      <c r="F181" s="343" t="s">
        <v>491</v>
      </c>
      <c r="G181" s="343" t="s">
        <v>403</v>
      </c>
      <c r="H181" s="343" t="s">
        <v>492</v>
      </c>
      <c r="I181" s="343" t="s">
        <v>493</v>
      </c>
      <c r="J181" s="343"/>
      <c r="K181" s="343"/>
      <c r="L181" s="343" t="s">
        <v>494</v>
      </c>
      <c r="M181" s="343" t="s">
        <v>24</v>
      </c>
      <c r="N181" s="344">
        <v>1</v>
      </c>
      <c r="O181" s="343" t="s">
        <v>495</v>
      </c>
      <c r="P181" s="343" t="s">
        <v>819</v>
      </c>
      <c r="Q181" s="345"/>
      <c r="R181" s="345"/>
      <c r="S181" s="345"/>
      <c r="T181" s="349">
        <v>-490</v>
      </c>
    </row>
    <row r="182" spans="1:20" ht="36">
      <c r="A182" s="370" t="str">
        <f t="shared" si="9"/>
        <v>3202</v>
      </c>
      <c r="B182" s="372">
        <f t="shared" si="10"/>
        <v>190000</v>
      </c>
      <c r="C182" s="370" t="str">
        <f t="shared" si="11"/>
        <v>1Q2025</v>
      </c>
      <c r="D182" s="533">
        <v>1</v>
      </c>
      <c r="E182" s="371">
        <v>45727</v>
      </c>
      <c r="F182" s="343" t="s">
        <v>491</v>
      </c>
      <c r="G182" s="343" t="s">
        <v>410</v>
      </c>
      <c r="H182" s="343" t="s">
        <v>671</v>
      </c>
      <c r="I182" s="343" t="s">
        <v>402</v>
      </c>
      <c r="J182" s="343" t="s">
        <v>806</v>
      </c>
      <c r="K182" s="343" t="s">
        <v>807</v>
      </c>
      <c r="L182" s="343" t="s">
        <v>672</v>
      </c>
      <c r="M182" s="343" t="s">
        <v>24</v>
      </c>
      <c r="N182" s="344">
        <v>1</v>
      </c>
      <c r="O182" s="343" t="s">
        <v>820</v>
      </c>
      <c r="P182" s="343" t="s">
        <v>821</v>
      </c>
      <c r="Q182" s="345"/>
      <c r="R182" s="345"/>
      <c r="S182" s="345">
        <v>190000</v>
      </c>
      <c r="T182" s="349"/>
    </row>
    <row r="183" spans="1:20" ht="36">
      <c r="A183" s="370" t="str">
        <f t="shared" si="9"/>
        <v>3203</v>
      </c>
      <c r="B183" s="372">
        <f t="shared" si="10"/>
        <v>500000</v>
      </c>
      <c r="C183" s="370" t="str">
        <f t="shared" si="11"/>
        <v>1Q2025</v>
      </c>
      <c r="D183" s="533">
        <v>1</v>
      </c>
      <c r="E183" s="371">
        <v>45727</v>
      </c>
      <c r="F183" s="343" t="s">
        <v>491</v>
      </c>
      <c r="G183" s="343" t="s">
        <v>561</v>
      </c>
      <c r="H183" s="343" t="s">
        <v>492</v>
      </c>
      <c r="I183" s="343" t="s">
        <v>562</v>
      </c>
      <c r="J183" s="343" t="s">
        <v>563</v>
      </c>
      <c r="K183" s="343" t="s">
        <v>564</v>
      </c>
      <c r="L183" s="343" t="s">
        <v>494</v>
      </c>
      <c r="M183" s="343" t="s">
        <v>24</v>
      </c>
      <c r="N183" s="344">
        <v>1</v>
      </c>
      <c r="O183" s="343" t="s">
        <v>565</v>
      </c>
      <c r="P183" s="343" t="s">
        <v>822</v>
      </c>
      <c r="Q183" s="345"/>
      <c r="R183" s="345"/>
      <c r="S183" s="345">
        <v>500000</v>
      </c>
      <c r="T183" s="349"/>
    </row>
    <row r="184" spans="1:20" ht="24">
      <c r="A184" s="370" t="str">
        <f t="shared" si="9"/>
        <v>4102</v>
      </c>
      <c r="B184" s="372">
        <f t="shared" si="10"/>
        <v>-10000</v>
      </c>
      <c r="C184" s="370" t="str">
        <f t="shared" si="11"/>
        <v>1Q2025</v>
      </c>
      <c r="D184" s="533">
        <v>1</v>
      </c>
      <c r="E184" s="371">
        <v>45734</v>
      </c>
      <c r="F184" s="343" t="s">
        <v>491</v>
      </c>
      <c r="G184" s="343" t="s">
        <v>790</v>
      </c>
      <c r="H184" s="343" t="s">
        <v>492</v>
      </c>
      <c r="I184" s="343" t="s">
        <v>417</v>
      </c>
      <c r="J184" s="343" t="s">
        <v>624</v>
      </c>
      <c r="K184" s="343" t="s">
        <v>625</v>
      </c>
      <c r="L184" s="343" t="s">
        <v>494</v>
      </c>
      <c r="M184" s="343" t="s">
        <v>24</v>
      </c>
      <c r="N184" s="344">
        <v>1</v>
      </c>
      <c r="O184" s="343" t="s">
        <v>823</v>
      </c>
      <c r="P184" s="343" t="s">
        <v>824</v>
      </c>
      <c r="Q184" s="345"/>
      <c r="R184" s="345"/>
      <c r="S184" s="345"/>
      <c r="T184" s="349">
        <v>-10000</v>
      </c>
    </row>
    <row r="185" spans="1:20" ht="24">
      <c r="A185" s="370" t="str">
        <f t="shared" si="9"/>
        <v>4106</v>
      </c>
      <c r="B185" s="372">
        <f t="shared" si="10"/>
        <v>-15000</v>
      </c>
      <c r="C185" s="370" t="str">
        <f t="shared" si="11"/>
        <v>1Q2025</v>
      </c>
      <c r="D185" s="533">
        <v>1</v>
      </c>
      <c r="E185" s="371">
        <v>45734</v>
      </c>
      <c r="F185" s="343" t="s">
        <v>491</v>
      </c>
      <c r="G185" s="343" t="s">
        <v>415</v>
      </c>
      <c r="H185" s="343" t="s">
        <v>492</v>
      </c>
      <c r="I185" s="343" t="s">
        <v>416</v>
      </c>
      <c r="J185" s="343" t="s">
        <v>537</v>
      </c>
      <c r="K185" s="343" t="s">
        <v>538</v>
      </c>
      <c r="L185" s="343" t="s">
        <v>494</v>
      </c>
      <c r="M185" s="343" t="s">
        <v>24</v>
      </c>
      <c r="N185" s="344">
        <v>1</v>
      </c>
      <c r="O185" s="343" t="s">
        <v>825</v>
      </c>
      <c r="P185" s="343" t="s">
        <v>826</v>
      </c>
      <c r="Q185" s="345"/>
      <c r="R185" s="345"/>
      <c r="S185" s="345"/>
      <c r="T185" s="349">
        <v>-15000</v>
      </c>
    </row>
    <row r="186" spans="1:20" ht="24">
      <c r="A186" s="370" t="str">
        <f t="shared" si="9"/>
        <v>4106</v>
      </c>
      <c r="B186" s="372">
        <f t="shared" si="10"/>
        <v>-15000</v>
      </c>
      <c r="C186" s="370" t="str">
        <f t="shared" si="11"/>
        <v>1Q2025</v>
      </c>
      <c r="D186" s="533">
        <v>1</v>
      </c>
      <c r="E186" s="371">
        <v>45734</v>
      </c>
      <c r="F186" s="343" t="s">
        <v>491</v>
      </c>
      <c r="G186" s="343" t="s">
        <v>415</v>
      </c>
      <c r="H186" s="343" t="s">
        <v>492</v>
      </c>
      <c r="I186" s="343" t="s">
        <v>416</v>
      </c>
      <c r="J186" s="343" t="s">
        <v>537</v>
      </c>
      <c r="K186" s="343" t="s">
        <v>538</v>
      </c>
      <c r="L186" s="343" t="s">
        <v>494</v>
      </c>
      <c r="M186" s="343" t="s">
        <v>24</v>
      </c>
      <c r="N186" s="344">
        <v>1</v>
      </c>
      <c r="O186" s="343" t="s">
        <v>827</v>
      </c>
      <c r="P186" s="343" t="s">
        <v>828</v>
      </c>
      <c r="Q186" s="345"/>
      <c r="R186" s="345"/>
      <c r="S186" s="345"/>
      <c r="T186" s="349">
        <v>-15000</v>
      </c>
    </row>
    <row r="187" spans="1:20" ht="24">
      <c r="A187" s="370" t="str">
        <f t="shared" si="9"/>
        <v>4106</v>
      </c>
      <c r="B187" s="372">
        <f t="shared" si="10"/>
        <v>-21000</v>
      </c>
      <c r="C187" s="370" t="str">
        <f t="shared" si="11"/>
        <v>1Q2025</v>
      </c>
      <c r="D187" s="533">
        <v>1</v>
      </c>
      <c r="E187" s="371">
        <v>45734</v>
      </c>
      <c r="F187" s="343" t="s">
        <v>491</v>
      </c>
      <c r="G187" s="343" t="s">
        <v>415</v>
      </c>
      <c r="H187" s="343" t="s">
        <v>492</v>
      </c>
      <c r="I187" s="343" t="s">
        <v>416</v>
      </c>
      <c r="J187" s="343" t="s">
        <v>537</v>
      </c>
      <c r="K187" s="343" t="s">
        <v>538</v>
      </c>
      <c r="L187" s="343" t="s">
        <v>494</v>
      </c>
      <c r="M187" s="343" t="s">
        <v>24</v>
      </c>
      <c r="N187" s="344">
        <v>1</v>
      </c>
      <c r="O187" s="343" t="s">
        <v>829</v>
      </c>
      <c r="P187" s="343" t="s">
        <v>830</v>
      </c>
      <c r="Q187" s="345"/>
      <c r="R187" s="345"/>
      <c r="S187" s="345"/>
      <c r="T187" s="349">
        <v>-21000</v>
      </c>
    </row>
    <row r="188" spans="1:20" ht="36">
      <c r="A188" s="370" t="str">
        <f t="shared" si="9"/>
        <v>4101</v>
      </c>
      <c r="B188" s="372">
        <f t="shared" si="10"/>
        <v>-18900</v>
      </c>
      <c r="C188" s="370" t="str">
        <f t="shared" si="11"/>
        <v>1Q2025</v>
      </c>
      <c r="D188" s="533">
        <v>1</v>
      </c>
      <c r="E188" s="371">
        <v>45734</v>
      </c>
      <c r="F188" s="343" t="s">
        <v>491</v>
      </c>
      <c r="G188" s="343" t="s">
        <v>411</v>
      </c>
      <c r="H188" s="343" t="s">
        <v>492</v>
      </c>
      <c r="I188" s="343" t="s">
        <v>368</v>
      </c>
      <c r="J188" s="343" t="s">
        <v>506</v>
      </c>
      <c r="K188" s="343" t="s">
        <v>507</v>
      </c>
      <c r="L188" s="343" t="s">
        <v>494</v>
      </c>
      <c r="M188" s="343" t="s">
        <v>24</v>
      </c>
      <c r="N188" s="344">
        <v>1</v>
      </c>
      <c r="O188" s="343" t="s">
        <v>831</v>
      </c>
      <c r="P188" s="343" t="s">
        <v>832</v>
      </c>
      <c r="Q188" s="345"/>
      <c r="R188" s="345"/>
      <c r="S188" s="345"/>
      <c r="T188" s="349">
        <v>-18900</v>
      </c>
    </row>
    <row r="189" spans="1:20" ht="36">
      <c r="A189" s="370" t="str">
        <f t="shared" si="9"/>
        <v>4101</v>
      </c>
      <c r="B189" s="372">
        <f t="shared" si="10"/>
        <v>-18900</v>
      </c>
      <c r="C189" s="370" t="str">
        <f t="shared" si="11"/>
        <v>1Q2025</v>
      </c>
      <c r="D189" s="533">
        <v>1</v>
      </c>
      <c r="E189" s="371">
        <v>45734</v>
      </c>
      <c r="F189" s="343" t="s">
        <v>491</v>
      </c>
      <c r="G189" s="343" t="s">
        <v>411</v>
      </c>
      <c r="H189" s="343" t="s">
        <v>492</v>
      </c>
      <c r="I189" s="343" t="s">
        <v>368</v>
      </c>
      <c r="J189" s="343" t="s">
        <v>506</v>
      </c>
      <c r="K189" s="343" t="s">
        <v>507</v>
      </c>
      <c r="L189" s="343" t="s">
        <v>494</v>
      </c>
      <c r="M189" s="343" t="s">
        <v>24</v>
      </c>
      <c r="N189" s="344">
        <v>1</v>
      </c>
      <c r="O189" s="343" t="s">
        <v>831</v>
      </c>
      <c r="P189" s="343" t="s">
        <v>832</v>
      </c>
      <c r="Q189" s="345"/>
      <c r="R189" s="345"/>
      <c r="S189" s="345"/>
      <c r="T189" s="349">
        <v>-18900</v>
      </c>
    </row>
    <row r="190" spans="1:20" ht="36">
      <c r="A190" s="370" t="str">
        <f t="shared" si="9"/>
        <v>4101</v>
      </c>
      <c r="B190" s="372">
        <f t="shared" si="10"/>
        <v>-18900</v>
      </c>
      <c r="C190" s="370" t="str">
        <f t="shared" si="11"/>
        <v>1Q2025</v>
      </c>
      <c r="D190" s="533">
        <v>1</v>
      </c>
      <c r="E190" s="371">
        <v>45734</v>
      </c>
      <c r="F190" s="343" t="s">
        <v>491</v>
      </c>
      <c r="G190" s="343" t="s">
        <v>411</v>
      </c>
      <c r="H190" s="343" t="s">
        <v>492</v>
      </c>
      <c r="I190" s="343" t="s">
        <v>368</v>
      </c>
      <c r="J190" s="343" t="s">
        <v>506</v>
      </c>
      <c r="K190" s="343" t="s">
        <v>507</v>
      </c>
      <c r="L190" s="343" t="s">
        <v>494</v>
      </c>
      <c r="M190" s="343" t="s">
        <v>24</v>
      </c>
      <c r="N190" s="344">
        <v>1</v>
      </c>
      <c r="O190" s="343" t="s">
        <v>831</v>
      </c>
      <c r="P190" s="343" t="s">
        <v>832</v>
      </c>
      <c r="Q190" s="345"/>
      <c r="R190" s="345"/>
      <c r="S190" s="345"/>
      <c r="T190" s="349">
        <v>-18900</v>
      </c>
    </row>
    <row r="191" spans="1:20" ht="36">
      <c r="A191" s="370" t="str">
        <f t="shared" si="9"/>
        <v>4107</v>
      </c>
      <c r="B191" s="372">
        <f t="shared" si="10"/>
        <v>-60000</v>
      </c>
      <c r="C191" s="370" t="str">
        <f t="shared" si="11"/>
        <v>1Q2025</v>
      </c>
      <c r="D191" s="533">
        <v>1</v>
      </c>
      <c r="E191" s="371">
        <v>45734</v>
      </c>
      <c r="F191" s="343" t="s">
        <v>491</v>
      </c>
      <c r="G191" s="343" t="s">
        <v>409</v>
      </c>
      <c r="H191" s="343" t="s">
        <v>492</v>
      </c>
      <c r="I191" s="343" t="s">
        <v>368</v>
      </c>
      <c r="J191" s="343" t="s">
        <v>510</v>
      </c>
      <c r="K191" s="343" t="s">
        <v>511</v>
      </c>
      <c r="L191" s="343" t="s">
        <v>494</v>
      </c>
      <c r="M191" s="343" t="s">
        <v>24</v>
      </c>
      <c r="N191" s="344">
        <v>1</v>
      </c>
      <c r="O191" s="343" t="s">
        <v>833</v>
      </c>
      <c r="P191" s="343" t="s">
        <v>834</v>
      </c>
      <c r="Q191" s="345"/>
      <c r="R191" s="345"/>
      <c r="S191" s="345"/>
      <c r="T191" s="349">
        <v>-60000</v>
      </c>
    </row>
    <row r="192" spans="1:20" ht="36">
      <c r="A192" s="370" t="str">
        <f t="shared" si="9"/>
        <v>4107</v>
      </c>
      <c r="B192" s="372">
        <f t="shared" si="10"/>
        <v>-60000</v>
      </c>
      <c r="C192" s="370" t="str">
        <f t="shared" si="11"/>
        <v>1Q2025</v>
      </c>
      <c r="D192" s="533">
        <v>1</v>
      </c>
      <c r="E192" s="371">
        <v>45734</v>
      </c>
      <c r="F192" s="343" t="s">
        <v>491</v>
      </c>
      <c r="G192" s="343" t="s">
        <v>409</v>
      </c>
      <c r="H192" s="343" t="s">
        <v>492</v>
      </c>
      <c r="I192" s="343" t="s">
        <v>368</v>
      </c>
      <c r="J192" s="343" t="s">
        <v>510</v>
      </c>
      <c r="K192" s="343" t="s">
        <v>511</v>
      </c>
      <c r="L192" s="343" t="s">
        <v>494</v>
      </c>
      <c r="M192" s="343" t="s">
        <v>24</v>
      </c>
      <c r="N192" s="344">
        <v>1</v>
      </c>
      <c r="O192" s="343" t="s">
        <v>835</v>
      </c>
      <c r="P192" s="343" t="s">
        <v>836</v>
      </c>
      <c r="Q192" s="345"/>
      <c r="R192" s="345"/>
      <c r="S192" s="345"/>
      <c r="T192" s="349">
        <v>-60000</v>
      </c>
    </row>
    <row r="193" spans="1:20" ht="36">
      <c r="A193" s="370" t="str">
        <f t="shared" si="9"/>
        <v>4107</v>
      </c>
      <c r="B193" s="372">
        <f t="shared" si="10"/>
        <v>-63000</v>
      </c>
      <c r="C193" s="370" t="str">
        <f t="shared" si="11"/>
        <v>1Q2025</v>
      </c>
      <c r="D193" s="533">
        <v>1</v>
      </c>
      <c r="E193" s="371">
        <v>45734</v>
      </c>
      <c r="F193" s="343" t="s">
        <v>491</v>
      </c>
      <c r="G193" s="343" t="s">
        <v>409</v>
      </c>
      <c r="H193" s="343" t="s">
        <v>492</v>
      </c>
      <c r="I193" s="343" t="s">
        <v>368</v>
      </c>
      <c r="J193" s="343" t="s">
        <v>510</v>
      </c>
      <c r="K193" s="343" t="s">
        <v>511</v>
      </c>
      <c r="L193" s="343" t="s">
        <v>494</v>
      </c>
      <c r="M193" s="343" t="s">
        <v>24</v>
      </c>
      <c r="N193" s="344">
        <v>1</v>
      </c>
      <c r="O193" s="343" t="s">
        <v>837</v>
      </c>
      <c r="P193" s="343" t="s">
        <v>838</v>
      </c>
      <c r="Q193" s="345"/>
      <c r="R193" s="345"/>
      <c r="S193" s="345"/>
      <c r="T193" s="349">
        <v>-63000</v>
      </c>
    </row>
    <row r="194" spans="1:20" ht="36">
      <c r="A194" s="370" t="str">
        <f t="shared" si="9"/>
        <v>4107</v>
      </c>
      <c r="B194" s="372">
        <f t="shared" si="10"/>
        <v>-63000</v>
      </c>
      <c r="C194" s="370" t="str">
        <f t="shared" si="11"/>
        <v>1Q2025</v>
      </c>
      <c r="D194" s="533">
        <v>1</v>
      </c>
      <c r="E194" s="371">
        <v>45734</v>
      </c>
      <c r="F194" s="343" t="s">
        <v>491</v>
      </c>
      <c r="G194" s="343" t="s">
        <v>409</v>
      </c>
      <c r="H194" s="343" t="s">
        <v>492</v>
      </c>
      <c r="I194" s="343" t="s">
        <v>368</v>
      </c>
      <c r="J194" s="343" t="s">
        <v>510</v>
      </c>
      <c r="K194" s="343" t="s">
        <v>511</v>
      </c>
      <c r="L194" s="343" t="s">
        <v>494</v>
      </c>
      <c r="M194" s="343" t="s">
        <v>24</v>
      </c>
      <c r="N194" s="344">
        <v>1</v>
      </c>
      <c r="O194" s="343" t="s">
        <v>839</v>
      </c>
      <c r="P194" s="343" t="s">
        <v>840</v>
      </c>
      <c r="Q194" s="345"/>
      <c r="R194" s="345"/>
      <c r="S194" s="345"/>
      <c r="T194" s="349">
        <v>-63000</v>
      </c>
    </row>
    <row r="195" spans="1:20" ht="36">
      <c r="A195" s="370" t="str">
        <f t="shared" si="9"/>
        <v>4107</v>
      </c>
      <c r="B195" s="372">
        <f t="shared" si="10"/>
        <v>-63000</v>
      </c>
      <c r="C195" s="370" t="str">
        <f t="shared" si="11"/>
        <v>1Q2025</v>
      </c>
      <c r="D195" s="533">
        <v>1</v>
      </c>
      <c r="E195" s="371">
        <v>45734</v>
      </c>
      <c r="F195" s="343" t="s">
        <v>491</v>
      </c>
      <c r="G195" s="343" t="s">
        <v>409</v>
      </c>
      <c r="H195" s="343" t="s">
        <v>492</v>
      </c>
      <c r="I195" s="343" t="s">
        <v>368</v>
      </c>
      <c r="J195" s="343" t="s">
        <v>510</v>
      </c>
      <c r="K195" s="343" t="s">
        <v>511</v>
      </c>
      <c r="L195" s="343" t="s">
        <v>494</v>
      </c>
      <c r="M195" s="343" t="s">
        <v>24</v>
      </c>
      <c r="N195" s="344">
        <v>1</v>
      </c>
      <c r="O195" s="343" t="s">
        <v>841</v>
      </c>
      <c r="P195" s="343" t="s">
        <v>842</v>
      </c>
      <c r="Q195" s="345"/>
      <c r="R195" s="345"/>
      <c r="S195" s="345"/>
      <c r="T195" s="349">
        <v>-63000</v>
      </c>
    </row>
    <row r="196" spans="1:20" ht="24">
      <c r="A196" s="370" t="str">
        <f t="shared" si="9"/>
        <v>4105</v>
      </c>
      <c r="B196" s="372">
        <f t="shared" si="10"/>
        <v>-100</v>
      </c>
      <c r="C196" s="370" t="str">
        <f t="shared" si="11"/>
        <v>1Q2025</v>
      </c>
      <c r="D196" s="533">
        <v>1</v>
      </c>
      <c r="E196" s="371">
        <v>45743</v>
      </c>
      <c r="F196" s="343" t="s">
        <v>491</v>
      </c>
      <c r="G196" s="343" t="s">
        <v>403</v>
      </c>
      <c r="H196" s="343" t="s">
        <v>492</v>
      </c>
      <c r="I196" s="343" t="s">
        <v>493</v>
      </c>
      <c r="J196" s="343"/>
      <c r="K196" s="343"/>
      <c r="L196" s="343" t="s">
        <v>494</v>
      </c>
      <c r="M196" s="343" t="s">
        <v>24</v>
      </c>
      <c r="N196" s="344">
        <v>1</v>
      </c>
      <c r="O196" s="343" t="s">
        <v>500</v>
      </c>
      <c r="P196" s="343" t="s">
        <v>843</v>
      </c>
      <c r="Q196" s="345"/>
      <c r="R196" s="345"/>
      <c r="S196" s="345"/>
      <c r="T196" s="349">
        <v>-100</v>
      </c>
    </row>
    <row r="197" spans="1:20" ht="24">
      <c r="A197" s="370" t="str">
        <f t="shared" si="9"/>
        <v>4106</v>
      </c>
      <c r="B197" s="372">
        <f t="shared" si="10"/>
        <v>-21000</v>
      </c>
      <c r="C197" s="370" t="str">
        <f t="shared" si="11"/>
        <v>1Q2025</v>
      </c>
      <c r="D197" s="533">
        <v>1</v>
      </c>
      <c r="E197" s="371">
        <v>45743</v>
      </c>
      <c r="F197" s="343" t="s">
        <v>491</v>
      </c>
      <c r="G197" s="343" t="s">
        <v>415</v>
      </c>
      <c r="H197" s="343" t="s">
        <v>492</v>
      </c>
      <c r="I197" s="343" t="s">
        <v>416</v>
      </c>
      <c r="J197" s="343" t="s">
        <v>537</v>
      </c>
      <c r="K197" s="343" t="s">
        <v>538</v>
      </c>
      <c r="L197" s="343" t="s">
        <v>494</v>
      </c>
      <c r="M197" s="343" t="s">
        <v>24</v>
      </c>
      <c r="N197" s="344">
        <v>1</v>
      </c>
      <c r="O197" s="343" t="s">
        <v>844</v>
      </c>
      <c r="P197" s="343" t="s">
        <v>845</v>
      </c>
      <c r="Q197" s="345"/>
      <c r="R197" s="345"/>
      <c r="S197" s="345"/>
      <c r="T197" s="349">
        <v>-21000</v>
      </c>
    </row>
    <row r="198" spans="1:20" ht="24">
      <c r="A198" s="370" t="str">
        <f t="shared" si="9"/>
        <v>4105</v>
      </c>
      <c r="B198" s="372">
        <f t="shared" si="10"/>
        <v>-3500</v>
      </c>
      <c r="C198" s="370" t="str">
        <f t="shared" si="11"/>
        <v>1Q2025</v>
      </c>
      <c r="D198" s="533">
        <v>1</v>
      </c>
      <c r="E198" s="371">
        <v>45747</v>
      </c>
      <c r="F198" s="343" t="s">
        <v>491</v>
      </c>
      <c r="G198" s="343" t="s">
        <v>403</v>
      </c>
      <c r="H198" s="343" t="s">
        <v>671</v>
      </c>
      <c r="I198" s="343" t="s">
        <v>404</v>
      </c>
      <c r="J198" s="343"/>
      <c r="K198" s="343"/>
      <c r="L198" s="343" t="s">
        <v>672</v>
      </c>
      <c r="M198" s="343" t="s">
        <v>24</v>
      </c>
      <c r="N198" s="344">
        <v>1</v>
      </c>
      <c r="O198" s="343" t="s">
        <v>846</v>
      </c>
      <c r="P198" s="343" t="s">
        <v>847</v>
      </c>
      <c r="Q198" s="345"/>
      <c r="R198" s="345"/>
      <c r="S198" s="345"/>
      <c r="T198" s="349">
        <v>-3500</v>
      </c>
    </row>
    <row r="199" spans="1:20" ht="24">
      <c r="A199" s="370" t="str">
        <f t="shared" si="9"/>
        <v>4105</v>
      </c>
      <c r="B199" s="372">
        <f t="shared" si="10"/>
        <v>-2500</v>
      </c>
      <c r="C199" s="370" t="str">
        <f t="shared" si="11"/>
        <v>1Q2025</v>
      </c>
      <c r="D199" s="533">
        <v>1</v>
      </c>
      <c r="E199" s="371">
        <v>45747</v>
      </c>
      <c r="F199" s="343" t="s">
        <v>491</v>
      </c>
      <c r="G199" s="343" t="s">
        <v>403</v>
      </c>
      <c r="H199" s="343" t="s">
        <v>671</v>
      </c>
      <c r="I199" s="343" t="s">
        <v>404</v>
      </c>
      <c r="J199" s="343"/>
      <c r="K199" s="343"/>
      <c r="L199" s="343" t="s">
        <v>672</v>
      </c>
      <c r="M199" s="343" t="s">
        <v>24</v>
      </c>
      <c r="N199" s="344">
        <v>1</v>
      </c>
      <c r="O199" s="343" t="s">
        <v>848</v>
      </c>
      <c r="P199" s="343" t="s">
        <v>849</v>
      </c>
      <c r="Q199" s="345"/>
      <c r="R199" s="345"/>
      <c r="S199" s="345"/>
      <c r="T199" s="349">
        <v>-2500</v>
      </c>
    </row>
  </sheetData>
  <autoFilter ref="A1:V199" xr:uid="{B69DE4F4-3C63-7D4E-9879-9FC9D8575F60}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CE59-3FAE-DB4C-8032-D967EBEA5C79}">
  <sheetPr>
    <tabColor rgb="FFF0CCB9"/>
  </sheetPr>
  <dimension ref="A1:AY313"/>
  <sheetViews>
    <sheetView showGridLines="0" showZeros="0" zoomScale="85" zoomScaleNormal="85" workbookViewId="0">
      <pane xSplit="2" ySplit="1" topLeftCell="C15" activePane="bottomRight" state="frozen"/>
      <selection activeCell="AF28" sqref="AF28"/>
      <selection pane="topRight" activeCell="AF28" sqref="AF28"/>
      <selection pane="bottomLeft" activeCell="AF28" sqref="AF28"/>
      <selection pane="bottomRight" activeCell="AF28" sqref="AF28"/>
    </sheetView>
  </sheetViews>
  <sheetFormatPr baseColWidth="10" defaultColWidth="9.1640625" defaultRowHeight="11" outlineLevelCol="1"/>
  <cols>
    <col min="1" max="1" width="5.6640625" style="1" customWidth="1"/>
    <col min="2" max="2" width="30.6640625" style="1" customWidth="1"/>
    <col min="3" max="4" width="8.6640625" style="1" customWidth="1" outlineLevel="1"/>
    <col min="5" max="5" width="10.6640625" style="1" customWidth="1" outlineLevel="1"/>
    <col min="6" max="6" width="12.6640625" style="1" customWidth="1" outlineLevel="1"/>
    <col min="7" max="9" width="11.33203125" style="1" customWidth="1" outlineLevel="1"/>
    <col min="10" max="22" width="12.6640625" style="1" customWidth="1" outlineLevel="1"/>
    <col min="23" max="23" width="14.1640625" style="1" customWidth="1" outlineLevel="1"/>
    <col min="24" max="26" width="12.6640625" style="1" customWidth="1" outlineLevel="1"/>
    <col min="27" max="27" width="12" style="1" bestFit="1" customWidth="1" outlineLevel="1"/>
    <col min="28" max="28" width="11" style="1" customWidth="1" outlineLevel="1"/>
    <col min="29" max="29" width="10" style="1" bestFit="1" customWidth="1" outlineLevel="1"/>
    <col min="30" max="49" width="10" style="1" customWidth="1" outlineLevel="1"/>
    <col min="50" max="50" width="14.33203125" style="1" customWidth="1"/>
    <col min="51" max="51" width="18" style="1" customWidth="1"/>
    <col min="52" max="16384" width="9.1640625" style="1"/>
  </cols>
  <sheetData>
    <row r="1" spans="1:50" ht="24">
      <c r="A1" s="1085" t="s">
        <v>1105</v>
      </c>
      <c r="B1" s="1085" t="s">
        <v>387</v>
      </c>
      <c r="C1" s="1085" t="str">
        <f>CF!F7</f>
        <v>2Q2023</v>
      </c>
      <c r="D1" s="1085" t="str">
        <f>CF!G7</f>
        <v>3Q2023</v>
      </c>
      <c r="E1" s="1085" t="str">
        <f>CF!H7</f>
        <v>4Q2023</v>
      </c>
      <c r="F1" s="1085" t="str">
        <f>CF!I7</f>
        <v>1Q2024</v>
      </c>
      <c r="G1" s="1085" t="str">
        <f>CF!J7</f>
        <v>2Q2024</v>
      </c>
      <c r="H1" s="1085" t="str">
        <f>CF!K7</f>
        <v>3Q2024</v>
      </c>
      <c r="I1" s="1085" t="str">
        <f>CF!L7</f>
        <v>4Q2024</v>
      </c>
      <c r="J1" s="1085" t="str">
        <f>CF!M7</f>
        <v>1Q2025</v>
      </c>
      <c r="K1" s="1085" t="str">
        <f>CF!N7</f>
        <v>2Q2025</v>
      </c>
      <c r="L1" s="1085" t="str">
        <f>CF!O7</f>
        <v>3Q2025</v>
      </c>
      <c r="M1" s="1085" t="str">
        <f>CF!P7</f>
        <v>4Q2025</v>
      </c>
      <c r="N1" s="1085" t="str">
        <f>CF!Q7</f>
        <v>1Q2026</v>
      </c>
      <c r="O1" s="1085" t="str">
        <f>CF!R7</f>
        <v>2Q2026</v>
      </c>
      <c r="P1" s="1085" t="str">
        <f>CF!S7</f>
        <v>3Q2026</v>
      </c>
      <c r="Q1" s="1085" t="str">
        <f>CF!T7</f>
        <v>4Q2026</v>
      </c>
      <c r="R1" s="1085" t="str">
        <f>CF!U7</f>
        <v>1Q2027</v>
      </c>
      <c r="S1" s="1085" t="str">
        <f>CF!V7</f>
        <v>2Q2027</v>
      </c>
      <c r="T1" s="1085" t="str">
        <f>CF!W7</f>
        <v>3Q2027</v>
      </c>
      <c r="U1" s="1085" t="str">
        <f>CF!X7</f>
        <v>4Q2027</v>
      </c>
      <c r="V1" s="1085" t="str">
        <f>CF!Y7</f>
        <v>1Q2028</v>
      </c>
      <c r="W1" s="1085" t="str">
        <f>CF!Z7</f>
        <v>2Q2028</v>
      </c>
      <c r="X1" s="1085" t="str">
        <f>CF!AA7</f>
        <v>3Q2028</v>
      </c>
      <c r="Y1" s="1085" t="str">
        <f>CF!AB7</f>
        <v>4Q2028</v>
      </c>
      <c r="Z1" s="1085" t="str">
        <f>CF!AC7</f>
        <v>1Q2029</v>
      </c>
      <c r="AA1" s="1085" t="str">
        <f>CF!AD7</f>
        <v>2Q2029</v>
      </c>
      <c r="AB1" s="1085" t="str">
        <f>CF!AE7</f>
        <v>3Q2029</v>
      </c>
      <c r="AC1" s="1085" t="str">
        <f>CF!AF7</f>
        <v>4Q2029</v>
      </c>
      <c r="AD1" s="1085" t="str">
        <f>CF!AG7</f>
        <v>1Q2030</v>
      </c>
      <c r="AE1" s="1085" t="str">
        <f>CF!AH7</f>
        <v>2Q2030</v>
      </c>
      <c r="AF1" s="1085" t="str">
        <f>CF!AI7</f>
        <v>3Q2030</v>
      </c>
      <c r="AG1" s="1085" t="str">
        <f>CF!AJ7</f>
        <v>4Q2030</v>
      </c>
      <c r="AH1" s="1085" t="str">
        <f>CF!AK7</f>
        <v>1Q2031</v>
      </c>
      <c r="AI1" s="1085" t="str">
        <f>CF!AL7</f>
        <v>2Q2031</v>
      </c>
      <c r="AJ1" s="1085" t="str">
        <f>CF!AM7</f>
        <v>3Q2031</v>
      </c>
      <c r="AK1" s="1085" t="str">
        <f>CF!AN7</f>
        <v>4Q2031</v>
      </c>
      <c r="AL1" s="1085" t="str">
        <f>CF!AO7</f>
        <v>1Q2032</v>
      </c>
      <c r="AM1" s="1085" t="str">
        <f>CF!AP7</f>
        <v>2Q2032</v>
      </c>
      <c r="AN1" s="1085" t="str">
        <f>CF!AQ7</f>
        <v>3Q2032</v>
      </c>
      <c r="AO1" s="1085" t="str">
        <f>CF!AR7</f>
        <v>4Q2032</v>
      </c>
      <c r="AP1" s="1085" t="str">
        <f>CF!AS7</f>
        <v>1Q2033</v>
      </c>
      <c r="AQ1" s="1085" t="str">
        <f>CF!AT7</f>
        <v>2Q2033</v>
      </c>
      <c r="AR1" s="1085" t="str">
        <f>CF!AU7</f>
        <v>3Q2033</v>
      </c>
      <c r="AS1" s="1085" t="str">
        <f>CF!AV7</f>
        <v>4Q2033</v>
      </c>
      <c r="AT1" s="1085" t="str">
        <f>CF!AW7</f>
        <v>1Q2034</v>
      </c>
      <c r="AU1" s="1085" t="str">
        <f>CF!AX7</f>
        <v>2Q2034</v>
      </c>
      <c r="AV1" s="1085" t="str">
        <f>CF!AY7</f>
        <v>3Q2034</v>
      </c>
      <c r="AW1" s="1085" t="str">
        <f>CF!AZ7</f>
        <v>4Q2034</v>
      </c>
      <c r="AX1" s="1085" t="s">
        <v>1076</v>
      </c>
    </row>
    <row r="2" spans="1:50">
      <c r="A2" s="1086"/>
      <c r="B2" s="1086"/>
      <c r="C2" s="1086"/>
      <c r="D2" s="1086"/>
      <c r="E2" s="1086"/>
      <c r="F2" s="1086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6"/>
      <c r="T2" s="1086"/>
      <c r="U2" s="1086"/>
      <c r="V2" s="1086"/>
      <c r="W2" s="1086"/>
      <c r="X2" s="1086"/>
      <c r="Y2" s="1086"/>
      <c r="Z2" s="1086"/>
      <c r="AA2" s="1086"/>
      <c r="AB2" s="1086"/>
      <c r="AC2" s="1086"/>
      <c r="AD2" s="1086"/>
      <c r="AE2" s="1086"/>
      <c r="AF2" s="1086"/>
      <c r="AG2" s="1086"/>
      <c r="AH2" s="1086"/>
      <c r="AI2" s="1086"/>
      <c r="AJ2" s="1086"/>
      <c r="AK2" s="1086"/>
      <c r="AL2" s="1086"/>
      <c r="AM2" s="1086"/>
      <c r="AN2" s="1086"/>
      <c r="AO2" s="1086"/>
      <c r="AP2" s="1086"/>
      <c r="AQ2" s="1086"/>
      <c r="AR2" s="1086"/>
      <c r="AS2" s="1086"/>
      <c r="AT2" s="1086"/>
      <c r="AU2" s="1086"/>
      <c r="AV2" s="1086"/>
      <c r="AW2" s="1086"/>
      <c r="AX2" s="1086">
        <f>SUM(C2:AW2)</f>
        <v>0</v>
      </c>
    </row>
    <row r="3" spans="1:50" ht="12">
      <c r="A3" s="1086"/>
      <c r="B3" s="1086" t="s">
        <v>1106</v>
      </c>
      <c r="C3" s="1086">
        <f>C4+C6+C28+C48-C72-C161-C216</f>
        <v>326531.48</v>
      </c>
      <c r="D3" s="1086">
        <f t="shared" ref="D3:AA3" si="0">D4+D6+D28+D48-D72-D161-D216</f>
        <v>-47963.219999999972</v>
      </c>
      <c r="E3" s="1086">
        <f t="shared" si="0"/>
        <v>1988635.3100000005</v>
      </c>
      <c r="F3" s="1086">
        <f t="shared" si="0"/>
        <v>-9997203.5699999146</v>
      </c>
      <c r="G3" s="1086">
        <f t="shared" si="0"/>
        <v>-16661930.897100449</v>
      </c>
      <c r="H3" s="1086">
        <f t="shared" si="0"/>
        <v>0</v>
      </c>
      <c r="I3" s="1086">
        <f t="shared" si="0"/>
        <v>0</v>
      </c>
      <c r="J3" s="1086">
        <f t="shared" si="0"/>
        <v>0</v>
      </c>
      <c r="K3" s="1086">
        <f t="shared" si="0"/>
        <v>0</v>
      </c>
      <c r="L3" s="1086">
        <f t="shared" si="0"/>
        <v>-70385478.832826853</v>
      </c>
      <c r="M3" s="1086">
        <f t="shared" si="0"/>
        <v>0</v>
      </c>
      <c r="N3" s="1086">
        <f t="shared" si="0"/>
        <v>1.1920928955078125E-7</v>
      </c>
      <c r="O3" s="1086">
        <f t="shared" si="0"/>
        <v>1.1920928955078125E-7</v>
      </c>
      <c r="P3" s="1086">
        <f t="shared" si="0"/>
        <v>1.1920928955078125E-7</v>
      </c>
      <c r="Q3" s="1086">
        <f t="shared" si="0"/>
        <v>1.1920928955078125E-7</v>
      </c>
      <c r="R3" s="1086">
        <f t="shared" si="0"/>
        <v>2.384185791015625E-7</v>
      </c>
      <c r="S3" s="1086">
        <f t="shared" si="0"/>
        <v>1.1920928955078125E-7</v>
      </c>
      <c r="T3" s="1086">
        <f t="shared" si="0"/>
        <v>1.1920928955078125E-7</v>
      </c>
      <c r="U3" s="1086">
        <f t="shared" si="0"/>
        <v>-12891869252.709871</v>
      </c>
      <c r="V3" s="1086">
        <f t="shared" si="0"/>
        <v>-2179890279.8924446</v>
      </c>
      <c r="W3" s="1086">
        <f t="shared" si="0"/>
        <v>-1952729517.8570457</v>
      </c>
      <c r="X3" s="1086">
        <f t="shared" si="0"/>
        <v>-1276349377.5186179</v>
      </c>
      <c r="Y3" s="1086">
        <f t="shared" si="0"/>
        <v>-1112101026.8699903</v>
      </c>
      <c r="Z3" s="1086">
        <f t="shared" si="0"/>
        <v>-922769185.89261889</v>
      </c>
      <c r="AA3" s="1086">
        <f t="shared" si="0"/>
        <v>-1232108616.4562912</v>
      </c>
      <c r="AB3" s="1086">
        <f>AB4+AB6+AB28+AB48-AB72-AB161-AB216</f>
        <v>-408213943.97722912</v>
      </c>
      <c r="AC3" s="1086">
        <f>AC4+AC6+AC28+AC48-AC72-AC161-AC216</f>
        <v>-17896644.725515261</v>
      </c>
      <c r="AD3" s="1086"/>
      <c r="AE3" s="1086"/>
      <c r="AF3" s="1086"/>
      <c r="AG3" s="1086"/>
      <c r="AH3" s="1086"/>
      <c r="AI3" s="1086"/>
      <c r="AJ3" s="1086"/>
      <c r="AK3" s="1086"/>
      <c r="AL3" s="1086"/>
      <c r="AM3" s="1086"/>
      <c r="AN3" s="1086"/>
      <c r="AO3" s="1086"/>
      <c r="AP3" s="1086"/>
      <c r="AQ3" s="1086"/>
      <c r="AR3" s="1086"/>
      <c r="AS3" s="1086"/>
      <c r="AT3" s="1086"/>
      <c r="AU3" s="1086"/>
      <c r="AV3" s="1086"/>
      <c r="AW3" s="1086"/>
      <c r="AX3" s="1087">
        <f t="shared" ref="AX3:AX66" si="1">SUM(C3:AW3)</f>
        <v>-22088705255.629555</v>
      </c>
    </row>
    <row r="4" spans="1:50" ht="12">
      <c r="A4" s="1086" t="s">
        <v>1107</v>
      </c>
      <c r="B4" s="1086" t="s">
        <v>1108</v>
      </c>
      <c r="C4" s="1086">
        <f>SUM(C5)</f>
        <v>0</v>
      </c>
      <c r="D4" s="1086">
        <f>1*$D$8</f>
        <v>0</v>
      </c>
      <c r="E4" s="1086">
        <f>1*$E$8</f>
        <v>0</v>
      </c>
      <c r="F4" s="1086">
        <f>1*$F$8</f>
        <v>0</v>
      </c>
      <c r="G4" s="1086">
        <f>1*$G$8</f>
        <v>0</v>
      </c>
      <c r="H4" s="1086">
        <f>1*$H$8</f>
        <v>0</v>
      </c>
      <c r="I4" s="1086">
        <f>1*$I$8</f>
        <v>0</v>
      </c>
      <c r="J4" s="1086">
        <f>1*$J$8</f>
        <v>0</v>
      </c>
      <c r="K4" s="1086">
        <f>1*$K$8</f>
        <v>0</v>
      </c>
      <c r="L4" s="1086">
        <f>1*$L$8</f>
        <v>0</v>
      </c>
      <c r="M4" s="1086">
        <f>1*$M$8</f>
        <v>0</v>
      </c>
      <c r="N4" s="1086">
        <f>1*$N$8</f>
        <v>0</v>
      </c>
      <c r="O4" s="1086">
        <f>1*$O$8</f>
        <v>0</v>
      </c>
      <c r="P4" s="1086">
        <f>1*$P$8</f>
        <v>0</v>
      </c>
      <c r="Q4" s="1086">
        <f>1*$Q$8</f>
        <v>0</v>
      </c>
      <c r="R4" s="1086">
        <f>1*$R$8</f>
        <v>0</v>
      </c>
      <c r="S4" s="1086">
        <f>1*$S$8</f>
        <v>0</v>
      </c>
      <c r="T4" s="1086">
        <f>1*$T$8</f>
        <v>0</v>
      </c>
      <c r="U4" s="1086">
        <f>1*$U$8</f>
        <v>0</v>
      </c>
      <c r="V4" s="1086">
        <f>1*$V$8</f>
        <v>0</v>
      </c>
      <c r="W4" s="1086">
        <f>1*$W$8</f>
        <v>0</v>
      </c>
      <c r="X4" s="1086">
        <f>1*$X$8</f>
        <v>0</v>
      </c>
      <c r="Y4" s="1086">
        <f>1*$Y$8</f>
        <v>0</v>
      </c>
      <c r="Z4" s="1086">
        <f>1*$Z$8</f>
        <v>0</v>
      </c>
      <c r="AA4" s="1086">
        <f>1*$AA$8</f>
        <v>0</v>
      </c>
      <c r="AB4" s="1086">
        <f>1*$AB$8</f>
        <v>0</v>
      </c>
      <c r="AC4" s="1086">
        <f>1*$AC$8</f>
        <v>0</v>
      </c>
      <c r="AD4" s="1086"/>
      <c r="AE4" s="1086"/>
      <c r="AF4" s="1086"/>
      <c r="AG4" s="1086"/>
      <c r="AH4" s="1086"/>
      <c r="AI4" s="1086"/>
      <c r="AJ4" s="1086"/>
      <c r="AK4" s="1086"/>
      <c r="AL4" s="1086"/>
      <c r="AM4" s="1086"/>
      <c r="AN4" s="1086"/>
      <c r="AO4" s="1086"/>
      <c r="AP4" s="1086"/>
      <c r="AQ4" s="1086"/>
      <c r="AR4" s="1086"/>
      <c r="AS4" s="1086"/>
      <c r="AT4" s="1086"/>
      <c r="AU4" s="1086"/>
      <c r="AV4" s="1086"/>
      <c r="AW4" s="1086"/>
      <c r="AX4" s="1086">
        <f t="shared" si="1"/>
        <v>0</v>
      </c>
    </row>
    <row r="5" spans="1:50" ht="12">
      <c r="A5" s="1086" t="s">
        <v>1109</v>
      </c>
      <c r="B5" s="1086" t="s">
        <v>1110</v>
      </c>
      <c r="C5" s="1088"/>
      <c r="D5" s="1088"/>
      <c r="E5" s="1088"/>
      <c r="F5" s="1088"/>
      <c r="G5" s="1088"/>
      <c r="H5" s="1088"/>
      <c r="I5" s="1088"/>
      <c r="J5" s="1088"/>
      <c r="K5" s="1088"/>
      <c r="L5" s="1088"/>
      <c r="M5" s="1088"/>
      <c r="N5" s="1088"/>
      <c r="O5" s="1088"/>
      <c r="P5" s="1088"/>
      <c r="Q5" s="1088"/>
      <c r="R5" s="1088"/>
      <c r="S5" s="1088"/>
      <c r="T5" s="1088"/>
      <c r="U5" s="1088"/>
      <c r="V5" s="1088"/>
      <c r="W5" s="1088"/>
      <c r="X5" s="1088"/>
      <c r="Y5" s="1088"/>
      <c r="Z5" s="1088"/>
      <c r="AA5" s="1088"/>
      <c r="AB5" s="1088"/>
      <c r="AC5" s="1088"/>
      <c r="AD5" s="1088"/>
      <c r="AE5" s="1088"/>
      <c r="AF5" s="1088"/>
      <c r="AG5" s="1088"/>
      <c r="AH5" s="1088"/>
      <c r="AI5" s="1088"/>
      <c r="AJ5" s="1088"/>
      <c r="AK5" s="1088"/>
      <c r="AL5" s="1088"/>
      <c r="AM5" s="1088"/>
      <c r="AN5" s="1088"/>
      <c r="AO5" s="1088"/>
      <c r="AP5" s="1088"/>
      <c r="AQ5" s="1088"/>
      <c r="AR5" s="1088"/>
      <c r="AS5" s="1088"/>
      <c r="AT5" s="1088"/>
      <c r="AU5" s="1088"/>
      <c r="AV5" s="1088"/>
      <c r="AW5" s="1088"/>
      <c r="AX5" s="1086">
        <f t="shared" si="1"/>
        <v>0</v>
      </c>
    </row>
    <row r="6" spans="1:50" ht="24">
      <c r="A6" s="1086" t="s">
        <v>1111</v>
      </c>
      <c r="B6" s="1086" t="s">
        <v>1112</v>
      </c>
      <c r="C6" s="1086">
        <f>SUM(C7:C11)</f>
        <v>0</v>
      </c>
      <c r="D6" s="1086">
        <f t="shared" ref="D6:AC6" si="2">SUM(D7:D11)</f>
        <v>0</v>
      </c>
      <c r="E6" s="1086">
        <f t="shared" si="2"/>
        <v>0</v>
      </c>
      <c r="F6" s="1086">
        <f t="shared" si="2"/>
        <v>0</v>
      </c>
      <c r="G6" s="1086">
        <f t="shared" si="2"/>
        <v>0</v>
      </c>
      <c r="H6" s="1086">
        <f t="shared" si="2"/>
        <v>0</v>
      </c>
      <c r="I6" s="1086">
        <f t="shared" si="2"/>
        <v>0</v>
      </c>
      <c r="J6" s="1086">
        <f t="shared" si="2"/>
        <v>0</v>
      </c>
      <c r="K6" s="1086">
        <f t="shared" si="2"/>
        <v>0</v>
      </c>
      <c r="L6" s="1086">
        <f t="shared" si="2"/>
        <v>0</v>
      </c>
      <c r="M6" s="1086">
        <f t="shared" si="2"/>
        <v>0</v>
      </c>
      <c r="N6" s="1086">
        <f t="shared" si="2"/>
        <v>0</v>
      </c>
      <c r="O6" s="1086">
        <f t="shared" si="2"/>
        <v>0</v>
      </c>
      <c r="P6" s="1086">
        <f t="shared" si="2"/>
        <v>0</v>
      </c>
      <c r="Q6" s="1086">
        <f t="shared" si="2"/>
        <v>0</v>
      </c>
      <c r="R6" s="1086">
        <f t="shared" si="2"/>
        <v>0</v>
      </c>
      <c r="S6" s="1086">
        <f t="shared" si="2"/>
        <v>0</v>
      </c>
      <c r="T6" s="1086">
        <f t="shared" si="2"/>
        <v>0</v>
      </c>
      <c r="U6" s="1086">
        <f t="shared" si="2"/>
        <v>0</v>
      </c>
      <c r="V6" s="1086">
        <f t="shared" si="2"/>
        <v>0</v>
      </c>
      <c r="W6" s="1086">
        <f t="shared" si="2"/>
        <v>0</v>
      </c>
      <c r="X6" s="1086">
        <f t="shared" si="2"/>
        <v>0</v>
      </c>
      <c r="Y6" s="1086">
        <f t="shared" si="2"/>
        <v>0</v>
      </c>
      <c r="Z6" s="1086">
        <f t="shared" si="2"/>
        <v>0</v>
      </c>
      <c r="AA6" s="1086">
        <f t="shared" si="2"/>
        <v>0</v>
      </c>
      <c r="AB6" s="1086">
        <f t="shared" si="2"/>
        <v>0</v>
      </c>
      <c r="AC6" s="1086">
        <f t="shared" si="2"/>
        <v>0</v>
      </c>
      <c r="AD6" s="1086"/>
      <c r="AE6" s="1086"/>
      <c r="AF6" s="1086"/>
      <c r="AG6" s="1086"/>
      <c r="AH6" s="1086"/>
      <c r="AI6" s="1086"/>
      <c r="AJ6" s="1086"/>
      <c r="AK6" s="1086"/>
      <c r="AL6" s="1086"/>
      <c r="AM6" s="1086"/>
      <c r="AN6" s="1086"/>
      <c r="AO6" s="1086"/>
      <c r="AP6" s="1086"/>
      <c r="AQ6" s="1086"/>
      <c r="AR6" s="1086"/>
      <c r="AS6" s="1086"/>
      <c r="AT6" s="1086"/>
      <c r="AU6" s="1086"/>
      <c r="AV6" s="1086"/>
      <c r="AW6" s="1086"/>
      <c r="AX6" s="1086">
        <f t="shared" si="1"/>
        <v>0</v>
      </c>
    </row>
    <row r="7" spans="1:50" ht="12">
      <c r="A7" s="1086" t="s">
        <v>1113</v>
      </c>
      <c r="B7" s="1086" t="s">
        <v>1114</v>
      </c>
      <c r="C7" s="1088"/>
      <c r="D7" s="1088"/>
      <c r="E7" s="1088"/>
      <c r="F7" s="1088"/>
      <c r="G7" s="1088"/>
      <c r="H7" s="1088"/>
      <c r="I7" s="1088"/>
      <c r="J7" s="1088"/>
      <c r="K7" s="1088"/>
      <c r="L7" s="1088"/>
      <c r="M7" s="1088"/>
      <c r="N7" s="1088"/>
      <c r="O7" s="1088"/>
      <c r="P7" s="1088"/>
      <c r="Q7" s="1088"/>
      <c r="R7" s="1088"/>
      <c r="S7" s="1088"/>
      <c r="T7" s="1088"/>
      <c r="U7" s="1088"/>
      <c r="V7" s="1088"/>
      <c r="W7" s="1088"/>
      <c r="X7" s="1088"/>
      <c r="Y7" s="1088"/>
      <c r="Z7" s="1088"/>
      <c r="AA7" s="1088"/>
      <c r="AB7" s="1088"/>
      <c r="AC7" s="1088"/>
      <c r="AD7" s="1088"/>
      <c r="AE7" s="1088"/>
      <c r="AF7" s="1088"/>
      <c r="AG7" s="1088"/>
      <c r="AH7" s="1088"/>
      <c r="AI7" s="1088"/>
      <c r="AJ7" s="1088"/>
      <c r="AK7" s="1088"/>
      <c r="AL7" s="1088"/>
      <c r="AM7" s="1088"/>
      <c r="AN7" s="1088"/>
      <c r="AO7" s="1088"/>
      <c r="AP7" s="1088"/>
      <c r="AQ7" s="1088"/>
      <c r="AR7" s="1088"/>
      <c r="AS7" s="1088"/>
      <c r="AT7" s="1088"/>
      <c r="AU7" s="1088"/>
      <c r="AV7" s="1088"/>
      <c r="AW7" s="1088"/>
      <c r="AX7" s="1086">
        <f t="shared" si="1"/>
        <v>0</v>
      </c>
    </row>
    <row r="8" spans="1:50" ht="12">
      <c r="A8" s="1086" t="s">
        <v>1115</v>
      </c>
      <c r="B8" s="1086" t="s">
        <v>1116</v>
      </c>
      <c r="C8" s="1088"/>
      <c r="D8" s="1088"/>
      <c r="E8" s="1088"/>
      <c r="F8" s="1088"/>
      <c r="G8" s="1088"/>
      <c r="H8" s="1088"/>
      <c r="I8" s="1088"/>
      <c r="J8" s="1088"/>
      <c r="K8" s="1088"/>
      <c r="L8" s="1088"/>
      <c r="M8" s="1088"/>
      <c r="N8" s="1088"/>
      <c r="O8" s="1088"/>
      <c r="P8" s="1088"/>
      <c r="Q8" s="1088"/>
      <c r="R8" s="1088"/>
      <c r="S8" s="1088"/>
      <c r="T8" s="1088"/>
      <c r="U8" s="1088"/>
      <c r="V8" s="1088"/>
      <c r="W8" s="1088"/>
      <c r="X8" s="1088"/>
      <c r="Y8" s="1088"/>
      <c r="Z8" s="1088"/>
      <c r="AA8" s="1088"/>
      <c r="AB8" s="1088"/>
      <c r="AC8" s="1088"/>
      <c r="AD8" s="1088"/>
      <c r="AE8" s="1088"/>
      <c r="AF8" s="1088"/>
      <c r="AG8" s="1088"/>
      <c r="AH8" s="1088"/>
      <c r="AI8" s="1088"/>
      <c r="AJ8" s="1088"/>
      <c r="AK8" s="1088"/>
      <c r="AL8" s="1088"/>
      <c r="AM8" s="1088"/>
      <c r="AN8" s="1088"/>
      <c r="AO8" s="1088"/>
      <c r="AP8" s="1088"/>
      <c r="AQ8" s="1088"/>
      <c r="AR8" s="1088"/>
      <c r="AS8" s="1088"/>
      <c r="AT8" s="1088"/>
      <c r="AU8" s="1088"/>
      <c r="AV8" s="1088"/>
      <c r="AW8" s="1088"/>
      <c r="AX8" s="1086">
        <f t="shared" si="1"/>
        <v>0</v>
      </c>
    </row>
    <row r="9" spans="1:50" ht="24">
      <c r="A9" s="1086" t="s">
        <v>1117</v>
      </c>
      <c r="B9" s="1086" t="s">
        <v>1118</v>
      </c>
      <c r="C9" s="1088"/>
      <c r="D9" s="1088"/>
      <c r="E9" s="1088"/>
      <c r="F9" s="1088"/>
      <c r="G9" s="1088"/>
      <c r="H9" s="1088"/>
      <c r="I9" s="1088"/>
      <c r="J9" s="1088"/>
      <c r="K9" s="1088"/>
      <c r="L9" s="1088"/>
      <c r="M9" s="1088"/>
      <c r="N9" s="1088"/>
      <c r="O9" s="1088"/>
      <c r="P9" s="1088"/>
      <c r="Q9" s="1088"/>
      <c r="R9" s="1088"/>
      <c r="S9" s="1088"/>
      <c r="T9" s="1088"/>
      <c r="U9" s="1088"/>
      <c r="V9" s="1088"/>
      <c r="W9" s="1088"/>
      <c r="X9" s="1088"/>
      <c r="Y9" s="1088"/>
      <c r="Z9" s="1088"/>
      <c r="AA9" s="1088"/>
      <c r="AB9" s="1088"/>
      <c r="AC9" s="1088"/>
      <c r="AD9" s="1088"/>
      <c r="AE9" s="1088"/>
      <c r="AF9" s="1088"/>
      <c r="AG9" s="1088"/>
      <c r="AH9" s="1088"/>
      <c r="AI9" s="1088"/>
      <c r="AJ9" s="1088"/>
      <c r="AK9" s="1088"/>
      <c r="AL9" s="1088"/>
      <c r="AM9" s="1088"/>
      <c r="AN9" s="1088"/>
      <c r="AO9" s="1088"/>
      <c r="AP9" s="1088"/>
      <c r="AQ9" s="1088"/>
      <c r="AR9" s="1088"/>
      <c r="AS9" s="1088"/>
      <c r="AT9" s="1088"/>
      <c r="AU9" s="1088"/>
      <c r="AV9" s="1088"/>
      <c r="AW9" s="1088"/>
      <c r="AX9" s="1086">
        <f t="shared" si="1"/>
        <v>0</v>
      </c>
    </row>
    <row r="10" spans="1:50" ht="12">
      <c r="A10" s="1086" t="s">
        <v>1119</v>
      </c>
      <c r="B10" s="1086" t="s">
        <v>1120</v>
      </c>
      <c r="C10" s="1086"/>
      <c r="D10" s="1086"/>
      <c r="E10" s="1086"/>
      <c r="F10" s="1086"/>
      <c r="G10" s="1086"/>
      <c r="H10" s="1086"/>
      <c r="I10" s="1086"/>
      <c r="J10" s="1086"/>
      <c r="K10" s="1086"/>
      <c r="L10" s="1086"/>
      <c r="M10" s="1086"/>
      <c r="N10" s="1086"/>
      <c r="O10" s="1086"/>
      <c r="P10" s="1086"/>
      <c r="Q10" s="1086"/>
      <c r="R10" s="1086"/>
      <c r="S10" s="1086"/>
      <c r="T10" s="1086"/>
      <c r="U10" s="1086"/>
      <c r="V10" s="1086"/>
      <c r="W10" s="1086"/>
      <c r="X10" s="1086"/>
      <c r="Y10" s="1086"/>
      <c r="Z10" s="1086"/>
      <c r="AA10" s="1086"/>
      <c r="AB10" s="1086"/>
      <c r="AC10" s="1086"/>
      <c r="AD10" s="1086"/>
      <c r="AE10" s="1086"/>
      <c r="AF10" s="1086"/>
      <c r="AG10" s="1086"/>
      <c r="AH10" s="1086"/>
      <c r="AI10" s="1086"/>
      <c r="AJ10" s="1086"/>
      <c r="AK10" s="1086"/>
      <c r="AL10" s="1086"/>
      <c r="AM10" s="1086"/>
      <c r="AN10" s="1086"/>
      <c r="AO10" s="1086"/>
      <c r="AP10" s="1086"/>
      <c r="AQ10" s="1086"/>
      <c r="AR10" s="1086"/>
      <c r="AS10" s="1086"/>
      <c r="AT10" s="1086"/>
      <c r="AU10" s="1086"/>
      <c r="AV10" s="1086"/>
      <c r="AW10" s="1086"/>
      <c r="AX10" s="1086">
        <f t="shared" si="1"/>
        <v>0</v>
      </c>
    </row>
    <row r="11" spans="1:50" ht="12">
      <c r="A11" s="1086" t="s">
        <v>1121</v>
      </c>
      <c r="B11" s="1086" t="s">
        <v>1122</v>
      </c>
      <c r="C11" s="1086">
        <f>SUM(C12:C27)</f>
        <v>0</v>
      </c>
      <c r="D11" s="1086">
        <f t="shared" ref="D11:AC11" si="3">SUM(D12:D27)</f>
        <v>0</v>
      </c>
      <c r="E11" s="1086">
        <f t="shared" si="3"/>
        <v>0</v>
      </c>
      <c r="F11" s="1086">
        <f t="shared" si="3"/>
        <v>0</v>
      </c>
      <c r="G11" s="1086">
        <f t="shared" si="3"/>
        <v>0</v>
      </c>
      <c r="H11" s="1086">
        <f t="shared" si="3"/>
        <v>0</v>
      </c>
      <c r="I11" s="1086">
        <f t="shared" si="3"/>
        <v>0</v>
      </c>
      <c r="J11" s="1086">
        <f t="shared" si="3"/>
        <v>0</v>
      </c>
      <c r="K11" s="1086">
        <f t="shared" si="3"/>
        <v>0</v>
      </c>
      <c r="L11" s="1086">
        <f t="shared" si="3"/>
        <v>0</v>
      </c>
      <c r="M11" s="1086">
        <f t="shared" si="3"/>
        <v>0</v>
      </c>
      <c r="N11" s="1086">
        <f t="shared" si="3"/>
        <v>0</v>
      </c>
      <c r="O11" s="1086">
        <f t="shared" si="3"/>
        <v>0</v>
      </c>
      <c r="P11" s="1086">
        <f t="shared" si="3"/>
        <v>0</v>
      </c>
      <c r="Q11" s="1086">
        <f t="shared" si="3"/>
        <v>0</v>
      </c>
      <c r="R11" s="1086">
        <f t="shared" si="3"/>
        <v>0</v>
      </c>
      <c r="S11" s="1086">
        <f t="shared" si="3"/>
        <v>0</v>
      </c>
      <c r="T11" s="1086">
        <f t="shared" si="3"/>
        <v>0</v>
      </c>
      <c r="U11" s="1086">
        <f t="shared" si="3"/>
        <v>0</v>
      </c>
      <c r="V11" s="1086">
        <f t="shared" si="3"/>
        <v>0</v>
      </c>
      <c r="W11" s="1086">
        <f t="shared" si="3"/>
        <v>0</v>
      </c>
      <c r="X11" s="1086">
        <f t="shared" si="3"/>
        <v>0</v>
      </c>
      <c r="Y11" s="1086">
        <f t="shared" si="3"/>
        <v>0</v>
      </c>
      <c r="Z11" s="1086">
        <f t="shared" si="3"/>
        <v>0</v>
      </c>
      <c r="AA11" s="1086">
        <f t="shared" si="3"/>
        <v>0</v>
      </c>
      <c r="AB11" s="1086">
        <f t="shared" si="3"/>
        <v>0</v>
      </c>
      <c r="AC11" s="1086">
        <f t="shared" si="3"/>
        <v>0</v>
      </c>
      <c r="AD11" s="1086"/>
      <c r="AE11" s="1086"/>
      <c r="AF11" s="1086"/>
      <c r="AG11" s="1086"/>
      <c r="AH11" s="1086"/>
      <c r="AI11" s="1086"/>
      <c r="AJ11" s="1086"/>
      <c r="AK11" s="1086"/>
      <c r="AL11" s="1086"/>
      <c r="AM11" s="1086"/>
      <c r="AN11" s="1086"/>
      <c r="AO11" s="1086"/>
      <c r="AP11" s="1086"/>
      <c r="AQ11" s="1086"/>
      <c r="AR11" s="1086"/>
      <c r="AS11" s="1086"/>
      <c r="AT11" s="1086"/>
      <c r="AU11" s="1086"/>
      <c r="AV11" s="1086"/>
      <c r="AW11" s="1086"/>
      <c r="AX11" s="1086">
        <f t="shared" si="1"/>
        <v>0</v>
      </c>
    </row>
    <row r="12" spans="1:50" ht="12">
      <c r="A12" s="1086" t="s">
        <v>1123</v>
      </c>
      <c r="B12" s="1086" t="s">
        <v>1124</v>
      </c>
      <c r="C12" s="1088"/>
      <c r="D12" s="1088"/>
      <c r="E12" s="1088"/>
      <c r="F12" s="1088"/>
      <c r="G12" s="1088"/>
      <c r="H12" s="1088"/>
      <c r="I12" s="1088"/>
      <c r="J12" s="1088"/>
      <c r="K12" s="1088"/>
      <c r="L12" s="1088"/>
      <c r="M12" s="1088"/>
      <c r="N12" s="1088"/>
      <c r="O12" s="1088"/>
      <c r="P12" s="1088"/>
      <c r="Q12" s="1088"/>
      <c r="R12" s="1088"/>
      <c r="S12" s="1088"/>
      <c r="T12" s="1088"/>
      <c r="U12" s="1088"/>
      <c r="V12" s="1088"/>
      <c r="W12" s="1088"/>
      <c r="X12" s="1088"/>
      <c r="Y12" s="1088"/>
      <c r="Z12" s="1088"/>
      <c r="AA12" s="1088"/>
      <c r="AB12" s="1088"/>
      <c r="AC12" s="1088"/>
      <c r="AD12" s="1088"/>
      <c r="AE12" s="1088"/>
      <c r="AF12" s="1088"/>
      <c r="AG12" s="1088"/>
      <c r="AH12" s="1088"/>
      <c r="AI12" s="1088"/>
      <c r="AJ12" s="1088"/>
      <c r="AK12" s="1088"/>
      <c r="AL12" s="1088"/>
      <c r="AM12" s="1088"/>
      <c r="AN12" s="1088"/>
      <c r="AO12" s="1088"/>
      <c r="AP12" s="1088"/>
      <c r="AQ12" s="1088"/>
      <c r="AR12" s="1088"/>
      <c r="AS12" s="1088"/>
      <c r="AT12" s="1088"/>
      <c r="AU12" s="1088"/>
      <c r="AV12" s="1088"/>
      <c r="AW12" s="1088"/>
      <c r="AX12" s="1086">
        <f t="shared" si="1"/>
        <v>0</v>
      </c>
    </row>
    <row r="13" spans="1:50" ht="24">
      <c r="A13" s="1086" t="s">
        <v>1125</v>
      </c>
      <c r="B13" s="1086" t="s">
        <v>1126</v>
      </c>
      <c r="C13" s="1088"/>
      <c r="D13" s="1088"/>
      <c r="E13" s="1088"/>
      <c r="F13" s="1088"/>
      <c r="G13" s="1088"/>
      <c r="H13" s="1088"/>
      <c r="I13" s="1088"/>
      <c r="J13" s="1088"/>
      <c r="K13" s="1088"/>
      <c r="L13" s="1088"/>
      <c r="M13" s="1088"/>
      <c r="N13" s="1088"/>
      <c r="O13" s="1088"/>
      <c r="P13" s="1088"/>
      <c r="Q13" s="1088"/>
      <c r="R13" s="1088"/>
      <c r="S13" s="1088"/>
      <c r="T13" s="1088"/>
      <c r="U13" s="1088"/>
      <c r="V13" s="1088"/>
      <c r="W13" s="1088"/>
      <c r="X13" s="1088"/>
      <c r="Y13" s="1088"/>
      <c r="Z13" s="1088"/>
      <c r="AA13" s="1088"/>
      <c r="AB13" s="1088"/>
      <c r="AC13" s="1088"/>
      <c r="AD13" s="1088"/>
      <c r="AE13" s="1088"/>
      <c r="AF13" s="1088"/>
      <c r="AG13" s="1088"/>
      <c r="AH13" s="1088"/>
      <c r="AI13" s="1088"/>
      <c r="AJ13" s="1088"/>
      <c r="AK13" s="1088"/>
      <c r="AL13" s="1088"/>
      <c r="AM13" s="1088"/>
      <c r="AN13" s="1088"/>
      <c r="AO13" s="1088"/>
      <c r="AP13" s="1088"/>
      <c r="AQ13" s="1088"/>
      <c r="AR13" s="1088"/>
      <c r="AS13" s="1088"/>
      <c r="AT13" s="1088"/>
      <c r="AU13" s="1088"/>
      <c r="AV13" s="1088"/>
      <c r="AW13" s="1088"/>
      <c r="AX13" s="1086">
        <f t="shared" si="1"/>
        <v>0</v>
      </c>
    </row>
    <row r="14" spans="1:50" ht="12">
      <c r="A14" s="1086" t="s">
        <v>1127</v>
      </c>
      <c r="B14" s="1086" t="s">
        <v>1128</v>
      </c>
      <c r="C14" s="1088"/>
      <c r="D14" s="1088"/>
      <c r="E14" s="1088"/>
      <c r="F14" s="1088"/>
      <c r="G14" s="1088"/>
      <c r="H14" s="1088"/>
      <c r="I14" s="1088"/>
      <c r="J14" s="1088"/>
      <c r="K14" s="1088"/>
      <c r="L14" s="1088"/>
      <c r="M14" s="1088"/>
      <c r="N14" s="1088"/>
      <c r="O14" s="1088"/>
      <c r="P14" s="1088"/>
      <c r="Q14" s="1088"/>
      <c r="R14" s="1088"/>
      <c r="S14" s="1088"/>
      <c r="T14" s="1088"/>
      <c r="U14" s="1088"/>
      <c r="V14" s="1088"/>
      <c r="W14" s="1088"/>
      <c r="X14" s="1088"/>
      <c r="Y14" s="1088"/>
      <c r="Z14" s="1088"/>
      <c r="AA14" s="1088"/>
      <c r="AB14" s="1088"/>
      <c r="AC14" s="1088"/>
      <c r="AD14" s="1088"/>
      <c r="AE14" s="1088"/>
      <c r="AF14" s="1088"/>
      <c r="AG14" s="1088"/>
      <c r="AH14" s="1088"/>
      <c r="AI14" s="1088"/>
      <c r="AJ14" s="1088"/>
      <c r="AK14" s="1088"/>
      <c r="AL14" s="1088"/>
      <c r="AM14" s="1088"/>
      <c r="AN14" s="1088"/>
      <c r="AO14" s="1088"/>
      <c r="AP14" s="1088"/>
      <c r="AQ14" s="1088"/>
      <c r="AR14" s="1088"/>
      <c r="AS14" s="1088"/>
      <c r="AT14" s="1088"/>
      <c r="AU14" s="1088"/>
      <c r="AV14" s="1088"/>
      <c r="AW14" s="1088"/>
      <c r="AX14" s="1086">
        <f t="shared" si="1"/>
        <v>0</v>
      </c>
    </row>
    <row r="15" spans="1:50" ht="12">
      <c r="A15" s="1086" t="s">
        <v>1129</v>
      </c>
      <c r="B15" s="1086" t="s">
        <v>1130</v>
      </c>
      <c r="C15" s="1088"/>
      <c r="D15" s="1088"/>
      <c r="E15" s="1088"/>
      <c r="F15" s="1088"/>
      <c r="G15" s="1088"/>
      <c r="H15" s="1088"/>
      <c r="I15" s="1088"/>
      <c r="J15" s="1088"/>
      <c r="K15" s="1088"/>
      <c r="L15" s="1088"/>
      <c r="M15" s="1088"/>
      <c r="N15" s="1088"/>
      <c r="O15" s="1088"/>
      <c r="P15" s="1088"/>
      <c r="Q15" s="1088"/>
      <c r="R15" s="1088"/>
      <c r="S15" s="1088"/>
      <c r="T15" s="1088"/>
      <c r="U15" s="1088"/>
      <c r="V15" s="1088"/>
      <c r="W15" s="1088"/>
      <c r="X15" s="1088"/>
      <c r="Y15" s="1088"/>
      <c r="Z15" s="1088"/>
      <c r="AA15" s="1088"/>
      <c r="AB15" s="1088"/>
      <c r="AC15" s="1088"/>
      <c r="AD15" s="1088"/>
      <c r="AE15" s="1088"/>
      <c r="AF15" s="1088"/>
      <c r="AG15" s="1088"/>
      <c r="AH15" s="1088"/>
      <c r="AI15" s="1088"/>
      <c r="AJ15" s="1088"/>
      <c r="AK15" s="1088"/>
      <c r="AL15" s="1088"/>
      <c r="AM15" s="1088"/>
      <c r="AN15" s="1088"/>
      <c r="AO15" s="1088"/>
      <c r="AP15" s="1088"/>
      <c r="AQ15" s="1088"/>
      <c r="AR15" s="1088"/>
      <c r="AS15" s="1088"/>
      <c r="AT15" s="1088"/>
      <c r="AU15" s="1088"/>
      <c r="AV15" s="1088"/>
      <c r="AW15" s="1088"/>
      <c r="AX15" s="1086">
        <f t="shared" si="1"/>
        <v>0</v>
      </c>
    </row>
    <row r="16" spans="1:50" ht="24">
      <c r="A16" s="1086" t="s">
        <v>1131</v>
      </c>
      <c r="B16" s="1086" t="s">
        <v>1132</v>
      </c>
      <c r="C16" s="1088"/>
      <c r="D16" s="1088"/>
      <c r="E16" s="1088"/>
      <c r="F16" s="1088"/>
      <c r="G16" s="1088"/>
      <c r="H16" s="1088"/>
      <c r="I16" s="1088"/>
      <c r="J16" s="1088"/>
      <c r="K16" s="1088"/>
      <c r="L16" s="1088"/>
      <c r="M16" s="1088"/>
      <c r="N16" s="1088"/>
      <c r="O16" s="1088"/>
      <c r="P16" s="1088"/>
      <c r="Q16" s="1088"/>
      <c r="R16" s="1088"/>
      <c r="S16" s="1088"/>
      <c r="T16" s="1088"/>
      <c r="U16" s="1088"/>
      <c r="V16" s="1088"/>
      <c r="W16" s="1088"/>
      <c r="X16" s="1088"/>
      <c r="Y16" s="1088"/>
      <c r="Z16" s="1088"/>
      <c r="AA16" s="1088"/>
      <c r="AB16" s="1088"/>
      <c r="AC16" s="1088"/>
      <c r="AD16" s="1088"/>
      <c r="AE16" s="1088"/>
      <c r="AF16" s="1088"/>
      <c r="AG16" s="1088"/>
      <c r="AH16" s="1088"/>
      <c r="AI16" s="1088"/>
      <c r="AJ16" s="1088"/>
      <c r="AK16" s="1088"/>
      <c r="AL16" s="1088"/>
      <c r="AM16" s="1088"/>
      <c r="AN16" s="1088"/>
      <c r="AO16" s="1088"/>
      <c r="AP16" s="1088"/>
      <c r="AQ16" s="1088"/>
      <c r="AR16" s="1088"/>
      <c r="AS16" s="1088"/>
      <c r="AT16" s="1088"/>
      <c r="AU16" s="1088"/>
      <c r="AV16" s="1088"/>
      <c r="AW16" s="1088"/>
      <c r="AX16" s="1086">
        <f t="shared" si="1"/>
        <v>0</v>
      </c>
    </row>
    <row r="17" spans="1:51" ht="12">
      <c r="A17" s="1086" t="s">
        <v>1133</v>
      </c>
      <c r="B17" s="1086" t="s">
        <v>1134</v>
      </c>
      <c r="C17" s="1088"/>
      <c r="D17" s="1088"/>
      <c r="E17" s="1088"/>
      <c r="F17" s="1088"/>
      <c r="G17" s="1088"/>
      <c r="H17" s="1088"/>
      <c r="I17" s="1088"/>
      <c r="J17" s="1088"/>
      <c r="K17" s="1088"/>
      <c r="L17" s="1088"/>
      <c r="M17" s="1088"/>
      <c r="N17" s="1088"/>
      <c r="O17" s="1088"/>
      <c r="P17" s="1088"/>
      <c r="Q17" s="1088"/>
      <c r="R17" s="1088"/>
      <c r="S17" s="1088"/>
      <c r="T17" s="1088"/>
      <c r="U17" s="1088"/>
      <c r="V17" s="1088"/>
      <c r="W17" s="1088"/>
      <c r="X17" s="1088"/>
      <c r="Y17" s="1088"/>
      <c r="Z17" s="1088"/>
      <c r="AA17" s="1088"/>
      <c r="AB17" s="1088"/>
      <c r="AC17" s="1088"/>
      <c r="AD17" s="1088"/>
      <c r="AE17" s="1088"/>
      <c r="AF17" s="1088"/>
      <c r="AG17" s="1088"/>
      <c r="AH17" s="1088"/>
      <c r="AI17" s="1088"/>
      <c r="AJ17" s="1088"/>
      <c r="AK17" s="1088"/>
      <c r="AL17" s="1088"/>
      <c r="AM17" s="1088"/>
      <c r="AN17" s="1088"/>
      <c r="AO17" s="1088"/>
      <c r="AP17" s="1088"/>
      <c r="AQ17" s="1088"/>
      <c r="AR17" s="1088"/>
      <c r="AS17" s="1088"/>
      <c r="AT17" s="1088"/>
      <c r="AU17" s="1088"/>
      <c r="AV17" s="1088"/>
      <c r="AW17" s="1088"/>
      <c r="AX17" s="1086">
        <f t="shared" si="1"/>
        <v>0</v>
      </c>
    </row>
    <row r="18" spans="1:51" ht="24">
      <c r="A18" s="1086" t="s">
        <v>1135</v>
      </c>
      <c r="B18" s="1086" t="s">
        <v>1136</v>
      </c>
      <c r="C18" s="1088"/>
      <c r="D18" s="1088"/>
      <c r="E18" s="1088"/>
      <c r="F18" s="1088"/>
      <c r="G18" s="1088"/>
      <c r="H18" s="1088"/>
      <c r="I18" s="1088"/>
      <c r="J18" s="1088"/>
      <c r="K18" s="1088"/>
      <c r="L18" s="1088"/>
      <c r="M18" s="1088"/>
      <c r="N18" s="1088"/>
      <c r="O18" s="1088"/>
      <c r="P18" s="1088"/>
      <c r="Q18" s="1088"/>
      <c r="R18" s="1088"/>
      <c r="S18" s="1088"/>
      <c r="T18" s="1088"/>
      <c r="U18" s="1088"/>
      <c r="V18" s="1088"/>
      <c r="W18" s="1088"/>
      <c r="X18" s="1088"/>
      <c r="Y18" s="1088"/>
      <c r="Z18" s="1088"/>
      <c r="AA18" s="1088"/>
      <c r="AB18" s="1088"/>
      <c r="AC18" s="1088"/>
      <c r="AD18" s="1088"/>
      <c r="AE18" s="1088"/>
      <c r="AF18" s="1088"/>
      <c r="AG18" s="1088"/>
      <c r="AH18" s="1088"/>
      <c r="AI18" s="1088"/>
      <c r="AJ18" s="1088"/>
      <c r="AK18" s="1088"/>
      <c r="AL18" s="1088"/>
      <c r="AM18" s="1088"/>
      <c r="AN18" s="1088"/>
      <c r="AO18" s="1088"/>
      <c r="AP18" s="1088"/>
      <c r="AQ18" s="1088"/>
      <c r="AR18" s="1088"/>
      <c r="AS18" s="1088"/>
      <c r="AT18" s="1088"/>
      <c r="AU18" s="1088"/>
      <c r="AV18" s="1088"/>
      <c r="AW18" s="1088"/>
      <c r="AX18" s="1086">
        <f t="shared" si="1"/>
        <v>0</v>
      </c>
    </row>
    <row r="19" spans="1:51" ht="12">
      <c r="A19" s="1086" t="s">
        <v>1137</v>
      </c>
      <c r="B19" s="1086" t="s">
        <v>1138</v>
      </c>
      <c r="C19" s="1088"/>
      <c r="D19" s="1088"/>
      <c r="E19" s="1088"/>
      <c r="F19" s="1088"/>
      <c r="G19" s="1088"/>
      <c r="H19" s="1088"/>
      <c r="I19" s="1088"/>
      <c r="J19" s="1088"/>
      <c r="K19" s="1088"/>
      <c r="L19" s="1088"/>
      <c r="M19" s="1088"/>
      <c r="N19" s="1088"/>
      <c r="O19" s="1088"/>
      <c r="P19" s="1088"/>
      <c r="Q19" s="1088"/>
      <c r="R19" s="1088"/>
      <c r="S19" s="1088"/>
      <c r="T19" s="1088"/>
      <c r="U19" s="1088"/>
      <c r="V19" s="1088"/>
      <c r="W19" s="1088"/>
      <c r="X19" s="1088"/>
      <c r="Y19" s="1088"/>
      <c r="Z19" s="1088"/>
      <c r="AA19" s="1088"/>
      <c r="AB19" s="1088"/>
      <c r="AC19" s="1088"/>
      <c r="AD19" s="1088"/>
      <c r="AE19" s="1088"/>
      <c r="AF19" s="1088"/>
      <c r="AG19" s="1088"/>
      <c r="AH19" s="1088"/>
      <c r="AI19" s="1088"/>
      <c r="AJ19" s="1088"/>
      <c r="AK19" s="1088"/>
      <c r="AL19" s="1088"/>
      <c r="AM19" s="1088"/>
      <c r="AN19" s="1088"/>
      <c r="AO19" s="1088"/>
      <c r="AP19" s="1088"/>
      <c r="AQ19" s="1088"/>
      <c r="AR19" s="1088"/>
      <c r="AS19" s="1088"/>
      <c r="AT19" s="1088"/>
      <c r="AU19" s="1088"/>
      <c r="AV19" s="1088"/>
      <c r="AW19" s="1088"/>
      <c r="AX19" s="1086">
        <f t="shared" si="1"/>
        <v>0</v>
      </c>
    </row>
    <row r="20" spans="1:51" ht="12">
      <c r="A20" s="1086" t="s">
        <v>1139</v>
      </c>
      <c r="B20" s="1086" t="s">
        <v>1140</v>
      </c>
      <c r="C20" s="1088"/>
      <c r="D20" s="1088"/>
      <c r="E20" s="1088"/>
      <c r="F20" s="1088"/>
      <c r="G20" s="1088"/>
      <c r="H20" s="1088"/>
      <c r="I20" s="1088"/>
      <c r="J20" s="1088"/>
      <c r="K20" s="1088"/>
      <c r="L20" s="1088"/>
      <c r="M20" s="1088"/>
      <c r="N20" s="1088"/>
      <c r="O20" s="1088"/>
      <c r="P20" s="1088"/>
      <c r="Q20" s="1088"/>
      <c r="R20" s="1088"/>
      <c r="S20" s="1088"/>
      <c r="T20" s="1088"/>
      <c r="U20" s="1088"/>
      <c r="V20" s="1088"/>
      <c r="W20" s="1088"/>
      <c r="X20" s="1088"/>
      <c r="Y20" s="1088"/>
      <c r="Z20" s="1088"/>
      <c r="AA20" s="1088"/>
      <c r="AB20" s="1088"/>
      <c r="AC20" s="1088"/>
      <c r="AD20" s="1088"/>
      <c r="AE20" s="1088"/>
      <c r="AF20" s="1088"/>
      <c r="AG20" s="1088"/>
      <c r="AH20" s="1088"/>
      <c r="AI20" s="1088"/>
      <c r="AJ20" s="1088"/>
      <c r="AK20" s="1088"/>
      <c r="AL20" s="1088"/>
      <c r="AM20" s="1088"/>
      <c r="AN20" s="1088"/>
      <c r="AO20" s="1088"/>
      <c r="AP20" s="1088"/>
      <c r="AQ20" s="1088"/>
      <c r="AR20" s="1088"/>
      <c r="AS20" s="1088"/>
      <c r="AT20" s="1088"/>
      <c r="AU20" s="1088"/>
      <c r="AV20" s="1088"/>
      <c r="AW20" s="1088"/>
      <c r="AX20" s="1086">
        <f t="shared" si="1"/>
        <v>0</v>
      </c>
    </row>
    <row r="21" spans="1:51" ht="24">
      <c r="A21" s="1086" t="s">
        <v>1141</v>
      </c>
      <c r="B21" s="1086" t="s">
        <v>1142</v>
      </c>
      <c r="C21" s="1088"/>
      <c r="D21" s="1088"/>
      <c r="E21" s="1088"/>
      <c r="F21" s="1088"/>
      <c r="G21" s="1088"/>
      <c r="H21" s="1088"/>
      <c r="I21" s="1088"/>
      <c r="J21" s="1088"/>
      <c r="K21" s="1088"/>
      <c r="L21" s="1088"/>
      <c r="M21" s="1088"/>
      <c r="N21" s="1088"/>
      <c r="O21" s="1088"/>
      <c r="P21" s="1088"/>
      <c r="Q21" s="1088"/>
      <c r="R21" s="1088"/>
      <c r="S21" s="1088"/>
      <c r="T21" s="1088"/>
      <c r="U21" s="1088"/>
      <c r="V21" s="1088"/>
      <c r="W21" s="1088"/>
      <c r="X21" s="1088"/>
      <c r="Y21" s="1088"/>
      <c r="Z21" s="1088"/>
      <c r="AA21" s="1088"/>
      <c r="AB21" s="1088"/>
      <c r="AC21" s="1088"/>
      <c r="AD21" s="1088"/>
      <c r="AE21" s="1088"/>
      <c r="AF21" s="1088"/>
      <c r="AG21" s="1088"/>
      <c r="AH21" s="1088"/>
      <c r="AI21" s="1088"/>
      <c r="AJ21" s="1088"/>
      <c r="AK21" s="1088"/>
      <c r="AL21" s="1088"/>
      <c r="AM21" s="1088"/>
      <c r="AN21" s="1088"/>
      <c r="AO21" s="1088"/>
      <c r="AP21" s="1088"/>
      <c r="AQ21" s="1088"/>
      <c r="AR21" s="1088"/>
      <c r="AS21" s="1088"/>
      <c r="AT21" s="1088"/>
      <c r="AU21" s="1088"/>
      <c r="AV21" s="1088"/>
      <c r="AW21" s="1088"/>
      <c r="AX21" s="1086">
        <f t="shared" si="1"/>
        <v>0</v>
      </c>
    </row>
    <row r="22" spans="1:51" ht="12">
      <c r="A22" s="1086" t="s">
        <v>1143</v>
      </c>
      <c r="B22" s="1086" t="s">
        <v>1144</v>
      </c>
      <c r="C22" s="1088"/>
      <c r="D22" s="1088"/>
      <c r="E22" s="1088"/>
      <c r="F22" s="1088"/>
      <c r="G22" s="1088"/>
      <c r="H22" s="1088"/>
      <c r="I22" s="1088"/>
      <c r="J22" s="1088"/>
      <c r="K22" s="1088"/>
      <c r="L22" s="1088"/>
      <c r="M22" s="1088"/>
      <c r="N22" s="1088"/>
      <c r="O22" s="1088"/>
      <c r="P22" s="1088"/>
      <c r="Q22" s="1088"/>
      <c r="R22" s="1088"/>
      <c r="S22" s="1088"/>
      <c r="T22" s="1088"/>
      <c r="U22" s="1088"/>
      <c r="V22" s="1088"/>
      <c r="W22" s="1088"/>
      <c r="X22" s="1088"/>
      <c r="Y22" s="1088"/>
      <c r="Z22" s="1088"/>
      <c r="AA22" s="1088"/>
      <c r="AB22" s="1088"/>
      <c r="AC22" s="1088"/>
      <c r="AD22" s="1088"/>
      <c r="AE22" s="1088"/>
      <c r="AF22" s="1088"/>
      <c r="AG22" s="1088"/>
      <c r="AH22" s="1088"/>
      <c r="AI22" s="1088"/>
      <c r="AJ22" s="1088"/>
      <c r="AK22" s="1088"/>
      <c r="AL22" s="1088"/>
      <c r="AM22" s="1088"/>
      <c r="AN22" s="1088"/>
      <c r="AO22" s="1088"/>
      <c r="AP22" s="1088"/>
      <c r="AQ22" s="1088"/>
      <c r="AR22" s="1088"/>
      <c r="AS22" s="1088"/>
      <c r="AT22" s="1088"/>
      <c r="AU22" s="1088"/>
      <c r="AV22" s="1088"/>
      <c r="AW22" s="1088"/>
      <c r="AX22" s="1086">
        <f t="shared" si="1"/>
        <v>0</v>
      </c>
    </row>
    <row r="23" spans="1:51" ht="12">
      <c r="A23" s="1086" t="s">
        <v>1145</v>
      </c>
      <c r="B23" s="1086" t="s">
        <v>1146</v>
      </c>
      <c r="C23" s="1088"/>
      <c r="D23" s="1088"/>
      <c r="E23" s="1088"/>
      <c r="F23" s="1088"/>
      <c r="G23" s="1088"/>
      <c r="H23" s="1088"/>
      <c r="I23" s="1088"/>
      <c r="J23" s="1088"/>
      <c r="K23" s="1088"/>
      <c r="L23" s="1088"/>
      <c r="M23" s="1088"/>
      <c r="N23" s="1088"/>
      <c r="O23" s="1088"/>
      <c r="P23" s="1088"/>
      <c r="Q23" s="1088"/>
      <c r="R23" s="1088"/>
      <c r="S23" s="1088"/>
      <c r="T23" s="1088"/>
      <c r="U23" s="1088"/>
      <c r="V23" s="1088"/>
      <c r="W23" s="1088"/>
      <c r="X23" s="1088"/>
      <c r="Y23" s="1088"/>
      <c r="Z23" s="1088"/>
      <c r="AA23" s="1088"/>
      <c r="AB23" s="1088"/>
      <c r="AC23" s="1088"/>
      <c r="AD23" s="1088"/>
      <c r="AE23" s="1088"/>
      <c r="AF23" s="1088"/>
      <c r="AG23" s="1088"/>
      <c r="AH23" s="1088"/>
      <c r="AI23" s="1088"/>
      <c r="AJ23" s="1088"/>
      <c r="AK23" s="1088"/>
      <c r="AL23" s="1088"/>
      <c r="AM23" s="1088"/>
      <c r="AN23" s="1088"/>
      <c r="AO23" s="1088"/>
      <c r="AP23" s="1088"/>
      <c r="AQ23" s="1088"/>
      <c r="AR23" s="1088"/>
      <c r="AS23" s="1088"/>
      <c r="AT23" s="1088"/>
      <c r="AU23" s="1088"/>
      <c r="AV23" s="1088"/>
      <c r="AW23" s="1088"/>
      <c r="AX23" s="1086">
        <f t="shared" si="1"/>
        <v>0</v>
      </c>
    </row>
    <row r="24" spans="1:51" ht="12">
      <c r="A24" s="1086" t="s">
        <v>1147</v>
      </c>
      <c r="B24" s="1086" t="s">
        <v>1148</v>
      </c>
      <c r="C24" s="1088"/>
      <c r="D24" s="1088"/>
      <c r="E24" s="1088"/>
      <c r="F24" s="1088"/>
      <c r="G24" s="1088"/>
      <c r="H24" s="1088"/>
      <c r="I24" s="1088"/>
      <c r="J24" s="1088"/>
      <c r="K24" s="1088"/>
      <c r="L24" s="1088"/>
      <c r="M24" s="1088"/>
      <c r="N24" s="1088"/>
      <c r="O24" s="1088"/>
      <c r="P24" s="1088"/>
      <c r="Q24" s="1088"/>
      <c r="R24" s="1088"/>
      <c r="S24" s="1088"/>
      <c r="T24" s="1088"/>
      <c r="U24" s="1088"/>
      <c r="V24" s="1088"/>
      <c r="W24" s="1088"/>
      <c r="X24" s="1088"/>
      <c r="Y24" s="1088"/>
      <c r="Z24" s="1088"/>
      <c r="AA24" s="1088"/>
      <c r="AB24" s="1088"/>
      <c r="AC24" s="1088"/>
      <c r="AD24" s="1088"/>
      <c r="AE24" s="1088"/>
      <c r="AF24" s="1088"/>
      <c r="AG24" s="1088"/>
      <c r="AH24" s="1088"/>
      <c r="AI24" s="1088"/>
      <c r="AJ24" s="1088"/>
      <c r="AK24" s="1088"/>
      <c r="AL24" s="1088"/>
      <c r="AM24" s="1088"/>
      <c r="AN24" s="1088"/>
      <c r="AO24" s="1088"/>
      <c r="AP24" s="1088"/>
      <c r="AQ24" s="1088"/>
      <c r="AR24" s="1088"/>
      <c r="AS24" s="1088"/>
      <c r="AT24" s="1088"/>
      <c r="AU24" s="1088"/>
      <c r="AV24" s="1088"/>
      <c r="AW24" s="1088"/>
      <c r="AX24" s="1086">
        <f t="shared" si="1"/>
        <v>0</v>
      </c>
    </row>
    <row r="25" spans="1:51" ht="12">
      <c r="A25" s="1086" t="s">
        <v>1149</v>
      </c>
      <c r="B25" s="1086" t="s">
        <v>1150</v>
      </c>
      <c r="C25" s="1088"/>
      <c r="D25" s="1088"/>
      <c r="E25" s="1088"/>
      <c r="F25" s="1088"/>
      <c r="G25" s="1088"/>
      <c r="H25" s="1088"/>
      <c r="I25" s="1088"/>
      <c r="J25" s="1088"/>
      <c r="K25" s="1088"/>
      <c r="L25" s="1088"/>
      <c r="M25" s="1088"/>
      <c r="N25" s="1088"/>
      <c r="O25" s="1088"/>
      <c r="P25" s="1088"/>
      <c r="Q25" s="1088"/>
      <c r="R25" s="1088"/>
      <c r="S25" s="1088"/>
      <c r="T25" s="1088"/>
      <c r="U25" s="1088"/>
      <c r="V25" s="1088"/>
      <c r="W25" s="1088"/>
      <c r="X25" s="1088"/>
      <c r="Y25" s="1088"/>
      <c r="Z25" s="1088"/>
      <c r="AA25" s="1088"/>
      <c r="AB25" s="1088"/>
      <c r="AC25" s="1088"/>
      <c r="AD25" s="1088"/>
      <c r="AE25" s="1088"/>
      <c r="AF25" s="1088"/>
      <c r="AG25" s="1088"/>
      <c r="AH25" s="1088"/>
      <c r="AI25" s="1088"/>
      <c r="AJ25" s="1088"/>
      <c r="AK25" s="1088"/>
      <c r="AL25" s="1088"/>
      <c r="AM25" s="1088"/>
      <c r="AN25" s="1088"/>
      <c r="AO25" s="1088"/>
      <c r="AP25" s="1088"/>
      <c r="AQ25" s="1088"/>
      <c r="AR25" s="1088"/>
      <c r="AS25" s="1088"/>
      <c r="AT25" s="1088"/>
      <c r="AU25" s="1088"/>
      <c r="AV25" s="1088"/>
      <c r="AW25" s="1088"/>
      <c r="AX25" s="1086">
        <f t="shared" si="1"/>
        <v>0</v>
      </c>
    </row>
    <row r="26" spans="1:51" ht="24">
      <c r="A26" s="1086" t="s">
        <v>1151</v>
      </c>
      <c r="B26" s="1086" t="s">
        <v>1152</v>
      </c>
      <c r="C26" s="1088"/>
      <c r="D26" s="1088"/>
      <c r="E26" s="1088"/>
      <c r="F26" s="1088"/>
      <c r="G26" s="1088"/>
      <c r="H26" s="1088"/>
      <c r="I26" s="1088"/>
      <c r="J26" s="1088"/>
      <c r="K26" s="1088"/>
      <c r="L26" s="1088"/>
      <c r="M26" s="1088"/>
      <c r="N26" s="1088"/>
      <c r="O26" s="1088"/>
      <c r="P26" s="1088"/>
      <c r="Q26" s="1088"/>
      <c r="R26" s="1088"/>
      <c r="S26" s="1088"/>
      <c r="T26" s="1088"/>
      <c r="U26" s="1088"/>
      <c r="V26" s="1088"/>
      <c r="W26" s="1088"/>
      <c r="X26" s="1088"/>
      <c r="Y26" s="1088"/>
      <c r="Z26" s="1088"/>
      <c r="AA26" s="1088"/>
      <c r="AB26" s="1088"/>
      <c r="AC26" s="1088"/>
      <c r="AD26" s="1088"/>
      <c r="AE26" s="1088"/>
      <c r="AF26" s="1088"/>
      <c r="AG26" s="1088"/>
      <c r="AH26" s="1088"/>
      <c r="AI26" s="1088"/>
      <c r="AJ26" s="1088"/>
      <c r="AK26" s="1088"/>
      <c r="AL26" s="1088"/>
      <c r="AM26" s="1088"/>
      <c r="AN26" s="1088"/>
      <c r="AO26" s="1088"/>
      <c r="AP26" s="1088"/>
      <c r="AQ26" s="1088"/>
      <c r="AR26" s="1088"/>
      <c r="AS26" s="1088"/>
      <c r="AT26" s="1088"/>
      <c r="AU26" s="1088"/>
      <c r="AV26" s="1088"/>
      <c r="AW26" s="1088"/>
      <c r="AX26" s="1086">
        <f t="shared" si="1"/>
        <v>0</v>
      </c>
    </row>
    <row r="27" spans="1:51" ht="24">
      <c r="A27" s="1086" t="s">
        <v>1153</v>
      </c>
      <c r="B27" s="1086" t="s">
        <v>1154</v>
      </c>
      <c r="C27" s="1088"/>
      <c r="D27" s="1088"/>
      <c r="E27" s="1088"/>
      <c r="F27" s="1088"/>
      <c r="G27" s="1088"/>
      <c r="H27" s="1088"/>
      <c r="I27" s="1088"/>
      <c r="J27" s="1088"/>
      <c r="K27" s="1088"/>
      <c r="L27" s="1088"/>
      <c r="M27" s="1088"/>
      <c r="N27" s="1088"/>
      <c r="O27" s="1088"/>
      <c r="P27" s="1088"/>
      <c r="Q27" s="1088"/>
      <c r="R27" s="1088"/>
      <c r="S27" s="1088"/>
      <c r="T27" s="1088"/>
      <c r="U27" s="1088"/>
      <c r="V27" s="1088"/>
      <c r="W27" s="1088"/>
      <c r="X27" s="1088"/>
      <c r="Y27" s="1088"/>
      <c r="Z27" s="1088"/>
      <c r="AA27" s="1088"/>
      <c r="AB27" s="1088"/>
      <c r="AC27" s="1088"/>
      <c r="AD27" s="1088"/>
      <c r="AE27" s="1088"/>
      <c r="AF27" s="1088"/>
      <c r="AG27" s="1088"/>
      <c r="AH27" s="1088"/>
      <c r="AI27" s="1088"/>
      <c r="AJ27" s="1088"/>
      <c r="AK27" s="1088"/>
      <c r="AL27" s="1088"/>
      <c r="AM27" s="1088"/>
      <c r="AN27" s="1088"/>
      <c r="AO27" s="1088"/>
      <c r="AP27" s="1088"/>
      <c r="AQ27" s="1088"/>
      <c r="AR27" s="1088"/>
      <c r="AS27" s="1088"/>
      <c r="AT27" s="1088"/>
      <c r="AU27" s="1088"/>
      <c r="AV27" s="1088"/>
      <c r="AW27" s="1088"/>
      <c r="AX27" s="1086">
        <f t="shared" si="1"/>
        <v>0</v>
      </c>
    </row>
    <row r="28" spans="1:51" ht="25">
      <c r="A28" s="1086" t="s">
        <v>1155</v>
      </c>
      <c r="B28" s="1086" t="s">
        <v>1156</v>
      </c>
      <c r="C28" s="1086">
        <f>C29</f>
        <v>0</v>
      </c>
      <c r="D28" s="1086">
        <f t="shared" ref="D28:AC28" si="4">D29</f>
        <v>0</v>
      </c>
      <c r="E28" s="1086">
        <f t="shared" si="4"/>
        <v>0</v>
      </c>
      <c r="F28" s="1086">
        <f t="shared" si="4"/>
        <v>0</v>
      </c>
      <c r="G28" s="1086">
        <f t="shared" si="4"/>
        <v>0</v>
      </c>
      <c r="H28" s="1086">
        <f t="shared" si="4"/>
        <v>0</v>
      </c>
      <c r="I28" s="1086">
        <f t="shared" si="4"/>
        <v>0</v>
      </c>
      <c r="J28" s="1086">
        <f t="shared" si="4"/>
        <v>0</v>
      </c>
      <c r="K28" s="1086">
        <f t="shared" si="4"/>
        <v>0</v>
      </c>
      <c r="L28" s="1086">
        <f t="shared" si="4"/>
        <v>0</v>
      </c>
      <c r="M28" s="1086">
        <f t="shared" si="4"/>
        <v>0</v>
      </c>
      <c r="N28" s="1086">
        <f t="shared" si="4"/>
        <v>0</v>
      </c>
      <c r="O28" s="1086">
        <f t="shared" si="4"/>
        <v>0</v>
      </c>
      <c r="P28" s="1086">
        <f t="shared" si="4"/>
        <v>0</v>
      </c>
      <c r="Q28" s="1086">
        <f t="shared" si="4"/>
        <v>0</v>
      </c>
      <c r="R28" s="1086">
        <f t="shared" si="4"/>
        <v>0</v>
      </c>
      <c r="S28" s="1086">
        <f t="shared" si="4"/>
        <v>0</v>
      </c>
      <c r="T28" s="1086">
        <f t="shared" si="4"/>
        <v>0</v>
      </c>
      <c r="U28" s="1086">
        <f t="shared" si="4"/>
        <v>0</v>
      </c>
      <c r="V28" s="1086">
        <f t="shared" si="4"/>
        <v>0</v>
      </c>
      <c r="W28" s="1086">
        <f t="shared" si="4"/>
        <v>0</v>
      </c>
      <c r="X28" s="1086">
        <f t="shared" si="4"/>
        <v>0</v>
      </c>
      <c r="Y28" s="1086">
        <f t="shared" si="4"/>
        <v>0</v>
      </c>
      <c r="Z28" s="1086">
        <f t="shared" si="4"/>
        <v>0</v>
      </c>
      <c r="AA28" s="1086">
        <f t="shared" si="4"/>
        <v>0</v>
      </c>
      <c r="AB28" s="1086">
        <f t="shared" si="4"/>
        <v>0</v>
      </c>
      <c r="AC28" s="1086">
        <f t="shared" si="4"/>
        <v>0</v>
      </c>
      <c r="AD28" s="1086"/>
      <c r="AE28" s="1086"/>
      <c r="AF28" s="1399"/>
      <c r="AG28" s="1086"/>
      <c r="AH28" s="1086"/>
      <c r="AI28" s="1086"/>
      <c r="AJ28" s="1086"/>
      <c r="AK28" s="1086"/>
      <c r="AL28" s="1086"/>
      <c r="AM28" s="1086"/>
      <c r="AN28" s="1086"/>
      <c r="AO28" s="1086"/>
      <c r="AP28" s="1086"/>
      <c r="AQ28" s="1086"/>
      <c r="AR28" s="1086"/>
      <c r="AS28" s="1086"/>
      <c r="AT28" s="1086"/>
      <c r="AU28" s="1086"/>
      <c r="AV28" s="1086"/>
      <c r="AW28" s="1086"/>
      <c r="AX28" s="1087">
        <f t="shared" si="1"/>
        <v>0</v>
      </c>
      <c r="AY28" s="1089">
        <v>0</v>
      </c>
    </row>
    <row r="29" spans="1:51" ht="12">
      <c r="A29" s="1086" t="s">
        <v>1157</v>
      </c>
      <c r="B29" s="1086" t="s">
        <v>1158</v>
      </c>
      <c r="C29" s="1086">
        <f>SUM(C30:C47)</f>
        <v>0</v>
      </c>
      <c r="D29" s="1086">
        <f t="shared" ref="D29:AC29" si="5">SUM(D30:D47)</f>
        <v>0</v>
      </c>
      <c r="E29" s="1086">
        <f t="shared" si="5"/>
        <v>0</v>
      </c>
      <c r="F29" s="1086">
        <f t="shared" si="5"/>
        <v>0</v>
      </c>
      <c r="G29" s="1086">
        <f t="shared" si="5"/>
        <v>0</v>
      </c>
      <c r="H29" s="1086">
        <f t="shared" si="5"/>
        <v>0</v>
      </c>
      <c r="I29" s="1086">
        <f t="shared" si="5"/>
        <v>0</v>
      </c>
      <c r="J29" s="1086">
        <f t="shared" si="5"/>
        <v>0</v>
      </c>
      <c r="K29" s="1086">
        <f t="shared" si="5"/>
        <v>0</v>
      </c>
      <c r="L29" s="1086">
        <f t="shared" si="5"/>
        <v>0</v>
      </c>
      <c r="M29" s="1086">
        <f t="shared" si="5"/>
        <v>0</v>
      </c>
      <c r="N29" s="1086">
        <f t="shared" si="5"/>
        <v>0</v>
      </c>
      <c r="O29" s="1086">
        <f t="shared" si="5"/>
        <v>0</v>
      </c>
      <c r="P29" s="1086">
        <f t="shared" si="5"/>
        <v>0</v>
      </c>
      <c r="Q29" s="1086">
        <f t="shared" si="5"/>
        <v>0</v>
      </c>
      <c r="R29" s="1086">
        <f t="shared" si="5"/>
        <v>0</v>
      </c>
      <c r="S29" s="1086">
        <f t="shared" si="5"/>
        <v>0</v>
      </c>
      <c r="T29" s="1086">
        <f t="shared" si="5"/>
        <v>0</v>
      </c>
      <c r="U29" s="1086">
        <f t="shared" si="5"/>
        <v>0</v>
      </c>
      <c r="V29" s="1086">
        <f t="shared" si="5"/>
        <v>0</v>
      </c>
      <c r="W29" s="1086">
        <f t="shared" si="5"/>
        <v>0</v>
      </c>
      <c r="X29" s="1086">
        <f t="shared" si="5"/>
        <v>0</v>
      </c>
      <c r="Y29" s="1086">
        <f t="shared" si="5"/>
        <v>0</v>
      </c>
      <c r="Z29" s="1086">
        <f t="shared" si="5"/>
        <v>0</v>
      </c>
      <c r="AA29" s="1086">
        <f t="shared" si="5"/>
        <v>0</v>
      </c>
      <c r="AB29" s="1086">
        <f t="shared" si="5"/>
        <v>0</v>
      </c>
      <c r="AC29" s="1086">
        <f t="shared" si="5"/>
        <v>0</v>
      </c>
      <c r="AD29" s="1086"/>
      <c r="AE29" s="1086"/>
      <c r="AF29" s="1086"/>
      <c r="AG29" s="1086"/>
      <c r="AH29" s="1086"/>
      <c r="AI29" s="1086"/>
      <c r="AJ29" s="1086"/>
      <c r="AK29" s="1086"/>
      <c r="AL29" s="1086"/>
      <c r="AM29" s="1086"/>
      <c r="AN29" s="1086"/>
      <c r="AO29" s="1086"/>
      <c r="AP29" s="1086"/>
      <c r="AQ29" s="1086"/>
      <c r="AR29" s="1086"/>
      <c r="AS29" s="1086"/>
      <c r="AT29" s="1086"/>
      <c r="AU29" s="1086"/>
      <c r="AV29" s="1086"/>
      <c r="AW29" s="1086"/>
      <c r="AX29" s="1086">
        <f t="shared" si="1"/>
        <v>0</v>
      </c>
    </row>
    <row r="30" spans="1:51" ht="12">
      <c r="A30" s="1086" t="s">
        <v>1159</v>
      </c>
      <c r="B30" s="1086" t="s">
        <v>1160</v>
      </c>
      <c r="C30" s="1088"/>
      <c r="D30" s="1088"/>
      <c r="E30" s="1088"/>
      <c r="F30" s="1088"/>
      <c r="G30" s="1088"/>
      <c r="H30" s="1088"/>
      <c r="I30" s="1088"/>
      <c r="J30" s="1088"/>
      <c r="K30" s="1088"/>
      <c r="L30" s="1088"/>
      <c r="M30" s="1088"/>
      <c r="N30" s="1088"/>
      <c r="O30" s="1088"/>
      <c r="P30" s="1088"/>
      <c r="Q30" s="1088"/>
      <c r="R30" s="1088"/>
      <c r="S30" s="1088"/>
      <c r="T30" s="1088"/>
      <c r="U30" s="1088"/>
      <c r="V30" s="1088"/>
      <c r="W30" s="1088"/>
      <c r="X30" s="1088"/>
      <c r="Y30" s="1088"/>
      <c r="Z30" s="1088"/>
      <c r="AA30" s="1088"/>
      <c r="AB30" s="1088"/>
      <c r="AC30" s="1088"/>
      <c r="AD30" s="1088"/>
      <c r="AE30" s="1088"/>
      <c r="AF30" s="1088"/>
      <c r="AG30" s="1088"/>
      <c r="AH30" s="1088"/>
      <c r="AI30" s="1088"/>
      <c r="AJ30" s="1088"/>
      <c r="AK30" s="1088"/>
      <c r="AL30" s="1088"/>
      <c r="AM30" s="1088"/>
      <c r="AN30" s="1088"/>
      <c r="AO30" s="1088"/>
      <c r="AP30" s="1088"/>
      <c r="AQ30" s="1088"/>
      <c r="AR30" s="1088"/>
      <c r="AS30" s="1088"/>
      <c r="AT30" s="1088"/>
      <c r="AU30" s="1088"/>
      <c r="AV30" s="1088"/>
      <c r="AW30" s="1088"/>
      <c r="AX30" s="1086">
        <f t="shared" si="1"/>
        <v>0</v>
      </c>
    </row>
    <row r="31" spans="1:51" ht="12">
      <c r="A31" s="1086" t="s">
        <v>1161</v>
      </c>
      <c r="B31" s="1086" t="s">
        <v>1162</v>
      </c>
      <c r="C31" s="1088"/>
      <c r="D31" s="1088"/>
      <c r="E31" s="1088"/>
      <c r="F31" s="1088"/>
      <c r="G31" s="1088"/>
      <c r="H31" s="1088"/>
      <c r="I31" s="1088"/>
      <c r="J31" s="1088"/>
      <c r="K31" s="1088"/>
      <c r="L31" s="1088"/>
      <c r="M31" s="1088"/>
      <c r="N31" s="1088"/>
      <c r="O31" s="1088"/>
      <c r="P31" s="1088"/>
      <c r="Q31" s="1088"/>
      <c r="R31" s="1088"/>
      <c r="S31" s="1088"/>
      <c r="T31" s="1088"/>
      <c r="U31" s="1088"/>
      <c r="V31" s="1088"/>
      <c r="W31" s="1088"/>
      <c r="X31" s="1088"/>
      <c r="Y31" s="1088"/>
      <c r="Z31" s="1088"/>
      <c r="AA31" s="1088"/>
      <c r="AB31" s="1088"/>
      <c r="AC31" s="1088"/>
      <c r="AD31" s="1088"/>
      <c r="AE31" s="1088"/>
      <c r="AF31" s="1088"/>
      <c r="AG31" s="1088"/>
      <c r="AH31" s="1088"/>
      <c r="AI31" s="1088"/>
      <c r="AJ31" s="1088"/>
      <c r="AK31" s="1088"/>
      <c r="AL31" s="1088"/>
      <c r="AM31" s="1088"/>
      <c r="AN31" s="1088"/>
      <c r="AO31" s="1088"/>
      <c r="AP31" s="1088"/>
      <c r="AQ31" s="1088"/>
      <c r="AR31" s="1088"/>
      <c r="AS31" s="1088"/>
      <c r="AT31" s="1088"/>
      <c r="AU31" s="1088"/>
      <c r="AV31" s="1088"/>
      <c r="AW31" s="1088"/>
      <c r="AX31" s="1086">
        <f t="shared" si="1"/>
        <v>0</v>
      </c>
    </row>
    <row r="32" spans="1:51" ht="12">
      <c r="A32" s="1086" t="s">
        <v>1163</v>
      </c>
      <c r="B32" s="1086" t="s">
        <v>293</v>
      </c>
      <c r="C32" s="1088"/>
      <c r="D32" s="1088"/>
      <c r="E32" s="1088"/>
      <c r="F32" s="1088"/>
      <c r="G32" s="1088"/>
      <c r="H32" s="1088"/>
      <c r="I32" s="1088"/>
      <c r="J32" s="1088"/>
      <c r="K32" s="1088"/>
      <c r="L32" s="1088"/>
      <c r="M32" s="1088"/>
      <c r="N32" s="1088"/>
      <c r="O32" s="1088"/>
      <c r="P32" s="1088"/>
      <c r="Q32" s="1088"/>
      <c r="R32" s="1088"/>
      <c r="S32" s="1088"/>
      <c r="T32" s="1088"/>
      <c r="U32" s="1088"/>
      <c r="V32" s="1088"/>
      <c r="W32" s="1088"/>
      <c r="X32" s="1088"/>
      <c r="Y32" s="1088"/>
      <c r="Z32" s="1088"/>
      <c r="AA32" s="1088"/>
      <c r="AB32" s="1088"/>
      <c r="AC32" s="1088"/>
      <c r="AD32" s="1088"/>
      <c r="AE32" s="1088"/>
      <c r="AF32" s="1088"/>
      <c r="AG32" s="1088"/>
      <c r="AH32" s="1088"/>
      <c r="AI32" s="1088"/>
      <c r="AJ32" s="1088"/>
      <c r="AK32" s="1088"/>
      <c r="AL32" s="1088"/>
      <c r="AM32" s="1088"/>
      <c r="AN32" s="1088"/>
      <c r="AO32" s="1088"/>
      <c r="AP32" s="1088"/>
      <c r="AQ32" s="1088"/>
      <c r="AR32" s="1088"/>
      <c r="AS32" s="1088"/>
      <c r="AT32" s="1088"/>
      <c r="AU32" s="1088"/>
      <c r="AV32" s="1088"/>
      <c r="AW32" s="1088"/>
      <c r="AX32" s="1086">
        <f t="shared" si="1"/>
        <v>0</v>
      </c>
    </row>
    <row r="33" spans="1:51" ht="24">
      <c r="A33" s="1086" t="s">
        <v>1164</v>
      </c>
      <c r="B33" s="1086" t="s">
        <v>292</v>
      </c>
      <c r="C33" s="1088"/>
      <c r="D33" s="1088"/>
      <c r="E33" s="1088"/>
      <c r="F33" s="1088"/>
      <c r="G33" s="1088"/>
      <c r="H33" s="1088"/>
      <c r="I33" s="1088"/>
      <c r="J33" s="1088"/>
      <c r="K33" s="1088"/>
      <c r="L33" s="1088"/>
      <c r="M33" s="1088"/>
      <c r="N33" s="1088"/>
      <c r="O33" s="1088"/>
      <c r="P33" s="1088"/>
      <c r="Q33" s="1088"/>
      <c r="R33" s="1088"/>
      <c r="S33" s="1088"/>
      <c r="T33" s="1088"/>
      <c r="U33" s="1088"/>
      <c r="V33" s="1088"/>
      <c r="W33" s="1088"/>
      <c r="X33" s="1088"/>
      <c r="Y33" s="1088"/>
      <c r="Z33" s="1088"/>
      <c r="AA33" s="1088"/>
      <c r="AB33" s="1088"/>
      <c r="AC33" s="1088"/>
      <c r="AD33" s="1088"/>
      <c r="AE33" s="1088"/>
      <c r="AF33" s="1088"/>
      <c r="AG33" s="1088"/>
      <c r="AH33" s="1088"/>
      <c r="AI33" s="1088"/>
      <c r="AJ33" s="1088"/>
      <c r="AK33" s="1088"/>
      <c r="AL33" s="1088"/>
      <c r="AM33" s="1088"/>
      <c r="AN33" s="1088"/>
      <c r="AO33" s="1088"/>
      <c r="AP33" s="1088"/>
      <c r="AQ33" s="1088"/>
      <c r="AR33" s="1088"/>
      <c r="AS33" s="1088"/>
      <c r="AT33" s="1088"/>
      <c r="AU33" s="1088"/>
      <c r="AV33" s="1088"/>
      <c r="AW33" s="1088"/>
      <c r="AX33" s="1086">
        <f t="shared" si="1"/>
        <v>0</v>
      </c>
    </row>
    <row r="34" spans="1:51" ht="24">
      <c r="A34" s="1086" t="s">
        <v>1165</v>
      </c>
      <c r="B34" s="1086" t="s">
        <v>1166</v>
      </c>
      <c r="C34" s="1088"/>
      <c r="D34" s="1088"/>
      <c r="E34" s="1088"/>
      <c r="F34" s="1088"/>
      <c r="G34" s="1088"/>
      <c r="H34" s="1088"/>
      <c r="I34" s="1088"/>
      <c r="J34" s="1088"/>
      <c r="K34" s="1088"/>
      <c r="L34" s="1088"/>
      <c r="M34" s="1088"/>
      <c r="N34" s="1088"/>
      <c r="O34" s="1088"/>
      <c r="P34" s="1088"/>
      <c r="Q34" s="1088"/>
      <c r="R34" s="1088"/>
      <c r="S34" s="1088"/>
      <c r="T34" s="1088"/>
      <c r="U34" s="1088"/>
      <c r="V34" s="1088"/>
      <c r="W34" s="1088"/>
      <c r="X34" s="1088"/>
      <c r="Y34" s="1088"/>
      <c r="Z34" s="1088"/>
      <c r="AA34" s="1088"/>
      <c r="AB34" s="1088"/>
      <c r="AC34" s="1088"/>
      <c r="AD34" s="1088"/>
      <c r="AE34" s="1088"/>
      <c r="AF34" s="1088"/>
      <c r="AG34" s="1088"/>
      <c r="AH34" s="1088"/>
      <c r="AI34" s="1088"/>
      <c r="AJ34" s="1088"/>
      <c r="AK34" s="1088"/>
      <c r="AL34" s="1088"/>
      <c r="AM34" s="1088"/>
      <c r="AN34" s="1088"/>
      <c r="AO34" s="1088"/>
      <c r="AP34" s="1088"/>
      <c r="AQ34" s="1088"/>
      <c r="AR34" s="1088"/>
      <c r="AS34" s="1088"/>
      <c r="AT34" s="1088"/>
      <c r="AU34" s="1088"/>
      <c r="AV34" s="1088"/>
      <c r="AW34" s="1088"/>
      <c r="AX34" s="1086">
        <f t="shared" si="1"/>
        <v>0</v>
      </c>
    </row>
    <row r="35" spans="1:51" ht="12">
      <c r="A35" s="1086" t="s">
        <v>1167</v>
      </c>
      <c r="B35" s="1086" t="s">
        <v>1168</v>
      </c>
      <c r="C35" s="1088"/>
      <c r="D35" s="1088"/>
      <c r="E35" s="1088"/>
      <c r="F35" s="1088"/>
      <c r="G35" s="1088"/>
      <c r="H35" s="1088"/>
      <c r="I35" s="1088"/>
      <c r="J35" s="1088"/>
      <c r="K35" s="1088"/>
      <c r="L35" s="1088"/>
      <c r="M35" s="1088"/>
      <c r="N35" s="1088"/>
      <c r="O35" s="1088"/>
      <c r="P35" s="1088"/>
      <c r="Q35" s="1088"/>
      <c r="R35" s="1088"/>
      <c r="S35" s="1088"/>
      <c r="T35" s="1088"/>
      <c r="U35" s="1088"/>
      <c r="V35" s="1088"/>
      <c r="W35" s="1088"/>
      <c r="X35" s="1088"/>
      <c r="Y35" s="1088"/>
      <c r="Z35" s="1088"/>
      <c r="AA35" s="1088"/>
      <c r="AB35" s="1088"/>
      <c r="AC35" s="1088"/>
      <c r="AD35" s="1088"/>
      <c r="AE35" s="1088"/>
      <c r="AF35" s="1088"/>
      <c r="AG35" s="1088"/>
      <c r="AH35" s="1088"/>
      <c r="AI35" s="1088"/>
      <c r="AJ35" s="1088"/>
      <c r="AK35" s="1088"/>
      <c r="AL35" s="1088"/>
      <c r="AM35" s="1088"/>
      <c r="AN35" s="1088"/>
      <c r="AO35" s="1088"/>
      <c r="AP35" s="1088"/>
      <c r="AQ35" s="1088"/>
      <c r="AR35" s="1088"/>
      <c r="AS35" s="1088"/>
      <c r="AT35" s="1088"/>
      <c r="AU35" s="1088"/>
      <c r="AV35" s="1088"/>
      <c r="AW35" s="1088"/>
      <c r="AX35" s="1086">
        <f t="shared" si="1"/>
        <v>0</v>
      </c>
    </row>
    <row r="36" spans="1:51" ht="12">
      <c r="A36" s="1086" t="s">
        <v>1169</v>
      </c>
      <c r="B36" s="1086" t="s">
        <v>1170</v>
      </c>
      <c r="C36" s="1088"/>
      <c r="D36" s="1088"/>
      <c r="E36" s="1088"/>
      <c r="F36" s="1088"/>
      <c r="G36" s="1088"/>
      <c r="H36" s="1088"/>
      <c r="I36" s="1088"/>
      <c r="J36" s="1088"/>
      <c r="K36" s="1088"/>
      <c r="L36" s="1088"/>
      <c r="M36" s="1088"/>
      <c r="N36" s="1088"/>
      <c r="O36" s="1088"/>
      <c r="P36" s="1088"/>
      <c r="Q36" s="1088"/>
      <c r="R36" s="1088"/>
      <c r="S36" s="1088"/>
      <c r="T36" s="1088"/>
      <c r="U36" s="1088"/>
      <c r="V36" s="1088"/>
      <c r="W36" s="1088"/>
      <c r="X36" s="1088"/>
      <c r="Y36" s="1088"/>
      <c r="Z36" s="1088"/>
      <c r="AA36" s="1088"/>
      <c r="AB36" s="1088"/>
      <c r="AC36" s="1088"/>
      <c r="AD36" s="1088"/>
      <c r="AE36" s="1088"/>
      <c r="AF36" s="1088"/>
      <c r="AG36" s="1088"/>
      <c r="AH36" s="1088"/>
      <c r="AI36" s="1088"/>
      <c r="AJ36" s="1088"/>
      <c r="AK36" s="1088"/>
      <c r="AL36" s="1088"/>
      <c r="AM36" s="1088"/>
      <c r="AN36" s="1088"/>
      <c r="AO36" s="1088"/>
      <c r="AP36" s="1088"/>
      <c r="AQ36" s="1088"/>
      <c r="AR36" s="1088"/>
      <c r="AS36" s="1088"/>
      <c r="AT36" s="1088"/>
      <c r="AU36" s="1088"/>
      <c r="AV36" s="1088"/>
      <c r="AW36" s="1088"/>
      <c r="AX36" s="1086">
        <f t="shared" si="1"/>
        <v>0</v>
      </c>
    </row>
    <row r="37" spans="1:51" ht="12">
      <c r="A37" s="1086" t="s">
        <v>1171</v>
      </c>
      <c r="B37" s="1086" t="s">
        <v>1172</v>
      </c>
      <c r="C37" s="1088"/>
      <c r="D37" s="1088"/>
      <c r="E37" s="1088"/>
      <c r="F37" s="1088"/>
      <c r="G37" s="1088"/>
      <c r="H37" s="1088"/>
      <c r="I37" s="1088"/>
      <c r="J37" s="1088"/>
      <c r="K37" s="1088"/>
      <c r="L37" s="1088"/>
      <c r="M37" s="1088"/>
      <c r="N37" s="1088"/>
      <c r="O37" s="1088"/>
      <c r="P37" s="1088"/>
      <c r="Q37" s="1088"/>
      <c r="R37" s="1088"/>
      <c r="S37" s="1088"/>
      <c r="T37" s="1088"/>
      <c r="U37" s="1088"/>
      <c r="V37" s="1088"/>
      <c r="W37" s="1088"/>
      <c r="X37" s="1088"/>
      <c r="Y37" s="1088"/>
      <c r="Z37" s="1088"/>
      <c r="AA37" s="1088"/>
      <c r="AB37" s="1088"/>
      <c r="AC37" s="1088"/>
      <c r="AD37" s="1088"/>
      <c r="AE37" s="1088"/>
      <c r="AF37" s="1088"/>
      <c r="AG37" s="1088"/>
      <c r="AH37" s="1088"/>
      <c r="AI37" s="1088"/>
      <c r="AJ37" s="1088"/>
      <c r="AK37" s="1088"/>
      <c r="AL37" s="1088"/>
      <c r="AM37" s="1088"/>
      <c r="AN37" s="1088"/>
      <c r="AO37" s="1088"/>
      <c r="AP37" s="1088"/>
      <c r="AQ37" s="1088"/>
      <c r="AR37" s="1088"/>
      <c r="AS37" s="1088"/>
      <c r="AT37" s="1088"/>
      <c r="AU37" s="1088"/>
      <c r="AV37" s="1088"/>
      <c r="AW37" s="1088"/>
      <c r="AX37" s="1086">
        <f t="shared" si="1"/>
        <v>0</v>
      </c>
    </row>
    <row r="38" spans="1:51" ht="12">
      <c r="A38" s="1086" t="s">
        <v>1173</v>
      </c>
      <c r="B38" s="1086" t="s">
        <v>1174</v>
      </c>
      <c r="C38" s="1088"/>
      <c r="D38" s="1088"/>
      <c r="E38" s="1088"/>
      <c r="F38" s="1088"/>
      <c r="G38" s="1088"/>
      <c r="H38" s="1088"/>
      <c r="I38" s="1088"/>
      <c r="J38" s="1088"/>
      <c r="K38" s="1088"/>
      <c r="L38" s="1088"/>
      <c r="M38" s="1088"/>
      <c r="N38" s="1088"/>
      <c r="O38" s="1088"/>
      <c r="P38" s="1088"/>
      <c r="Q38" s="1088"/>
      <c r="R38" s="1088"/>
      <c r="S38" s="1088"/>
      <c r="T38" s="1088"/>
      <c r="U38" s="1088"/>
      <c r="V38" s="1088"/>
      <c r="W38" s="1088"/>
      <c r="X38" s="1088"/>
      <c r="Y38" s="1088"/>
      <c r="Z38" s="1088"/>
      <c r="AA38" s="1088"/>
      <c r="AB38" s="1088"/>
      <c r="AC38" s="1088"/>
      <c r="AD38" s="1088"/>
      <c r="AE38" s="1088"/>
      <c r="AF38" s="1088"/>
      <c r="AG38" s="1088"/>
      <c r="AH38" s="1088"/>
      <c r="AI38" s="1088"/>
      <c r="AJ38" s="1088"/>
      <c r="AK38" s="1088"/>
      <c r="AL38" s="1088"/>
      <c r="AM38" s="1088"/>
      <c r="AN38" s="1088"/>
      <c r="AO38" s="1088"/>
      <c r="AP38" s="1088"/>
      <c r="AQ38" s="1088"/>
      <c r="AR38" s="1088"/>
      <c r="AS38" s="1088"/>
      <c r="AT38" s="1088"/>
      <c r="AU38" s="1088"/>
      <c r="AV38" s="1088"/>
      <c r="AW38" s="1088"/>
      <c r="AX38" s="1086">
        <f t="shared" si="1"/>
        <v>0</v>
      </c>
    </row>
    <row r="39" spans="1:51" ht="24">
      <c r="A39" s="1086" t="s">
        <v>1175</v>
      </c>
      <c r="B39" s="1086" t="s">
        <v>1176</v>
      </c>
      <c r="C39" s="1088"/>
      <c r="D39" s="1088"/>
      <c r="E39" s="1088"/>
      <c r="F39" s="1088"/>
      <c r="G39" s="1088"/>
      <c r="H39" s="1088"/>
      <c r="I39" s="1088"/>
      <c r="J39" s="1088"/>
      <c r="K39" s="1088"/>
      <c r="L39" s="1088"/>
      <c r="M39" s="1088"/>
      <c r="N39" s="1088"/>
      <c r="O39" s="1088"/>
      <c r="P39" s="1088"/>
      <c r="Q39" s="1088"/>
      <c r="R39" s="1088"/>
      <c r="S39" s="1088"/>
      <c r="T39" s="1088"/>
      <c r="U39" s="1088"/>
      <c r="V39" s="1088"/>
      <c r="W39" s="1088"/>
      <c r="X39" s="1088"/>
      <c r="Y39" s="1088"/>
      <c r="Z39" s="1088"/>
      <c r="AA39" s="1088"/>
      <c r="AB39" s="1088"/>
      <c r="AC39" s="1088"/>
      <c r="AD39" s="1088"/>
      <c r="AE39" s="1088"/>
      <c r="AF39" s="1088"/>
      <c r="AG39" s="1088"/>
      <c r="AH39" s="1088"/>
      <c r="AI39" s="1088"/>
      <c r="AJ39" s="1088"/>
      <c r="AK39" s="1088"/>
      <c r="AL39" s="1088"/>
      <c r="AM39" s="1088"/>
      <c r="AN39" s="1088"/>
      <c r="AO39" s="1088"/>
      <c r="AP39" s="1088"/>
      <c r="AQ39" s="1088"/>
      <c r="AR39" s="1088"/>
      <c r="AS39" s="1088"/>
      <c r="AT39" s="1088"/>
      <c r="AU39" s="1088"/>
      <c r="AV39" s="1088"/>
      <c r="AW39" s="1088"/>
      <c r="AX39" s="1086">
        <f t="shared" si="1"/>
        <v>0</v>
      </c>
    </row>
    <row r="40" spans="1:51" ht="12">
      <c r="A40" s="1086" t="s">
        <v>1177</v>
      </c>
      <c r="B40" s="1086" t="s">
        <v>1178</v>
      </c>
      <c r="C40" s="1088"/>
      <c r="D40" s="1088"/>
      <c r="E40" s="1088"/>
      <c r="F40" s="1088"/>
      <c r="G40" s="1088"/>
      <c r="H40" s="1088"/>
      <c r="I40" s="1088"/>
      <c r="J40" s="1088"/>
      <c r="K40" s="1088"/>
      <c r="L40" s="1088"/>
      <c r="M40" s="1088"/>
      <c r="N40" s="1088"/>
      <c r="O40" s="1088"/>
      <c r="P40" s="1088"/>
      <c r="Q40" s="1088"/>
      <c r="R40" s="1088"/>
      <c r="S40" s="1088"/>
      <c r="T40" s="1088"/>
      <c r="U40" s="1088"/>
      <c r="V40" s="1088"/>
      <c r="W40" s="1088"/>
      <c r="X40" s="1088"/>
      <c r="Y40" s="1088"/>
      <c r="Z40" s="1088"/>
      <c r="AA40" s="1088"/>
      <c r="AB40" s="1088"/>
      <c r="AC40" s="1088"/>
      <c r="AD40" s="1088"/>
      <c r="AE40" s="1088"/>
      <c r="AF40" s="1088"/>
      <c r="AG40" s="1088"/>
      <c r="AH40" s="1088"/>
      <c r="AI40" s="1088"/>
      <c r="AJ40" s="1088"/>
      <c r="AK40" s="1088"/>
      <c r="AL40" s="1088"/>
      <c r="AM40" s="1088"/>
      <c r="AN40" s="1088"/>
      <c r="AO40" s="1088"/>
      <c r="AP40" s="1088"/>
      <c r="AQ40" s="1088"/>
      <c r="AR40" s="1088"/>
      <c r="AS40" s="1088"/>
      <c r="AT40" s="1088"/>
      <c r="AU40" s="1088"/>
      <c r="AV40" s="1088"/>
      <c r="AW40" s="1088"/>
      <c r="AX40" s="1086">
        <f t="shared" si="1"/>
        <v>0</v>
      </c>
    </row>
    <row r="41" spans="1:51" ht="12">
      <c r="A41" s="1086" t="s">
        <v>1179</v>
      </c>
      <c r="B41" s="1086" t="s">
        <v>1180</v>
      </c>
      <c r="C41" s="1088"/>
      <c r="D41" s="1088"/>
      <c r="E41" s="1088"/>
      <c r="F41" s="1088"/>
      <c r="G41" s="1088"/>
      <c r="H41" s="1088"/>
      <c r="I41" s="1088"/>
      <c r="J41" s="1088"/>
      <c r="K41" s="1088"/>
      <c r="L41" s="1088"/>
      <c r="M41" s="1088"/>
      <c r="N41" s="1088"/>
      <c r="O41" s="1088"/>
      <c r="P41" s="1088"/>
      <c r="Q41" s="1088"/>
      <c r="R41" s="1088"/>
      <c r="S41" s="1088"/>
      <c r="T41" s="1088"/>
      <c r="U41" s="1088"/>
      <c r="V41" s="1088"/>
      <c r="W41" s="1088"/>
      <c r="X41" s="1088"/>
      <c r="Y41" s="1088"/>
      <c r="Z41" s="1088"/>
      <c r="AA41" s="1088"/>
      <c r="AB41" s="1088"/>
      <c r="AC41" s="1088"/>
      <c r="AD41" s="1088"/>
      <c r="AE41" s="1088"/>
      <c r="AF41" s="1088"/>
      <c r="AG41" s="1088"/>
      <c r="AH41" s="1088"/>
      <c r="AI41" s="1088"/>
      <c r="AJ41" s="1088"/>
      <c r="AK41" s="1088"/>
      <c r="AL41" s="1088"/>
      <c r="AM41" s="1088"/>
      <c r="AN41" s="1088"/>
      <c r="AO41" s="1088"/>
      <c r="AP41" s="1088"/>
      <c r="AQ41" s="1088"/>
      <c r="AR41" s="1088"/>
      <c r="AS41" s="1088"/>
      <c r="AT41" s="1088"/>
      <c r="AU41" s="1088"/>
      <c r="AV41" s="1088"/>
      <c r="AW41" s="1088"/>
      <c r="AX41" s="1086">
        <f t="shared" si="1"/>
        <v>0</v>
      </c>
    </row>
    <row r="42" spans="1:51" ht="24">
      <c r="A42" s="1086" t="s">
        <v>1181</v>
      </c>
      <c r="B42" s="1086" t="s">
        <v>1182</v>
      </c>
      <c r="C42" s="1088"/>
      <c r="D42" s="1088"/>
      <c r="E42" s="1088"/>
      <c r="F42" s="1088"/>
      <c r="G42" s="1088"/>
      <c r="H42" s="1088"/>
      <c r="I42" s="1088"/>
      <c r="J42" s="1088"/>
      <c r="K42" s="1088"/>
      <c r="L42" s="1088"/>
      <c r="M42" s="1088"/>
      <c r="N42" s="1088"/>
      <c r="O42" s="1088"/>
      <c r="P42" s="1088"/>
      <c r="Q42" s="1088"/>
      <c r="R42" s="1088"/>
      <c r="S42" s="1088"/>
      <c r="T42" s="1088"/>
      <c r="U42" s="1088"/>
      <c r="V42" s="1088"/>
      <c r="W42" s="1088"/>
      <c r="X42" s="1088"/>
      <c r="Y42" s="1088"/>
      <c r="Z42" s="1088"/>
      <c r="AA42" s="1088"/>
      <c r="AB42" s="1088"/>
      <c r="AC42" s="1088"/>
      <c r="AD42" s="1088"/>
      <c r="AE42" s="1088"/>
      <c r="AF42" s="1088"/>
      <c r="AG42" s="1088"/>
      <c r="AH42" s="1088"/>
      <c r="AI42" s="1088"/>
      <c r="AJ42" s="1088"/>
      <c r="AK42" s="1088"/>
      <c r="AL42" s="1088"/>
      <c r="AM42" s="1088"/>
      <c r="AN42" s="1088"/>
      <c r="AO42" s="1088"/>
      <c r="AP42" s="1088"/>
      <c r="AQ42" s="1088"/>
      <c r="AR42" s="1088"/>
      <c r="AS42" s="1088"/>
      <c r="AT42" s="1088"/>
      <c r="AU42" s="1088"/>
      <c r="AV42" s="1088"/>
      <c r="AW42" s="1088"/>
      <c r="AX42" s="1086">
        <f t="shared" si="1"/>
        <v>0</v>
      </c>
    </row>
    <row r="43" spans="1:51" ht="12">
      <c r="A43" s="1086" t="s">
        <v>1183</v>
      </c>
      <c r="B43" s="1086" t="s">
        <v>1184</v>
      </c>
      <c r="C43" s="1088"/>
      <c r="D43" s="1088"/>
      <c r="E43" s="1088"/>
      <c r="F43" s="1088"/>
      <c r="G43" s="1088"/>
      <c r="H43" s="1088"/>
      <c r="I43" s="1088"/>
      <c r="J43" s="1088"/>
      <c r="K43" s="1088"/>
      <c r="L43" s="1088"/>
      <c r="M43" s="1088"/>
      <c r="N43" s="1088"/>
      <c r="O43" s="1088"/>
      <c r="P43" s="1088"/>
      <c r="Q43" s="1088"/>
      <c r="R43" s="1088"/>
      <c r="S43" s="1088"/>
      <c r="T43" s="1088"/>
      <c r="U43" s="1088"/>
      <c r="V43" s="1088"/>
      <c r="W43" s="1088"/>
      <c r="X43" s="1088"/>
      <c r="Y43" s="1088"/>
      <c r="Z43" s="1088"/>
      <c r="AA43" s="1088"/>
      <c r="AB43" s="1088"/>
      <c r="AC43" s="1088"/>
      <c r="AD43" s="1088"/>
      <c r="AE43" s="1088"/>
      <c r="AF43" s="1088"/>
      <c r="AG43" s="1088"/>
      <c r="AH43" s="1088"/>
      <c r="AI43" s="1088"/>
      <c r="AJ43" s="1088"/>
      <c r="AK43" s="1088"/>
      <c r="AL43" s="1088"/>
      <c r="AM43" s="1088"/>
      <c r="AN43" s="1088"/>
      <c r="AO43" s="1088"/>
      <c r="AP43" s="1088"/>
      <c r="AQ43" s="1088"/>
      <c r="AR43" s="1088"/>
      <c r="AS43" s="1088"/>
      <c r="AT43" s="1088"/>
      <c r="AU43" s="1088"/>
      <c r="AV43" s="1088"/>
      <c r="AW43" s="1088"/>
      <c r="AX43" s="1086">
        <f t="shared" si="1"/>
        <v>0</v>
      </c>
    </row>
    <row r="44" spans="1:51" ht="24">
      <c r="A44" s="1086" t="s">
        <v>1185</v>
      </c>
      <c r="B44" s="1086" t="s">
        <v>1186</v>
      </c>
      <c r="C44" s="1088"/>
      <c r="D44" s="1088"/>
      <c r="E44" s="1088"/>
      <c r="F44" s="1088"/>
      <c r="G44" s="1088"/>
      <c r="H44" s="1088"/>
      <c r="I44" s="1088"/>
      <c r="J44" s="1088"/>
      <c r="K44" s="1088"/>
      <c r="L44" s="1088"/>
      <c r="M44" s="1088"/>
      <c r="N44" s="1088"/>
      <c r="O44" s="1088"/>
      <c r="P44" s="1088"/>
      <c r="Q44" s="1088"/>
      <c r="R44" s="1088"/>
      <c r="S44" s="1088"/>
      <c r="T44" s="1088"/>
      <c r="U44" s="1088"/>
      <c r="V44" s="1088"/>
      <c r="W44" s="1088"/>
      <c r="X44" s="1088"/>
      <c r="Y44" s="1088"/>
      <c r="Z44" s="1088"/>
      <c r="AA44" s="1088"/>
      <c r="AB44" s="1088"/>
      <c r="AC44" s="1088"/>
      <c r="AD44" s="1088"/>
      <c r="AE44" s="1088"/>
      <c r="AF44" s="1088"/>
      <c r="AG44" s="1088"/>
      <c r="AH44" s="1088"/>
      <c r="AI44" s="1088"/>
      <c r="AJ44" s="1088"/>
      <c r="AK44" s="1088"/>
      <c r="AL44" s="1088"/>
      <c r="AM44" s="1088"/>
      <c r="AN44" s="1088"/>
      <c r="AO44" s="1088"/>
      <c r="AP44" s="1088"/>
      <c r="AQ44" s="1088"/>
      <c r="AR44" s="1088"/>
      <c r="AS44" s="1088"/>
      <c r="AT44" s="1088"/>
      <c r="AU44" s="1088"/>
      <c r="AV44" s="1088"/>
      <c r="AW44" s="1088"/>
      <c r="AX44" s="1086">
        <f t="shared" si="1"/>
        <v>0</v>
      </c>
    </row>
    <row r="45" spans="1:51" ht="12">
      <c r="A45" s="1086" t="s">
        <v>1187</v>
      </c>
      <c r="B45" s="1086" t="s">
        <v>1188</v>
      </c>
      <c r="C45" s="1088"/>
      <c r="D45" s="1088"/>
      <c r="E45" s="1088"/>
      <c r="F45" s="1088"/>
      <c r="G45" s="1088"/>
      <c r="H45" s="1088"/>
      <c r="I45" s="1088"/>
      <c r="J45" s="1088"/>
      <c r="K45" s="1088"/>
      <c r="L45" s="1088"/>
      <c r="M45" s="1088"/>
      <c r="N45" s="1088"/>
      <c r="O45" s="1088"/>
      <c r="P45" s="1088"/>
      <c r="Q45" s="1088"/>
      <c r="R45" s="1088"/>
      <c r="S45" s="1088"/>
      <c r="T45" s="1088"/>
      <c r="U45" s="1088"/>
      <c r="V45" s="1088"/>
      <c r="W45" s="1088"/>
      <c r="X45" s="1088"/>
      <c r="Y45" s="1088"/>
      <c r="Z45" s="1088"/>
      <c r="AA45" s="1088"/>
      <c r="AB45" s="1088"/>
      <c r="AC45" s="1088"/>
      <c r="AD45" s="1088"/>
      <c r="AE45" s="1088"/>
      <c r="AF45" s="1088"/>
      <c r="AG45" s="1088"/>
      <c r="AH45" s="1088"/>
      <c r="AI45" s="1088"/>
      <c r="AJ45" s="1088"/>
      <c r="AK45" s="1088"/>
      <c r="AL45" s="1088"/>
      <c r="AM45" s="1088"/>
      <c r="AN45" s="1088"/>
      <c r="AO45" s="1088"/>
      <c r="AP45" s="1088"/>
      <c r="AQ45" s="1088"/>
      <c r="AR45" s="1088"/>
      <c r="AS45" s="1088"/>
      <c r="AT45" s="1088"/>
      <c r="AU45" s="1088"/>
      <c r="AV45" s="1088"/>
      <c r="AW45" s="1088"/>
      <c r="AX45" s="1086">
        <f t="shared" si="1"/>
        <v>0</v>
      </c>
    </row>
    <row r="46" spans="1:51" ht="12">
      <c r="A46" s="1086" t="s">
        <v>1189</v>
      </c>
      <c r="B46" s="1086" t="s">
        <v>1190</v>
      </c>
      <c r="C46" s="1088"/>
      <c r="D46" s="1088"/>
      <c r="E46" s="1088"/>
      <c r="F46" s="1088"/>
      <c r="G46" s="1088"/>
      <c r="H46" s="1088"/>
      <c r="I46" s="1088"/>
      <c r="J46" s="1088"/>
      <c r="K46" s="1088"/>
      <c r="L46" s="1088"/>
      <c r="M46" s="1088"/>
      <c r="N46" s="1088"/>
      <c r="O46" s="1088"/>
      <c r="P46" s="1088"/>
      <c r="Q46" s="1088"/>
      <c r="R46" s="1088"/>
      <c r="S46" s="1088"/>
      <c r="T46" s="1088"/>
      <c r="U46" s="1088"/>
      <c r="V46" s="1088"/>
      <c r="W46" s="1088"/>
      <c r="X46" s="1088"/>
      <c r="Y46" s="1088"/>
      <c r="Z46" s="1088"/>
      <c r="AA46" s="1088"/>
      <c r="AB46" s="1088"/>
      <c r="AC46" s="1088"/>
      <c r="AD46" s="1088"/>
      <c r="AE46" s="1088"/>
      <c r="AF46" s="1088"/>
      <c r="AG46" s="1088"/>
      <c r="AH46" s="1088"/>
      <c r="AI46" s="1088"/>
      <c r="AJ46" s="1088"/>
      <c r="AK46" s="1088"/>
      <c r="AL46" s="1088"/>
      <c r="AM46" s="1088"/>
      <c r="AN46" s="1088"/>
      <c r="AO46" s="1088"/>
      <c r="AP46" s="1088"/>
      <c r="AQ46" s="1088"/>
      <c r="AR46" s="1088"/>
      <c r="AS46" s="1088"/>
      <c r="AT46" s="1088"/>
      <c r="AU46" s="1088"/>
      <c r="AV46" s="1088"/>
      <c r="AW46" s="1088"/>
      <c r="AX46" s="1086">
        <f t="shared" si="1"/>
        <v>0</v>
      </c>
    </row>
    <row r="47" spans="1:51" ht="24">
      <c r="A47" s="1086" t="s">
        <v>1191</v>
      </c>
      <c r="B47" s="1086" t="s">
        <v>1192</v>
      </c>
      <c r="C47" s="1088"/>
      <c r="D47" s="1088"/>
      <c r="E47" s="1088"/>
      <c r="F47" s="1088"/>
      <c r="G47" s="1088"/>
      <c r="H47" s="1088"/>
      <c r="I47" s="1088"/>
      <c r="J47" s="1088"/>
      <c r="K47" s="1088"/>
      <c r="L47" s="1088"/>
      <c r="M47" s="1088"/>
      <c r="N47" s="1088"/>
      <c r="O47" s="1088"/>
      <c r="P47" s="1088"/>
      <c r="Q47" s="1088"/>
      <c r="R47" s="1088"/>
      <c r="S47" s="1088"/>
      <c r="T47" s="1088"/>
      <c r="U47" s="1088"/>
      <c r="V47" s="1088"/>
      <c r="W47" s="1088"/>
      <c r="X47" s="1088"/>
      <c r="Y47" s="1088"/>
      <c r="Z47" s="1088"/>
      <c r="AA47" s="1088"/>
      <c r="AB47" s="1088"/>
      <c r="AC47" s="1088"/>
      <c r="AD47" s="1088"/>
      <c r="AE47" s="1088"/>
      <c r="AF47" s="1088"/>
      <c r="AG47" s="1088"/>
      <c r="AH47" s="1088"/>
      <c r="AI47" s="1088"/>
      <c r="AJ47" s="1088"/>
      <c r="AK47" s="1088"/>
      <c r="AL47" s="1088"/>
      <c r="AM47" s="1088"/>
      <c r="AN47" s="1088"/>
      <c r="AO47" s="1088"/>
      <c r="AP47" s="1088"/>
      <c r="AQ47" s="1088"/>
      <c r="AR47" s="1088"/>
      <c r="AS47" s="1088"/>
      <c r="AT47" s="1088"/>
      <c r="AU47" s="1088"/>
      <c r="AV47" s="1088"/>
      <c r="AW47" s="1088"/>
      <c r="AX47" s="1086">
        <f t="shared" si="1"/>
        <v>0</v>
      </c>
    </row>
    <row r="48" spans="1:51" ht="24">
      <c r="A48" s="1086" t="s">
        <v>1193</v>
      </c>
      <c r="B48" s="1086" t="s">
        <v>1194</v>
      </c>
      <c r="C48" s="1086">
        <f t="shared" ref="C48:AB48" si="6">C49+C53+C62+C65+C71</f>
        <v>500000</v>
      </c>
      <c r="D48" s="1086">
        <f t="shared" si="6"/>
        <v>570000</v>
      </c>
      <c r="E48" s="1086">
        <f t="shared" si="6"/>
        <v>6660000</v>
      </c>
      <c r="F48" s="1086">
        <f t="shared" si="6"/>
        <v>810923000.27279329</v>
      </c>
      <c r="G48" s="1086">
        <f t="shared" si="6"/>
        <v>162239251.16399229</v>
      </c>
      <c r="H48" s="1086">
        <f t="shared" si="6"/>
        <v>88316237.605092719</v>
      </c>
      <c r="I48" s="1086">
        <f t="shared" si="6"/>
        <v>297617687.6050927</v>
      </c>
      <c r="J48" s="1086">
        <f t="shared" si="6"/>
        <v>1957830002.7731147</v>
      </c>
      <c r="K48" s="1086">
        <f t="shared" si="6"/>
        <v>5139913256.8666306</v>
      </c>
      <c r="L48" s="1086">
        <f t="shared" si="6"/>
        <v>1173849110.7000527</v>
      </c>
      <c r="M48" s="1086">
        <f t="shared" si="6"/>
        <v>1245207686.5893455</v>
      </c>
      <c r="N48" s="1086">
        <f t="shared" si="6"/>
        <v>970499654.72751391</v>
      </c>
      <c r="O48" s="1086">
        <f t="shared" si="6"/>
        <v>980646345.87715459</v>
      </c>
      <c r="P48" s="1086">
        <f t="shared" si="6"/>
        <v>977545127.89485955</v>
      </c>
      <c r="Q48" s="1086">
        <f t="shared" si="6"/>
        <v>983568860.57747948</v>
      </c>
      <c r="R48" s="1086">
        <f t="shared" si="6"/>
        <v>983039572.55629456</v>
      </c>
      <c r="S48" s="1086">
        <f t="shared" si="6"/>
        <v>1019331189.7210113</v>
      </c>
      <c r="T48" s="1086">
        <f t="shared" si="6"/>
        <v>1014600051.9313459</v>
      </c>
      <c r="U48" s="1086">
        <f t="shared" si="6"/>
        <v>0</v>
      </c>
      <c r="V48" s="1086">
        <f t="shared" si="6"/>
        <v>0</v>
      </c>
      <c r="W48" s="1086">
        <f t="shared" si="6"/>
        <v>0</v>
      </c>
      <c r="X48" s="1086">
        <f t="shared" si="6"/>
        <v>0</v>
      </c>
      <c r="Y48" s="1086">
        <f t="shared" si="6"/>
        <v>0</v>
      </c>
      <c r="Z48" s="1086">
        <f t="shared" si="6"/>
        <v>0</v>
      </c>
      <c r="AA48" s="1086">
        <f t="shared" si="6"/>
        <v>0</v>
      </c>
      <c r="AB48" s="1086">
        <f t="shared" si="6"/>
        <v>0</v>
      </c>
      <c r="AC48" s="1086">
        <f>AC49+AC53+AC62+AC65+AC71</f>
        <v>0</v>
      </c>
      <c r="AD48" s="1086"/>
      <c r="AE48" s="1086"/>
      <c r="AF48" s="1086"/>
      <c r="AG48" s="1086"/>
      <c r="AH48" s="1086"/>
      <c r="AI48" s="1086"/>
      <c r="AJ48" s="1086"/>
      <c r="AK48" s="1086"/>
      <c r="AL48" s="1086"/>
      <c r="AM48" s="1086"/>
      <c r="AN48" s="1086"/>
      <c r="AO48" s="1086"/>
      <c r="AP48" s="1086"/>
      <c r="AQ48" s="1086"/>
      <c r="AR48" s="1086"/>
      <c r="AS48" s="1086"/>
      <c r="AT48" s="1086"/>
      <c r="AU48" s="1086"/>
      <c r="AV48" s="1086"/>
      <c r="AW48" s="1086"/>
      <c r="AX48" s="1087">
        <f t="shared" si="1"/>
        <v>17812857036.861778</v>
      </c>
      <c r="AY48" s="1089">
        <v>0</v>
      </c>
    </row>
    <row r="49" spans="1:50" ht="12">
      <c r="A49" s="1086" t="s">
        <v>1195</v>
      </c>
      <c r="B49" s="1086" t="s">
        <v>297</v>
      </c>
      <c r="C49" s="1086">
        <f>SUM(C50:C52)</f>
        <v>0</v>
      </c>
      <c r="D49" s="1086">
        <f t="shared" ref="D49:AC49" si="7">SUM(D50:D52)</f>
        <v>0</v>
      </c>
      <c r="E49" s="1086">
        <f t="shared" si="7"/>
        <v>0</v>
      </c>
      <c r="F49" s="1086">
        <f t="shared" si="7"/>
        <v>0</v>
      </c>
      <c r="G49" s="1086">
        <f t="shared" si="7"/>
        <v>0</v>
      </c>
      <c r="H49" s="1086">
        <f t="shared" si="7"/>
        <v>0</v>
      </c>
      <c r="I49" s="1086">
        <f t="shared" si="7"/>
        <v>0</v>
      </c>
      <c r="J49" s="1086">
        <f t="shared" si="7"/>
        <v>0</v>
      </c>
      <c r="K49" s="1086">
        <f t="shared" si="7"/>
        <v>0</v>
      </c>
      <c r="L49" s="1086">
        <f t="shared" si="7"/>
        <v>0</v>
      </c>
      <c r="M49" s="1086">
        <f t="shared" si="7"/>
        <v>0</v>
      </c>
      <c r="N49" s="1086">
        <f t="shared" si="7"/>
        <v>0</v>
      </c>
      <c r="O49" s="1086">
        <f t="shared" si="7"/>
        <v>0</v>
      </c>
      <c r="P49" s="1086">
        <f t="shared" si="7"/>
        <v>0</v>
      </c>
      <c r="Q49" s="1086">
        <f t="shared" si="7"/>
        <v>0</v>
      </c>
      <c r="R49" s="1086">
        <f t="shared" si="7"/>
        <v>0</v>
      </c>
      <c r="S49" s="1086">
        <f t="shared" si="7"/>
        <v>0</v>
      </c>
      <c r="T49" s="1086">
        <f t="shared" si="7"/>
        <v>0</v>
      </c>
      <c r="U49" s="1086">
        <f t="shared" si="7"/>
        <v>0</v>
      </c>
      <c r="V49" s="1086">
        <f t="shared" si="7"/>
        <v>0</v>
      </c>
      <c r="W49" s="1086">
        <f t="shared" si="7"/>
        <v>0</v>
      </c>
      <c r="X49" s="1086">
        <f t="shared" si="7"/>
        <v>0</v>
      </c>
      <c r="Y49" s="1086">
        <f t="shared" si="7"/>
        <v>0</v>
      </c>
      <c r="Z49" s="1086">
        <f t="shared" si="7"/>
        <v>0</v>
      </c>
      <c r="AA49" s="1086">
        <f t="shared" si="7"/>
        <v>0</v>
      </c>
      <c r="AB49" s="1086">
        <f t="shared" si="7"/>
        <v>0</v>
      </c>
      <c r="AC49" s="1086">
        <f t="shared" si="7"/>
        <v>0</v>
      </c>
      <c r="AD49" s="1086"/>
      <c r="AE49" s="1086"/>
      <c r="AF49" s="1086"/>
      <c r="AG49" s="1086"/>
      <c r="AH49" s="1086"/>
      <c r="AI49" s="1086"/>
      <c r="AJ49" s="1086"/>
      <c r="AK49" s="1086"/>
      <c r="AL49" s="1086"/>
      <c r="AM49" s="1086"/>
      <c r="AN49" s="1086"/>
      <c r="AO49" s="1086"/>
      <c r="AP49" s="1086"/>
      <c r="AQ49" s="1086"/>
      <c r="AR49" s="1086"/>
      <c r="AS49" s="1086"/>
      <c r="AT49" s="1086"/>
      <c r="AU49" s="1086"/>
      <c r="AV49" s="1086"/>
      <c r="AW49" s="1086"/>
      <c r="AX49" s="1086">
        <f t="shared" si="1"/>
        <v>0</v>
      </c>
    </row>
    <row r="50" spans="1:50" ht="12">
      <c r="A50" s="1086" t="s">
        <v>1196</v>
      </c>
      <c r="B50" s="1086" t="s">
        <v>561</v>
      </c>
      <c r="C50" s="1088">
        <v>0</v>
      </c>
      <c r="D50" s="1088">
        <v>0</v>
      </c>
      <c r="E50" s="1088">
        <v>0</v>
      </c>
      <c r="F50" s="1088">
        <v>0</v>
      </c>
      <c r="G50" s="1088">
        <v>0</v>
      </c>
      <c r="H50" s="1088">
        <v>0</v>
      </c>
      <c r="I50" s="1088">
        <v>0</v>
      </c>
      <c r="J50" s="1088">
        <v>0</v>
      </c>
      <c r="K50" s="1088">
        <v>0</v>
      </c>
      <c r="L50" s="1088">
        <v>0</v>
      </c>
      <c r="M50" s="1088">
        <v>0</v>
      </c>
      <c r="N50" s="1088">
        <v>0</v>
      </c>
      <c r="O50" s="1088">
        <v>0</v>
      </c>
      <c r="P50" s="1088">
        <v>0</v>
      </c>
      <c r="Q50" s="1088">
        <v>0</v>
      </c>
      <c r="R50" s="1088">
        <v>0</v>
      </c>
      <c r="S50" s="1088">
        <v>0</v>
      </c>
      <c r="T50" s="1088">
        <v>0</v>
      </c>
      <c r="U50" s="1088">
        <v>0</v>
      </c>
      <c r="V50" s="1088">
        <v>0</v>
      </c>
      <c r="W50" s="1088">
        <v>0</v>
      </c>
      <c r="X50" s="1088">
        <v>0</v>
      </c>
      <c r="Y50" s="1088">
        <v>0</v>
      </c>
      <c r="Z50" s="1088">
        <v>0</v>
      </c>
      <c r="AA50" s="1088">
        <v>0</v>
      </c>
      <c r="AB50" s="1088">
        <v>0</v>
      </c>
      <c r="AC50" s="1088">
        <v>0</v>
      </c>
      <c r="AD50" s="1088"/>
      <c r="AE50" s="1088"/>
      <c r="AF50" s="1088"/>
      <c r="AG50" s="1088"/>
      <c r="AH50" s="1088"/>
      <c r="AI50" s="1088"/>
      <c r="AJ50" s="1088"/>
      <c r="AK50" s="1088"/>
      <c r="AL50" s="1088"/>
      <c r="AM50" s="1088"/>
      <c r="AN50" s="1088"/>
      <c r="AO50" s="1088"/>
      <c r="AP50" s="1088"/>
      <c r="AQ50" s="1088"/>
      <c r="AR50" s="1088"/>
      <c r="AS50" s="1088"/>
      <c r="AT50" s="1088"/>
      <c r="AU50" s="1088"/>
      <c r="AV50" s="1088"/>
      <c r="AW50" s="1088"/>
      <c r="AX50" s="1086">
        <f t="shared" si="1"/>
        <v>0</v>
      </c>
    </row>
    <row r="51" spans="1:50" ht="12">
      <c r="A51" s="1086" t="s">
        <v>1197</v>
      </c>
      <c r="B51" s="1086" t="s">
        <v>1198</v>
      </c>
      <c r="C51" s="1088">
        <v>0</v>
      </c>
      <c r="D51" s="1088">
        <v>0</v>
      </c>
      <c r="E51" s="1088">
        <v>0</v>
      </c>
      <c r="F51" s="1088">
        <v>0</v>
      </c>
      <c r="G51" s="1088">
        <v>0</v>
      </c>
      <c r="H51" s="1088">
        <v>0</v>
      </c>
      <c r="I51" s="1088">
        <v>0</v>
      </c>
      <c r="J51" s="1088">
        <v>0</v>
      </c>
      <c r="K51" s="1088">
        <v>0</v>
      </c>
      <c r="L51" s="1088">
        <v>0</v>
      </c>
      <c r="M51" s="1088">
        <v>0</v>
      </c>
      <c r="N51" s="1088">
        <v>0</v>
      </c>
      <c r="O51" s="1088">
        <v>0</v>
      </c>
      <c r="P51" s="1088">
        <v>0</v>
      </c>
      <c r="Q51" s="1088">
        <v>0</v>
      </c>
      <c r="R51" s="1088">
        <v>0</v>
      </c>
      <c r="S51" s="1088">
        <v>0</v>
      </c>
      <c r="T51" s="1088">
        <v>0</v>
      </c>
      <c r="U51" s="1088">
        <v>0</v>
      </c>
      <c r="V51" s="1088">
        <v>0</v>
      </c>
      <c r="W51" s="1088">
        <v>0</v>
      </c>
      <c r="X51" s="1088">
        <v>0</v>
      </c>
      <c r="Y51" s="1088">
        <v>0</v>
      </c>
      <c r="Z51" s="1088">
        <v>0</v>
      </c>
      <c r="AA51" s="1088">
        <v>0</v>
      </c>
      <c r="AB51" s="1088">
        <v>0</v>
      </c>
      <c r="AC51" s="1088">
        <v>0</v>
      </c>
      <c r="AD51" s="1088"/>
      <c r="AE51" s="1088"/>
      <c r="AF51" s="1088"/>
      <c r="AG51" s="1088"/>
      <c r="AH51" s="1088"/>
      <c r="AI51" s="1088"/>
      <c r="AJ51" s="1088"/>
      <c r="AK51" s="1088"/>
      <c r="AL51" s="1088"/>
      <c r="AM51" s="1088"/>
      <c r="AN51" s="1088"/>
      <c r="AO51" s="1088"/>
      <c r="AP51" s="1088"/>
      <c r="AQ51" s="1088"/>
      <c r="AR51" s="1088"/>
      <c r="AS51" s="1088"/>
      <c r="AT51" s="1088"/>
      <c r="AU51" s="1088"/>
      <c r="AV51" s="1088"/>
      <c r="AW51" s="1088"/>
      <c r="AX51" s="1086">
        <f t="shared" si="1"/>
        <v>0</v>
      </c>
    </row>
    <row r="52" spans="1:50" ht="24">
      <c r="A52" s="1086" t="s">
        <v>1199</v>
      </c>
      <c r="B52" s="1086" t="s">
        <v>1200</v>
      </c>
      <c r="C52" s="1088">
        <v>0</v>
      </c>
      <c r="D52" s="1088">
        <v>0</v>
      </c>
      <c r="E52" s="1088">
        <v>0</v>
      </c>
      <c r="F52" s="1088">
        <v>0</v>
      </c>
      <c r="G52" s="1088">
        <v>0</v>
      </c>
      <c r="H52" s="1088">
        <v>0</v>
      </c>
      <c r="I52" s="1088">
        <v>0</v>
      </c>
      <c r="J52" s="1088">
        <v>0</v>
      </c>
      <c r="K52" s="1088">
        <v>0</v>
      </c>
      <c r="L52" s="1088">
        <v>0</v>
      </c>
      <c r="M52" s="1088">
        <v>0</v>
      </c>
      <c r="N52" s="1088">
        <v>0</v>
      </c>
      <c r="O52" s="1088">
        <v>0</v>
      </c>
      <c r="P52" s="1088">
        <v>0</v>
      </c>
      <c r="Q52" s="1088">
        <v>0</v>
      </c>
      <c r="R52" s="1088">
        <v>0</v>
      </c>
      <c r="S52" s="1088">
        <v>0</v>
      </c>
      <c r="T52" s="1088">
        <v>0</v>
      </c>
      <c r="U52" s="1088">
        <v>0</v>
      </c>
      <c r="V52" s="1088">
        <v>0</v>
      </c>
      <c r="W52" s="1088">
        <v>0</v>
      </c>
      <c r="X52" s="1088">
        <v>0</v>
      </c>
      <c r="Y52" s="1088">
        <v>0</v>
      </c>
      <c r="Z52" s="1088">
        <v>0</v>
      </c>
      <c r="AA52" s="1088">
        <v>0</v>
      </c>
      <c r="AB52" s="1088">
        <v>0</v>
      </c>
      <c r="AC52" s="1088">
        <v>0</v>
      </c>
      <c r="AD52" s="1088"/>
      <c r="AE52" s="1088"/>
      <c r="AF52" s="1088"/>
      <c r="AG52" s="1088"/>
      <c r="AH52" s="1088"/>
      <c r="AI52" s="1088"/>
      <c r="AJ52" s="1088"/>
      <c r="AK52" s="1088"/>
      <c r="AL52" s="1088"/>
      <c r="AM52" s="1088"/>
      <c r="AN52" s="1088"/>
      <c r="AO52" s="1088"/>
      <c r="AP52" s="1088"/>
      <c r="AQ52" s="1088"/>
      <c r="AR52" s="1088"/>
      <c r="AS52" s="1088"/>
      <c r="AT52" s="1088"/>
      <c r="AU52" s="1088"/>
      <c r="AV52" s="1088"/>
      <c r="AW52" s="1088"/>
      <c r="AX52" s="1086">
        <f t="shared" si="1"/>
        <v>0</v>
      </c>
    </row>
    <row r="53" spans="1:50" ht="12">
      <c r="A53" s="1086" t="s">
        <v>1201</v>
      </c>
      <c r="B53" s="1086" t="s">
        <v>1202</v>
      </c>
      <c r="C53" s="1086">
        <f>C54+C56</f>
        <v>500000</v>
      </c>
      <c r="D53" s="1086">
        <f t="shared" ref="D53:AC53" si="8">D54+D56</f>
        <v>570000</v>
      </c>
      <c r="E53" s="1086">
        <f t="shared" si="8"/>
        <v>6660000</v>
      </c>
      <c r="F53" s="1086">
        <f t="shared" si="8"/>
        <v>16661930.89710043</v>
      </c>
      <c r="G53" s="1086">
        <f t="shared" si="8"/>
        <v>0</v>
      </c>
      <c r="H53" s="1086">
        <f t="shared" si="8"/>
        <v>0</v>
      </c>
      <c r="I53" s="1086">
        <f t="shared" si="8"/>
        <v>0</v>
      </c>
      <c r="J53" s="1086">
        <f t="shared" si="8"/>
        <v>0</v>
      </c>
      <c r="K53" s="1086">
        <f t="shared" si="8"/>
        <v>70385478.832826689</v>
      </c>
      <c r="L53" s="1086">
        <f t="shared" si="8"/>
        <v>0</v>
      </c>
      <c r="M53" s="1086">
        <f t="shared" si="8"/>
        <v>0</v>
      </c>
      <c r="N53" s="1086">
        <f t="shared" si="8"/>
        <v>0</v>
      </c>
      <c r="O53" s="1086">
        <f t="shared" si="8"/>
        <v>0</v>
      </c>
      <c r="P53" s="1086">
        <f t="shared" si="8"/>
        <v>0</v>
      </c>
      <c r="Q53" s="1086">
        <f t="shared" si="8"/>
        <v>0</v>
      </c>
      <c r="R53" s="1086">
        <f t="shared" si="8"/>
        <v>0</v>
      </c>
      <c r="S53" s="1086">
        <f t="shared" si="8"/>
        <v>0</v>
      </c>
      <c r="T53" s="1086">
        <f t="shared" si="8"/>
        <v>0</v>
      </c>
      <c r="U53" s="1086">
        <f t="shared" si="8"/>
        <v>0</v>
      </c>
      <c r="V53" s="1086">
        <f t="shared" si="8"/>
        <v>0</v>
      </c>
      <c r="W53" s="1086">
        <f t="shared" si="8"/>
        <v>0</v>
      </c>
      <c r="X53" s="1086">
        <f t="shared" si="8"/>
        <v>0</v>
      </c>
      <c r="Y53" s="1086">
        <f t="shared" si="8"/>
        <v>0</v>
      </c>
      <c r="Z53" s="1086">
        <f t="shared" si="8"/>
        <v>0</v>
      </c>
      <c r="AA53" s="1086">
        <f t="shared" si="8"/>
        <v>0</v>
      </c>
      <c r="AB53" s="1086">
        <f t="shared" si="8"/>
        <v>0</v>
      </c>
      <c r="AC53" s="1086">
        <f t="shared" si="8"/>
        <v>0</v>
      </c>
      <c r="AD53" s="1086"/>
      <c r="AE53" s="1086"/>
      <c r="AF53" s="1086"/>
      <c r="AG53" s="1086"/>
      <c r="AH53" s="1086"/>
      <c r="AI53" s="1086"/>
      <c r="AJ53" s="1086"/>
      <c r="AK53" s="1086"/>
      <c r="AL53" s="1086"/>
      <c r="AM53" s="1086"/>
      <c r="AN53" s="1086"/>
      <c r="AO53" s="1086"/>
      <c r="AP53" s="1086"/>
      <c r="AQ53" s="1086"/>
      <c r="AR53" s="1086"/>
      <c r="AS53" s="1086"/>
      <c r="AT53" s="1086"/>
      <c r="AU53" s="1086"/>
      <c r="AV53" s="1086"/>
      <c r="AW53" s="1086"/>
      <c r="AX53" s="1086">
        <f t="shared" si="1"/>
        <v>94777409.729927123</v>
      </c>
    </row>
    <row r="54" spans="1:50" ht="12">
      <c r="A54" s="1086" t="s">
        <v>1203</v>
      </c>
      <c r="B54" s="1086" t="s">
        <v>1204</v>
      </c>
      <c r="C54" s="1086">
        <f>SUM(C55)</f>
        <v>400000</v>
      </c>
      <c r="D54" s="1086">
        <f t="shared" ref="D54:AC54" si="9">SUM(D55)</f>
        <v>0</v>
      </c>
      <c r="E54" s="1086">
        <f t="shared" si="9"/>
        <v>0</v>
      </c>
      <c r="F54" s="1086">
        <f t="shared" si="9"/>
        <v>0</v>
      </c>
      <c r="G54" s="1086">
        <f t="shared" si="9"/>
        <v>0</v>
      </c>
      <c r="H54" s="1086">
        <f t="shared" si="9"/>
        <v>0</v>
      </c>
      <c r="I54" s="1086">
        <f t="shared" si="9"/>
        <v>0</v>
      </c>
      <c r="J54" s="1086">
        <f t="shared" si="9"/>
        <v>0</v>
      </c>
      <c r="K54" s="1086">
        <f t="shared" si="9"/>
        <v>0</v>
      </c>
      <c r="L54" s="1086">
        <f t="shared" si="9"/>
        <v>0</v>
      </c>
      <c r="M54" s="1086">
        <f t="shared" si="9"/>
        <v>0</v>
      </c>
      <c r="N54" s="1086">
        <f t="shared" si="9"/>
        <v>0</v>
      </c>
      <c r="O54" s="1086">
        <f t="shared" si="9"/>
        <v>0</v>
      </c>
      <c r="P54" s="1086">
        <f t="shared" si="9"/>
        <v>0</v>
      </c>
      <c r="Q54" s="1086">
        <f t="shared" si="9"/>
        <v>0</v>
      </c>
      <c r="R54" s="1086">
        <f t="shared" si="9"/>
        <v>0</v>
      </c>
      <c r="S54" s="1086">
        <f t="shared" si="9"/>
        <v>0</v>
      </c>
      <c r="T54" s="1086">
        <f t="shared" si="9"/>
        <v>0</v>
      </c>
      <c r="U54" s="1086">
        <f t="shared" si="9"/>
        <v>0</v>
      </c>
      <c r="V54" s="1086">
        <f t="shared" si="9"/>
        <v>0</v>
      </c>
      <c r="W54" s="1086">
        <f t="shared" si="9"/>
        <v>0</v>
      </c>
      <c r="X54" s="1086">
        <f t="shared" si="9"/>
        <v>0</v>
      </c>
      <c r="Y54" s="1086">
        <f t="shared" si="9"/>
        <v>0</v>
      </c>
      <c r="Z54" s="1086">
        <f t="shared" si="9"/>
        <v>0</v>
      </c>
      <c r="AA54" s="1086">
        <f t="shared" si="9"/>
        <v>0</v>
      </c>
      <c r="AB54" s="1086">
        <f t="shared" si="9"/>
        <v>0</v>
      </c>
      <c r="AC54" s="1086">
        <f t="shared" si="9"/>
        <v>0</v>
      </c>
      <c r="AD54" s="1086"/>
      <c r="AE54" s="1086"/>
      <c r="AF54" s="1086"/>
      <c r="AG54" s="1086"/>
      <c r="AH54" s="1086"/>
      <c r="AI54" s="1086"/>
      <c r="AJ54" s="1086"/>
      <c r="AK54" s="1086"/>
      <c r="AL54" s="1086"/>
      <c r="AM54" s="1086"/>
      <c r="AN54" s="1086"/>
      <c r="AO54" s="1086"/>
      <c r="AP54" s="1086"/>
      <c r="AQ54" s="1086"/>
      <c r="AR54" s="1086"/>
      <c r="AS54" s="1086"/>
      <c r="AT54" s="1086"/>
      <c r="AU54" s="1086"/>
      <c r="AV54" s="1086"/>
      <c r="AW54" s="1086"/>
      <c r="AX54" s="1086">
        <f t="shared" si="1"/>
        <v>400000</v>
      </c>
    </row>
    <row r="55" spans="1:50" ht="12">
      <c r="A55" s="1086" t="s">
        <v>1205</v>
      </c>
      <c r="B55" s="1086" t="s">
        <v>401</v>
      </c>
      <c r="C55" s="1088">
        <v>400000</v>
      </c>
      <c r="D55" s="1088">
        <v>0</v>
      </c>
      <c r="E55" s="1088">
        <v>0</v>
      </c>
      <c r="F55" s="1088">
        <v>0</v>
      </c>
      <c r="G55" s="1088">
        <v>0</v>
      </c>
      <c r="H55" s="1088">
        <v>0</v>
      </c>
      <c r="I55" s="1088">
        <v>0</v>
      </c>
      <c r="J55" s="1088">
        <v>0</v>
      </c>
      <c r="K55" s="1088">
        <v>0</v>
      </c>
      <c r="L55" s="1088">
        <v>0</v>
      </c>
      <c r="M55" s="1088">
        <v>0</v>
      </c>
      <c r="N55" s="1088">
        <v>0</v>
      </c>
      <c r="O55" s="1088">
        <v>0</v>
      </c>
      <c r="P55" s="1088">
        <v>0</v>
      </c>
      <c r="Q55" s="1088">
        <v>0</v>
      </c>
      <c r="R55" s="1088">
        <v>0</v>
      </c>
      <c r="S55" s="1088">
        <v>0</v>
      </c>
      <c r="T55" s="1088">
        <v>0</v>
      </c>
      <c r="U55" s="1088">
        <v>0</v>
      </c>
      <c r="V55" s="1088">
        <v>0</v>
      </c>
      <c r="W55" s="1088">
        <v>0</v>
      </c>
      <c r="X55" s="1088">
        <v>0</v>
      </c>
      <c r="Y55" s="1088">
        <v>0</v>
      </c>
      <c r="Z55" s="1088">
        <v>0</v>
      </c>
      <c r="AA55" s="1088">
        <v>0</v>
      </c>
      <c r="AB55" s="1088">
        <v>0</v>
      </c>
      <c r="AC55" s="1088">
        <v>0</v>
      </c>
      <c r="AD55" s="1088"/>
      <c r="AE55" s="1088"/>
      <c r="AF55" s="1088"/>
      <c r="AG55" s="1088"/>
      <c r="AH55" s="1088"/>
      <c r="AI55" s="1088"/>
      <c r="AJ55" s="1088"/>
      <c r="AK55" s="1088"/>
      <c r="AL55" s="1088"/>
      <c r="AM55" s="1088"/>
      <c r="AN55" s="1088"/>
      <c r="AO55" s="1088"/>
      <c r="AP55" s="1088"/>
      <c r="AQ55" s="1088"/>
      <c r="AR55" s="1088"/>
      <c r="AS55" s="1088"/>
      <c r="AT55" s="1088"/>
      <c r="AU55" s="1088"/>
      <c r="AV55" s="1088"/>
      <c r="AW55" s="1088"/>
      <c r="AX55" s="1086">
        <f t="shared" si="1"/>
        <v>400000</v>
      </c>
    </row>
    <row r="56" spans="1:50" ht="12">
      <c r="A56" s="1086" t="s">
        <v>1206</v>
      </c>
      <c r="B56" s="1086" t="s">
        <v>1207</v>
      </c>
      <c r="C56" s="1086">
        <f>SUM(C57:C61)</f>
        <v>100000</v>
      </c>
      <c r="D56" s="1086">
        <f t="shared" ref="D56:AC56" si="10">SUM(D57:D61)</f>
        <v>570000</v>
      </c>
      <c r="E56" s="1086">
        <f t="shared" si="10"/>
        <v>6660000</v>
      </c>
      <c r="F56" s="1086">
        <f t="shared" si="10"/>
        <v>16661930.89710043</v>
      </c>
      <c r="G56" s="1086">
        <f t="shared" si="10"/>
        <v>0</v>
      </c>
      <c r="H56" s="1086">
        <f t="shared" si="10"/>
        <v>0</v>
      </c>
      <c r="I56" s="1086">
        <f t="shared" si="10"/>
        <v>0</v>
      </c>
      <c r="J56" s="1086">
        <f t="shared" si="10"/>
        <v>0</v>
      </c>
      <c r="K56" s="1086">
        <f t="shared" si="10"/>
        <v>70385478.832826689</v>
      </c>
      <c r="L56" s="1086">
        <f t="shared" si="10"/>
        <v>0</v>
      </c>
      <c r="M56" s="1086">
        <f t="shared" si="10"/>
        <v>0</v>
      </c>
      <c r="N56" s="1086">
        <f t="shared" si="10"/>
        <v>0</v>
      </c>
      <c r="O56" s="1086">
        <f t="shared" si="10"/>
        <v>0</v>
      </c>
      <c r="P56" s="1086">
        <f t="shared" si="10"/>
        <v>0</v>
      </c>
      <c r="Q56" s="1086">
        <f t="shared" si="10"/>
        <v>0</v>
      </c>
      <c r="R56" s="1086">
        <f t="shared" si="10"/>
        <v>0</v>
      </c>
      <c r="S56" s="1086">
        <f t="shared" si="10"/>
        <v>0</v>
      </c>
      <c r="T56" s="1086">
        <f t="shared" si="10"/>
        <v>0</v>
      </c>
      <c r="U56" s="1086">
        <f t="shared" si="10"/>
        <v>0</v>
      </c>
      <c r="V56" s="1086">
        <f t="shared" si="10"/>
        <v>0</v>
      </c>
      <c r="W56" s="1086">
        <f t="shared" si="10"/>
        <v>0</v>
      </c>
      <c r="X56" s="1086">
        <f t="shared" si="10"/>
        <v>0</v>
      </c>
      <c r="Y56" s="1086">
        <f t="shared" si="10"/>
        <v>0</v>
      </c>
      <c r="Z56" s="1086">
        <f t="shared" si="10"/>
        <v>0</v>
      </c>
      <c r="AA56" s="1086">
        <f t="shared" si="10"/>
        <v>0</v>
      </c>
      <c r="AB56" s="1086">
        <f t="shared" si="10"/>
        <v>0</v>
      </c>
      <c r="AC56" s="1086">
        <f t="shared" si="10"/>
        <v>0</v>
      </c>
      <c r="AD56" s="1086"/>
      <c r="AE56" s="1086"/>
      <c r="AF56" s="1086"/>
      <c r="AG56" s="1086"/>
      <c r="AH56" s="1086"/>
      <c r="AI56" s="1086"/>
      <c r="AJ56" s="1086"/>
      <c r="AK56" s="1086"/>
      <c r="AL56" s="1086"/>
      <c r="AM56" s="1086"/>
      <c r="AN56" s="1086"/>
      <c r="AO56" s="1086"/>
      <c r="AP56" s="1086"/>
      <c r="AQ56" s="1086"/>
      <c r="AR56" s="1086"/>
      <c r="AS56" s="1086"/>
      <c r="AT56" s="1086"/>
      <c r="AU56" s="1086"/>
      <c r="AV56" s="1086"/>
      <c r="AW56" s="1086"/>
      <c r="AX56" s="1086">
        <f t="shared" si="1"/>
        <v>94377409.729927123</v>
      </c>
    </row>
    <row r="57" spans="1:50" ht="12">
      <c r="A57" s="1086" t="s">
        <v>1208</v>
      </c>
      <c r="B57" s="1086" t="s">
        <v>410</v>
      </c>
      <c r="C57" s="1088">
        <v>100000</v>
      </c>
      <c r="D57" s="1088">
        <v>570000</v>
      </c>
      <c r="E57" s="1088">
        <v>6660000</v>
      </c>
      <c r="F57" s="1088">
        <v>16661930.89710043</v>
      </c>
      <c r="G57" s="1088">
        <v>0</v>
      </c>
      <c r="H57" s="1088">
        <v>0</v>
      </c>
      <c r="I57" s="1088">
        <v>0</v>
      </c>
      <c r="J57" s="1088">
        <v>0</v>
      </c>
      <c r="K57" s="1088">
        <v>70385478.832826689</v>
      </c>
      <c r="L57" s="1088">
        <v>0</v>
      </c>
      <c r="M57" s="1088">
        <v>0</v>
      </c>
      <c r="N57" s="1088">
        <v>0</v>
      </c>
      <c r="O57" s="1088">
        <v>0</v>
      </c>
      <c r="P57" s="1088">
        <v>0</v>
      </c>
      <c r="Q57" s="1088">
        <v>0</v>
      </c>
      <c r="R57" s="1088">
        <v>0</v>
      </c>
      <c r="S57" s="1088">
        <v>0</v>
      </c>
      <c r="T57" s="1088">
        <v>0</v>
      </c>
      <c r="U57" s="1088">
        <v>0</v>
      </c>
      <c r="V57" s="1088">
        <v>0</v>
      </c>
      <c r="W57" s="1088">
        <v>0</v>
      </c>
      <c r="X57" s="1088">
        <v>0</v>
      </c>
      <c r="Y57" s="1088">
        <v>0</v>
      </c>
      <c r="Z57" s="1088">
        <v>0</v>
      </c>
      <c r="AA57" s="1088">
        <v>0</v>
      </c>
      <c r="AB57" s="1088">
        <v>0</v>
      </c>
      <c r="AC57" s="1088">
        <v>0</v>
      </c>
      <c r="AD57" s="1088"/>
      <c r="AE57" s="1088"/>
      <c r="AF57" s="1088"/>
      <c r="AG57" s="1088"/>
      <c r="AH57" s="1088"/>
      <c r="AI57" s="1088"/>
      <c r="AJ57" s="1088"/>
      <c r="AK57" s="1088"/>
      <c r="AL57" s="1088"/>
      <c r="AM57" s="1088"/>
      <c r="AN57" s="1088"/>
      <c r="AO57" s="1088"/>
      <c r="AP57" s="1088"/>
      <c r="AQ57" s="1088"/>
      <c r="AR57" s="1088"/>
      <c r="AS57" s="1088"/>
      <c r="AT57" s="1088"/>
      <c r="AU57" s="1088"/>
      <c r="AV57" s="1088"/>
      <c r="AW57" s="1088"/>
      <c r="AX57" s="1086">
        <f t="shared" si="1"/>
        <v>94377409.729927123</v>
      </c>
    </row>
    <row r="58" spans="1:50" ht="12">
      <c r="A58" s="1086" t="s">
        <v>1209</v>
      </c>
      <c r="B58" s="1086" t="s">
        <v>1210</v>
      </c>
      <c r="C58" s="1088">
        <v>0</v>
      </c>
      <c r="D58" s="1088">
        <v>0</v>
      </c>
      <c r="E58" s="1088">
        <v>0</v>
      </c>
      <c r="F58" s="1088">
        <v>0</v>
      </c>
      <c r="G58" s="1088">
        <v>0</v>
      </c>
      <c r="H58" s="1088">
        <v>0</v>
      </c>
      <c r="I58" s="1088">
        <v>0</v>
      </c>
      <c r="J58" s="1088">
        <v>0</v>
      </c>
      <c r="K58" s="1088">
        <v>0</v>
      </c>
      <c r="L58" s="1088">
        <v>0</v>
      </c>
      <c r="M58" s="1088">
        <v>0</v>
      </c>
      <c r="N58" s="1088">
        <v>0</v>
      </c>
      <c r="O58" s="1088">
        <v>0</v>
      </c>
      <c r="P58" s="1088">
        <v>0</v>
      </c>
      <c r="Q58" s="1088">
        <v>0</v>
      </c>
      <c r="R58" s="1088">
        <v>0</v>
      </c>
      <c r="S58" s="1088">
        <v>0</v>
      </c>
      <c r="T58" s="1088">
        <v>0</v>
      </c>
      <c r="U58" s="1088">
        <v>0</v>
      </c>
      <c r="V58" s="1088">
        <v>0</v>
      </c>
      <c r="W58" s="1088">
        <v>0</v>
      </c>
      <c r="X58" s="1088">
        <v>0</v>
      </c>
      <c r="Y58" s="1088">
        <v>0</v>
      </c>
      <c r="Z58" s="1088">
        <v>0</v>
      </c>
      <c r="AA58" s="1088">
        <v>0</v>
      </c>
      <c r="AB58" s="1088">
        <v>0</v>
      </c>
      <c r="AC58" s="1088">
        <v>0</v>
      </c>
      <c r="AD58" s="1088"/>
      <c r="AE58" s="1088"/>
      <c r="AF58" s="1088"/>
      <c r="AG58" s="1088"/>
      <c r="AH58" s="1088"/>
      <c r="AI58" s="1088"/>
      <c r="AJ58" s="1088"/>
      <c r="AK58" s="1088"/>
      <c r="AL58" s="1088"/>
      <c r="AM58" s="1088"/>
      <c r="AN58" s="1088"/>
      <c r="AO58" s="1088"/>
      <c r="AP58" s="1088"/>
      <c r="AQ58" s="1088"/>
      <c r="AR58" s="1088"/>
      <c r="AS58" s="1088"/>
      <c r="AT58" s="1088"/>
      <c r="AU58" s="1088"/>
      <c r="AV58" s="1088"/>
      <c r="AW58" s="1088"/>
      <c r="AX58" s="1086">
        <f t="shared" si="1"/>
        <v>0</v>
      </c>
    </row>
    <row r="59" spans="1:50" ht="24">
      <c r="A59" s="1086" t="s">
        <v>1211</v>
      </c>
      <c r="B59" s="1086" t="s">
        <v>1212</v>
      </c>
      <c r="C59" s="1088">
        <v>0</v>
      </c>
      <c r="D59" s="1088">
        <v>0</v>
      </c>
      <c r="E59" s="1088">
        <v>0</v>
      </c>
      <c r="F59" s="1088">
        <v>0</v>
      </c>
      <c r="G59" s="1088">
        <v>0</v>
      </c>
      <c r="H59" s="1088">
        <v>0</v>
      </c>
      <c r="I59" s="1088">
        <v>0</v>
      </c>
      <c r="J59" s="1088">
        <v>0</v>
      </c>
      <c r="K59" s="1088">
        <v>0</v>
      </c>
      <c r="L59" s="1088">
        <v>0</v>
      </c>
      <c r="M59" s="1088">
        <v>0</v>
      </c>
      <c r="N59" s="1088">
        <v>0</v>
      </c>
      <c r="O59" s="1088">
        <v>0</v>
      </c>
      <c r="P59" s="1088">
        <v>0</v>
      </c>
      <c r="Q59" s="1088">
        <v>0</v>
      </c>
      <c r="R59" s="1088">
        <v>0</v>
      </c>
      <c r="S59" s="1088">
        <v>0</v>
      </c>
      <c r="T59" s="1088">
        <v>0</v>
      </c>
      <c r="U59" s="1088">
        <v>0</v>
      </c>
      <c r="V59" s="1088">
        <v>0</v>
      </c>
      <c r="W59" s="1088">
        <v>0</v>
      </c>
      <c r="X59" s="1088">
        <v>0</v>
      </c>
      <c r="Y59" s="1088">
        <v>0</v>
      </c>
      <c r="Z59" s="1088">
        <v>0</v>
      </c>
      <c r="AA59" s="1088">
        <v>0</v>
      </c>
      <c r="AB59" s="1088">
        <v>0</v>
      </c>
      <c r="AC59" s="1088">
        <v>0</v>
      </c>
      <c r="AD59" s="1088"/>
      <c r="AE59" s="1088"/>
      <c r="AF59" s="1088"/>
      <c r="AG59" s="1088"/>
      <c r="AH59" s="1088"/>
      <c r="AI59" s="1088"/>
      <c r="AJ59" s="1088"/>
      <c r="AK59" s="1088"/>
      <c r="AL59" s="1088"/>
      <c r="AM59" s="1088"/>
      <c r="AN59" s="1088"/>
      <c r="AO59" s="1088"/>
      <c r="AP59" s="1088"/>
      <c r="AQ59" s="1088"/>
      <c r="AR59" s="1088"/>
      <c r="AS59" s="1088"/>
      <c r="AT59" s="1088"/>
      <c r="AU59" s="1088"/>
      <c r="AV59" s="1088"/>
      <c r="AW59" s="1088"/>
      <c r="AX59" s="1086">
        <f t="shared" si="1"/>
        <v>0</v>
      </c>
    </row>
    <row r="60" spans="1:50" ht="24">
      <c r="A60" s="1086" t="s">
        <v>1213</v>
      </c>
      <c r="B60" s="1086" t="s">
        <v>1214</v>
      </c>
      <c r="C60" s="1088">
        <v>0</v>
      </c>
      <c r="D60" s="1088">
        <v>0</v>
      </c>
      <c r="E60" s="1088">
        <v>0</v>
      </c>
      <c r="F60" s="1088">
        <v>0</v>
      </c>
      <c r="G60" s="1088">
        <v>0</v>
      </c>
      <c r="H60" s="1088">
        <v>0</v>
      </c>
      <c r="I60" s="1088">
        <v>0</v>
      </c>
      <c r="J60" s="1088">
        <v>0</v>
      </c>
      <c r="K60" s="1088">
        <v>0</v>
      </c>
      <c r="L60" s="1088">
        <v>0</v>
      </c>
      <c r="M60" s="1088">
        <v>0</v>
      </c>
      <c r="N60" s="1088">
        <v>0</v>
      </c>
      <c r="O60" s="1088">
        <v>0</v>
      </c>
      <c r="P60" s="1088">
        <v>0</v>
      </c>
      <c r="Q60" s="1088">
        <v>0</v>
      </c>
      <c r="R60" s="1088">
        <v>0</v>
      </c>
      <c r="S60" s="1088">
        <v>0</v>
      </c>
      <c r="T60" s="1088">
        <v>0</v>
      </c>
      <c r="U60" s="1088">
        <v>0</v>
      </c>
      <c r="V60" s="1088">
        <v>0</v>
      </c>
      <c r="W60" s="1088">
        <v>0</v>
      </c>
      <c r="X60" s="1088">
        <v>0</v>
      </c>
      <c r="Y60" s="1088">
        <v>0</v>
      </c>
      <c r="Z60" s="1088">
        <v>0</v>
      </c>
      <c r="AA60" s="1088">
        <v>0</v>
      </c>
      <c r="AB60" s="1088">
        <v>0</v>
      </c>
      <c r="AC60" s="1088">
        <v>0</v>
      </c>
      <c r="AD60" s="1088"/>
      <c r="AE60" s="1088"/>
      <c r="AF60" s="1088"/>
      <c r="AG60" s="1088"/>
      <c r="AH60" s="1088"/>
      <c r="AI60" s="1088"/>
      <c r="AJ60" s="1088"/>
      <c r="AK60" s="1088"/>
      <c r="AL60" s="1088"/>
      <c r="AM60" s="1088"/>
      <c r="AN60" s="1088"/>
      <c r="AO60" s="1088"/>
      <c r="AP60" s="1088"/>
      <c r="AQ60" s="1088"/>
      <c r="AR60" s="1088"/>
      <c r="AS60" s="1088"/>
      <c r="AT60" s="1088"/>
      <c r="AU60" s="1088"/>
      <c r="AV60" s="1088"/>
      <c r="AW60" s="1088"/>
      <c r="AX60" s="1086">
        <f t="shared" si="1"/>
        <v>0</v>
      </c>
    </row>
    <row r="61" spans="1:50" ht="24">
      <c r="A61" s="1086" t="s">
        <v>1215</v>
      </c>
      <c r="B61" s="1086" t="s">
        <v>1216</v>
      </c>
      <c r="C61" s="1088">
        <v>0</v>
      </c>
      <c r="D61" s="1088">
        <v>0</v>
      </c>
      <c r="E61" s="1088">
        <v>0</v>
      </c>
      <c r="F61" s="1088">
        <v>0</v>
      </c>
      <c r="G61" s="1088">
        <v>0</v>
      </c>
      <c r="H61" s="1088">
        <v>0</v>
      </c>
      <c r="I61" s="1088">
        <v>0</v>
      </c>
      <c r="J61" s="1088">
        <v>0</v>
      </c>
      <c r="K61" s="1088">
        <v>0</v>
      </c>
      <c r="L61" s="1088">
        <v>0</v>
      </c>
      <c r="M61" s="1088">
        <v>0</v>
      </c>
      <c r="N61" s="1088">
        <v>0</v>
      </c>
      <c r="O61" s="1088">
        <v>0</v>
      </c>
      <c r="P61" s="1088">
        <v>0</v>
      </c>
      <c r="Q61" s="1088">
        <v>0</v>
      </c>
      <c r="R61" s="1088">
        <v>0</v>
      </c>
      <c r="S61" s="1088">
        <v>0</v>
      </c>
      <c r="T61" s="1088">
        <v>0</v>
      </c>
      <c r="U61" s="1088">
        <v>0</v>
      </c>
      <c r="V61" s="1088">
        <v>0</v>
      </c>
      <c r="W61" s="1088">
        <v>0</v>
      </c>
      <c r="X61" s="1088">
        <v>0</v>
      </c>
      <c r="Y61" s="1088">
        <v>0</v>
      </c>
      <c r="Z61" s="1088">
        <v>0</v>
      </c>
      <c r="AA61" s="1088">
        <v>0</v>
      </c>
      <c r="AB61" s="1088">
        <v>0</v>
      </c>
      <c r="AC61" s="1088">
        <v>0</v>
      </c>
      <c r="AD61" s="1088"/>
      <c r="AE61" s="1088"/>
      <c r="AF61" s="1088"/>
      <c r="AG61" s="1088"/>
      <c r="AH61" s="1088"/>
      <c r="AI61" s="1088"/>
      <c r="AJ61" s="1088"/>
      <c r="AK61" s="1088"/>
      <c r="AL61" s="1088"/>
      <c r="AM61" s="1088"/>
      <c r="AN61" s="1088"/>
      <c r="AO61" s="1088"/>
      <c r="AP61" s="1088"/>
      <c r="AQ61" s="1088"/>
      <c r="AR61" s="1088"/>
      <c r="AS61" s="1088"/>
      <c r="AT61" s="1088"/>
      <c r="AU61" s="1088"/>
      <c r="AV61" s="1088"/>
      <c r="AW61" s="1088"/>
      <c r="AX61" s="1086">
        <f t="shared" si="1"/>
        <v>0</v>
      </c>
    </row>
    <row r="62" spans="1:50" ht="12">
      <c r="A62" s="1086" t="s">
        <v>1217</v>
      </c>
      <c r="B62" s="1086" t="s">
        <v>1218</v>
      </c>
      <c r="C62" s="1086">
        <f>SUM(C63:C64)</f>
        <v>0</v>
      </c>
      <c r="D62" s="1086">
        <f t="shared" ref="D62:AC62" si="11">SUM(D63:D64)</f>
        <v>0</v>
      </c>
      <c r="E62" s="1086">
        <f t="shared" si="11"/>
        <v>0</v>
      </c>
      <c r="F62" s="1086">
        <f t="shared" si="11"/>
        <v>794261069.37569284</v>
      </c>
      <c r="G62" s="1086">
        <f t="shared" si="11"/>
        <v>162239251.16399229</v>
      </c>
      <c r="H62" s="1086">
        <f t="shared" si="11"/>
        <v>88316237.605092719</v>
      </c>
      <c r="I62" s="1086">
        <f t="shared" si="11"/>
        <v>297617687.6050927</v>
      </c>
      <c r="J62" s="1086">
        <f t="shared" si="11"/>
        <v>1957830002.7731147</v>
      </c>
      <c r="K62" s="1086">
        <f t="shared" si="11"/>
        <v>5069527778.0338039</v>
      </c>
      <c r="L62" s="1086">
        <f t="shared" si="11"/>
        <v>1173849110.7000527</v>
      </c>
      <c r="M62" s="1086">
        <f t="shared" si="11"/>
        <v>1245207686.5893455</v>
      </c>
      <c r="N62" s="1086">
        <f t="shared" si="11"/>
        <v>970499654.72751391</v>
      </c>
      <c r="O62" s="1086">
        <f t="shared" si="11"/>
        <v>980646345.87715459</v>
      </c>
      <c r="P62" s="1086">
        <f t="shared" si="11"/>
        <v>977545127.89485955</v>
      </c>
      <c r="Q62" s="1086">
        <f t="shared" si="11"/>
        <v>983568860.57747948</v>
      </c>
      <c r="R62" s="1086">
        <f t="shared" si="11"/>
        <v>983039572.55629456</v>
      </c>
      <c r="S62" s="1086">
        <f t="shared" si="11"/>
        <v>1019331189.7210113</v>
      </c>
      <c r="T62" s="1086">
        <f t="shared" si="11"/>
        <v>1014600051.9313459</v>
      </c>
      <c r="U62" s="1086">
        <f t="shared" si="11"/>
        <v>0</v>
      </c>
      <c r="V62" s="1086">
        <f t="shared" si="11"/>
        <v>0</v>
      </c>
      <c r="W62" s="1086">
        <f t="shared" si="11"/>
        <v>0</v>
      </c>
      <c r="X62" s="1086">
        <f t="shared" si="11"/>
        <v>0</v>
      </c>
      <c r="Y62" s="1086">
        <f t="shared" si="11"/>
        <v>0</v>
      </c>
      <c r="Z62" s="1086">
        <f t="shared" si="11"/>
        <v>0</v>
      </c>
      <c r="AA62" s="1086">
        <f t="shared" si="11"/>
        <v>0</v>
      </c>
      <c r="AB62" s="1086">
        <f t="shared" si="11"/>
        <v>0</v>
      </c>
      <c r="AC62" s="1086">
        <f t="shared" si="11"/>
        <v>0</v>
      </c>
      <c r="AD62" s="1086"/>
      <c r="AE62" s="1086"/>
      <c r="AF62" s="1086"/>
      <c r="AG62" s="1086"/>
      <c r="AH62" s="1086"/>
      <c r="AI62" s="1086"/>
      <c r="AJ62" s="1086"/>
      <c r="AK62" s="1086"/>
      <c r="AL62" s="1086"/>
      <c r="AM62" s="1086"/>
      <c r="AN62" s="1086"/>
      <c r="AO62" s="1086"/>
      <c r="AP62" s="1086"/>
      <c r="AQ62" s="1086"/>
      <c r="AR62" s="1086"/>
      <c r="AS62" s="1086"/>
      <c r="AT62" s="1086"/>
      <c r="AU62" s="1086"/>
      <c r="AV62" s="1086"/>
      <c r="AW62" s="1086"/>
      <c r="AX62" s="1086">
        <f t="shared" si="1"/>
        <v>17718079627.131851</v>
      </c>
    </row>
    <row r="63" spans="1:50" ht="24">
      <c r="A63" s="1086" t="s">
        <v>1219</v>
      </c>
      <c r="B63" s="1086" t="s">
        <v>1220</v>
      </c>
      <c r="C63" s="1088">
        <v>0</v>
      </c>
      <c r="D63" s="1088">
        <v>0</v>
      </c>
      <c r="E63" s="1088">
        <v>0</v>
      </c>
      <c r="F63" s="1088">
        <v>0</v>
      </c>
      <c r="G63" s="1088">
        <v>0</v>
      </c>
      <c r="H63" s="1088">
        <v>0</v>
      </c>
      <c r="I63" s="1088">
        <v>0</v>
      </c>
      <c r="J63" s="1088">
        <v>0</v>
      </c>
      <c r="K63" s="1088">
        <v>5069527778.0338039</v>
      </c>
      <c r="L63" s="1088">
        <v>1173849110.7000527</v>
      </c>
      <c r="M63" s="1088">
        <v>1245207686.5893455</v>
      </c>
      <c r="N63" s="1088">
        <v>970499654.72751391</v>
      </c>
      <c r="O63" s="1088">
        <v>980646345.87715459</v>
      </c>
      <c r="P63" s="1088">
        <v>977545127.89485955</v>
      </c>
      <c r="Q63" s="1088">
        <v>983568860.57747948</v>
      </c>
      <c r="R63" s="1088">
        <v>983039572.55629456</v>
      </c>
      <c r="S63" s="1088">
        <v>1019331189.7210113</v>
      </c>
      <c r="T63" s="1088">
        <v>1014600051.9313459</v>
      </c>
      <c r="U63" s="1088">
        <v>0</v>
      </c>
      <c r="V63" s="1088">
        <v>0</v>
      </c>
      <c r="W63" s="1088">
        <v>0</v>
      </c>
      <c r="X63" s="1088">
        <v>0</v>
      </c>
      <c r="Y63" s="1088">
        <v>0</v>
      </c>
      <c r="Z63" s="1088">
        <v>0</v>
      </c>
      <c r="AA63" s="1088">
        <v>0</v>
      </c>
      <c r="AB63" s="1088">
        <v>0</v>
      </c>
      <c r="AC63" s="1088">
        <v>0</v>
      </c>
      <c r="AD63" s="1088"/>
      <c r="AE63" s="1088"/>
      <c r="AF63" s="1088"/>
      <c r="AG63" s="1088"/>
      <c r="AH63" s="1088"/>
      <c r="AI63" s="1088"/>
      <c r="AJ63" s="1088"/>
      <c r="AK63" s="1088"/>
      <c r="AL63" s="1088"/>
      <c r="AM63" s="1088"/>
      <c r="AN63" s="1088"/>
      <c r="AO63" s="1088"/>
      <c r="AP63" s="1088"/>
      <c r="AQ63" s="1088"/>
      <c r="AR63" s="1088"/>
      <c r="AS63" s="1088"/>
      <c r="AT63" s="1088"/>
      <c r="AU63" s="1088"/>
      <c r="AV63" s="1088"/>
      <c r="AW63" s="1088"/>
      <c r="AX63" s="1086">
        <f t="shared" si="1"/>
        <v>14417815378.608864</v>
      </c>
    </row>
    <row r="64" spans="1:50" ht="12">
      <c r="A64" s="1086" t="s">
        <v>1221</v>
      </c>
      <c r="B64" s="1086" t="s">
        <v>1222</v>
      </c>
      <c r="C64" s="1088">
        <v>0</v>
      </c>
      <c r="D64" s="1088">
        <v>0</v>
      </c>
      <c r="E64" s="1088">
        <v>0</v>
      </c>
      <c r="F64" s="1088">
        <v>794261069.37569284</v>
      </c>
      <c r="G64" s="1088">
        <v>162239251.16399229</v>
      </c>
      <c r="H64" s="1088">
        <v>88316237.605092719</v>
      </c>
      <c r="I64" s="1088">
        <v>297617687.6050927</v>
      </c>
      <c r="J64" s="1088">
        <v>1957830002.7731147</v>
      </c>
      <c r="K64" s="1088">
        <v>0</v>
      </c>
      <c r="L64" s="1088">
        <v>0</v>
      </c>
      <c r="M64" s="1088">
        <v>0</v>
      </c>
      <c r="N64" s="1088">
        <v>0</v>
      </c>
      <c r="O64" s="1088">
        <v>0</v>
      </c>
      <c r="P64" s="1088">
        <v>0</v>
      </c>
      <c r="Q64" s="1088">
        <v>0</v>
      </c>
      <c r="R64" s="1088">
        <v>0</v>
      </c>
      <c r="S64" s="1088">
        <v>0</v>
      </c>
      <c r="T64" s="1088">
        <v>0</v>
      </c>
      <c r="U64" s="1088">
        <v>0</v>
      </c>
      <c r="V64" s="1088">
        <v>0</v>
      </c>
      <c r="W64" s="1088">
        <v>0</v>
      </c>
      <c r="X64" s="1088">
        <v>0</v>
      </c>
      <c r="Y64" s="1088">
        <v>0</v>
      </c>
      <c r="Z64" s="1088">
        <v>0</v>
      </c>
      <c r="AA64" s="1088">
        <v>0</v>
      </c>
      <c r="AB64" s="1088">
        <v>0</v>
      </c>
      <c r="AC64" s="1088">
        <v>0</v>
      </c>
      <c r="AD64" s="1088"/>
      <c r="AE64" s="1088"/>
      <c r="AF64" s="1088"/>
      <c r="AG64" s="1088"/>
      <c r="AH64" s="1088"/>
      <c r="AI64" s="1088"/>
      <c r="AJ64" s="1088"/>
      <c r="AK64" s="1088"/>
      <c r="AL64" s="1088"/>
      <c r="AM64" s="1088"/>
      <c r="AN64" s="1088"/>
      <c r="AO64" s="1088"/>
      <c r="AP64" s="1088"/>
      <c r="AQ64" s="1088"/>
      <c r="AR64" s="1088"/>
      <c r="AS64" s="1088"/>
      <c r="AT64" s="1088"/>
      <c r="AU64" s="1088"/>
      <c r="AV64" s="1088"/>
      <c r="AW64" s="1088"/>
      <c r="AX64" s="1086">
        <f t="shared" si="1"/>
        <v>3300264248.5229855</v>
      </c>
    </row>
    <row r="65" spans="1:51" ht="24">
      <c r="A65" s="1086" t="s">
        <v>1223</v>
      </c>
      <c r="B65" s="1086" t="s">
        <v>298</v>
      </c>
      <c r="C65" s="1086">
        <f>SUM(C66:C70)</f>
        <v>0</v>
      </c>
      <c r="D65" s="1086">
        <f t="shared" ref="D65:AB65" si="12">SUM(D66:D70)</f>
        <v>0</v>
      </c>
      <c r="E65" s="1086">
        <f t="shared" si="12"/>
        <v>0</v>
      </c>
      <c r="F65" s="1086">
        <f t="shared" si="12"/>
        <v>0</v>
      </c>
      <c r="G65" s="1086">
        <f t="shared" si="12"/>
        <v>0</v>
      </c>
      <c r="H65" s="1086">
        <f t="shared" si="12"/>
        <v>0</v>
      </c>
      <c r="I65" s="1086">
        <f t="shared" si="12"/>
        <v>0</v>
      </c>
      <c r="J65" s="1086">
        <f t="shared" si="12"/>
        <v>0</v>
      </c>
      <c r="K65" s="1086">
        <f t="shared" si="12"/>
        <v>0</v>
      </c>
      <c r="L65" s="1086">
        <f t="shared" si="12"/>
        <v>0</v>
      </c>
      <c r="M65" s="1086">
        <f t="shared" si="12"/>
        <v>0</v>
      </c>
      <c r="N65" s="1086">
        <f t="shared" si="12"/>
        <v>0</v>
      </c>
      <c r="O65" s="1086">
        <f t="shared" si="12"/>
        <v>0</v>
      </c>
      <c r="P65" s="1086">
        <f t="shared" si="12"/>
        <v>0</v>
      </c>
      <c r="Q65" s="1086">
        <f t="shared" si="12"/>
        <v>0</v>
      </c>
      <c r="R65" s="1086">
        <f t="shared" si="12"/>
        <v>0</v>
      </c>
      <c r="S65" s="1086">
        <f t="shared" si="12"/>
        <v>0</v>
      </c>
      <c r="T65" s="1086">
        <f t="shared" si="12"/>
        <v>0</v>
      </c>
      <c r="U65" s="1086">
        <f t="shared" si="12"/>
        <v>0</v>
      </c>
      <c r="V65" s="1086">
        <f t="shared" si="12"/>
        <v>0</v>
      </c>
      <c r="W65" s="1086">
        <f t="shared" si="12"/>
        <v>0</v>
      </c>
      <c r="X65" s="1086">
        <f t="shared" si="12"/>
        <v>0</v>
      </c>
      <c r="Y65" s="1086">
        <f t="shared" si="12"/>
        <v>0</v>
      </c>
      <c r="Z65" s="1086">
        <f t="shared" si="12"/>
        <v>0</v>
      </c>
      <c r="AA65" s="1086">
        <f t="shared" si="12"/>
        <v>0</v>
      </c>
      <c r="AB65" s="1086">
        <f t="shared" si="12"/>
        <v>0</v>
      </c>
      <c r="AC65" s="1086">
        <f>SUM(AC66:AC70)</f>
        <v>0</v>
      </c>
      <c r="AD65" s="1086"/>
      <c r="AE65" s="1086"/>
      <c r="AF65" s="1086"/>
      <c r="AG65" s="1086"/>
      <c r="AH65" s="1086"/>
      <c r="AI65" s="1086"/>
      <c r="AJ65" s="1086"/>
      <c r="AK65" s="1086"/>
      <c r="AL65" s="1086"/>
      <c r="AM65" s="1086"/>
      <c r="AN65" s="1086"/>
      <c r="AO65" s="1086"/>
      <c r="AP65" s="1086"/>
      <c r="AQ65" s="1086"/>
      <c r="AR65" s="1086"/>
      <c r="AS65" s="1086"/>
      <c r="AT65" s="1086"/>
      <c r="AU65" s="1086"/>
      <c r="AV65" s="1086"/>
      <c r="AW65" s="1086"/>
      <c r="AX65" s="1086">
        <f t="shared" si="1"/>
        <v>0</v>
      </c>
    </row>
    <row r="66" spans="1:51" ht="12">
      <c r="A66" s="1086" t="s">
        <v>1224</v>
      </c>
      <c r="B66" s="1086" t="s">
        <v>1225</v>
      </c>
      <c r="C66" s="1088"/>
      <c r="D66" s="1088"/>
      <c r="E66" s="1088"/>
      <c r="F66" s="1088"/>
      <c r="G66" s="1088"/>
      <c r="H66" s="1088"/>
      <c r="I66" s="1088"/>
      <c r="J66" s="1088"/>
      <c r="K66" s="1088"/>
      <c r="L66" s="1088"/>
      <c r="M66" s="1088"/>
      <c r="N66" s="1088"/>
      <c r="O66" s="1088"/>
      <c r="P66" s="1088"/>
      <c r="Q66" s="1088"/>
      <c r="R66" s="1088"/>
      <c r="S66" s="1088"/>
      <c r="T66" s="1088"/>
      <c r="U66" s="1088"/>
      <c r="V66" s="1088"/>
      <c r="W66" s="1088"/>
      <c r="X66" s="1088"/>
      <c r="Y66" s="1088"/>
      <c r="Z66" s="1088"/>
      <c r="AA66" s="1088"/>
      <c r="AB66" s="1088"/>
      <c r="AC66" s="1088"/>
      <c r="AD66" s="1088"/>
      <c r="AE66" s="1088"/>
      <c r="AF66" s="1088"/>
      <c r="AG66" s="1088"/>
      <c r="AH66" s="1088"/>
      <c r="AI66" s="1088"/>
      <c r="AJ66" s="1088"/>
      <c r="AK66" s="1088"/>
      <c r="AL66" s="1088"/>
      <c r="AM66" s="1088"/>
      <c r="AN66" s="1088"/>
      <c r="AO66" s="1088"/>
      <c r="AP66" s="1088"/>
      <c r="AQ66" s="1088"/>
      <c r="AR66" s="1088"/>
      <c r="AS66" s="1088"/>
      <c r="AT66" s="1088"/>
      <c r="AU66" s="1088"/>
      <c r="AV66" s="1088"/>
      <c r="AW66" s="1088"/>
      <c r="AX66" s="1086">
        <f t="shared" si="1"/>
        <v>0</v>
      </c>
    </row>
    <row r="67" spans="1:51" ht="12">
      <c r="A67" s="1086" t="s">
        <v>1226</v>
      </c>
      <c r="B67" s="1086" t="s">
        <v>1227</v>
      </c>
      <c r="C67" s="1088"/>
      <c r="D67" s="1088"/>
      <c r="E67" s="1088"/>
      <c r="F67" s="1088"/>
      <c r="G67" s="1088"/>
      <c r="H67" s="1088"/>
      <c r="I67" s="1088"/>
      <c r="J67" s="1088"/>
      <c r="K67" s="1088"/>
      <c r="L67" s="1088"/>
      <c r="M67" s="1088"/>
      <c r="N67" s="1088"/>
      <c r="O67" s="1088"/>
      <c r="P67" s="1088"/>
      <c r="Q67" s="1088"/>
      <c r="R67" s="1088"/>
      <c r="S67" s="1088"/>
      <c r="T67" s="1088"/>
      <c r="U67" s="1088"/>
      <c r="V67" s="1088"/>
      <c r="W67" s="1088"/>
      <c r="X67" s="1088"/>
      <c r="Y67" s="1088"/>
      <c r="Z67" s="1088"/>
      <c r="AA67" s="1088"/>
      <c r="AB67" s="1088"/>
      <c r="AC67" s="1088"/>
      <c r="AD67" s="1088"/>
      <c r="AE67" s="1088"/>
      <c r="AF67" s="1088"/>
      <c r="AG67" s="1088"/>
      <c r="AH67" s="1088"/>
      <c r="AI67" s="1088"/>
      <c r="AJ67" s="1088"/>
      <c r="AK67" s="1088"/>
      <c r="AL67" s="1088"/>
      <c r="AM67" s="1088"/>
      <c r="AN67" s="1088"/>
      <c r="AO67" s="1088"/>
      <c r="AP67" s="1088"/>
      <c r="AQ67" s="1088"/>
      <c r="AR67" s="1088"/>
      <c r="AS67" s="1088"/>
      <c r="AT67" s="1088"/>
      <c r="AU67" s="1088"/>
      <c r="AV67" s="1088"/>
      <c r="AW67" s="1088"/>
      <c r="AX67" s="1086">
        <f t="shared" ref="AX67:AX130" si="13">SUM(C67:AW67)</f>
        <v>0</v>
      </c>
    </row>
    <row r="68" spans="1:51" ht="12">
      <c r="A68" s="1086" t="s">
        <v>1228</v>
      </c>
      <c r="B68" s="1086" t="s">
        <v>1229</v>
      </c>
      <c r="C68" s="1088"/>
      <c r="D68" s="1088"/>
      <c r="E68" s="1088"/>
      <c r="F68" s="1088"/>
      <c r="G68" s="1088"/>
      <c r="H68" s="1088"/>
      <c r="I68" s="1088"/>
      <c r="J68" s="1088"/>
      <c r="K68" s="1088"/>
      <c r="L68" s="1088"/>
      <c r="M68" s="1088"/>
      <c r="N68" s="1088"/>
      <c r="O68" s="1088"/>
      <c r="P68" s="1088"/>
      <c r="Q68" s="1088"/>
      <c r="R68" s="1088"/>
      <c r="S68" s="1088"/>
      <c r="T68" s="1088"/>
      <c r="U68" s="1088"/>
      <c r="V68" s="1088"/>
      <c r="W68" s="1088"/>
      <c r="X68" s="1088"/>
      <c r="Y68" s="1088"/>
      <c r="Z68" s="1088"/>
      <c r="AA68" s="1088"/>
      <c r="AB68" s="1088"/>
      <c r="AC68" s="1088"/>
      <c r="AD68" s="1088"/>
      <c r="AE68" s="1088"/>
      <c r="AF68" s="1088"/>
      <c r="AG68" s="1088"/>
      <c r="AH68" s="1088"/>
      <c r="AI68" s="1088"/>
      <c r="AJ68" s="1088"/>
      <c r="AK68" s="1088"/>
      <c r="AL68" s="1088"/>
      <c r="AM68" s="1088"/>
      <c r="AN68" s="1088"/>
      <c r="AO68" s="1088"/>
      <c r="AP68" s="1088"/>
      <c r="AQ68" s="1088"/>
      <c r="AR68" s="1088"/>
      <c r="AS68" s="1088"/>
      <c r="AT68" s="1088"/>
      <c r="AU68" s="1088"/>
      <c r="AV68" s="1088"/>
      <c r="AW68" s="1088"/>
      <c r="AX68" s="1086">
        <f t="shared" si="13"/>
        <v>0</v>
      </c>
    </row>
    <row r="69" spans="1:51" ht="12">
      <c r="A69" s="1086" t="s">
        <v>1230</v>
      </c>
      <c r="B69" s="1086" t="s">
        <v>1231</v>
      </c>
      <c r="C69" s="1088"/>
      <c r="D69" s="1088"/>
      <c r="E69" s="1088"/>
      <c r="F69" s="1088"/>
      <c r="G69" s="1088"/>
      <c r="H69" s="1088"/>
      <c r="I69" s="1088"/>
      <c r="J69" s="1088"/>
      <c r="K69" s="1088"/>
      <c r="L69" s="1088"/>
      <c r="M69" s="1088"/>
      <c r="N69" s="1088"/>
      <c r="O69" s="1088"/>
      <c r="P69" s="1088"/>
      <c r="Q69" s="1088"/>
      <c r="R69" s="1088"/>
      <c r="S69" s="1088"/>
      <c r="T69" s="1088"/>
      <c r="U69" s="1088"/>
      <c r="V69" s="1088"/>
      <c r="W69" s="1088"/>
      <c r="X69" s="1088"/>
      <c r="Y69" s="1088"/>
      <c r="Z69" s="1088"/>
      <c r="AA69" s="1088"/>
      <c r="AB69" s="1088"/>
      <c r="AC69" s="1088"/>
      <c r="AD69" s="1088"/>
      <c r="AE69" s="1088"/>
      <c r="AF69" s="1088"/>
      <c r="AG69" s="1088"/>
      <c r="AH69" s="1088"/>
      <c r="AI69" s="1088"/>
      <c r="AJ69" s="1088"/>
      <c r="AK69" s="1088"/>
      <c r="AL69" s="1088"/>
      <c r="AM69" s="1088"/>
      <c r="AN69" s="1088"/>
      <c r="AO69" s="1088"/>
      <c r="AP69" s="1088"/>
      <c r="AQ69" s="1088"/>
      <c r="AR69" s="1088"/>
      <c r="AS69" s="1088"/>
      <c r="AT69" s="1088"/>
      <c r="AU69" s="1088"/>
      <c r="AV69" s="1088"/>
      <c r="AW69" s="1088"/>
      <c r="AX69" s="1086">
        <f t="shared" si="13"/>
        <v>0</v>
      </c>
    </row>
    <row r="70" spans="1:51" ht="12">
      <c r="A70" s="1086" t="s">
        <v>1232</v>
      </c>
      <c r="B70" s="1086" t="s">
        <v>1233</v>
      </c>
      <c r="C70" s="1088"/>
      <c r="D70" s="1088"/>
      <c r="E70" s="1088"/>
      <c r="F70" s="1088"/>
      <c r="G70" s="1088"/>
      <c r="H70" s="1088"/>
      <c r="I70" s="1088"/>
      <c r="J70" s="1088"/>
      <c r="K70" s="1088"/>
      <c r="L70" s="1088"/>
      <c r="M70" s="1088"/>
      <c r="N70" s="1088"/>
      <c r="O70" s="1088"/>
      <c r="P70" s="1088"/>
      <c r="Q70" s="1088"/>
      <c r="R70" s="1088"/>
      <c r="S70" s="1088"/>
      <c r="T70" s="1088"/>
      <c r="U70" s="1088"/>
      <c r="V70" s="1088"/>
      <c r="W70" s="1088"/>
      <c r="X70" s="1088"/>
      <c r="Y70" s="1088"/>
      <c r="Z70" s="1088"/>
      <c r="AA70" s="1088"/>
      <c r="AB70" s="1088"/>
      <c r="AC70" s="1088"/>
      <c r="AD70" s="1088"/>
      <c r="AE70" s="1088"/>
      <c r="AF70" s="1088"/>
      <c r="AG70" s="1088"/>
      <c r="AH70" s="1088"/>
      <c r="AI70" s="1088"/>
      <c r="AJ70" s="1088"/>
      <c r="AK70" s="1088"/>
      <c r="AL70" s="1088"/>
      <c r="AM70" s="1088"/>
      <c r="AN70" s="1088"/>
      <c r="AO70" s="1088"/>
      <c r="AP70" s="1088"/>
      <c r="AQ70" s="1088"/>
      <c r="AR70" s="1088"/>
      <c r="AS70" s="1088"/>
      <c r="AT70" s="1088"/>
      <c r="AU70" s="1088"/>
      <c r="AV70" s="1088"/>
      <c r="AW70" s="1088"/>
      <c r="AX70" s="1086">
        <f t="shared" si="13"/>
        <v>0</v>
      </c>
    </row>
    <row r="71" spans="1:51" ht="12">
      <c r="A71" s="1086" t="s">
        <v>1234</v>
      </c>
      <c r="B71" s="1086" t="s">
        <v>310</v>
      </c>
      <c r="C71" s="1088"/>
      <c r="D71" s="1088"/>
      <c r="E71" s="1088"/>
      <c r="F71" s="1088"/>
      <c r="G71" s="1088"/>
      <c r="H71" s="1088"/>
      <c r="I71" s="1088"/>
      <c r="J71" s="1088"/>
      <c r="K71" s="1088"/>
      <c r="L71" s="1088"/>
      <c r="M71" s="1088"/>
      <c r="N71" s="1088"/>
      <c r="O71" s="1088"/>
      <c r="P71" s="1088"/>
      <c r="Q71" s="1088"/>
      <c r="R71" s="1088"/>
      <c r="S71" s="1088"/>
      <c r="T71" s="1088"/>
      <c r="U71" s="1088"/>
      <c r="V71" s="1088"/>
      <c r="W71" s="1088"/>
      <c r="X71" s="1088"/>
      <c r="Y71" s="1088"/>
      <c r="Z71" s="1088"/>
      <c r="AA71" s="1088"/>
      <c r="AB71" s="1088"/>
      <c r="AC71" s="1088"/>
      <c r="AD71" s="1088"/>
      <c r="AE71" s="1088"/>
      <c r="AF71" s="1088"/>
      <c r="AG71" s="1088"/>
      <c r="AH71" s="1088"/>
      <c r="AI71" s="1088"/>
      <c r="AJ71" s="1088"/>
      <c r="AK71" s="1088"/>
      <c r="AL71" s="1088"/>
      <c r="AM71" s="1088"/>
      <c r="AN71" s="1088"/>
      <c r="AO71" s="1088"/>
      <c r="AP71" s="1088"/>
      <c r="AQ71" s="1088"/>
      <c r="AR71" s="1088"/>
      <c r="AS71" s="1088"/>
      <c r="AT71" s="1088"/>
      <c r="AU71" s="1088"/>
      <c r="AV71" s="1088"/>
      <c r="AW71" s="1088"/>
      <c r="AX71" s="1086">
        <f t="shared" si="13"/>
        <v>0</v>
      </c>
    </row>
    <row r="72" spans="1:51" ht="24">
      <c r="A72" s="1086" t="s">
        <v>1235</v>
      </c>
      <c r="B72" s="1086" t="s">
        <v>1236</v>
      </c>
      <c r="C72" s="1086">
        <f>C73+C81+C90+C113+C127+C135+C144+C150</f>
        <v>173468.52000000002</v>
      </c>
      <c r="D72" s="1086">
        <f t="shared" ref="D72:AD72" si="14">D73+D81+D90+D113+D127+D135+D144+D150</f>
        <v>617963.22</v>
      </c>
      <c r="E72" s="1086">
        <f t="shared" si="14"/>
        <v>586185.18000000005</v>
      </c>
      <c r="F72" s="1086">
        <f t="shared" si="14"/>
        <v>23472477.417272728</v>
      </c>
      <c r="G72" s="1086">
        <f t="shared" si="14"/>
        <v>22988469.317272726</v>
      </c>
      <c r="H72" s="1086">
        <f t="shared" si="14"/>
        <v>12988469.317272726</v>
      </c>
      <c r="I72" s="1086">
        <f t="shared" si="14"/>
        <v>12988469.317272726</v>
      </c>
      <c r="J72" s="1086">
        <f t="shared" si="14"/>
        <v>13008469.317272726</v>
      </c>
      <c r="K72" s="1086">
        <f t="shared" si="14"/>
        <v>37106397.679323032</v>
      </c>
      <c r="L72" s="1086">
        <f t="shared" si="14"/>
        <v>89164944.474834099</v>
      </c>
      <c r="M72" s="1086">
        <f t="shared" si="14"/>
        <v>90138041.531300172</v>
      </c>
      <c r="N72" s="1086">
        <f t="shared" si="14"/>
        <v>76270217.009445906</v>
      </c>
      <c r="O72" s="1086">
        <f t="shared" si="14"/>
        <v>82162840.548986584</v>
      </c>
      <c r="P72" s="1086">
        <f t="shared" si="14"/>
        <v>79061622.566691503</v>
      </c>
      <c r="Q72" s="1086">
        <f t="shared" si="14"/>
        <v>85085355.249311402</v>
      </c>
      <c r="R72" s="1086">
        <f t="shared" si="14"/>
        <v>84556067.228126451</v>
      </c>
      <c r="S72" s="1086">
        <f t="shared" si="14"/>
        <v>87721751.782743245</v>
      </c>
      <c r="T72" s="1086">
        <f t="shared" si="14"/>
        <v>82990613.993077829</v>
      </c>
      <c r="U72" s="1086">
        <f t="shared" si="14"/>
        <v>594139524.51312566</v>
      </c>
      <c r="V72" s="1086">
        <f t="shared" si="14"/>
        <v>274967859.24004561</v>
      </c>
      <c r="W72" s="1086">
        <f t="shared" si="14"/>
        <v>308284618.16249931</v>
      </c>
      <c r="X72" s="1086">
        <f t="shared" si="14"/>
        <v>295218769.95086348</v>
      </c>
      <c r="Y72" s="1086">
        <f t="shared" si="14"/>
        <v>194229682.28851861</v>
      </c>
      <c r="Z72" s="1086">
        <f t="shared" si="14"/>
        <v>173040651.24365741</v>
      </c>
      <c r="AA72" s="1086">
        <f t="shared" si="14"/>
        <v>230631011.00739488</v>
      </c>
      <c r="AB72" s="1086">
        <f t="shared" si="14"/>
        <v>51748561.891164228</v>
      </c>
      <c r="AC72" s="1086">
        <f t="shared" si="14"/>
        <v>17896644.725515261</v>
      </c>
      <c r="AD72" s="1086">
        <f t="shared" si="14"/>
        <v>0</v>
      </c>
      <c r="AE72" s="1086"/>
      <c r="AF72" s="1086"/>
      <c r="AG72" s="1086"/>
      <c r="AH72" s="1086"/>
      <c r="AI72" s="1086"/>
      <c r="AJ72" s="1086"/>
      <c r="AK72" s="1086"/>
      <c r="AL72" s="1086"/>
      <c r="AM72" s="1086"/>
      <c r="AN72" s="1086"/>
      <c r="AO72" s="1086"/>
      <c r="AP72" s="1086"/>
      <c r="AQ72" s="1086"/>
      <c r="AR72" s="1086"/>
      <c r="AS72" s="1086"/>
      <c r="AT72" s="1086"/>
      <c r="AU72" s="1086"/>
      <c r="AV72" s="1086"/>
      <c r="AW72" s="1086"/>
      <c r="AX72" s="1087">
        <f t="shared" si="13"/>
        <v>3021239146.6929884</v>
      </c>
      <c r="AY72" s="1089">
        <v>0</v>
      </c>
    </row>
    <row r="73" spans="1:51" ht="12">
      <c r="A73" s="1086" t="s">
        <v>1237</v>
      </c>
      <c r="B73" s="1086" t="s">
        <v>1238</v>
      </c>
      <c r="C73" s="1086">
        <f>SUM(C74:C75,C76,C79,C80)</f>
        <v>109070.13</v>
      </c>
      <c r="D73" s="1086">
        <f t="shared" ref="D73:AC73" si="15">SUM(D74:D75,D76,D79,D80)</f>
        <v>377269</v>
      </c>
      <c r="E73" s="1086">
        <f t="shared" si="15"/>
        <v>334434.68000000005</v>
      </c>
      <c r="F73" s="1086">
        <f t="shared" si="15"/>
        <v>489000</v>
      </c>
      <c r="G73" s="1086">
        <f t="shared" si="15"/>
        <v>489000</v>
      </c>
      <c r="H73" s="1086">
        <f t="shared" si="15"/>
        <v>489000</v>
      </c>
      <c r="I73" s="1086">
        <f t="shared" si="15"/>
        <v>489000</v>
      </c>
      <c r="J73" s="1086">
        <f t="shared" si="15"/>
        <v>489000</v>
      </c>
      <c r="K73" s="1086">
        <f t="shared" si="15"/>
        <v>489000</v>
      </c>
      <c r="L73" s="1086">
        <f t="shared" si="15"/>
        <v>489000</v>
      </c>
      <c r="M73" s="1086">
        <f t="shared" si="15"/>
        <v>489000</v>
      </c>
      <c r="N73" s="1086">
        <f t="shared" si="15"/>
        <v>489000</v>
      </c>
      <c r="O73" s="1086">
        <f t="shared" si="15"/>
        <v>489000</v>
      </c>
      <c r="P73" s="1086">
        <f t="shared" si="15"/>
        <v>489000</v>
      </c>
      <c r="Q73" s="1086">
        <f t="shared" si="15"/>
        <v>489000</v>
      </c>
      <c r="R73" s="1086">
        <f t="shared" si="15"/>
        <v>489000</v>
      </c>
      <c r="S73" s="1086">
        <f t="shared" si="15"/>
        <v>489000</v>
      </c>
      <c r="T73" s="1086">
        <f t="shared" si="15"/>
        <v>489000</v>
      </c>
      <c r="U73" s="1086">
        <f t="shared" si="15"/>
        <v>489000</v>
      </c>
      <c r="V73" s="1086">
        <f t="shared" si="15"/>
        <v>489000</v>
      </c>
      <c r="W73" s="1086">
        <f t="shared" si="15"/>
        <v>489000</v>
      </c>
      <c r="X73" s="1086">
        <f t="shared" si="15"/>
        <v>489000</v>
      </c>
      <c r="Y73" s="1086">
        <f t="shared" si="15"/>
        <v>489000</v>
      </c>
      <c r="Z73" s="1086">
        <f t="shared" si="15"/>
        <v>0</v>
      </c>
      <c r="AA73" s="1086">
        <f t="shared" si="15"/>
        <v>0</v>
      </c>
      <c r="AB73" s="1086">
        <f t="shared" si="15"/>
        <v>0</v>
      </c>
      <c r="AC73" s="1086">
        <f t="shared" si="15"/>
        <v>0</v>
      </c>
      <c r="AD73" s="1086"/>
      <c r="AE73" s="1086"/>
      <c r="AF73" s="1086"/>
      <c r="AG73" s="1086"/>
      <c r="AH73" s="1086"/>
      <c r="AI73" s="1086"/>
      <c r="AJ73" s="1086"/>
      <c r="AK73" s="1086"/>
      <c r="AL73" s="1086"/>
      <c r="AM73" s="1086"/>
      <c r="AN73" s="1086"/>
      <c r="AO73" s="1086"/>
      <c r="AP73" s="1086"/>
      <c r="AQ73" s="1086"/>
      <c r="AR73" s="1086"/>
      <c r="AS73" s="1086"/>
      <c r="AT73" s="1086"/>
      <c r="AU73" s="1086"/>
      <c r="AV73" s="1086"/>
      <c r="AW73" s="1086"/>
      <c r="AX73" s="1086">
        <f t="shared" si="13"/>
        <v>10600773.810000001</v>
      </c>
    </row>
    <row r="74" spans="1:51" ht="12">
      <c r="A74" s="1086" t="s">
        <v>851</v>
      </c>
      <c r="B74" s="1086" t="s">
        <v>415</v>
      </c>
      <c r="C74" s="1088">
        <v>0</v>
      </c>
      <c r="D74" s="1088">
        <v>78129</v>
      </c>
      <c r="E74" s="1088">
        <v>63000.03</v>
      </c>
      <c r="F74" s="1088">
        <v>100000</v>
      </c>
      <c r="G74" s="1088">
        <v>100000</v>
      </c>
      <c r="H74" s="1088">
        <v>100000</v>
      </c>
      <c r="I74" s="1088">
        <v>100000</v>
      </c>
      <c r="J74" s="1088">
        <v>100000</v>
      </c>
      <c r="K74" s="1088">
        <v>100000</v>
      </c>
      <c r="L74" s="1088">
        <v>100000</v>
      </c>
      <c r="M74" s="1088">
        <v>100000</v>
      </c>
      <c r="N74" s="1088">
        <v>100000</v>
      </c>
      <c r="O74" s="1088">
        <v>100000</v>
      </c>
      <c r="P74" s="1088">
        <v>100000</v>
      </c>
      <c r="Q74" s="1088">
        <v>100000</v>
      </c>
      <c r="R74" s="1088">
        <v>100000</v>
      </c>
      <c r="S74" s="1088">
        <v>100000</v>
      </c>
      <c r="T74" s="1088">
        <v>100000</v>
      </c>
      <c r="U74" s="1088">
        <v>100000</v>
      </c>
      <c r="V74" s="1088">
        <v>100000</v>
      </c>
      <c r="W74" s="1088">
        <v>100000</v>
      </c>
      <c r="X74" s="1088">
        <v>100000</v>
      </c>
      <c r="Y74" s="1088">
        <v>100000</v>
      </c>
      <c r="Z74" s="1088">
        <v>0</v>
      </c>
      <c r="AA74" s="1088">
        <v>0</v>
      </c>
      <c r="AB74" s="1088">
        <v>0</v>
      </c>
      <c r="AC74" s="1088">
        <v>0</v>
      </c>
      <c r="AD74" s="1088"/>
      <c r="AE74" s="1088"/>
      <c r="AF74" s="1088"/>
      <c r="AG74" s="1088"/>
      <c r="AH74" s="1088"/>
      <c r="AI74" s="1088"/>
      <c r="AJ74" s="1088"/>
      <c r="AK74" s="1088"/>
      <c r="AL74" s="1088"/>
      <c r="AM74" s="1088"/>
      <c r="AN74" s="1088"/>
      <c r="AO74" s="1088"/>
      <c r="AP74" s="1088"/>
      <c r="AQ74" s="1088"/>
      <c r="AR74" s="1088"/>
      <c r="AS74" s="1088"/>
      <c r="AT74" s="1088"/>
      <c r="AU74" s="1088"/>
      <c r="AV74" s="1088"/>
      <c r="AW74" s="1088"/>
      <c r="AX74" s="1086">
        <f t="shared" si="13"/>
        <v>2141129.0300000003</v>
      </c>
    </row>
    <row r="75" spans="1:51" ht="12">
      <c r="A75" s="1086" t="s">
        <v>850</v>
      </c>
      <c r="B75" s="1086" t="s">
        <v>409</v>
      </c>
      <c r="C75" s="1088">
        <v>109070.13</v>
      </c>
      <c r="D75" s="1088">
        <v>299140</v>
      </c>
      <c r="E75" s="1088">
        <v>271434.65000000002</v>
      </c>
      <c r="F75" s="1088">
        <v>389000</v>
      </c>
      <c r="G75" s="1088">
        <v>389000</v>
      </c>
      <c r="H75" s="1088">
        <v>389000</v>
      </c>
      <c r="I75" s="1088">
        <v>389000</v>
      </c>
      <c r="J75" s="1088">
        <v>389000</v>
      </c>
      <c r="K75" s="1088">
        <v>389000</v>
      </c>
      <c r="L75" s="1088">
        <v>389000</v>
      </c>
      <c r="M75" s="1088">
        <v>389000</v>
      </c>
      <c r="N75" s="1088">
        <v>389000</v>
      </c>
      <c r="O75" s="1088">
        <v>389000</v>
      </c>
      <c r="P75" s="1088">
        <v>389000</v>
      </c>
      <c r="Q75" s="1088">
        <v>389000</v>
      </c>
      <c r="R75" s="1088">
        <v>389000</v>
      </c>
      <c r="S75" s="1088">
        <v>389000</v>
      </c>
      <c r="T75" s="1088">
        <v>389000</v>
      </c>
      <c r="U75" s="1088">
        <v>389000</v>
      </c>
      <c r="V75" s="1088">
        <v>389000</v>
      </c>
      <c r="W75" s="1088">
        <v>389000</v>
      </c>
      <c r="X75" s="1088">
        <v>389000</v>
      </c>
      <c r="Y75" s="1088">
        <v>389000</v>
      </c>
      <c r="Z75" s="1088">
        <v>0</v>
      </c>
      <c r="AA75" s="1088">
        <v>0</v>
      </c>
      <c r="AB75" s="1088">
        <v>0</v>
      </c>
      <c r="AC75" s="1088">
        <v>0</v>
      </c>
      <c r="AD75" s="1088"/>
      <c r="AE75" s="1088"/>
      <c r="AF75" s="1088"/>
      <c r="AG75" s="1088"/>
      <c r="AH75" s="1088"/>
      <c r="AI75" s="1088"/>
      <c r="AJ75" s="1088"/>
      <c r="AK75" s="1088"/>
      <c r="AL75" s="1088"/>
      <c r="AM75" s="1088"/>
      <c r="AN75" s="1088"/>
      <c r="AO75" s="1088"/>
      <c r="AP75" s="1088"/>
      <c r="AQ75" s="1088"/>
      <c r="AR75" s="1088"/>
      <c r="AS75" s="1088"/>
      <c r="AT75" s="1088"/>
      <c r="AU75" s="1088"/>
      <c r="AV75" s="1088"/>
      <c r="AW75" s="1088"/>
      <c r="AX75" s="1086">
        <f t="shared" si="13"/>
        <v>8459644.7800000012</v>
      </c>
    </row>
    <row r="76" spans="1:51" ht="12">
      <c r="A76" s="1086" t="s">
        <v>1239</v>
      </c>
      <c r="B76" s="1086" t="s">
        <v>1240</v>
      </c>
      <c r="C76" s="1086">
        <f>SUM(C77:C78)</f>
        <v>0</v>
      </c>
      <c r="D76" s="1086">
        <f t="shared" ref="D76:AC76" si="16">SUM(D77:D78)</f>
        <v>0</v>
      </c>
      <c r="E76" s="1086">
        <f t="shared" si="16"/>
        <v>0</v>
      </c>
      <c r="F76" s="1086">
        <f t="shared" si="16"/>
        <v>0</v>
      </c>
      <c r="G76" s="1086">
        <f t="shared" si="16"/>
        <v>0</v>
      </c>
      <c r="H76" s="1086">
        <f t="shared" si="16"/>
        <v>0</v>
      </c>
      <c r="I76" s="1086">
        <f t="shared" si="16"/>
        <v>0</v>
      </c>
      <c r="J76" s="1086">
        <f t="shared" si="16"/>
        <v>0</v>
      </c>
      <c r="K76" s="1086">
        <f t="shared" si="16"/>
        <v>0</v>
      </c>
      <c r="L76" s="1086">
        <f t="shared" si="16"/>
        <v>0</v>
      </c>
      <c r="M76" s="1086">
        <f t="shared" si="16"/>
        <v>0</v>
      </c>
      <c r="N76" s="1086">
        <f t="shared" si="16"/>
        <v>0</v>
      </c>
      <c r="O76" s="1086">
        <f t="shared" si="16"/>
        <v>0</v>
      </c>
      <c r="P76" s="1086">
        <f t="shared" si="16"/>
        <v>0</v>
      </c>
      <c r="Q76" s="1086">
        <f t="shared" si="16"/>
        <v>0</v>
      </c>
      <c r="R76" s="1086">
        <f t="shared" si="16"/>
        <v>0</v>
      </c>
      <c r="S76" s="1086">
        <f t="shared" si="16"/>
        <v>0</v>
      </c>
      <c r="T76" s="1086">
        <f t="shared" si="16"/>
        <v>0</v>
      </c>
      <c r="U76" s="1086">
        <f t="shared" si="16"/>
        <v>0</v>
      </c>
      <c r="V76" s="1086">
        <f t="shared" si="16"/>
        <v>0</v>
      </c>
      <c r="W76" s="1086">
        <f t="shared" si="16"/>
        <v>0</v>
      </c>
      <c r="X76" s="1086">
        <f t="shared" si="16"/>
        <v>0</v>
      </c>
      <c r="Y76" s="1086">
        <f t="shared" si="16"/>
        <v>0</v>
      </c>
      <c r="Z76" s="1086">
        <f t="shared" si="16"/>
        <v>0</v>
      </c>
      <c r="AA76" s="1086">
        <f t="shared" si="16"/>
        <v>0</v>
      </c>
      <c r="AB76" s="1086">
        <f t="shared" si="16"/>
        <v>0</v>
      </c>
      <c r="AC76" s="1086">
        <f t="shared" si="16"/>
        <v>0</v>
      </c>
      <c r="AD76" s="1086"/>
      <c r="AE76" s="1086"/>
      <c r="AF76" s="1086"/>
      <c r="AG76" s="1086"/>
      <c r="AH76" s="1086"/>
      <c r="AI76" s="1086"/>
      <c r="AJ76" s="1086"/>
      <c r="AK76" s="1086"/>
      <c r="AL76" s="1086"/>
      <c r="AM76" s="1086"/>
      <c r="AN76" s="1086"/>
      <c r="AO76" s="1086"/>
      <c r="AP76" s="1086"/>
      <c r="AQ76" s="1086"/>
      <c r="AR76" s="1086"/>
      <c r="AS76" s="1086"/>
      <c r="AT76" s="1086"/>
      <c r="AU76" s="1086"/>
      <c r="AV76" s="1086"/>
      <c r="AW76" s="1086"/>
      <c r="AX76" s="1086">
        <f t="shared" si="13"/>
        <v>0</v>
      </c>
    </row>
    <row r="77" spans="1:51" ht="12">
      <c r="A77" s="1086" t="s">
        <v>1241</v>
      </c>
      <c r="B77" s="1086" t="s">
        <v>1242</v>
      </c>
      <c r="C77" s="1088">
        <v>0</v>
      </c>
      <c r="D77" s="1088">
        <v>0</v>
      </c>
      <c r="E77" s="1088">
        <v>0</v>
      </c>
      <c r="F77" s="1088">
        <v>0</v>
      </c>
      <c r="G77" s="1088">
        <v>0</v>
      </c>
      <c r="H77" s="1088">
        <v>0</v>
      </c>
      <c r="I77" s="1088">
        <v>0</v>
      </c>
      <c r="J77" s="1088">
        <v>0</v>
      </c>
      <c r="K77" s="1088">
        <v>0</v>
      </c>
      <c r="L77" s="1088">
        <v>0</v>
      </c>
      <c r="M77" s="1088">
        <v>0</v>
      </c>
      <c r="N77" s="1088">
        <v>0</v>
      </c>
      <c r="O77" s="1088">
        <v>0</v>
      </c>
      <c r="P77" s="1088">
        <v>0</v>
      </c>
      <c r="Q77" s="1088">
        <v>0</v>
      </c>
      <c r="R77" s="1088">
        <v>0</v>
      </c>
      <c r="S77" s="1088">
        <v>0</v>
      </c>
      <c r="T77" s="1088">
        <v>0</v>
      </c>
      <c r="U77" s="1088">
        <v>0</v>
      </c>
      <c r="V77" s="1088">
        <v>0</v>
      </c>
      <c r="W77" s="1088">
        <v>0</v>
      </c>
      <c r="X77" s="1088">
        <v>0</v>
      </c>
      <c r="Y77" s="1088">
        <v>0</v>
      </c>
      <c r="Z77" s="1088">
        <v>0</v>
      </c>
      <c r="AA77" s="1088">
        <v>0</v>
      </c>
      <c r="AB77" s="1088">
        <v>0</v>
      </c>
      <c r="AC77" s="1088">
        <v>0</v>
      </c>
      <c r="AD77" s="1088"/>
      <c r="AE77" s="1088"/>
      <c r="AF77" s="1088"/>
      <c r="AG77" s="1088"/>
      <c r="AH77" s="1088"/>
      <c r="AI77" s="1088"/>
      <c r="AJ77" s="1088"/>
      <c r="AK77" s="1088"/>
      <c r="AL77" s="1088"/>
      <c r="AM77" s="1088"/>
      <c r="AN77" s="1088"/>
      <c r="AO77" s="1088"/>
      <c r="AP77" s="1088"/>
      <c r="AQ77" s="1088"/>
      <c r="AR77" s="1088"/>
      <c r="AS77" s="1088"/>
      <c r="AT77" s="1088"/>
      <c r="AU77" s="1088"/>
      <c r="AV77" s="1088"/>
      <c r="AW77" s="1088"/>
      <c r="AX77" s="1086">
        <f t="shared" si="13"/>
        <v>0</v>
      </c>
    </row>
    <row r="78" spans="1:51" ht="12">
      <c r="A78" s="1086" t="s">
        <v>1243</v>
      </c>
      <c r="B78" s="1086" t="s">
        <v>1244</v>
      </c>
      <c r="C78" s="1088">
        <v>0</v>
      </c>
      <c r="D78" s="1088">
        <v>0</v>
      </c>
      <c r="E78" s="1088">
        <v>0</v>
      </c>
      <c r="F78" s="1088">
        <v>0</v>
      </c>
      <c r="G78" s="1088">
        <v>0</v>
      </c>
      <c r="H78" s="1088">
        <v>0</v>
      </c>
      <c r="I78" s="1088">
        <v>0</v>
      </c>
      <c r="J78" s="1088">
        <v>0</v>
      </c>
      <c r="K78" s="1088">
        <v>0</v>
      </c>
      <c r="L78" s="1088">
        <v>0</v>
      </c>
      <c r="M78" s="1088">
        <v>0</v>
      </c>
      <c r="N78" s="1088">
        <v>0</v>
      </c>
      <c r="O78" s="1088">
        <v>0</v>
      </c>
      <c r="P78" s="1088">
        <v>0</v>
      </c>
      <c r="Q78" s="1088">
        <v>0</v>
      </c>
      <c r="R78" s="1088">
        <v>0</v>
      </c>
      <c r="S78" s="1088">
        <v>0</v>
      </c>
      <c r="T78" s="1088">
        <v>0</v>
      </c>
      <c r="U78" s="1088">
        <v>0</v>
      </c>
      <c r="V78" s="1088">
        <v>0</v>
      </c>
      <c r="W78" s="1088">
        <v>0</v>
      </c>
      <c r="X78" s="1088">
        <v>0</v>
      </c>
      <c r="Y78" s="1088">
        <v>0</v>
      </c>
      <c r="Z78" s="1088">
        <v>0</v>
      </c>
      <c r="AA78" s="1088">
        <v>0</v>
      </c>
      <c r="AB78" s="1088">
        <v>0</v>
      </c>
      <c r="AC78" s="1088">
        <v>0</v>
      </c>
      <c r="AD78" s="1088"/>
      <c r="AE78" s="1088"/>
      <c r="AF78" s="1088"/>
      <c r="AG78" s="1088"/>
      <c r="AH78" s="1088"/>
      <c r="AI78" s="1088"/>
      <c r="AJ78" s="1088"/>
      <c r="AK78" s="1088"/>
      <c r="AL78" s="1088"/>
      <c r="AM78" s="1088"/>
      <c r="AN78" s="1088"/>
      <c r="AO78" s="1088"/>
      <c r="AP78" s="1088"/>
      <c r="AQ78" s="1088"/>
      <c r="AR78" s="1088"/>
      <c r="AS78" s="1088"/>
      <c r="AT78" s="1088"/>
      <c r="AU78" s="1088"/>
      <c r="AV78" s="1088"/>
      <c r="AW78" s="1088"/>
      <c r="AX78" s="1086">
        <f t="shared" si="13"/>
        <v>0</v>
      </c>
    </row>
    <row r="79" spans="1:51" ht="12">
      <c r="A79" s="1086" t="s">
        <v>1245</v>
      </c>
      <c r="B79" s="1086" t="s">
        <v>1246</v>
      </c>
      <c r="C79" s="1088">
        <v>0</v>
      </c>
      <c r="D79" s="1088">
        <v>0</v>
      </c>
      <c r="E79" s="1088">
        <v>0</v>
      </c>
      <c r="F79" s="1088">
        <v>0</v>
      </c>
      <c r="G79" s="1088">
        <v>0</v>
      </c>
      <c r="H79" s="1088">
        <v>0</v>
      </c>
      <c r="I79" s="1088">
        <v>0</v>
      </c>
      <c r="J79" s="1088">
        <v>0</v>
      </c>
      <c r="K79" s="1088">
        <v>0</v>
      </c>
      <c r="L79" s="1088">
        <v>0</v>
      </c>
      <c r="M79" s="1088">
        <v>0</v>
      </c>
      <c r="N79" s="1088">
        <v>0</v>
      </c>
      <c r="O79" s="1088">
        <v>0</v>
      </c>
      <c r="P79" s="1088">
        <v>0</v>
      </c>
      <c r="Q79" s="1088">
        <v>0</v>
      </c>
      <c r="R79" s="1088">
        <v>0</v>
      </c>
      <c r="S79" s="1088">
        <v>0</v>
      </c>
      <c r="T79" s="1088">
        <v>0</v>
      </c>
      <c r="U79" s="1088">
        <v>0</v>
      </c>
      <c r="V79" s="1088">
        <v>0</v>
      </c>
      <c r="W79" s="1088">
        <v>0</v>
      </c>
      <c r="X79" s="1088">
        <v>0</v>
      </c>
      <c r="Y79" s="1088">
        <v>0</v>
      </c>
      <c r="Z79" s="1088">
        <v>0</v>
      </c>
      <c r="AA79" s="1088">
        <v>0</v>
      </c>
      <c r="AB79" s="1088">
        <v>0</v>
      </c>
      <c r="AC79" s="1088">
        <v>0</v>
      </c>
      <c r="AD79" s="1088"/>
      <c r="AE79" s="1088"/>
      <c r="AF79" s="1088"/>
      <c r="AG79" s="1088"/>
      <c r="AH79" s="1088"/>
      <c r="AI79" s="1088"/>
      <c r="AJ79" s="1088"/>
      <c r="AK79" s="1088"/>
      <c r="AL79" s="1088"/>
      <c r="AM79" s="1088"/>
      <c r="AN79" s="1088"/>
      <c r="AO79" s="1088"/>
      <c r="AP79" s="1088"/>
      <c r="AQ79" s="1088"/>
      <c r="AR79" s="1088"/>
      <c r="AS79" s="1088"/>
      <c r="AT79" s="1088"/>
      <c r="AU79" s="1088"/>
      <c r="AV79" s="1088"/>
      <c r="AW79" s="1088"/>
      <c r="AX79" s="1086">
        <f t="shared" si="13"/>
        <v>0</v>
      </c>
    </row>
    <row r="80" spans="1:51" ht="12">
      <c r="A80" s="1086" t="s">
        <v>1247</v>
      </c>
      <c r="B80" s="1086" t="s">
        <v>1248</v>
      </c>
      <c r="C80" s="1088">
        <v>0</v>
      </c>
      <c r="D80" s="1088">
        <v>0</v>
      </c>
      <c r="E80" s="1088">
        <v>0</v>
      </c>
      <c r="F80" s="1088">
        <v>0</v>
      </c>
      <c r="G80" s="1088">
        <v>0</v>
      </c>
      <c r="H80" s="1088">
        <v>0</v>
      </c>
      <c r="I80" s="1088">
        <v>0</v>
      </c>
      <c r="J80" s="1088">
        <v>0</v>
      </c>
      <c r="K80" s="1088">
        <v>0</v>
      </c>
      <c r="L80" s="1088">
        <v>0</v>
      </c>
      <c r="M80" s="1088">
        <v>0</v>
      </c>
      <c r="N80" s="1088">
        <v>0</v>
      </c>
      <c r="O80" s="1088">
        <v>0</v>
      </c>
      <c r="P80" s="1088">
        <v>0</v>
      </c>
      <c r="Q80" s="1088">
        <v>0</v>
      </c>
      <c r="R80" s="1088">
        <v>0</v>
      </c>
      <c r="S80" s="1088">
        <v>0</v>
      </c>
      <c r="T80" s="1088">
        <v>0</v>
      </c>
      <c r="U80" s="1088">
        <v>0</v>
      </c>
      <c r="V80" s="1088">
        <v>0</v>
      </c>
      <c r="W80" s="1088">
        <v>0</v>
      </c>
      <c r="X80" s="1088">
        <v>0</v>
      </c>
      <c r="Y80" s="1088">
        <v>0</v>
      </c>
      <c r="Z80" s="1088">
        <v>0</v>
      </c>
      <c r="AA80" s="1088">
        <v>0</v>
      </c>
      <c r="AB80" s="1088">
        <v>0</v>
      </c>
      <c r="AC80" s="1088">
        <v>0</v>
      </c>
      <c r="AD80" s="1088"/>
      <c r="AE80" s="1088"/>
      <c r="AF80" s="1088"/>
      <c r="AG80" s="1088"/>
      <c r="AH80" s="1088"/>
      <c r="AI80" s="1088"/>
      <c r="AJ80" s="1088"/>
      <c r="AK80" s="1088"/>
      <c r="AL80" s="1088"/>
      <c r="AM80" s="1088"/>
      <c r="AN80" s="1088"/>
      <c r="AO80" s="1088"/>
      <c r="AP80" s="1088"/>
      <c r="AQ80" s="1088"/>
      <c r="AR80" s="1088"/>
      <c r="AS80" s="1088"/>
      <c r="AT80" s="1088"/>
      <c r="AU80" s="1088"/>
      <c r="AV80" s="1088"/>
      <c r="AW80" s="1088"/>
      <c r="AX80" s="1086">
        <f t="shared" si="13"/>
        <v>0</v>
      </c>
    </row>
    <row r="81" spans="1:51" ht="12">
      <c r="A81" s="1086" t="s">
        <v>1249</v>
      </c>
      <c r="B81" s="1086" t="s">
        <v>1250</v>
      </c>
      <c r="C81" s="1086">
        <f>SUM(C82:C89)</f>
        <v>0</v>
      </c>
      <c r="D81" s="1086">
        <f t="shared" ref="D81:AB81" si="17">SUM(D82:D89)</f>
        <v>0</v>
      </c>
      <c r="E81" s="1086">
        <f t="shared" si="17"/>
        <v>0</v>
      </c>
      <c r="F81" s="1086">
        <f t="shared" si="17"/>
        <v>0</v>
      </c>
      <c r="G81" s="1086">
        <f t="shared" si="17"/>
        <v>0</v>
      </c>
      <c r="H81" s="1086">
        <f t="shared" si="17"/>
        <v>0</v>
      </c>
      <c r="I81" s="1086">
        <f t="shared" si="17"/>
        <v>0</v>
      </c>
      <c r="J81" s="1086">
        <f t="shared" si="17"/>
        <v>0</v>
      </c>
      <c r="K81" s="1086">
        <f t="shared" si="17"/>
        <v>2009210.941609679</v>
      </c>
      <c r="L81" s="1086">
        <f t="shared" si="17"/>
        <v>54067757.737120755</v>
      </c>
      <c r="M81" s="1086">
        <f t="shared" si="17"/>
        <v>55040854.793586828</v>
      </c>
      <c r="N81" s="1086">
        <f t="shared" si="17"/>
        <v>41153030.271732561</v>
      </c>
      <c r="O81" s="1086">
        <f t="shared" si="17"/>
        <v>47065653.811273232</v>
      </c>
      <c r="P81" s="1086">
        <f t="shared" si="17"/>
        <v>43964435.828978159</v>
      </c>
      <c r="Q81" s="1086">
        <f t="shared" si="17"/>
        <v>49988168.511598051</v>
      </c>
      <c r="R81" s="1086">
        <f t="shared" si="17"/>
        <v>49438880.4904131</v>
      </c>
      <c r="S81" s="1086">
        <f t="shared" si="17"/>
        <v>52624565.045029901</v>
      </c>
      <c r="T81" s="1086">
        <f t="shared" si="17"/>
        <v>47893427.255364478</v>
      </c>
      <c r="U81" s="1086">
        <f t="shared" si="17"/>
        <v>62793155.040898681</v>
      </c>
      <c r="V81" s="1086">
        <f t="shared" si="17"/>
        <v>58189147.619780146</v>
      </c>
      <c r="W81" s="1086">
        <f t="shared" si="17"/>
        <v>92870335.370685205</v>
      </c>
      <c r="X81" s="1086">
        <f t="shared" si="17"/>
        <v>83141397.48711668</v>
      </c>
      <c r="Y81" s="1086">
        <f t="shared" si="17"/>
        <v>54441425.528008178</v>
      </c>
      <c r="Z81" s="1086">
        <f t="shared" si="17"/>
        <v>47435414.55810231</v>
      </c>
      <c r="AA81" s="1086">
        <f t="shared" si="17"/>
        <v>39913019.465564691</v>
      </c>
      <c r="AB81" s="1086">
        <f t="shared" si="17"/>
        <v>51748561.891164228</v>
      </c>
      <c r="AC81" s="1086">
        <f>SUM(AC82:AC89)</f>
        <v>17896644.725515261</v>
      </c>
      <c r="AD81" s="1086">
        <f>SUM(AD82:AD89)</f>
        <v>0</v>
      </c>
      <c r="AE81" s="1086"/>
      <c r="AF81" s="1086"/>
      <c r="AG81" s="1086"/>
      <c r="AH81" s="1086"/>
      <c r="AI81" s="1086"/>
      <c r="AJ81" s="1086"/>
      <c r="AK81" s="1086"/>
      <c r="AL81" s="1086"/>
      <c r="AM81" s="1086"/>
      <c r="AN81" s="1086"/>
      <c r="AO81" s="1086"/>
      <c r="AP81" s="1086"/>
      <c r="AQ81" s="1086"/>
      <c r="AR81" s="1086"/>
      <c r="AS81" s="1086"/>
      <c r="AT81" s="1086"/>
      <c r="AU81" s="1086"/>
      <c r="AV81" s="1086"/>
      <c r="AW81" s="1086"/>
      <c r="AX81" s="1086">
        <f t="shared" si="13"/>
        <v>951675086.37354207</v>
      </c>
      <c r="AY81" s="1089">
        <v>0</v>
      </c>
    </row>
    <row r="82" spans="1:51" ht="24">
      <c r="A82" s="1086" t="s">
        <v>1251</v>
      </c>
      <c r="B82" s="1086" t="s">
        <v>1252</v>
      </c>
      <c r="C82" s="1088">
        <v>0</v>
      </c>
      <c r="D82" s="1088">
        <v>0</v>
      </c>
      <c r="E82" s="1088">
        <v>0</v>
      </c>
      <c r="F82" s="1088">
        <v>0</v>
      </c>
      <c r="G82" s="1088">
        <v>0</v>
      </c>
      <c r="H82" s="1088">
        <v>0</v>
      </c>
      <c r="I82" s="1088">
        <v>0</v>
      </c>
      <c r="J82" s="1088">
        <v>0</v>
      </c>
      <c r="K82" s="1088">
        <v>0</v>
      </c>
      <c r="L82" s="1088">
        <v>37815000</v>
      </c>
      <c r="M82" s="1088">
        <v>38641435.115951724</v>
      </c>
      <c r="N82" s="1088">
        <v>28538815.334185548</v>
      </c>
      <c r="O82" s="1088">
        <v>32946266.211479079</v>
      </c>
      <c r="P82" s="1088">
        <v>30511297.229333002</v>
      </c>
      <c r="Q82" s="1088">
        <v>34955163.515225269</v>
      </c>
      <c r="R82" s="1088">
        <v>34457279.776100218</v>
      </c>
      <c r="S82" s="1088">
        <v>36916917.092733838</v>
      </c>
      <c r="T82" s="1088">
        <v>33317719.6767518</v>
      </c>
      <c r="U82" s="1088">
        <v>38301521.175592713</v>
      </c>
      <c r="V82" s="1088">
        <v>40354662.45394291</v>
      </c>
      <c r="W82" s="1088">
        <v>65396708.396773331</v>
      </c>
      <c r="X82" s="1088">
        <v>58581885.53571137</v>
      </c>
      <c r="Y82" s="1088">
        <v>38290481.325558595</v>
      </c>
      <c r="Z82" s="1088">
        <v>33363030.80609965</v>
      </c>
      <c r="AA82" s="1088">
        <v>27683075.576778572</v>
      </c>
      <c r="AB82" s="1088">
        <v>36963258.493688732</v>
      </c>
      <c r="AC82" s="1088">
        <v>12783317.661082329</v>
      </c>
      <c r="AD82" s="1088">
        <v>0</v>
      </c>
      <c r="AE82" s="1088"/>
      <c r="AF82" s="1088"/>
      <c r="AG82" s="1088"/>
      <c r="AH82" s="1088"/>
      <c r="AI82" s="1088"/>
      <c r="AJ82" s="1088"/>
      <c r="AK82" s="1088"/>
      <c r="AL82" s="1088"/>
      <c r="AM82" s="1088"/>
      <c r="AN82" s="1088"/>
      <c r="AO82" s="1088"/>
      <c r="AP82" s="1088"/>
      <c r="AQ82" s="1088"/>
      <c r="AR82" s="1088"/>
      <c r="AS82" s="1088"/>
      <c r="AT82" s="1088"/>
      <c r="AU82" s="1088"/>
      <c r="AV82" s="1088"/>
      <c r="AW82" s="1088"/>
      <c r="AX82" s="1086">
        <f t="shared" si="13"/>
        <v>659817835.37698865</v>
      </c>
    </row>
    <row r="83" spans="1:51" ht="12">
      <c r="A83" s="1086" t="s">
        <v>1253</v>
      </c>
      <c r="B83" s="1086" t="s">
        <v>1254</v>
      </c>
      <c r="C83" s="1088">
        <v>0</v>
      </c>
      <c r="D83" s="1088">
        <v>0</v>
      </c>
      <c r="E83" s="1088">
        <v>0</v>
      </c>
      <c r="F83" s="1088">
        <v>0</v>
      </c>
      <c r="G83" s="1088">
        <v>0</v>
      </c>
      <c r="H83" s="1088">
        <v>0</v>
      </c>
      <c r="I83" s="1088">
        <v>0</v>
      </c>
      <c r="J83" s="1088">
        <v>0</v>
      </c>
      <c r="K83" s="1088">
        <v>0</v>
      </c>
      <c r="L83" s="1088">
        <v>0</v>
      </c>
      <c r="M83" s="1088">
        <v>0</v>
      </c>
      <c r="N83" s="1088">
        <v>0</v>
      </c>
      <c r="O83" s="1088">
        <v>0</v>
      </c>
      <c r="P83" s="1088">
        <v>0</v>
      </c>
      <c r="Q83" s="1088">
        <v>0</v>
      </c>
      <c r="R83" s="1088">
        <v>0</v>
      </c>
      <c r="S83" s="1088">
        <v>0</v>
      </c>
      <c r="T83" s="1088">
        <v>0</v>
      </c>
      <c r="U83" s="1088">
        <v>0</v>
      </c>
      <c r="V83" s="1088">
        <v>0</v>
      </c>
      <c r="W83" s="1088">
        <v>0</v>
      </c>
      <c r="X83" s="1088">
        <v>0</v>
      </c>
      <c r="Y83" s="1088">
        <v>0</v>
      </c>
      <c r="Z83" s="1088">
        <v>0</v>
      </c>
      <c r="AA83" s="1088">
        <v>0</v>
      </c>
      <c r="AB83" s="1088">
        <v>0</v>
      </c>
      <c r="AC83" s="1088">
        <v>0</v>
      </c>
      <c r="AD83" s="1088">
        <v>0</v>
      </c>
      <c r="AE83" s="1088"/>
      <c r="AF83" s="1088"/>
      <c r="AG83" s="1088"/>
      <c r="AH83" s="1088"/>
      <c r="AI83" s="1088"/>
      <c r="AJ83" s="1088"/>
      <c r="AK83" s="1088"/>
      <c r="AL83" s="1088"/>
      <c r="AM83" s="1088"/>
      <c r="AN83" s="1088"/>
      <c r="AO83" s="1088"/>
      <c r="AP83" s="1088"/>
      <c r="AQ83" s="1088"/>
      <c r="AR83" s="1088"/>
      <c r="AS83" s="1088"/>
      <c r="AT83" s="1088"/>
      <c r="AU83" s="1088"/>
      <c r="AV83" s="1088"/>
      <c r="AW83" s="1088"/>
      <c r="AX83" s="1086">
        <f t="shared" si="13"/>
        <v>0</v>
      </c>
    </row>
    <row r="84" spans="1:51" ht="24">
      <c r="A84" s="1086" t="s">
        <v>1255</v>
      </c>
      <c r="B84" s="1086" t="s">
        <v>1256</v>
      </c>
      <c r="C84" s="1088">
        <v>0</v>
      </c>
      <c r="D84" s="1088">
        <v>0</v>
      </c>
      <c r="E84" s="1088">
        <v>0</v>
      </c>
      <c r="F84" s="1088">
        <v>0</v>
      </c>
      <c r="G84" s="1088">
        <v>0</v>
      </c>
      <c r="H84" s="1088">
        <v>0</v>
      </c>
      <c r="I84" s="1088">
        <v>0</v>
      </c>
      <c r="J84" s="1088">
        <v>0</v>
      </c>
      <c r="K84" s="1088">
        <v>0</v>
      </c>
      <c r="L84" s="1088">
        <v>0</v>
      </c>
      <c r="M84" s="1088">
        <v>0</v>
      </c>
      <c r="N84" s="1088">
        <v>0</v>
      </c>
      <c r="O84" s="1088">
        <v>0</v>
      </c>
      <c r="P84" s="1088">
        <v>0</v>
      </c>
      <c r="Q84" s="1088">
        <v>0</v>
      </c>
      <c r="R84" s="1088">
        <v>0</v>
      </c>
      <c r="S84" s="1088">
        <v>0</v>
      </c>
      <c r="T84" s="1088">
        <v>0</v>
      </c>
      <c r="U84" s="1088">
        <v>0</v>
      </c>
      <c r="V84" s="1088">
        <v>0</v>
      </c>
      <c r="W84" s="1088">
        <v>0</v>
      </c>
      <c r="X84" s="1088">
        <v>0</v>
      </c>
      <c r="Y84" s="1088">
        <v>0</v>
      </c>
      <c r="Z84" s="1088">
        <v>0</v>
      </c>
      <c r="AA84" s="1088">
        <v>0</v>
      </c>
      <c r="AB84" s="1088">
        <v>0</v>
      </c>
      <c r="AC84" s="1088">
        <v>0</v>
      </c>
      <c r="AD84" s="1088">
        <v>0</v>
      </c>
      <c r="AE84" s="1088"/>
      <c r="AF84" s="1088"/>
      <c r="AG84" s="1088"/>
      <c r="AH84" s="1088"/>
      <c r="AI84" s="1088"/>
      <c r="AJ84" s="1088"/>
      <c r="AK84" s="1088"/>
      <c r="AL84" s="1088"/>
      <c r="AM84" s="1088"/>
      <c r="AN84" s="1088"/>
      <c r="AO84" s="1088"/>
      <c r="AP84" s="1088"/>
      <c r="AQ84" s="1088"/>
      <c r="AR84" s="1088"/>
      <c r="AS84" s="1088"/>
      <c r="AT84" s="1088"/>
      <c r="AU84" s="1088"/>
      <c r="AV84" s="1088"/>
      <c r="AW84" s="1088"/>
      <c r="AX84" s="1086">
        <f t="shared" si="13"/>
        <v>0</v>
      </c>
    </row>
    <row r="85" spans="1:51" ht="24">
      <c r="A85" s="1086" t="s">
        <v>1257</v>
      </c>
      <c r="B85" s="1086" t="s">
        <v>1258</v>
      </c>
      <c r="C85" s="1088">
        <v>0</v>
      </c>
      <c r="D85" s="1088">
        <v>0</v>
      </c>
      <c r="E85" s="1088">
        <v>0</v>
      </c>
      <c r="F85" s="1088">
        <v>0</v>
      </c>
      <c r="G85" s="1088">
        <v>0</v>
      </c>
      <c r="H85" s="1088">
        <v>0</v>
      </c>
      <c r="I85" s="1088">
        <v>0</v>
      </c>
      <c r="J85" s="1088">
        <v>0</v>
      </c>
      <c r="K85" s="1088">
        <v>0</v>
      </c>
      <c r="L85" s="1088">
        <v>0</v>
      </c>
      <c r="M85" s="1088">
        <v>0</v>
      </c>
      <c r="N85" s="1088">
        <v>0</v>
      </c>
      <c r="O85" s="1088">
        <v>0</v>
      </c>
      <c r="P85" s="1088">
        <v>0</v>
      </c>
      <c r="Q85" s="1088">
        <v>0</v>
      </c>
      <c r="R85" s="1088">
        <v>0</v>
      </c>
      <c r="S85" s="1088">
        <v>0</v>
      </c>
      <c r="T85" s="1088">
        <v>0</v>
      </c>
      <c r="U85" s="1088">
        <v>0</v>
      </c>
      <c r="V85" s="1088">
        <v>0</v>
      </c>
      <c r="W85" s="1088">
        <v>0</v>
      </c>
      <c r="X85" s="1088">
        <v>0</v>
      </c>
      <c r="Y85" s="1088">
        <v>0</v>
      </c>
      <c r="Z85" s="1088">
        <v>0</v>
      </c>
      <c r="AA85" s="1088">
        <v>0</v>
      </c>
      <c r="AB85" s="1088">
        <v>0</v>
      </c>
      <c r="AC85" s="1088">
        <v>0</v>
      </c>
      <c r="AD85" s="1088">
        <v>0</v>
      </c>
      <c r="AE85" s="1088"/>
      <c r="AF85" s="1088"/>
      <c r="AG85" s="1088"/>
      <c r="AH85" s="1088"/>
      <c r="AI85" s="1088"/>
      <c r="AJ85" s="1088"/>
      <c r="AK85" s="1088"/>
      <c r="AL85" s="1088"/>
      <c r="AM85" s="1088"/>
      <c r="AN85" s="1088"/>
      <c r="AO85" s="1088"/>
      <c r="AP85" s="1088"/>
      <c r="AQ85" s="1088"/>
      <c r="AR85" s="1088"/>
      <c r="AS85" s="1088"/>
      <c r="AT85" s="1088"/>
      <c r="AU85" s="1088"/>
      <c r="AV85" s="1088"/>
      <c r="AW85" s="1088"/>
      <c r="AX85" s="1086">
        <f t="shared" si="13"/>
        <v>0</v>
      </c>
    </row>
    <row r="86" spans="1:51" ht="24">
      <c r="A86" s="1086" t="s">
        <v>1259</v>
      </c>
      <c r="B86" s="1086" t="s">
        <v>1260</v>
      </c>
      <c r="C86" s="1088">
        <v>0</v>
      </c>
      <c r="D86" s="1088">
        <v>0</v>
      </c>
      <c r="E86" s="1088">
        <v>0</v>
      </c>
      <c r="F86" s="1088">
        <v>0</v>
      </c>
      <c r="G86" s="1088">
        <v>0</v>
      </c>
      <c r="H86" s="1088">
        <v>0</v>
      </c>
      <c r="I86" s="1088">
        <v>0</v>
      </c>
      <c r="J86" s="1088">
        <v>0</v>
      </c>
      <c r="K86" s="1088">
        <v>0</v>
      </c>
      <c r="L86" s="1088">
        <v>15126000</v>
      </c>
      <c r="M86" s="1088">
        <v>15456574.046380691</v>
      </c>
      <c r="N86" s="1088">
        <v>11415526.133674217</v>
      </c>
      <c r="O86" s="1088">
        <v>13178506.484591631</v>
      </c>
      <c r="P86" s="1088">
        <v>12204518.891733201</v>
      </c>
      <c r="Q86" s="1088">
        <v>13982065.406090107</v>
      </c>
      <c r="R86" s="1088">
        <v>13782911.910440085</v>
      </c>
      <c r="S86" s="1088">
        <v>14766766.837093536</v>
      </c>
      <c r="T86" s="1088">
        <v>13327087.870700721</v>
      </c>
      <c r="U86" s="1088">
        <v>15320608.470237087</v>
      </c>
      <c r="V86" s="1088">
        <v>16141864.981577164</v>
      </c>
      <c r="W86" s="1088">
        <v>26158683.358709335</v>
      </c>
      <c r="X86" s="1088">
        <v>23432754.21428455</v>
      </c>
      <c r="Y86" s="1088">
        <v>15316192.530223439</v>
      </c>
      <c r="Z86" s="1088">
        <v>13345212.322439861</v>
      </c>
      <c r="AA86" s="1088">
        <v>11073230.230711428</v>
      </c>
      <c r="AB86" s="1088">
        <v>14785303.397475496</v>
      </c>
      <c r="AC86" s="1088">
        <v>5113327.0644329321</v>
      </c>
      <c r="AD86" s="1088">
        <v>0</v>
      </c>
      <c r="AE86" s="1088"/>
      <c r="AF86" s="1088"/>
      <c r="AG86" s="1088"/>
      <c r="AH86" s="1088"/>
      <c r="AI86" s="1088"/>
      <c r="AJ86" s="1088"/>
      <c r="AK86" s="1088"/>
      <c r="AL86" s="1088"/>
      <c r="AM86" s="1088"/>
      <c r="AN86" s="1088"/>
      <c r="AO86" s="1088"/>
      <c r="AP86" s="1088"/>
      <c r="AQ86" s="1088"/>
      <c r="AR86" s="1088"/>
      <c r="AS86" s="1088"/>
      <c r="AT86" s="1088"/>
      <c r="AU86" s="1088"/>
      <c r="AV86" s="1088"/>
      <c r="AW86" s="1088"/>
      <c r="AX86" s="1086">
        <f t="shared" si="13"/>
        <v>263927134.15079546</v>
      </c>
    </row>
    <row r="87" spans="1:51" ht="12">
      <c r="A87" s="1086" t="s">
        <v>1261</v>
      </c>
      <c r="B87" s="1086" t="s">
        <v>1262</v>
      </c>
      <c r="C87" s="1088">
        <v>0</v>
      </c>
      <c r="D87" s="1088">
        <v>0</v>
      </c>
      <c r="E87" s="1088">
        <v>0</v>
      </c>
      <c r="F87" s="1088">
        <v>0</v>
      </c>
      <c r="G87" s="1088">
        <v>0</v>
      </c>
      <c r="H87" s="1088">
        <v>0</v>
      </c>
      <c r="I87" s="1088">
        <v>0</v>
      </c>
      <c r="J87" s="1088">
        <v>0</v>
      </c>
      <c r="K87" s="1088">
        <v>0</v>
      </c>
      <c r="L87" s="1088">
        <v>0</v>
      </c>
      <c r="M87" s="1088">
        <v>0</v>
      </c>
      <c r="N87" s="1088">
        <v>0</v>
      </c>
      <c r="O87" s="1088">
        <v>0</v>
      </c>
      <c r="P87" s="1088">
        <v>0</v>
      </c>
      <c r="Q87" s="1088">
        <v>0</v>
      </c>
      <c r="R87" s="1088">
        <v>0</v>
      </c>
      <c r="S87" s="1088">
        <v>0</v>
      </c>
      <c r="T87" s="1088">
        <v>0</v>
      </c>
      <c r="U87" s="1088">
        <v>0</v>
      </c>
      <c r="V87" s="1088">
        <v>0</v>
      </c>
      <c r="W87" s="1088">
        <v>0</v>
      </c>
      <c r="X87" s="1088">
        <v>0</v>
      </c>
      <c r="Y87" s="1088">
        <v>0</v>
      </c>
      <c r="Z87" s="1088">
        <v>0</v>
      </c>
      <c r="AA87" s="1088">
        <v>0</v>
      </c>
      <c r="AB87" s="1088">
        <v>0</v>
      </c>
      <c r="AC87" s="1088">
        <v>0</v>
      </c>
      <c r="AD87" s="1088">
        <v>0</v>
      </c>
      <c r="AE87" s="1088"/>
      <c r="AF87" s="1088"/>
      <c r="AG87" s="1088"/>
      <c r="AH87" s="1088"/>
      <c r="AI87" s="1088"/>
      <c r="AJ87" s="1088"/>
      <c r="AK87" s="1088"/>
      <c r="AL87" s="1088"/>
      <c r="AM87" s="1088"/>
      <c r="AN87" s="1088"/>
      <c r="AO87" s="1088"/>
      <c r="AP87" s="1088"/>
      <c r="AQ87" s="1088"/>
      <c r="AR87" s="1088"/>
      <c r="AS87" s="1088"/>
      <c r="AT87" s="1088"/>
      <c r="AU87" s="1088"/>
      <c r="AV87" s="1088"/>
      <c r="AW87" s="1088"/>
      <c r="AX87" s="1086">
        <f t="shared" si="13"/>
        <v>0</v>
      </c>
    </row>
    <row r="88" spans="1:51" ht="24">
      <c r="A88" s="1086" t="s">
        <v>1263</v>
      </c>
      <c r="B88" s="1086" t="s">
        <v>1264</v>
      </c>
      <c r="C88" s="1088">
        <v>0</v>
      </c>
      <c r="D88" s="1088">
        <v>0</v>
      </c>
      <c r="E88" s="1088">
        <v>0</v>
      </c>
      <c r="F88" s="1088">
        <v>0</v>
      </c>
      <c r="G88" s="1088">
        <v>0</v>
      </c>
      <c r="H88" s="1088">
        <v>0</v>
      </c>
      <c r="I88" s="1088">
        <v>0</v>
      </c>
      <c r="J88" s="1088">
        <v>0</v>
      </c>
      <c r="K88" s="1088">
        <v>2009210.941609679</v>
      </c>
      <c r="L88" s="1088">
        <v>1126757.7371207562</v>
      </c>
      <c r="M88" s="1088">
        <v>942845.63125441049</v>
      </c>
      <c r="N88" s="1088">
        <v>1198688.8038727932</v>
      </c>
      <c r="O88" s="1088">
        <v>940881.11520252493</v>
      </c>
      <c r="P88" s="1088">
        <v>1248619.7079119512</v>
      </c>
      <c r="Q88" s="1088">
        <v>1050939.5902826784</v>
      </c>
      <c r="R88" s="1088">
        <v>1198688.8038727932</v>
      </c>
      <c r="S88" s="1088">
        <v>940881.11520252493</v>
      </c>
      <c r="T88" s="1088">
        <v>1248619.7079119512</v>
      </c>
      <c r="U88" s="1088">
        <v>9171025.395068882</v>
      </c>
      <c r="V88" s="1088">
        <v>1692620.1842600727</v>
      </c>
      <c r="W88" s="1088">
        <v>1314943.6152025249</v>
      </c>
      <c r="X88" s="1088">
        <v>1126757.7371207562</v>
      </c>
      <c r="Y88" s="1088">
        <v>834751.67222614272</v>
      </c>
      <c r="Z88" s="1088">
        <v>727171.4295627973</v>
      </c>
      <c r="AA88" s="1088">
        <v>1156713.6580746949</v>
      </c>
      <c r="AB88" s="1088">
        <v>0</v>
      </c>
      <c r="AC88" s="1088">
        <v>0</v>
      </c>
      <c r="AD88" s="1088">
        <v>0</v>
      </c>
      <c r="AE88" s="1088"/>
      <c r="AF88" s="1088"/>
      <c r="AG88" s="1088"/>
      <c r="AH88" s="1088"/>
      <c r="AI88" s="1088"/>
      <c r="AJ88" s="1088"/>
      <c r="AK88" s="1088"/>
      <c r="AL88" s="1088"/>
      <c r="AM88" s="1088"/>
      <c r="AN88" s="1088"/>
      <c r="AO88" s="1088"/>
      <c r="AP88" s="1088"/>
      <c r="AQ88" s="1088"/>
      <c r="AR88" s="1088"/>
      <c r="AS88" s="1088"/>
      <c r="AT88" s="1088"/>
      <c r="AU88" s="1088"/>
      <c r="AV88" s="1088"/>
      <c r="AW88" s="1088"/>
      <c r="AX88" s="1086">
        <f t="shared" si="13"/>
        <v>27930116.845757931</v>
      </c>
    </row>
    <row r="89" spans="1:51" ht="12">
      <c r="A89" s="1086" t="s">
        <v>1265</v>
      </c>
      <c r="B89" s="1086" t="s">
        <v>1266</v>
      </c>
      <c r="C89" s="1088">
        <v>0</v>
      </c>
      <c r="D89" s="1088">
        <v>0</v>
      </c>
      <c r="E89" s="1088">
        <v>0</v>
      </c>
      <c r="F89" s="1088">
        <v>0</v>
      </c>
      <c r="G89" s="1088">
        <v>0</v>
      </c>
      <c r="H89" s="1088">
        <v>0</v>
      </c>
      <c r="I89" s="1088">
        <v>0</v>
      </c>
      <c r="J89" s="1088">
        <v>0</v>
      </c>
      <c r="K89" s="1088">
        <v>0</v>
      </c>
      <c r="L89" s="1088">
        <v>0</v>
      </c>
      <c r="M89" s="1088">
        <v>0</v>
      </c>
      <c r="N89" s="1088">
        <v>0</v>
      </c>
      <c r="O89" s="1088">
        <v>0</v>
      </c>
      <c r="P89" s="1088">
        <v>0</v>
      </c>
      <c r="Q89" s="1088">
        <v>0</v>
      </c>
      <c r="R89" s="1088">
        <v>0</v>
      </c>
      <c r="S89" s="1088">
        <v>0</v>
      </c>
      <c r="T89" s="1088">
        <v>0</v>
      </c>
      <c r="U89" s="1088">
        <v>0</v>
      </c>
      <c r="V89" s="1088">
        <v>0</v>
      </c>
      <c r="W89" s="1088">
        <v>0</v>
      </c>
      <c r="X89" s="1088">
        <v>0</v>
      </c>
      <c r="Y89" s="1088">
        <v>0</v>
      </c>
      <c r="Z89" s="1088">
        <v>0</v>
      </c>
      <c r="AA89" s="1088">
        <v>0</v>
      </c>
      <c r="AB89" s="1088">
        <v>0</v>
      </c>
      <c r="AC89" s="1088">
        <v>0</v>
      </c>
      <c r="AD89" s="1088">
        <v>0</v>
      </c>
      <c r="AE89" s="1088"/>
      <c r="AF89" s="1088"/>
      <c r="AG89" s="1088"/>
      <c r="AH89" s="1088"/>
      <c r="AI89" s="1088"/>
      <c r="AJ89" s="1088"/>
      <c r="AK89" s="1088"/>
      <c r="AL89" s="1088"/>
      <c r="AM89" s="1088"/>
      <c r="AN89" s="1088"/>
      <c r="AO89" s="1088"/>
      <c r="AP89" s="1088"/>
      <c r="AQ89" s="1088"/>
      <c r="AR89" s="1088"/>
      <c r="AS89" s="1088"/>
      <c r="AT89" s="1088"/>
      <c r="AU89" s="1088"/>
      <c r="AV89" s="1088"/>
      <c r="AW89" s="1088"/>
      <c r="AX89" s="1086">
        <f t="shared" si="13"/>
        <v>0</v>
      </c>
    </row>
    <row r="90" spans="1:51" ht="12">
      <c r="A90" s="1086" t="s">
        <v>1267</v>
      </c>
      <c r="B90" s="1086" t="s">
        <v>1268</v>
      </c>
      <c r="C90" s="1086">
        <f>SUM(C91:C93,C95,C103,C108)</f>
        <v>0</v>
      </c>
      <c r="D90" s="1086">
        <f t="shared" ref="D90:AC90" si="18">SUM(D91:D93,D95,D103,D108)</f>
        <v>0</v>
      </c>
      <c r="E90" s="1086">
        <f t="shared" si="18"/>
        <v>0</v>
      </c>
      <c r="F90" s="1086">
        <f t="shared" si="18"/>
        <v>17000000</v>
      </c>
      <c r="G90" s="1086">
        <f t="shared" si="18"/>
        <v>17000000</v>
      </c>
      <c r="H90" s="1086">
        <f t="shared" si="18"/>
        <v>7000000</v>
      </c>
      <c r="I90" s="1086">
        <f t="shared" si="18"/>
        <v>7000000</v>
      </c>
      <c r="J90" s="1086">
        <f t="shared" si="18"/>
        <v>7000000</v>
      </c>
      <c r="K90" s="1086">
        <f t="shared" si="18"/>
        <v>29108717.420440625</v>
      </c>
      <c r="L90" s="1086">
        <f t="shared" si="18"/>
        <v>29108717.420440625</v>
      </c>
      <c r="M90" s="1086">
        <f t="shared" si="18"/>
        <v>29108717.420440625</v>
      </c>
      <c r="N90" s="1086">
        <f t="shared" si="18"/>
        <v>29108717.420440625</v>
      </c>
      <c r="O90" s="1086">
        <f t="shared" si="18"/>
        <v>29108717.420440625</v>
      </c>
      <c r="P90" s="1086">
        <f t="shared" si="18"/>
        <v>29108717.420440625</v>
      </c>
      <c r="Q90" s="1086">
        <f t="shared" si="18"/>
        <v>29108717.420440625</v>
      </c>
      <c r="R90" s="1086">
        <f t="shared" si="18"/>
        <v>29108717.420440625</v>
      </c>
      <c r="S90" s="1086">
        <f t="shared" si="18"/>
        <v>29108717.420440625</v>
      </c>
      <c r="T90" s="1086">
        <f t="shared" si="18"/>
        <v>29108717.420440625</v>
      </c>
      <c r="U90" s="1086">
        <f t="shared" si="18"/>
        <v>29108717.420440625</v>
      </c>
      <c r="V90" s="1086">
        <f t="shared" si="18"/>
        <v>29108717.420440625</v>
      </c>
      <c r="W90" s="1086">
        <f t="shared" si="18"/>
        <v>29108717.420440625</v>
      </c>
      <c r="X90" s="1086">
        <f t="shared" si="18"/>
        <v>29108717.420440625</v>
      </c>
      <c r="Y90" s="1086">
        <f t="shared" si="18"/>
        <v>29108717.420440625</v>
      </c>
      <c r="Z90" s="1086">
        <f t="shared" si="18"/>
        <v>29108717.420440625</v>
      </c>
      <c r="AA90" s="1086">
        <f t="shared" si="18"/>
        <v>29108717.420440625</v>
      </c>
      <c r="AB90" s="1086">
        <f t="shared" si="18"/>
        <v>0</v>
      </c>
      <c r="AC90" s="1086">
        <f t="shared" si="18"/>
        <v>0</v>
      </c>
      <c r="AD90" s="1086"/>
      <c r="AE90" s="1086"/>
      <c r="AF90" s="1086"/>
      <c r="AG90" s="1086"/>
      <c r="AH90" s="1086"/>
      <c r="AI90" s="1086"/>
      <c r="AJ90" s="1086"/>
      <c r="AK90" s="1086"/>
      <c r="AL90" s="1086"/>
      <c r="AM90" s="1086"/>
      <c r="AN90" s="1086"/>
      <c r="AO90" s="1086"/>
      <c r="AP90" s="1086"/>
      <c r="AQ90" s="1086"/>
      <c r="AR90" s="1086"/>
      <c r="AS90" s="1086"/>
      <c r="AT90" s="1086"/>
      <c r="AU90" s="1086"/>
      <c r="AV90" s="1086"/>
      <c r="AW90" s="1086"/>
      <c r="AX90" s="1086">
        <f t="shared" si="13"/>
        <v>549848196.1474905</v>
      </c>
    </row>
    <row r="91" spans="1:51" ht="12">
      <c r="A91" s="1086" t="s">
        <v>1269</v>
      </c>
      <c r="B91" s="1086" t="s">
        <v>1270</v>
      </c>
      <c r="C91" s="1088">
        <v>0</v>
      </c>
      <c r="D91" s="1088">
        <v>0</v>
      </c>
      <c r="E91" s="1088">
        <v>0</v>
      </c>
      <c r="F91" s="1088">
        <v>7000000</v>
      </c>
      <c r="G91" s="1088">
        <v>7000000</v>
      </c>
      <c r="H91" s="1088">
        <v>7000000</v>
      </c>
      <c r="I91" s="1088">
        <v>7000000</v>
      </c>
      <c r="J91" s="1088">
        <v>7000000</v>
      </c>
      <c r="K91" s="1088">
        <v>29108717.420440625</v>
      </c>
      <c r="L91" s="1088">
        <v>29108717.420440625</v>
      </c>
      <c r="M91" s="1088">
        <v>29108717.420440625</v>
      </c>
      <c r="N91" s="1088">
        <v>29108717.420440625</v>
      </c>
      <c r="O91" s="1088">
        <v>29108717.420440625</v>
      </c>
      <c r="P91" s="1088">
        <v>29108717.420440625</v>
      </c>
      <c r="Q91" s="1088">
        <v>29108717.420440625</v>
      </c>
      <c r="R91" s="1088">
        <v>29108717.420440625</v>
      </c>
      <c r="S91" s="1088">
        <v>29108717.420440625</v>
      </c>
      <c r="T91" s="1088">
        <v>29108717.420440625</v>
      </c>
      <c r="U91" s="1088">
        <v>29108717.420440625</v>
      </c>
      <c r="V91" s="1088">
        <v>29108717.420440625</v>
      </c>
      <c r="W91" s="1088">
        <v>29108717.420440625</v>
      </c>
      <c r="X91" s="1088">
        <v>29108717.420440625</v>
      </c>
      <c r="Y91" s="1088">
        <v>29108717.420440625</v>
      </c>
      <c r="Z91" s="1088">
        <v>29108717.420440625</v>
      </c>
      <c r="AA91" s="1088">
        <v>29108717.420440625</v>
      </c>
      <c r="AB91" s="1088">
        <v>0</v>
      </c>
      <c r="AC91" s="1088">
        <v>0</v>
      </c>
      <c r="AD91" s="1088"/>
      <c r="AE91" s="1088"/>
      <c r="AF91" s="1088"/>
      <c r="AG91" s="1088"/>
      <c r="AH91" s="1088"/>
      <c r="AI91" s="1088"/>
      <c r="AJ91" s="1088"/>
      <c r="AK91" s="1088"/>
      <c r="AL91" s="1088"/>
      <c r="AM91" s="1088"/>
      <c r="AN91" s="1088"/>
      <c r="AO91" s="1088"/>
      <c r="AP91" s="1088"/>
      <c r="AQ91" s="1088"/>
      <c r="AR91" s="1088"/>
      <c r="AS91" s="1088"/>
      <c r="AT91" s="1088"/>
      <c r="AU91" s="1088"/>
      <c r="AV91" s="1088"/>
      <c r="AW91" s="1088"/>
      <c r="AX91" s="1086">
        <f t="shared" si="13"/>
        <v>529848196.1474905</v>
      </c>
    </row>
    <row r="92" spans="1:51" ht="12">
      <c r="A92" s="1086" t="s">
        <v>1271</v>
      </c>
      <c r="B92" s="1086" t="s">
        <v>1272</v>
      </c>
      <c r="C92" s="1088">
        <v>0</v>
      </c>
      <c r="D92" s="1088">
        <v>0</v>
      </c>
      <c r="E92" s="1088">
        <v>0</v>
      </c>
      <c r="F92" s="1088">
        <v>0</v>
      </c>
      <c r="G92" s="1088">
        <v>0</v>
      </c>
      <c r="H92" s="1088">
        <v>0</v>
      </c>
      <c r="I92" s="1088">
        <v>0</v>
      </c>
      <c r="J92" s="1088">
        <v>0</v>
      </c>
      <c r="K92" s="1088">
        <v>0</v>
      </c>
      <c r="L92" s="1088">
        <v>0</v>
      </c>
      <c r="M92" s="1088">
        <v>0</v>
      </c>
      <c r="N92" s="1088">
        <v>0</v>
      </c>
      <c r="O92" s="1088">
        <v>0</v>
      </c>
      <c r="P92" s="1088">
        <v>0</v>
      </c>
      <c r="Q92" s="1088">
        <v>0</v>
      </c>
      <c r="R92" s="1088">
        <v>0</v>
      </c>
      <c r="S92" s="1088">
        <v>0</v>
      </c>
      <c r="T92" s="1088">
        <v>0</v>
      </c>
      <c r="U92" s="1088">
        <v>0</v>
      </c>
      <c r="V92" s="1088">
        <v>0</v>
      </c>
      <c r="W92" s="1088">
        <v>0</v>
      </c>
      <c r="X92" s="1088">
        <v>0</v>
      </c>
      <c r="Y92" s="1088">
        <v>0</v>
      </c>
      <c r="Z92" s="1088">
        <v>0</v>
      </c>
      <c r="AA92" s="1088">
        <v>0</v>
      </c>
      <c r="AB92" s="1088">
        <v>0</v>
      </c>
      <c r="AC92" s="1088">
        <v>0</v>
      </c>
      <c r="AD92" s="1088"/>
      <c r="AE92" s="1088"/>
      <c r="AF92" s="1088"/>
      <c r="AG92" s="1088"/>
      <c r="AH92" s="1088"/>
      <c r="AI92" s="1088"/>
      <c r="AJ92" s="1088"/>
      <c r="AK92" s="1088"/>
      <c r="AL92" s="1088"/>
      <c r="AM92" s="1088"/>
      <c r="AN92" s="1088"/>
      <c r="AO92" s="1088"/>
      <c r="AP92" s="1088"/>
      <c r="AQ92" s="1088"/>
      <c r="AR92" s="1088"/>
      <c r="AS92" s="1088"/>
      <c r="AT92" s="1088"/>
      <c r="AU92" s="1088"/>
      <c r="AV92" s="1088"/>
      <c r="AW92" s="1088"/>
      <c r="AX92" s="1086">
        <f t="shared" si="13"/>
        <v>0</v>
      </c>
    </row>
    <row r="93" spans="1:51" ht="12">
      <c r="A93" s="1086" t="s">
        <v>1273</v>
      </c>
      <c r="B93" s="1086" t="s">
        <v>1274</v>
      </c>
      <c r="C93" s="1086">
        <f>SUM(C94)</f>
        <v>0</v>
      </c>
      <c r="D93" s="1086">
        <f t="shared" ref="D93:AC93" si="19">SUM(D94)</f>
        <v>0</v>
      </c>
      <c r="E93" s="1086">
        <f t="shared" si="19"/>
        <v>0</v>
      </c>
      <c r="F93" s="1086">
        <f t="shared" si="19"/>
        <v>0</v>
      </c>
      <c r="G93" s="1086">
        <f t="shared" si="19"/>
        <v>0</v>
      </c>
      <c r="H93" s="1086">
        <f t="shared" si="19"/>
        <v>0</v>
      </c>
      <c r="I93" s="1086">
        <f t="shared" si="19"/>
        <v>0</v>
      </c>
      <c r="J93" s="1086">
        <f t="shared" si="19"/>
        <v>0</v>
      </c>
      <c r="K93" s="1086">
        <f t="shared" si="19"/>
        <v>0</v>
      </c>
      <c r="L93" s="1086">
        <f t="shared" si="19"/>
        <v>0</v>
      </c>
      <c r="M93" s="1086">
        <f t="shared" si="19"/>
        <v>0</v>
      </c>
      <c r="N93" s="1086">
        <f t="shared" si="19"/>
        <v>0</v>
      </c>
      <c r="O93" s="1086">
        <f t="shared" si="19"/>
        <v>0</v>
      </c>
      <c r="P93" s="1086">
        <f t="shared" si="19"/>
        <v>0</v>
      </c>
      <c r="Q93" s="1086">
        <f t="shared" si="19"/>
        <v>0</v>
      </c>
      <c r="R93" s="1086">
        <f t="shared" si="19"/>
        <v>0</v>
      </c>
      <c r="S93" s="1086">
        <f t="shared" si="19"/>
        <v>0</v>
      </c>
      <c r="T93" s="1086">
        <f t="shared" si="19"/>
        <v>0</v>
      </c>
      <c r="U93" s="1086">
        <f t="shared" si="19"/>
        <v>0</v>
      </c>
      <c r="V93" s="1086">
        <f t="shared" si="19"/>
        <v>0</v>
      </c>
      <c r="W93" s="1086">
        <f t="shared" si="19"/>
        <v>0</v>
      </c>
      <c r="X93" s="1086">
        <f t="shared" si="19"/>
        <v>0</v>
      </c>
      <c r="Y93" s="1086">
        <f t="shared" si="19"/>
        <v>0</v>
      </c>
      <c r="Z93" s="1086">
        <f t="shared" si="19"/>
        <v>0</v>
      </c>
      <c r="AA93" s="1086">
        <f t="shared" si="19"/>
        <v>0</v>
      </c>
      <c r="AB93" s="1086">
        <f t="shared" si="19"/>
        <v>0</v>
      </c>
      <c r="AC93" s="1086">
        <f t="shared" si="19"/>
        <v>0</v>
      </c>
      <c r="AD93" s="1086"/>
      <c r="AE93" s="1086"/>
      <c r="AF93" s="1086"/>
      <c r="AG93" s="1086"/>
      <c r="AH93" s="1086"/>
      <c r="AI93" s="1086"/>
      <c r="AJ93" s="1086"/>
      <c r="AK93" s="1086"/>
      <c r="AL93" s="1086"/>
      <c r="AM93" s="1086"/>
      <c r="AN93" s="1086"/>
      <c r="AO93" s="1086"/>
      <c r="AP93" s="1086"/>
      <c r="AQ93" s="1086"/>
      <c r="AR93" s="1086"/>
      <c r="AS93" s="1086"/>
      <c r="AT93" s="1086"/>
      <c r="AU93" s="1086"/>
      <c r="AV93" s="1086"/>
      <c r="AW93" s="1086"/>
      <c r="AX93" s="1086">
        <f t="shared" si="13"/>
        <v>0</v>
      </c>
    </row>
    <row r="94" spans="1:51" ht="12">
      <c r="A94" s="1086" t="s">
        <v>1275</v>
      </c>
      <c r="B94" s="1086" t="s">
        <v>1276</v>
      </c>
      <c r="C94" s="1088">
        <v>0</v>
      </c>
      <c r="D94" s="1088">
        <v>0</v>
      </c>
      <c r="E94" s="1088">
        <v>0</v>
      </c>
      <c r="F94" s="1088">
        <v>0</v>
      </c>
      <c r="G94" s="1088">
        <v>0</v>
      </c>
      <c r="H94" s="1088">
        <v>0</v>
      </c>
      <c r="I94" s="1088">
        <v>0</v>
      </c>
      <c r="J94" s="1088">
        <v>0</v>
      </c>
      <c r="K94" s="1088">
        <v>0</v>
      </c>
      <c r="L94" s="1088">
        <v>0</v>
      </c>
      <c r="M94" s="1088">
        <v>0</v>
      </c>
      <c r="N94" s="1088">
        <v>0</v>
      </c>
      <c r="O94" s="1088">
        <v>0</v>
      </c>
      <c r="P94" s="1088">
        <v>0</v>
      </c>
      <c r="Q94" s="1088">
        <v>0</v>
      </c>
      <c r="R94" s="1088">
        <v>0</v>
      </c>
      <c r="S94" s="1088">
        <v>0</v>
      </c>
      <c r="T94" s="1088">
        <v>0</v>
      </c>
      <c r="U94" s="1088">
        <v>0</v>
      </c>
      <c r="V94" s="1088">
        <v>0</v>
      </c>
      <c r="W94" s="1088">
        <v>0</v>
      </c>
      <c r="X94" s="1088">
        <v>0</v>
      </c>
      <c r="Y94" s="1088">
        <v>0</v>
      </c>
      <c r="Z94" s="1088">
        <v>0</v>
      </c>
      <c r="AA94" s="1088">
        <v>0</v>
      </c>
      <c r="AB94" s="1088">
        <v>0</v>
      </c>
      <c r="AC94" s="1088">
        <v>0</v>
      </c>
      <c r="AD94" s="1088"/>
      <c r="AE94" s="1088"/>
      <c r="AF94" s="1088"/>
      <c r="AG94" s="1088"/>
      <c r="AH94" s="1088"/>
      <c r="AI94" s="1088"/>
      <c r="AJ94" s="1088"/>
      <c r="AK94" s="1088"/>
      <c r="AL94" s="1088"/>
      <c r="AM94" s="1088"/>
      <c r="AN94" s="1088"/>
      <c r="AO94" s="1088"/>
      <c r="AP94" s="1088"/>
      <c r="AQ94" s="1088"/>
      <c r="AR94" s="1088"/>
      <c r="AS94" s="1088"/>
      <c r="AT94" s="1088"/>
      <c r="AU94" s="1088"/>
      <c r="AV94" s="1088"/>
      <c r="AW94" s="1088"/>
      <c r="AX94" s="1086">
        <f t="shared" si="13"/>
        <v>0</v>
      </c>
    </row>
    <row r="95" spans="1:51" ht="12">
      <c r="A95" s="1086" t="s">
        <v>1277</v>
      </c>
      <c r="B95" s="1086" t="s">
        <v>1278</v>
      </c>
      <c r="C95" s="1086">
        <f>SUM(C96:C102)</f>
        <v>0</v>
      </c>
      <c r="D95" s="1086">
        <f t="shared" ref="D95:AC95" si="20">SUM(D96:D102)</f>
        <v>0</v>
      </c>
      <c r="E95" s="1086">
        <f t="shared" si="20"/>
        <v>0</v>
      </c>
      <c r="F95" s="1086">
        <f t="shared" si="20"/>
        <v>0</v>
      </c>
      <c r="G95" s="1086">
        <f t="shared" si="20"/>
        <v>0</v>
      </c>
      <c r="H95" s="1086">
        <f t="shared" si="20"/>
        <v>0</v>
      </c>
      <c r="I95" s="1086">
        <f t="shared" si="20"/>
        <v>0</v>
      </c>
      <c r="J95" s="1086">
        <f t="shared" si="20"/>
        <v>0</v>
      </c>
      <c r="K95" s="1086">
        <f t="shared" si="20"/>
        <v>0</v>
      </c>
      <c r="L95" s="1086">
        <f t="shared" si="20"/>
        <v>0</v>
      </c>
      <c r="M95" s="1086">
        <f t="shared" si="20"/>
        <v>0</v>
      </c>
      <c r="N95" s="1086">
        <f t="shared" si="20"/>
        <v>0</v>
      </c>
      <c r="O95" s="1086">
        <f t="shared" si="20"/>
        <v>0</v>
      </c>
      <c r="P95" s="1086">
        <f t="shared" si="20"/>
        <v>0</v>
      </c>
      <c r="Q95" s="1086">
        <f t="shared" si="20"/>
        <v>0</v>
      </c>
      <c r="R95" s="1086">
        <f t="shared" si="20"/>
        <v>0</v>
      </c>
      <c r="S95" s="1086">
        <f t="shared" si="20"/>
        <v>0</v>
      </c>
      <c r="T95" s="1086">
        <f t="shared" si="20"/>
        <v>0</v>
      </c>
      <c r="U95" s="1086">
        <f t="shared" si="20"/>
        <v>0</v>
      </c>
      <c r="V95" s="1086">
        <f t="shared" si="20"/>
        <v>0</v>
      </c>
      <c r="W95" s="1086">
        <f t="shared" si="20"/>
        <v>0</v>
      </c>
      <c r="X95" s="1086">
        <f t="shared" si="20"/>
        <v>0</v>
      </c>
      <c r="Y95" s="1086">
        <f t="shared" si="20"/>
        <v>0</v>
      </c>
      <c r="Z95" s="1086">
        <f t="shared" si="20"/>
        <v>0</v>
      </c>
      <c r="AA95" s="1086">
        <f t="shared" si="20"/>
        <v>0</v>
      </c>
      <c r="AB95" s="1086">
        <f t="shared" si="20"/>
        <v>0</v>
      </c>
      <c r="AC95" s="1086">
        <f t="shared" si="20"/>
        <v>0</v>
      </c>
      <c r="AD95" s="1086"/>
      <c r="AE95" s="1086"/>
      <c r="AF95" s="1086"/>
      <c r="AG95" s="1086"/>
      <c r="AH95" s="1086"/>
      <c r="AI95" s="1086"/>
      <c r="AJ95" s="1086"/>
      <c r="AK95" s="1086"/>
      <c r="AL95" s="1086"/>
      <c r="AM95" s="1086"/>
      <c r="AN95" s="1086"/>
      <c r="AO95" s="1086"/>
      <c r="AP95" s="1086"/>
      <c r="AQ95" s="1086"/>
      <c r="AR95" s="1086"/>
      <c r="AS95" s="1086"/>
      <c r="AT95" s="1086"/>
      <c r="AU95" s="1086"/>
      <c r="AV95" s="1086"/>
      <c r="AW95" s="1086"/>
      <c r="AX95" s="1086">
        <f t="shared" si="13"/>
        <v>0</v>
      </c>
    </row>
    <row r="96" spans="1:51" ht="12">
      <c r="A96" s="1086" t="s">
        <v>1279</v>
      </c>
      <c r="B96" s="1086" t="s">
        <v>1280</v>
      </c>
      <c r="C96" s="1088">
        <v>0</v>
      </c>
      <c r="D96" s="1088">
        <v>0</v>
      </c>
      <c r="E96" s="1088">
        <v>0</v>
      </c>
      <c r="F96" s="1088">
        <v>0</v>
      </c>
      <c r="G96" s="1088">
        <v>0</v>
      </c>
      <c r="H96" s="1088">
        <v>0</v>
      </c>
      <c r="I96" s="1088">
        <v>0</v>
      </c>
      <c r="J96" s="1088">
        <v>0</v>
      </c>
      <c r="K96" s="1088">
        <v>0</v>
      </c>
      <c r="L96" s="1088">
        <v>0</v>
      </c>
      <c r="M96" s="1088">
        <v>0</v>
      </c>
      <c r="N96" s="1088">
        <v>0</v>
      </c>
      <c r="O96" s="1088">
        <v>0</v>
      </c>
      <c r="P96" s="1088">
        <v>0</v>
      </c>
      <c r="Q96" s="1088">
        <v>0</v>
      </c>
      <c r="R96" s="1088">
        <v>0</v>
      </c>
      <c r="S96" s="1088">
        <v>0</v>
      </c>
      <c r="T96" s="1088">
        <v>0</v>
      </c>
      <c r="U96" s="1088">
        <v>0</v>
      </c>
      <c r="V96" s="1088">
        <v>0</v>
      </c>
      <c r="W96" s="1088">
        <v>0</v>
      </c>
      <c r="X96" s="1088">
        <v>0</v>
      </c>
      <c r="Y96" s="1088">
        <v>0</v>
      </c>
      <c r="Z96" s="1088">
        <v>0</v>
      </c>
      <c r="AA96" s="1088">
        <v>0</v>
      </c>
      <c r="AB96" s="1088">
        <v>0</v>
      </c>
      <c r="AC96" s="1088">
        <v>0</v>
      </c>
      <c r="AD96" s="1088"/>
      <c r="AE96" s="1088"/>
      <c r="AF96" s="1088"/>
      <c r="AG96" s="1088"/>
      <c r="AH96" s="1088"/>
      <c r="AI96" s="1088"/>
      <c r="AJ96" s="1088"/>
      <c r="AK96" s="1088"/>
      <c r="AL96" s="1088"/>
      <c r="AM96" s="1088"/>
      <c r="AN96" s="1088"/>
      <c r="AO96" s="1088"/>
      <c r="AP96" s="1088"/>
      <c r="AQ96" s="1088"/>
      <c r="AR96" s="1088"/>
      <c r="AS96" s="1088"/>
      <c r="AT96" s="1088"/>
      <c r="AU96" s="1088"/>
      <c r="AV96" s="1088"/>
      <c r="AW96" s="1088"/>
      <c r="AX96" s="1086">
        <f t="shared" si="13"/>
        <v>0</v>
      </c>
    </row>
    <row r="97" spans="1:50" ht="12">
      <c r="A97" s="1086" t="s">
        <v>1281</v>
      </c>
      <c r="B97" s="1086" t="s">
        <v>1282</v>
      </c>
      <c r="C97" s="1088">
        <v>0</v>
      </c>
      <c r="D97" s="1088">
        <v>0</v>
      </c>
      <c r="E97" s="1088">
        <v>0</v>
      </c>
      <c r="F97" s="1088">
        <v>0</v>
      </c>
      <c r="G97" s="1088">
        <v>0</v>
      </c>
      <c r="H97" s="1088">
        <v>0</v>
      </c>
      <c r="I97" s="1088">
        <v>0</v>
      </c>
      <c r="J97" s="1088">
        <v>0</v>
      </c>
      <c r="K97" s="1088">
        <v>0</v>
      </c>
      <c r="L97" s="1088">
        <v>0</v>
      </c>
      <c r="M97" s="1088">
        <v>0</v>
      </c>
      <c r="N97" s="1088">
        <v>0</v>
      </c>
      <c r="O97" s="1088">
        <v>0</v>
      </c>
      <c r="P97" s="1088">
        <v>0</v>
      </c>
      <c r="Q97" s="1088">
        <v>0</v>
      </c>
      <c r="R97" s="1088">
        <v>0</v>
      </c>
      <c r="S97" s="1088">
        <v>0</v>
      </c>
      <c r="T97" s="1088">
        <v>0</v>
      </c>
      <c r="U97" s="1088">
        <v>0</v>
      </c>
      <c r="V97" s="1088">
        <v>0</v>
      </c>
      <c r="W97" s="1088">
        <v>0</v>
      </c>
      <c r="X97" s="1088">
        <v>0</v>
      </c>
      <c r="Y97" s="1088">
        <v>0</v>
      </c>
      <c r="Z97" s="1088">
        <v>0</v>
      </c>
      <c r="AA97" s="1088">
        <v>0</v>
      </c>
      <c r="AB97" s="1088">
        <v>0</v>
      </c>
      <c r="AC97" s="1088">
        <v>0</v>
      </c>
      <c r="AD97" s="1088"/>
      <c r="AE97" s="1088"/>
      <c r="AF97" s="1088"/>
      <c r="AG97" s="1088"/>
      <c r="AH97" s="1088"/>
      <c r="AI97" s="1088"/>
      <c r="AJ97" s="1088"/>
      <c r="AK97" s="1088"/>
      <c r="AL97" s="1088"/>
      <c r="AM97" s="1088"/>
      <c r="AN97" s="1088"/>
      <c r="AO97" s="1088"/>
      <c r="AP97" s="1088"/>
      <c r="AQ97" s="1088"/>
      <c r="AR97" s="1088"/>
      <c r="AS97" s="1088"/>
      <c r="AT97" s="1088"/>
      <c r="AU97" s="1088"/>
      <c r="AV97" s="1088"/>
      <c r="AW97" s="1088"/>
      <c r="AX97" s="1086">
        <f t="shared" si="13"/>
        <v>0</v>
      </c>
    </row>
    <row r="98" spans="1:50" ht="12">
      <c r="A98" s="1086" t="s">
        <v>1283</v>
      </c>
      <c r="B98" s="1086" t="s">
        <v>1284</v>
      </c>
      <c r="C98" s="1088">
        <v>0</v>
      </c>
      <c r="D98" s="1088">
        <v>0</v>
      </c>
      <c r="E98" s="1088">
        <v>0</v>
      </c>
      <c r="F98" s="1088">
        <v>0</v>
      </c>
      <c r="G98" s="1088">
        <v>0</v>
      </c>
      <c r="H98" s="1088">
        <v>0</v>
      </c>
      <c r="I98" s="1088">
        <v>0</v>
      </c>
      <c r="J98" s="1088">
        <v>0</v>
      </c>
      <c r="K98" s="1088">
        <v>0</v>
      </c>
      <c r="L98" s="1088">
        <v>0</v>
      </c>
      <c r="M98" s="1088">
        <v>0</v>
      </c>
      <c r="N98" s="1088">
        <v>0</v>
      </c>
      <c r="O98" s="1088">
        <v>0</v>
      </c>
      <c r="P98" s="1088">
        <v>0</v>
      </c>
      <c r="Q98" s="1088">
        <v>0</v>
      </c>
      <c r="R98" s="1088">
        <v>0</v>
      </c>
      <c r="S98" s="1088">
        <v>0</v>
      </c>
      <c r="T98" s="1088">
        <v>0</v>
      </c>
      <c r="U98" s="1088">
        <v>0</v>
      </c>
      <c r="V98" s="1088">
        <v>0</v>
      </c>
      <c r="W98" s="1088">
        <v>0</v>
      </c>
      <c r="X98" s="1088">
        <v>0</v>
      </c>
      <c r="Y98" s="1088">
        <v>0</v>
      </c>
      <c r="Z98" s="1088">
        <v>0</v>
      </c>
      <c r="AA98" s="1088">
        <v>0</v>
      </c>
      <c r="AB98" s="1088">
        <v>0</v>
      </c>
      <c r="AC98" s="1088">
        <v>0</v>
      </c>
      <c r="AD98" s="1088"/>
      <c r="AE98" s="1088"/>
      <c r="AF98" s="1088"/>
      <c r="AG98" s="1088"/>
      <c r="AH98" s="1088"/>
      <c r="AI98" s="1088"/>
      <c r="AJ98" s="1088"/>
      <c r="AK98" s="1088"/>
      <c r="AL98" s="1088"/>
      <c r="AM98" s="1088"/>
      <c r="AN98" s="1088"/>
      <c r="AO98" s="1088"/>
      <c r="AP98" s="1088"/>
      <c r="AQ98" s="1088"/>
      <c r="AR98" s="1088"/>
      <c r="AS98" s="1088"/>
      <c r="AT98" s="1088"/>
      <c r="AU98" s="1088"/>
      <c r="AV98" s="1088"/>
      <c r="AW98" s="1088"/>
      <c r="AX98" s="1086">
        <f t="shared" si="13"/>
        <v>0</v>
      </c>
    </row>
    <row r="99" spans="1:50" ht="12">
      <c r="A99" s="1086" t="s">
        <v>1285</v>
      </c>
      <c r="B99" s="1086" t="s">
        <v>1286</v>
      </c>
      <c r="C99" s="1088">
        <v>0</v>
      </c>
      <c r="D99" s="1088">
        <v>0</v>
      </c>
      <c r="E99" s="1088">
        <v>0</v>
      </c>
      <c r="F99" s="1088">
        <v>0</v>
      </c>
      <c r="G99" s="1088">
        <v>0</v>
      </c>
      <c r="H99" s="1088">
        <v>0</v>
      </c>
      <c r="I99" s="1088">
        <v>0</v>
      </c>
      <c r="J99" s="1088">
        <v>0</v>
      </c>
      <c r="K99" s="1088">
        <v>0</v>
      </c>
      <c r="L99" s="1088">
        <v>0</v>
      </c>
      <c r="M99" s="1088">
        <v>0</v>
      </c>
      <c r="N99" s="1088">
        <v>0</v>
      </c>
      <c r="O99" s="1088">
        <v>0</v>
      </c>
      <c r="P99" s="1088">
        <v>0</v>
      </c>
      <c r="Q99" s="1088">
        <v>0</v>
      </c>
      <c r="R99" s="1088">
        <v>0</v>
      </c>
      <c r="S99" s="1088">
        <v>0</v>
      </c>
      <c r="T99" s="1088">
        <v>0</v>
      </c>
      <c r="U99" s="1088">
        <v>0</v>
      </c>
      <c r="V99" s="1088">
        <v>0</v>
      </c>
      <c r="W99" s="1088">
        <v>0</v>
      </c>
      <c r="X99" s="1088">
        <v>0</v>
      </c>
      <c r="Y99" s="1088">
        <v>0</v>
      </c>
      <c r="Z99" s="1088">
        <v>0</v>
      </c>
      <c r="AA99" s="1088">
        <v>0</v>
      </c>
      <c r="AB99" s="1088">
        <v>0</v>
      </c>
      <c r="AC99" s="1088">
        <v>0</v>
      </c>
      <c r="AD99" s="1088"/>
      <c r="AE99" s="1088"/>
      <c r="AF99" s="1088"/>
      <c r="AG99" s="1088"/>
      <c r="AH99" s="1088"/>
      <c r="AI99" s="1088"/>
      <c r="AJ99" s="1088"/>
      <c r="AK99" s="1088"/>
      <c r="AL99" s="1088"/>
      <c r="AM99" s="1088"/>
      <c r="AN99" s="1088"/>
      <c r="AO99" s="1088"/>
      <c r="AP99" s="1088"/>
      <c r="AQ99" s="1088"/>
      <c r="AR99" s="1088"/>
      <c r="AS99" s="1088"/>
      <c r="AT99" s="1088"/>
      <c r="AU99" s="1088"/>
      <c r="AV99" s="1088"/>
      <c r="AW99" s="1088"/>
      <c r="AX99" s="1086">
        <f t="shared" si="13"/>
        <v>0</v>
      </c>
    </row>
    <row r="100" spans="1:50" ht="12">
      <c r="A100" s="1086" t="s">
        <v>1287</v>
      </c>
      <c r="B100" s="1086" t="s">
        <v>1288</v>
      </c>
      <c r="C100" s="1088">
        <v>0</v>
      </c>
      <c r="D100" s="1088">
        <v>0</v>
      </c>
      <c r="E100" s="1088">
        <v>0</v>
      </c>
      <c r="F100" s="1088">
        <v>0</v>
      </c>
      <c r="G100" s="1088">
        <v>0</v>
      </c>
      <c r="H100" s="1088">
        <v>0</v>
      </c>
      <c r="I100" s="1088">
        <v>0</v>
      </c>
      <c r="J100" s="1088">
        <v>0</v>
      </c>
      <c r="K100" s="1088">
        <v>0</v>
      </c>
      <c r="L100" s="1088">
        <v>0</v>
      </c>
      <c r="M100" s="1088">
        <v>0</v>
      </c>
      <c r="N100" s="1088">
        <v>0</v>
      </c>
      <c r="O100" s="1088">
        <v>0</v>
      </c>
      <c r="P100" s="1088">
        <v>0</v>
      </c>
      <c r="Q100" s="1088">
        <v>0</v>
      </c>
      <c r="R100" s="1088">
        <v>0</v>
      </c>
      <c r="S100" s="1088">
        <v>0</v>
      </c>
      <c r="T100" s="1088">
        <v>0</v>
      </c>
      <c r="U100" s="1088">
        <v>0</v>
      </c>
      <c r="V100" s="1088">
        <v>0</v>
      </c>
      <c r="W100" s="1088">
        <v>0</v>
      </c>
      <c r="X100" s="1088">
        <v>0</v>
      </c>
      <c r="Y100" s="1088">
        <v>0</v>
      </c>
      <c r="Z100" s="1088">
        <v>0</v>
      </c>
      <c r="AA100" s="1088">
        <v>0</v>
      </c>
      <c r="AB100" s="1088">
        <v>0</v>
      </c>
      <c r="AC100" s="1088">
        <v>0</v>
      </c>
      <c r="AD100" s="1088"/>
      <c r="AE100" s="1088"/>
      <c r="AF100" s="1088"/>
      <c r="AG100" s="1088"/>
      <c r="AH100" s="1088"/>
      <c r="AI100" s="1088"/>
      <c r="AJ100" s="1088"/>
      <c r="AK100" s="1088"/>
      <c r="AL100" s="1088"/>
      <c r="AM100" s="1088"/>
      <c r="AN100" s="1088"/>
      <c r="AO100" s="1088"/>
      <c r="AP100" s="1088"/>
      <c r="AQ100" s="1088"/>
      <c r="AR100" s="1088"/>
      <c r="AS100" s="1088"/>
      <c r="AT100" s="1088"/>
      <c r="AU100" s="1088"/>
      <c r="AV100" s="1088"/>
      <c r="AW100" s="1088"/>
      <c r="AX100" s="1086">
        <f t="shared" si="13"/>
        <v>0</v>
      </c>
    </row>
    <row r="101" spans="1:50" ht="12">
      <c r="A101" s="1086" t="s">
        <v>1289</v>
      </c>
      <c r="B101" s="1086" t="s">
        <v>1290</v>
      </c>
      <c r="C101" s="1088">
        <v>0</v>
      </c>
      <c r="D101" s="1088">
        <v>0</v>
      </c>
      <c r="E101" s="1088">
        <v>0</v>
      </c>
      <c r="F101" s="1088">
        <v>0</v>
      </c>
      <c r="G101" s="1088">
        <v>0</v>
      </c>
      <c r="H101" s="1088">
        <v>0</v>
      </c>
      <c r="I101" s="1088">
        <v>0</v>
      </c>
      <c r="J101" s="1088">
        <v>0</v>
      </c>
      <c r="K101" s="1088">
        <v>0</v>
      </c>
      <c r="L101" s="1088">
        <v>0</v>
      </c>
      <c r="M101" s="1088">
        <v>0</v>
      </c>
      <c r="N101" s="1088">
        <v>0</v>
      </c>
      <c r="O101" s="1088">
        <v>0</v>
      </c>
      <c r="P101" s="1088">
        <v>0</v>
      </c>
      <c r="Q101" s="1088">
        <v>0</v>
      </c>
      <c r="R101" s="1088">
        <v>0</v>
      </c>
      <c r="S101" s="1088">
        <v>0</v>
      </c>
      <c r="T101" s="1088">
        <v>0</v>
      </c>
      <c r="U101" s="1088">
        <v>0</v>
      </c>
      <c r="V101" s="1088">
        <v>0</v>
      </c>
      <c r="W101" s="1088">
        <v>0</v>
      </c>
      <c r="X101" s="1088">
        <v>0</v>
      </c>
      <c r="Y101" s="1088">
        <v>0</v>
      </c>
      <c r="Z101" s="1088">
        <v>0</v>
      </c>
      <c r="AA101" s="1088">
        <v>0</v>
      </c>
      <c r="AB101" s="1088">
        <v>0</v>
      </c>
      <c r="AC101" s="1088">
        <v>0</v>
      </c>
      <c r="AD101" s="1088"/>
      <c r="AE101" s="1088"/>
      <c r="AF101" s="1088"/>
      <c r="AG101" s="1088"/>
      <c r="AH101" s="1088"/>
      <c r="AI101" s="1088"/>
      <c r="AJ101" s="1088"/>
      <c r="AK101" s="1088"/>
      <c r="AL101" s="1088"/>
      <c r="AM101" s="1088"/>
      <c r="AN101" s="1088"/>
      <c r="AO101" s="1088"/>
      <c r="AP101" s="1088"/>
      <c r="AQ101" s="1088"/>
      <c r="AR101" s="1088"/>
      <c r="AS101" s="1088"/>
      <c r="AT101" s="1088"/>
      <c r="AU101" s="1088"/>
      <c r="AV101" s="1088"/>
      <c r="AW101" s="1088"/>
      <c r="AX101" s="1086">
        <f t="shared" si="13"/>
        <v>0</v>
      </c>
    </row>
    <row r="102" spans="1:50" ht="12">
      <c r="A102" s="1086" t="s">
        <v>1291</v>
      </c>
      <c r="B102" s="1086" t="s">
        <v>1292</v>
      </c>
      <c r="C102" s="1088">
        <v>0</v>
      </c>
      <c r="D102" s="1088">
        <v>0</v>
      </c>
      <c r="E102" s="1088">
        <v>0</v>
      </c>
      <c r="F102" s="1088">
        <v>0</v>
      </c>
      <c r="G102" s="1088">
        <v>0</v>
      </c>
      <c r="H102" s="1088">
        <v>0</v>
      </c>
      <c r="I102" s="1088">
        <v>0</v>
      </c>
      <c r="J102" s="1088">
        <v>0</v>
      </c>
      <c r="K102" s="1088">
        <v>0</v>
      </c>
      <c r="L102" s="1088">
        <v>0</v>
      </c>
      <c r="M102" s="1088">
        <v>0</v>
      </c>
      <c r="N102" s="1088">
        <v>0</v>
      </c>
      <c r="O102" s="1088">
        <v>0</v>
      </c>
      <c r="P102" s="1088">
        <v>0</v>
      </c>
      <c r="Q102" s="1088">
        <v>0</v>
      </c>
      <c r="R102" s="1088">
        <v>0</v>
      </c>
      <c r="S102" s="1088">
        <v>0</v>
      </c>
      <c r="T102" s="1088">
        <v>0</v>
      </c>
      <c r="U102" s="1088">
        <v>0</v>
      </c>
      <c r="V102" s="1088">
        <v>0</v>
      </c>
      <c r="W102" s="1088">
        <v>0</v>
      </c>
      <c r="X102" s="1088">
        <v>0</v>
      </c>
      <c r="Y102" s="1088">
        <v>0</v>
      </c>
      <c r="Z102" s="1088">
        <v>0</v>
      </c>
      <c r="AA102" s="1088">
        <v>0</v>
      </c>
      <c r="AB102" s="1088">
        <v>0</v>
      </c>
      <c r="AC102" s="1088">
        <v>0</v>
      </c>
      <c r="AD102" s="1088"/>
      <c r="AE102" s="1088"/>
      <c r="AF102" s="1088"/>
      <c r="AG102" s="1088"/>
      <c r="AH102" s="1088"/>
      <c r="AI102" s="1088"/>
      <c r="AJ102" s="1088"/>
      <c r="AK102" s="1088"/>
      <c r="AL102" s="1088"/>
      <c r="AM102" s="1088"/>
      <c r="AN102" s="1088"/>
      <c r="AO102" s="1088"/>
      <c r="AP102" s="1088"/>
      <c r="AQ102" s="1088"/>
      <c r="AR102" s="1088"/>
      <c r="AS102" s="1088"/>
      <c r="AT102" s="1088"/>
      <c r="AU102" s="1088"/>
      <c r="AV102" s="1088"/>
      <c r="AW102" s="1088"/>
      <c r="AX102" s="1086">
        <f t="shared" si="13"/>
        <v>0</v>
      </c>
    </row>
    <row r="103" spans="1:50" ht="12">
      <c r="A103" s="1086" t="s">
        <v>1293</v>
      </c>
      <c r="B103" s="1086" t="s">
        <v>1294</v>
      </c>
      <c r="C103" s="1086">
        <f>SUM(C104:C107)</f>
        <v>0</v>
      </c>
      <c r="D103" s="1086">
        <f t="shared" ref="D103:AC103" si="21">SUM(D104:D107)</f>
        <v>0</v>
      </c>
      <c r="E103" s="1086">
        <f t="shared" si="21"/>
        <v>0</v>
      </c>
      <c r="F103" s="1086">
        <f t="shared" si="21"/>
        <v>0</v>
      </c>
      <c r="G103" s="1086">
        <f t="shared" si="21"/>
        <v>0</v>
      </c>
      <c r="H103" s="1086">
        <f t="shared" si="21"/>
        <v>0</v>
      </c>
      <c r="I103" s="1086">
        <f t="shared" si="21"/>
        <v>0</v>
      </c>
      <c r="J103" s="1086">
        <f t="shared" si="21"/>
        <v>0</v>
      </c>
      <c r="K103" s="1086">
        <f t="shared" si="21"/>
        <v>0</v>
      </c>
      <c r="L103" s="1086">
        <f t="shared" si="21"/>
        <v>0</v>
      </c>
      <c r="M103" s="1086">
        <f t="shared" si="21"/>
        <v>0</v>
      </c>
      <c r="N103" s="1086">
        <f t="shared" si="21"/>
        <v>0</v>
      </c>
      <c r="O103" s="1086">
        <f t="shared" si="21"/>
        <v>0</v>
      </c>
      <c r="P103" s="1086">
        <f t="shared" si="21"/>
        <v>0</v>
      </c>
      <c r="Q103" s="1086">
        <f t="shared" si="21"/>
        <v>0</v>
      </c>
      <c r="R103" s="1086">
        <f t="shared" si="21"/>
        <v>0</v>
      </c>
      <c r="S103" s="1086">
        <f t="shared" si="21"/>
        <v>0</v>
      </c>
      <c r="T103" s="1086">
        <f t="shared" si="21"/>
        <v>0</v>
      </c>
      <c r="U103" s="1086">
        <f t="shared" si="21"/>
        <v>0</v>
      </c>
      <c r="V103" s="1086">
        <f t="shared" si="21"/>
        <v>0</v>
      </c>
      <c r="W103" s="1086">
        <f t="shared" si="21"/>
        <v>0</v>
      </c>
      <c r="X103" s="1086">
        <f t="shared" si="21"/>
        <v>0</v>
      </c>
      <c r="Y103" s="1086">
        <f t="shared" si="21"/>
        <v>0</v>
      </c>
      <c r="Z103" s="1086">
        <f t="shared" si="21"/>
        <v>0</v>
      </c>
      <c r="AA103" s="1086">
        <f t="shared" si="21"/>
        <v>0</v>
      </c>
      <c r="AB103" s="1086">
        <f t="shared" si="21"/>
        <v>0</v>
      </c>
      <c r="AC103" s="1086">
        <f t="shared" si="21"/>
        <v>0</v>
      </c>
      <c r="AD103" s="1086"/>
      <c r="AE103" s="1086"/>
      <c r="AF103" s="1086"/>
      <c r="AG103" s="1086"/>
      <c r="AH103" s="1086"/>
      <c r="AI103" s="1086"/>
      <c r="AJ103" s="1086"/>
      <c r="AK103" s="1086"/>
      <c r="AL103" s="1086"/>
      <c r="AM103" s="1086"/>
      <c r="AN103" s="1086"/>
      <c r="AO103" s="1086"/>
      <c r="AP103" s="1086"/>
      <c r="AQ103" s="1086"/>
      <c r="AR103" s="1086"/>
      <c r="AS103" s="1086"/>
      <c r="AT103" s="1086"/>
      <c r="AU103" s="1086"/>
      <c r="AV103" s="1086"/>
      <c r="AW103" s="1086"/>
      <c r="AX103" s="1086">
        <f t="shared" si="13"/>
        <v>0</v>
      </c>
    </row>
    <row r="104" spans="1:50" ht="24">
      <c r="A104" s="1086" t="s">
        <v>1295</v>
      </c>
      <c r="B104" s="1086" t="s">
        <v>1296</v>
      </c>
      <c r="C104" s="1088">
        <v>0</v>
      </c>
      <c r="D104" s="1088">
        <v>0</v>
      </c>
      <c r="E104" s="1088">
        <v>0</v>
      </c>
      <c r="F104" s="1088">
        <v>0</v>
      </c>
      <c r="G104" s="1088">
        <v>0</v>
      </c>
      <c r="H104" s="1088">
        <v>0</v>
      </c>
      <c r="I104" s="1088">
        <v>0</v>
      </c>
      <c r="J104" s="1088">
        <v>0</v>
      </c>
      <c r="K104" s="1088">
        <v>0</v>
      </c>
      <c r="L104" s="1088">
        <v>0</v>
      </c>
      <c r="M104" s="1088">
        <v>0</v>
      </c>
      <c r="N104" s="1088">
        <v>0</v>
      </c>
      <c r="O104" s="1088">
        <v>0</v>
      </c>
      <c r="P104" s="1088">
        <v>0</v>
      </c>
      <c r="Q104" s="1088">
        <v>0</v>
      </c>
      <c r="R104" s="1088">
        <v>0</v>
      </c>
      <c r="S104" s="1088">
        <v>0</v>
      </c>
      <c r="T104" s="1088">
        <v>0</v>
      </c>
      <c r="U104" s="1088">
        <v>0</v>
      </c>
      <c r="V104" s="1088">
        <v>0</v>
      </c>
      <c r="W104" s="1088">
        <v>0</v>
      </c>
      <c r="X104" s="1088">
        <v>0</v>
      </c>
      <c r="Y104" s="1088">
        <v>0</v>
      </c>
      <c r="Z104" s="1088">
        <v>0</v>
      </c>
      <c r="AA104" s="1088">
        <v>0</v>
      </c>
      <c r="AB104" s="1088">
        <v>0</v>
      </c>
      <c r="AC104" s="1088">
        <v>0</v>
      </c>
      <c r="AD104" s="1088"/>
      <c r="AE104" s="1088"/>
      <c r="AF104" s="1088"/>
      <c r="AG104" s="1088"/>
      <c r="AH104" s="1088"/>
      <c r="AI104" s="1088"/>
      <c r="AJ104" s="1088"/>
      <c r="AK104" s="1088"/>
      <c r="AL104" s="1088"/>
      <c r="AM104" s="1088"/>
      <c r="AN104" s="1088"/>
      <c r="AO104" s="1088"/>
      <c r="AP104" s="1088"/>
      <c r="AQ104" s="1088"/>
      <c r="AR104" s="1088"/>
      <c r="AS104" s="1088"/>
      <c r="AT104" s="1088"/>
      <c r="AU104" s="1088"/>
      <c r="AV104" s="1088"/>
      <c r="AW104" s="1088"/>
      <c r="AX104" s="1086">
        <f t="shared" si="13"/>
        <v>0</v>
      </c>
    </row>
    <row r="105" spans="1:50" ht="24">
      <c r="A105" s="1086" t="s">
        <v>1297</v>
      </c>
      <c r="B105" s="1086" t="s">
        <v>1298</v>
      </c>
      <c r="C105" s="1088">
        <v>0</v>
      </c>
      <c r="D105" s="1088">
        <v>0</v>
      </c>
      <c r="E105" s="1088">
        <v>0</v>
      </c>
      <c r="F105" s="1088">
        <v>0</v>
      </c>
      <c r="G105" s="1088">
        <v>0</v>
      </c>
      <c r="H105" s="1088">
        <v>0</v>
      </c>
      <c r="I105" s="1088">
        <v>0</v>
      </c>
      <c r="J105" s="1088">
        <v>0</v>
      </c>
      <c r="K105" s="1088">
        <v>0</v>
      </c>
      <c r="L105" s="1088">
        <v>0</v>
      </c>
      <c r="M105" s="1088">
        <v>0</v>
      </c>
      <c r="N105" s="1088">
        <v>0</v>
      </c>
      <c r="O105" s="1088">
        <v>0</v>
      </c>
      <c r="P105" s="1088">
        <v>0</v>
      </c>
      <c r="Q105" s="1088">
        <v>0</v>
      </c>
      <c r="R105" s="1088">
        <v>0</v>
      </c>
      <c r="S105" s="1088">
        <v>0</v>
      </c>
      <c r="T105" s="1088">
        <v>0</v>
      </c>
      <c r="U105" s="1088">
        <v>0</v>
      </c>
      <c r="V105" s="1088">
        <v>0</v>
      </c>
      <c r="W105" s="1088">
        <v>0</v>
      </c>
      <c r="X105" s="1088">
        <v>0</v>
      </c>
      <c r="Y105" s="1088">
        <v>0</v>
      </c>
      <c r="Z105" s="1088">
        <v>0</v>
      </c>
      <c r="AA105" s="1088">
        <v>0</v>
      </c>
      <c r="AB105" s="1088">
        <v>0</v>
      </c>
      <c r="AC105" s="1088">
        <v>0</v>
      </c>
      <c r="AD105" s="1088"/>
      <c r="AE105" s="1088"/>
      <c r="AF105" s="1088"/>
      <c r="AG105" s="1088"/>
      <c r="AH105" s="1088"/>
      <c r="AI105" s="1088"/>
      <c r="AJ105" s="1088"/>
      <c r="AK105" s="1088"/>
      <c r="AL105" s="1088"/>
      <c r="AM105" s="1088"/>
      <c r="AN105" s="1088"/>
      <c r="AO105" s="1088"/>
      <c r="AP105" s="1088"/>
      <c r="AQ105" s="1088"/>
      <c r="AR105" s="1088"/>
      <c r="AS105" s="1088"/>
      <c r="AT105" s="1088"/>
      <c r="AU105" s="1088"/>
      <c r="AV105" s="1088"/>
      <c r="AW105" s="1088"/>
      <c r="AX105" s="1086">
        <f t="shared" si="13"/>
        <v>0</v>
      </c>
    </row>
    <row r="106" spans="1:50" ht="12">
      <c r="A106" s="1086" t="s">
        <v>1299</v>
      </c>
      <c r="B106" s="1086" t="s">
        <v>1300</v>
      </c>
      <c r="C106" s="1088">
        <v>0</v>
      </c>
      <c r="D106" s="1088">
        <v>0</v>
      </c>
      <c r="E106" s="1088">
        <v>0</v>
      </c>
      <c r="F106" s="1088">
        <v>0</v>
      </c>
      <c r="G106" s="1088">
        <v>0</v>
      </c>
      <c r="H106" s="1088">
        <v>0</v>
      </c>
      <c r="I106" s="1088">
        <v>0</v>
      </c>
      <c r="J106" s="1088">
        <v>0</v>
      </c>
      <c r="K106" s="1088">
        <v>0</v>
      </c>
      <c r="L106" s="1088">
        <v>0</v>
      </c>
      <c r="M106" s="1088">
        <v>0</v>
      </c>
      <c r="N106" s="1088">
        <v>0</v>
      </c>
      <c r="O106" s="1088">
        <v>0</v>
      </c>
      <c r="P106" s="1088">
        <v>0</v>
      </c>
      <c r="Q106" s="1088">
        <v>0</v>
      </c>
      <c r="R106" s="1088">
        <v>0</v>
      </c>
      <c r="S106" s="1088">
        <v>0</v>
      </c>
      <c r="T106" s="1088">
        <v>0</v>
      </c>
      <c r="U106" s="1088">
        <v>0</v>
      </c>
      <c r="V106" s="1088">
        <v>0</v>
      </c>
      <c r="W106" s="1088">
        <v>0</v>
      </c>
      <c r="X106" s="1088">
        <v>0</v>
      </c>
      <c r="Y106" s="1088">
        <v>0</v>
      </c>
      <c r="Z106" s="1088">
        <v>0</v>
      </c>
      <c r="AA106" s="1088">
        <v>0</v>
      </c>
      <c r="AB106" s="1088">
        <v>0</v>
      </c>
      <c r="AC106" s="1088">
        <v>0</v>
      </c>
      <c r="AD106" s="1088"/>
      <c r="AE106" s="1088"/>
      <c r="AF106" s="1088"/>
      <c r="AG106" s="1088"/>
      <c r="AH106" s="1088"/>
      <c r="AI106" s="1088"/>
      <c r="AJ106" s="1088"/>
      <c r="AK106" s="1088"/>
      <c r="AL106" s="1088"/>
      <c r="AM106" s="1088"/>
      <c r="AN106" s="1088"/>
      <c r="AO106" s="1088"/>
      <c r="AP106" s="1088"/>
      <c r="AQ106" s="1088"/>
      <c r="AR106" s="1088"/>
      <c r="AS106" s="1088"/>
      <c r="AT106" s="1088"/>
      <c r="AU106" s="1088"/>
      <c r="AV106" s="1088"/>
      <c r="AW106" s="1088"/>
      <c r="AX106" s="1086">
        <f t="shared" si="13"/>
        <v>0</v>
      </c>
    </row>
    <row r="107" spans="1:50" ht="12">
      <c r="A107" s="1086" t="s">
        <v>1301</v>
      </c>
      <c r="B107" s="1086" t="s">
        <v>1302</v>
      </c>
      <c r="C107" s="1088">
        <v>0</v>
      </c>
      <c r="D107" s="1088">
        <v>0</v>
      </c>
      <c r="E107" s="1088">
        <v>0</v>
      </c>
      <c r="F107" s="1088">
        <v>0</v>
      </c>
      <c r="G107" s="1088">
        <v>0</v>
      </c>
      <c r="H107" s="1088">
        <v>0</v>
      </c>
      <c r="I107" s="1088">
        <v>0</v>
      </c>
      <c r="J107" s="1088">
        <v>0</v>
      </c>
      <c r="K107" s="1088">
        <v>0</v>
      </c>
      <c r="L107" s="1088">
        <v>0</v>
      </c>
      <c r="M107" s="1088">
        <v>0</v>
      </c>
      <c r="N107" s="1088">
        <v>0</v>
      </c>
      <c r="O107" s="1088">
        <v>0</v>
      </c>
      <c r="P107" s="1088">
        <v>0</v>
      </c>
      <c r="Q107" s="1088">
        <v>0</v>
      </c>
      <c r="R107" s="1088">
        <v>0</v>
      </c>
      <c r="S107" s="1088">
        <v>0</v>
      </c>
      <c r="T107" s="1088">
        <v>0</v>
      </c>
      <c r="U107" s="1088">
        <v>0</v>
      </c>
      <c r="V107" s="1088">
        <v>0</v>
      </c>
      <c r="W107" s="1088">
        <v>0</v>
      </c>
      <c r="X107" s="1088">
        <v>0</v>
      </c>
      <c r="Y107" s="1088">
        <v>0</v>
      </c>
      <c r="Z107" s="1088">
        <v>0</v>
      </c>
      <c r="AA107" s="1088">
        <v>0</v>
      </c>
      <c r="AB107" s="1088">
        <v>0</v>
      </c>
      <c r="AC107" s="1088">
        <v>0</v>
      </c>
      <c r="AD107" s="1088"/>
      <c r="AE107" s="1088"/>
      <c r="AF107" s="1088"/>
      <c r="AG107" s="1088"/>
      <c r="AH107" s="1088"/>
      <c r="AI107" s="1088"/>
      <c r="AJ107" s="1088"/>
      <c r="AK107" s="1088"/>
      <c r="AL107" s="1088"/>
      <c r="AM107" s="1088"/>
      <c r="AN107" s="1088"/>
      <c r="AO107" s="1088"/>
      <c r="AP107" s="1088"/>
      <c r="AQ107" s="1088"/>
      <c r="AR107" s="1088"/>
      <c r="AS107" s="1088"/>
      <c r="AT107" s="1088"/>
      <c r="AU107" s="1088"/>
      <c r="AV107" s="1088"/>
      <c r="AW107" s="1088"/>
      <c r="AX107" s="1086">
        <f t="shared" si="13"/>
        <v>0</v>
      </c>
    </row>
    <row r="108" spans="1:50" ht="12">
      <c r="A108" s="1086" t="s">
        <v>1303</v>
      </c>
      <c r="B108" s="1086" t="s">
        <v>1304</v>
      </c>
      <c r="C108" s="1086">
        <f>SUM(C109:C112)</f>
        <v>0</v>
      </c>
      <c r="D108" s="1086">
        <f t="shared" ref="D108:AC108" si="22">SUM(D109:D112)</f>
        <v>0</v>
      </c>
      <c r="E108" s="1086">
        <f t="shared" si="22"/>
        <v>0</v>
      </c>
      <c r="F108" s="1086">
        <f t="shared" si="22"/>
        <v>10000000</v>
      </c>
      <c r="G108" s="1086">
        <f t="shared" si="22"/>
        <v>10000000</v>
      </c>
      <c r="H108" s="1086">
        <f t="shared" si="22"/>
        <v>0</v>
      </c>
      <c r="I108" s="1086">
        <f t="shared" si="22"/>
        <v>0</v>
      </c>
      <c r="J108" s="1086">
        <f t="shared" si="22"/>
        <v>0</v>
      </c>
      <c r="K108" s="1086">
        <f t="shared" si="22"/>
        <v>0</v>
      </c>
      <c r="L108" s="1086">
        <f t="shared" si="22"/>
        <v>0</v>
      </c>
      <c r="M108" s="1086">
        <f t="shared" si="22"/>
        <v>0</v>
      </c>
      <c r="N108" s="1086">
        <f t="shared" si="22"/>
        <v>0</v>
      </c>
      <c r="O108" s="1086">
        <f t="shared" si="22"/>
        <v>0</v>
      </c>
      <c r="P108" s="1086">
        <f t="shared" si="22"/>
        <v>0</v>
      </c>
      <c r="Q108" s="1086">
        <f t="shared" si="22"/>
        <v>0</v>
      </c>
      <c r="R108" s="1086">
        <f t="shared" si="22"/>
        <v>0</v>
      </c>
      <c r="S108" s="1086">
        <f t="shared" si="22"/>
        <v>0</v>
      </c>
      <c r="T108" s="1086">
        <f t="shared" si="22"/>
        <v>0</v>
      </c>
      <c r="U108" s="1086">
        <f t="shared" si="22"/>
        <v>0</v>
      </c>
      <c r="V108" s="1086">
        <f t="shared" si="22"/>
        <v>0</v>
      </c>
      <c r="W108" s="1086">
        <f t="shared" si="22"/>
        <v>0</v>
      </c>
      <c r="X108" s="1086">
        <f t="shared" si="22"/>
        <v>0</v>
      </c>
      <c r="Y108" s="1086">
        <f t="shared" si="22"/>
        <v>0</v>
      </c>
      <c r="Z108" s="1086">
        <f t="shared" si="22"/>
        <v>0</v>
      </c>
      <c r="AA108" s="1086">
        <f t="shared" si="22"/>
        <v>0</v>
      </c>
      <c r="AB108" s="1086">
        <f t="shared" si="22"/>
        <v>0</v>
      </c>
      <c r="AC108" s="1086">
        <f t="shared" si="22"/>
        <v>0</v>
      </c>
      <c r="AD108" s="1086"/>
      <c r="AE108" s="1086"/>
      <c r="AF108" s="1086"/>
      <c r="AG108" s="1086"/>
      <c r="AH108" s="1086"/>
      <c r="AI108" s="1086"/>
      <c r="AJ108" s="1086"/>
      <c r="AK108" s="1086"/>
      <c r="AL108" s="1086"/>
      <c r="AM108" s="1086"/>
      <c r="AN108" s="1086"/>
      <c r="AO108" s="1086"/>
      <c r="AP108" s="1086"/>
      <c r="AQ108" s="1086"/>
      <c r="AR108" s="1086"/>
      <c r="AS108" s="1086"/>
      <c r="AT108" s="1086"/>
      <c r="AU108" s="1086"/>
      <c r="AV108" s="1086"/>
      <c r="AW108" s="1086"/>
      <c r="AX108" s="1086">
        <f t="shared" si="13"/>
        <v>20000000</v>
      </c>
    </row>
    <row r="109" spans="1:50" ht="12">
      <c r="A109" s="1086" t="s">
        <v>1305</v>
      </c>
      <c r="B109" s="1086" t="s">
        <v>1306</v>
      </c>
      <c r="C109" s="1088">
        <v>0</v>
      </c>
      <c r="D109" s="1088">
        <v>0</v>
      </c>
      <c r="E109" s="1088">
        <v>0</v>
      </c>
      <c r="F109" s="1088">
        <v>0</v>
      </c>
      <c r="G109" s="1088">
        <v>0</v>
      </c>
      <c r="H109" s="1088">
        <v>0</v>
      </c>
      <c r="I109" s="1088">
        <v>0</v>
      </c>
      <c r="J109" s="1088">
        <v>0</v>
      </c>
      <c r="K109" s="1088">
        <v>0</v>
      </c>
      <c r="L109" s="1088">
        <v>0</v>
      </c>
      <c r="M109" s="1088">
        <v>0</v>
      </c>
      <c r="N109" s="1088">
        <v>0</v>
      </c>
      <c r="O109" s="1088">
        <v>0</v>
      </c>
      <c r="P109" s="1088">
        <v>0</v>
      </c>
      <c r="Q109" s="1088">
        <v>0</v>
      </c>
      <c r="R109" s="1088">
        <v>0</v>
      </c>
      <c r="S109" s="1088">
        <v>0</v>
      </c>
      <c r="T109" s="1088">
        <v>0</v>
      </c>
      <c r="U109" s="1088">
        <v>0</v>
      </c>
      <c r="V109" s="1088">
        <v>0</v>
      </c>
      <c r="W109" s="1088">
        <v>0</v>
      </c>
      <c r="X109" s="1088">
        <v>0</v>
      </c>
      <c r="Y109" s="1088">
        <v>0</v>
      </c>
      <c r="Z109" s="1088">
        <v>0</v>
      </c>
      <c r="AA109" s="1088">
        <v>0</v>
      </c>
      <c r="AB109" s="1088">
        <v>0</v>
      </c>
      <c r="AC109" s="1088">
        <v>0</v>
      </c>
      <c r="AD109" s="1088"/>
      <c r="AE109" s="1088"/>
      <c r="AF109" s="1088"/>
      <c r="AG109" s="1088"/>
      <c r="AH109" s="1088"/>
      <c r="AI109" s="1088"/>
      <c r="AJ109" s="1088"/>
      <c r="AK109" s="1088"/>
      <c r="AL109" s="1088"/>
      <c r="AM109" s="1088"/>
      <c r="AN109" s="1088"/>
      <c r="AO109" s="1088"/>
      <c r="AP109" s="1088"/>
      <c r="AQ109" s="1088"/>
      <c r="AR109" s="1088"/>
      <c r="AS109" s="1088"/>
      <c r="AT109" s="1088"/>
      <c r="AU109" s="1088"/>
      <c r="AV109" s="1088"/>
      <c r="AW109" s="1088"/>
      <c r="AX109" s="1086">
        <f t="shared" si="13"/>
        <v>0</v>
      </c>
    </row>
    <row r="110" spans="1:50" ht="24">
      <c r="A110" s="1086" t="s">
        <v>1307</v>
      </c>
      <c r="B110" s="1086" t="s">
        <v>1308</v>
      </c>
      <c r="C110" s="1088">
        <v>0</v>
      </c>
      <c r="D110" s="1088">
        <v>0</v>
      </c>
      <c r="E110" s="1088">
        <v>0</v>
      </c>
      <c r="F110" s="1088">
        <v>0</v>
      </c>
      <c r="G110" s="1088">
        <v>0</v>
      </c>
      <c r="H110" s="1088">
        <v>0</v>
      </c>
      <c r="I110" s="1088">
        <v>0</v>
      </c>
      <c r="J110" s="1088">
        <v>0</v>
      </c>
      <c r="K110" s="1088">
        <v>0</v>
      </c>
      <c r="L110" s="1088">
        <v>0</v>
      </c>
      <c r="M110" s="1088">
        <v>0</v>
      </c>
      <c r="N110" s="1088">
        <v>0</v>
      </c>
      <c r="O110" s="1088">
        <v>0</v>
      </c>
      <c r="P110" s="1088">
        <v>0</v>
      </c>
      <c r="Q110" s="1088">
        <v>0</v>
      </c>
      <c r="R110" s="1088">
        <v>0</v>
      </c>
      <c r="S110" s="1088">
        <v>0</v>
      </c>
      <c r="T110" s="1088">
        <v>0</v>
      </c>
      <c r="U110" s="1088">
        <v>0</v>
      </c>
      <c r="V110" s="1088">
        <v>0</v>
      </c>
      <c r="W110" s="1088">
        <v>0</v>
      </c>
      <c r="X110" s="1088">
        <v>0</v>
      </c>
      <c r="Y110" s="1088">
        <v>0</v>
      </c>
      <c r="Z110" s="1088">
        <v>0</v>
      </c>
      <c r="AA110" s="1088">
        <v>0</v>
      </c>
      <c r="AB110" s="1088">
        <v>0</v>
      </c>
      <c r="AC110" s="1088">
        <v>0</v>
      </c>
      <c r="AD110" s="1088"/>
      <c r="AE110" s="1088"/>
      <c r="AF110" s="1088"/>
      <c r="AG110" s="1088"/>
      <c r="AH110" s="1088"/>
      <c r="AI110" s="1088"/>
      <c r="AJ110" s="1088"/>
      <c r="AK110" s="1088"/>
      <c r="AL110" s="1088"/>
      <c r="AM110" s="1088"/>
      <c r="AN110" s="1088"/>
      <c r="AO110" s="1088"/>
      <c r="AP110" s="1088"/>
      <c r="AQ110" s="1088"/>
      <c r="AR110" s="1088"/>
      <c r="AS110" s="1088"/>
      <c r="AT110" s="1088"/>
      <c r="AU110" s="1088"/>
      <c r="AV110" s="1088"/>
      <c r="AW110" s="1088"/>
      <c r="AX110" s="1086">
        <f t="shared" si="13"/>
        <v>0</v>
      </c>
    </row>
    <row r="111" spans="1:50" ht="24">
      <c r="A111" s="1086" t="s">
        <v>1309</v>
      </c>
      <c r="B111" s="1086" t="s">
        <v>1310</v>
      </c>
      <c r="C111" s="1088">
        <v>0</v>
      </c>
      <c r="D111" s="1088">
        <v>0</v>
      </c>
      <c r="E111" s="1088">
        <v>0</v>
      </c>
      <c r="F111" s="1088">
        <v>0</v>
      </c>
      <c r="G111" s="1088">
        <v>0</v>
      </c>
      <c r="H111" s="1088">
        <v>0</v>
      </c>
      <c r="I111" s="1088">
        <v>0</v>
      </c>
      <c r="J111" s="1088">
        <v>0</v>
      </c>
      <c r="K111" s="1088">
        <v>0</v>
      </c>
      <c r="L111" s="1088">
        <v>0</v>
      </c>
      <c r="M111" s="1088">
        <v>0</v>
      </c>
      <c r="N111" s="1088">
        <v>0</v>
      </c>
      <c r="O111" s="1088">
        <v>0</v>
      </c>
      <c r="P111" s="1088">
        <v>0</v>
      </c>
      <c r="Q111" s="1088">
        <v>0</v>
      </c>
      <c r="R111" s="1088">
        <v>0</v>
      </c>
      <c r="S111" s="1088">
        <v>0</v>
      </c>
      <c r="T111" s="1088">
        <v>0</v>
      </c>
      <c r="U111" s="1088">
        <v>0</v>
      </c>
      <c r="V111" s="1088">
        <v>0</v>
      </c>
      <c r="W111" s="1088">
        <v>0</v>
      </c>
      <c r="X111" s="1088">
        <v>0</v>
      </c>
      <c r="Y111" s="1088">
        <v>0</v>
      </c>
      <c r="Z111" s="1088">
        <v>0</v>
      </c>
      <c r="AA111" s="1088">
        <v>0</v>
      </c>
      <c r="AB111" s="1088">
        <v>0</v>
      </c>
      <c r="AC111" s="1088">
        <v>0</v>
      </c>
      <c r="AD111" s="1088"/>
      <c r="AE111" s="1088"/>
      <c r="AF111" s="1088"/>
      <c r="AG111" s="1088"/>
      <c r="AH111" s="1088"/>
      <c r="AI111" s="1088"/>
      <c r="AJ111" s="1088"/>
      <c r="AK111" s="1088"/>
      <c r="AL111" s="1088"/>
      <c r="AM111" s="1088"/>
      <c r="AN111" s="1088"/>
      <c r="AO111" s="1088"/>
      <c r="AP111" s="1088"/>
      <c r="AQ111" s="1088"/>
      <c r="AR111" s="1088"/>
      <c r="AS111" s="1088"/>
      <c r="AT111" s="1088"/>
      <c r="AU111" s="1088"/>
      <c r="AV111" s="1088"/>
      <c r="AW111" s="1088"/>
      <c r="AX111" s="1086">
        <f t="shared" si="13"/>
        <v>0</v>
      </c>
    </row>
    <row r="112" spans="1:50" ht="12">
      <c r="A112" s="1086" t="s">
        <v>1311</v>
      </c>
      <c r="B112" s="1086" t="s">
        <v>1312</v>
      </c>
      <c r="C112" s="1088">
        <v>0</v>
      </c>
      <c r="D112" s="1088">
        <v>0</v>
      </c>
      <c r="E112" s="1088">
        <v>0</v>
      </c>
      <c r="F112" s="1088">
        <v>10000000</v>
      </c>
      <c r="G112" s="1088">
        <v>10000000</v>
      </c>
      <c r="H112" s="1088">
        <v>0</v>
      </c>
      <c r="I112" s="1088">
        <v>0</v>
      </c>
      <c r="J112" s="1088">
        <v>0</v>
      </c>
      <c r="K112" s="1088">
        <v>0</v>
      </c>
      <c r="L112" s="1088">
        <v>0</v>
      </c>
      <c r="M112" s="1088">
        <v>0</v>
      </c>
      <c r="N112" s="1088">
        <v>0</v>
      </c>
      <c r="O112" s="1088">
        <v>0</v>
      </c>
      <c r="P112" s="1088">
        <v>0</v>
      </c>
      <c r="Q112" s="1088">
        <v>0</v>
      </c>
      <c r="R112" s="1088">
        <v>0</v>
      </c>
      <c r="S112" s="1088">
        <v>0</v>
      </c>
      <c r="T112" s="1088">
        <v>0</v>
      </c>
      <c r="U112" s="1088">
        <v>0</v>
      </c>
      <c r="V112" s="1088">
        <v>0</v>
      </c>
      <c r="W112" s="1088">
        <v>0</v>
      </c>
      <c r="X112" s="1088">
        <v>0</v>
      </c>
      <c r="Y112" s="1088">
        <v>0</v>
      </c>
      <c r="Z112" s="1088">
        <v>0</v>
      </c>
      <c r="AA112" s="1088">
        <v>0</v>
      </c>
      <c r="AB112" s="1088">
        <v>0</v>
      </c>
      <c r="AC112" s="1088">
        <v>0</v>
      </c>
      <c r="AD112" s="1088"/>
      <c r="AE112" s="1088"/>
      <c r="AF112" s="1088"/>
      <c r="AG112" s="1088"/>
      <c r="AH112" s="1088"/>
      <c r="AI112" s="1088"/>
      <c r="AJ112" s="1088"/>
      <c r="AK112" s="1088"/>
      <c r="AL112" s="1088"/>
      <c r="AM112" s="1088"/>
      <c r="AN112" s="1088"/>
      <c r="AO112" s="1088"/>
      <c r="AP112" s="1088"/>
      <c r="AQ112" s="1088"/>
      <c r="AR112" s="1088"/>
      <c r="AS112" s="1088"/>
      <c r="AT112" s="1088"/>
      <c r="AU112" s="1088"/>
      <c r="AV112" s="1088"/>
      <c r="AW112" s="1088"/>
      <c r="AX112" s="1086">
        <f t="shared" si="13"/>
        <v>20000000</v>
      </c>
    </row>
    <row r="113" spans="1:50" ht="12">
      <c r="A113" s="1086" t="s">
        <v>1313</v>
      </c>
      <c r="B113" s="1086" t="s">
        <v>1314</v>
      </c>
      <c r="C113" s="1086">
        <f>C114+C123+C124+C125+C126</f>
        <v>0</v>
      </c>
      <c r="D113" s="1086">
        <f t="shared" ref="D113:AC113" si="23">D114+D123+D124+D125+D126</f>
        <v>13940</v>
      </c>
      <c r="E113" s="1086">
        <f t="shared" si="23"/>
        <v>0</v>
      </c>
      <c r="F113" s="1086">
        <f t="shared" si="23"/>
        <v>96000</v>
      </c>
      <c r="G113" s="1086">
        <f t="shared" si="23"/>
        <v>96000</v>
      </c>
      <c r="H113" s="1086">
        <f t="shared" si="23"/>
        <v>96000</v>
      </c>
      <c r="I113" s="1086">
        <f t="shared" si="23"/>
        <v>96000</v>
      </c>
      <c r="J113" s="1086">
        <f t="shared" si="23"/>
        <v>96000</v>
      </c>
      <c r="K113" s="1086">
        <f t="shared" si="23"/>
        <v>96000</v>
      </c>
      <c r="L113" s="1086">
        <f t="shared" si="23"/>
        <v>96000</v>
      </c>
      <c r="M113" s="1086">
        <f t="shared" si="23"/>
        <v>96000</v>
      </c>
      <c r="N113" s="1086">
        <f t="shared" si="23"/>
        <v>96000</v>
      </c>
      <c r="O113" s="1086">
        <f t="shared" si="23"/>
        <v>96000</v>
      </c>
      <c r="P113" s="1086">
        <f t="shared" si="23"/>
        <v>96000</v>
      </c>
      <c r="Q113" s="1086">
        <f t="shared" si="23"/>
        <v>96000</v>
      </c>
      <c r="R113" s="1086">
        <f t="shared" si="23"/>
        <v>96000</v>
      </c>
      <c r="S113" s="1086">
        <f t="shared" si="23"/>
        <v>96000</v>
      </c>
      <c r="T113" s="1086">
        <f t="shared" si="23"/>
        <v>96000</v>
      </c>
      <c r="U113" s="1086">
        <f t="shared" si="23"/>
        <v>96000</v>
      </c>
      <c r="V113" s="1086">
        <f t="shared" si="23"/>
        <v>96000</v>
      </c>
      <c r="W113" s="1086">
        <f t="shared" si="23"/>
        <v>96000</v>
      </c>
      <c r="X113" s="1086">
        <f t="shared" si="23"/>
        <v>96000</v>
      </c>
      <c r="Y113" s="1086">
        <f t="shared" si="23"/>
        <v>96000</v>
      </c>
      <c r="Z113" s="1086">
        <f t="shared" si="23"/>
        <v>0</v>
      </c>
      <c r="AA113" s="1086">
        <f t="shared" si="23"/>
        <v>0</v>
      </c>
      <c r="AB113" s="1086">
        <f t="shared" si="23"/>
        <v>0</v>
      </c>
      <c r="AC113" s="1086">
        <f t="shared" si="23"/>
        <v>0</v>
      </c>
      <c r="AD113" s="1086"/>
      <c r="AE113" s="1086"/>
      <c r="AF113" s="1086"/>
      <c r="AG113" s="1086"/>
      <c r="AH113" s="1086"/>
      <c r="AI113" s="1086"/>
      <c r="AJ113" s="1086"/>
      <c r="AK113" s="1086"/>
      <c r="AL113" s="1086"/>
      <c r="AM113" s="1086"/>
      <c r="AN113" s="1086"/>
      <c r="AO113" s="1086"/>
      <c r="AP113" s="1086"/>
      <c r="AQ113" s="1086"/>
      <c r="AR113" s="1086"/>
      <c r="AS113" s="1086"/>
      <c r="AT113" s="1086"/>
      <c r="AU113" s="1086"/>
      <c r="AV113" s="1086"/>
      <c r="AW113" s="1086"/>
      <c r="AX113" s="1086">
        <f t="shared" si="13"/>
        <v>1933940</v>
      </c>
    </row>
    <row r="114" spans="1:50" ht="12">
      <c r="A114" s="1086" t="s">
        <v>1315</v>
      </c>
      <c r="B114" s="1086" t="s">
        <v>1316</v>
      </c>
      <c r="C114" s="1086">
        <f>C115+C119</f>
        <v>0</v>
      </c>
      <c r="D114" s="1086">
        <f t="shared" ref="D114:AC114" si="24">D115+D119</f>
        <v>0</v>
      </c>
      <c r="E114" s="1086">
        <f t="shared" si="24"/>
        <v>0</v>
      </c>
      <c r="F114" s="1086">
        <f t="shared" si="24"/>
        <v>0</v>
      </c>
      <c r="G114" s="1086">
        <f t="shared" si="24"/>
        <v>0</v>
      </c>
      <c r="H114" s="1086">
        <f t="shared" si="24"/>
        <v>0</v>
      </c>
      <c r="I114" s="1086">
        <f t="shared" si="24"/>
        <v>0</v>
      </c>
      <c r="J114" s="1086">
        <f t="shared" si="24"/>
        <v>0</v>
      </c>
      <c r="K114" s="1086">
        <f t="shared" si="24"/>
        <v>0</v>
      </c>
      <c r="L114" s="1086">
        <f t="shared" si="24"/>
        <v>0</v>
      </c>
      <c r="M114" s="1086">
        <f t="shared" si="24"/>
        <v>0</v>
      </c>
      <c r="N114" s="1086">
        <f t="shared" si="24"/>
        <v>0</v>
      </c>
      <c r="O114" s="1086">
        <f t="shared" si="24"/>
        <v>0</v>
      </c>
      <c r="P114" s="1086">
        <f t="shared" si="24"/>
        <v>0</v>
      </c>
      <c r="Q114" s="1086">
        <f t="shared" si="24"/>
        <v>0</v>
      </c>
      <c r="R114" s="1086">
        <f t="shared" si="24"/>
        <v>0</v>
      </c>
      <c r="S114" s="1086">
        <f t="shared" si="24"/>
        <v>0</v>
      </c>
      <c r="T114" s="1086">
        <f t="shared" si="24"/>
        <v>0</v>
      </c>
      <c r="U114" s="1086">
        <f t="shared" si="24"/>
        <v>0</v>
      </c>
      <c r="V114" s="1086">
        <f t="shared" si="24"/>
        <v>0</v>
      </c>
      <c r="W114" s="1086">
        <f t="shared" si="24"/>
        <v>0</v>
      </c>
      <c r="X114" s="1086">
        <f t="shared" si="24"/>
        <v>0</v>
      </c>
      <c r="Y114" s="1086">
        <f t="shared" si="24"/>
        <v>0</v>
      </c>
      <c r="Z114" s="1086">
        <f t="shared" si="24"/>
        <v>0</v>
      </c>
      <c r="AA114" s="1086">
        <f t="shared" si="24"/>
        <v>0</v>
      </c>
      <c r="AB114" s="1086">
        <f t="shared" si="24"/>
        <v>0</v>
      </c>
      <c r="AC114" s="1086">
        <f t="shared" si="24"/>
        <v>0</v>
      </c>
      <c r="AD114" s="1086"/>
      <c r="AE114" s="1086"/>
      <c r="AF114" s="1086"/>
      <c r="AG114" s="1086"/>
      <c r="AH114" s="1086"/>
      <c r="AI114" s="1086"/>
      <c r="AJ114" s="1086"/>
      <c r="AK114" s="1086"/>
      <c r="AL114" s="1086"/>
      <c r="AM114" s="1086"/>
      <c r="AN114" s="1086"/>
      <c r="AO114" s="1086"/>
      <c r="AP114" s="1086"/>
      <c r="AQ114" s="1086"/>
      <c r="AR114" s="1086"/>
      <c r="AS114" s="1086"/>
      <c r="AT114" s="1086"/>
      <c r="AU114" s="1086"/>
      <c r="AV114" s="1086"/>
      <c r="AW114" s="1086"/>
      <c r="AX114" s="1086">
        <f t="shared" si="13"/>
        <v>0</v>
      </c>
    </row>
    <row r="115" spans="1:50" ht="12">
      <c r="A115" s="1086" t="s">
        <v>1317</v>
      </c>
      <c r="B115" s="1086" t="s">
        <v>1318</v>
      </c>
      <c r="C115" s="1086">
        <f>SUM(C116:C118)</f>
        <v>0</v>
      </c>
      <c r="D115" s="1086">
        <f t="shared" ref="D115:AC115" si="25">SUM(D116:D118)</f>
        <v>0</v>
      </c>
      <c r="E115" s="1086">
        <f t="shared" si="25"/>
        <v>0</v>
      </c>
      <c r="F115" s="1086">
        <f t="shared" si="25"/>
        <v>0</v>
      </c>
      <c r="G115" s="1086">
        <f t="shared" si="25"/>
        <v>0</v>
      </c>
      <c r="H115" s="1086">
        <f t="shared" si="25"/>
        <v>0</v>
      </c>
      <c r="I115" s="1086">
        <f t="shared" si="25"/>
        <v>0</v>
      </c>
      <c r="J115" s="1086">
        <f t="shared" si="25"/>
        <v>0</v>
      </c>
      <c r="K115" s="1086">
        <f t="shared" si="25"/>
        <v>0</v>
      </c>
      <c r="L115" s="1086">
        <f t="shared" si="25"/>
        <v>0</v>
      </c>
      <c r="M115" s="1086">
        <f t="shared" si="25"/>
        <v>0</v>
      </c>
      <c r="N115" s="1086">
        <f t="shared" si="25"/>
        <v>0</v>
      </c>
      <c r="O115" s="1086">
        <f t="shared" si="25"/>
        <v>0</v>
      </c>
      <c r="P115" s="1086">
        <f t="shared" si="25"/>
        <v>0</v>
      </c>
      <c r="Q115" s="1086">
        <f t="shared" si="25"/>
        <v>0</v>
      </c>
      <c r="R115" s="1086">
        <f t="shared" si="25"/>
        <v>0</v>
      </c>
      <c r="S115" s="1086">
        <f t="shared" si="25"/>
        <v>0</v>
      </c>
      <c r="T115" s="1086">
        <f t="shared" si="25"/>
        <v>0</v>
      </c>
      <c r="U115" s="1086">
        <f t="shared" si="25"/>
        <v>0</v>
      </c>
      <c r="V115" s="1086">
        <f t="shared" si="25"/>
        <v>0</v>
      </c>
      <c r="W115" s="1086">
        <f t="shared" si="25"/>
        <v>0</v>
      </c>
      <c r="X115" s="1086">
        <f t="shared" si="25"/>
        <v>0</v>
      </c>
      <c r="Y115" s="1086">
        <f t="shared" si="25"/>
        <v>0</v>
      </c>
      <c r="Z115" s="1086">
        <f t="shared" si="25"/>
        <v>0</v>
      </c>
      <c r="AA115" s="1086">
        <f t="shared" si="25"/>
        <v>0</v>
      </c>
      <c r="AB115" s="1086">
        <f t="shared" si="25"/>
        <v>0</v>
      </c>
      <c r="AC115" s="1086">
        <f t="shared" si="25"/>
        <v>0</v>
      </c>
      <c r="AD115" s="1086"/>
      <c r="AE115" s="1086"/>
      <c r="AF115" s="1086"/>
      <c r="AG115" s="1086"/>
      <c r="AH115" s="1086"/>
      <c r="AI115" s="1086"/>
      <c r="AJ115" s="1086"/>
      <c r="AK115" s="1086"/>
      <c r="AL115" s="1086"/>
      <c r="AM115" s="1086"/>
      <c r="AN115" s="1086"/>
      <c r="AO115" s="1086"/>
      <c r="AP115" s="1086"/>
      <c r="AQ115" s="1086"/>
      <c r="AR115" s="1086"/>
      <c r="AS115" s="1086"/>
      <c r="AT115" s="1086"/>
      <c r="AU115" s="1086"/>
      <c r="AV115" s="1086"/>
      <c r="AW115" s="1086"/>
      <c r="AX115" s="1086">
        <f t="shared" si="13"/>
        <v>0</v>
      </c>
    </row>
    <row r="116" spans="1:50" ht="12">
      <c r="A116" s="1086" t="s">
        <v>1319</v>
      </c>
      <c r="B116" s="1086" t="s">
        <v>1320</v>
      </c>
      <c r="C116" s="1088">
        <v>0</v>
      </c>
      <c r="D116" s="1088">
        <v>0</v>
      </c>
      <c r="E116" s="1088">
        <v>0</v>
      </c>
      <c r="F116" s="1088">
        <v>0</v>
      </c>
      <c r="G116" s="1088">
        <v>0</v>
      </c>
      <c r="H116" s="1088">
        <v>0</v>
      </c>
      <c r="I116" s="1088">
        <v>0</v>
      </c>
      <c r="J116" s="1088">
        <v>0</v>
      </c>
      <c r="K116" s="1088">
        <v>0</v>
      </c>
      <c r="L116" s="1088">
        <v>0</v>
      </c>
      <c r="M116" s="1088">
        <v>0</v>
      </c>
      <c r="N116" s="1088">
        <v>0</v>
      </c>
      <c r="O116" s="1088">
        <v>0</v>
      </c>
      <c r="P116" s="1088">
        <v>0</v>
      </c>
      <c r="Q116" s="1088">
        <v>0</v>
      </c>
      <c r="R116" s="1088">
        <v>0</v>
      </c>
      <c r="S116" s="1088">
        <v>0</v>
      </c>
      <c r="T116" s="1088">
        <v>0</v>
      </c>
      <c r="U116" s="1088">
        <v>0</v>
      </c>
      <c r="V116" s="1088">
        <v>0</v>
      </c>
      <c r="W116" s="1088">
        <v>0</v>
      </c>
      <c r="X116" s="1088">
        <v>0</v>
      </c>
      <c r="Y116" s="1088">
        <v>0</v>
      </c>
      <c r="Z116" s="1088">
        <v>0</v>
      </c>
      <c r="AA116" s="1088">
        <v>0</v>
      </c>
      <c r="AB116" s="1088">
        <v>0</v>
      </c>
      <c r="AC116" s="1088">
        <v>0</v>
      </c>
      <c r="AD116" s="1088"/>
      <c r="AE116" s="1088"/>
      <c r="AF116" s="1088"/>
      <c r="AG116" s="1088"/>
      <c r="AH116" s="1088"/>
      <c r="AI116" s="1088"/>
      <c r="AJ116" s="1088"/>
      <c r="AK116" s="1088"/>
      <c r="AL116" s="1088"/>
      <c r="AM116" s="1088"/>
      <c r="AN116" s="1088"/>
      <c r="AO116" s="1088"/>
      <c r="AP116" s="1088"/>
      <c r="AQ116" s="1088"/>
      <c r="AR116" s="1088"/>
      <c r="AS116" s="1088"/>
      <c r="AT116" s="1088"/>
      <c r="AU116" s="1088"/>
      <c r="AV116" s="1088"/>
      <c r="AW116" s="1088"/>
      <c r="AX116" s="1086">
        <f t="shared" si="13"/>
        <v>0</v>
      </c>
    </row>
    <row r="117" spans="1:50" ht="12">
      <c r="A117" s="1086" t="s">
        <v>1321</v>
      </c>
      <c r="B117" s="1086" t="s">
        <v>1322</v>
      </c>
      <c r="C117" s="1088">
        <v>0</v>
      </c>
      <c r="D117" s="1088">
        <v>0</v>
      </c>
      <c r="E117" s="1088">
        <v>0</v>
      </c>
      <c r="F117" s="1088">
        <v>0</v>
      </c>
      <c r="G117" s="1088">
        <v>0</v>
      </c>
      <c r="H117" s="1088">
        <v>0</v>
      </c>
      <c r="I117" s="1088">
        <v>0</v>
      </c>
      <c r="J117" s="1088">
        <v>0</v>
      </c>
      <c r="K117" s="1088">
        <v>0</v>
      </c>
      <c r="L117" s="1088">
        <v>0</v>
      </c>
      <c r="M117" s="1088">
        <v>0</v>
      </c>
      <c r="N117" s="1088">
        <v>0</v>
      </c>
      <c r="O117" s="1088">
        <v>0</v>
      </c>
      <c r="P117" s="1088">
        <v>0</v>
      </c>
      <c r="Q117" s="1088">
        <v>0</v>
      </c>
      <c r="R117" s="1088">
        <v>0</v>
      </c>
      <c r="S117" s="1088">
        <v>0</v>
      </c>
      <c r="T117" s="1088">
        <v>0</v>
      </c>
      <c r="U117" s="1088">
        <v>0</v>
      </c>
      <c r="V117" s="1088">
        <v>0</v>
      </c>
      <c r="W117" s="1088">
        <v>0</v>
      </c>
      <c r="X117" s="1088">
        <v>0</v>
      </c>
      <c r="Y117" s="1088">
        <v>0</v>
      </c>
      <c r="Z117" s="1088">
        <v>0</v>
      </c>
      <c r="AA117" s="1088">
        <v>0</v>
      </c>
      <c r="AB117" s="1088">
        <v>0</v>
      </c>
      <c r="AC117" s="1088">
        <v>0</v>
      </c>
      <c r="AD117" s="1088"/>
      <c r="AE117" s="1088"/>
      <c r="AF117" s="1088"/>
      <c r="AG117" s="1088"/>
      <c r="AH117" s="1088"/>
      <c r="AI117" s="1088"/>
      <c r="AJ117" s="1088"/>
      <c r="AK117" s="1088"/>
      <c r="AL117" s="1088"/>
      <c r="AM117" s="1088"/>
      <c r="AN117" s="1088"/>
      <c r="AO117" s="1088"/>
      <c r="AP117" s="1088"/>
      <c r="AQ117" s="1088"/>
      <c r="AR117" s="1088"/>
      <c r="AS117" s="1088"/>
      <c r="AT117" s="1088"/>
      <c r="AU117" s="1088"/>
      <c r="AV117" s="1088"/>
      <c r="AW117" s="1088"/>
      <c r="AX117" s="1086">
        <f t="shared" si="13"/>
        <v>0</v>
      </c>
    </row>
    <row r="118" spans="1:50" ht="12">
      <c r="A118" s="1086" t="s">
        <v>1323</v>
      </c>
      <c r="B118" s="1086" t="s">
        <v>1324</v>
      </c>
      <c r="C118" s="1088">
        <v>0</v>
      </c>
      <c r="D118" s="1088">
        <v>0</v>
      </c>
      <c r="E118" s="1088">
        <v>0</v>
      </c>
      <c r="F118" s="1088">
        <v>0</v>
      </c>
      <c r="G118" s="1088">
        <v>0</v>
      </c>
      <c r="H118" s="1088">
        <v>0</v>
      </c>
      <c r="I118" s="1088">
        <v>0</v>
      </c>
      <c r="J118" s="1088">
        <v>0</v>
      </c>
      <c r="K118" s="1088">
        <v>0</v>
      </c>
      <c r="L118" s="1088">
        <v>0</v>
      </c>
      <c r="M118" s="1088">
        <v>0</v>
      </c>
      <c r="N118" s="1088">
        <v>0</v>
      </c>
      <c r="O118" s="1088">
        <v>0</v>
      </c>
      <c r="P118" s="1088">
        <v>0</v>
      </c>
      <c r="Q118" s="1088">
        <v>0</v>
      </c>
      <c r="R118" s="1088">
        <v>0</v>
      </c>
      <c r="S118" s="1088">
        <v>0</v>
      </c>
      <c r="T118" s="1088">
        <v>0</v>
      </c>
      <c r="U118" s="1088">
        <v>0</v>
      </c>
      <c r="V118" s="1088">
        <v>0</v>
      </c>
      <c r="W118" s="1088">
        <v>0</v>
      </c>
      <c r="X118" s="1088">
        <v>0</v>
      </c>
      <c r="Y118" s="1088">
        <v>0</v>
      </c>
      <c r="Z118" s="1088">
        <v>0</v>
      </c>
      <c r="AA118" s="1088">
        <v>0</v>
      </c>
      <c r="AB118" s="1088">
        <v>0</v>
      </c>
      <c r="AC118" s="1088">
        <v>0</v>
      </c>
      <c r="AD118" s="1088"/>
      <c r="AE118" s="1088"/>
      <c r="AF118" s="1088"/>
      <c r="AG118" s="1088"/>
      <c r="AH118" s="1088"/>
      <c r="AI118" s="1088"/>
      <c r="AJ118" s="1088"/>
      <c r="AK118" s="1088"/>
      <c r="AL118" s="1088"/>
      <c r="AM118" s="1088"/>
      <c r="AN118" s="1088"/>
      <c r="AO118" s="1088"/>
      <c r="AP118" s="1088"/>
      <c r="AQ118" s="1088"/>
      <c r="AR118" s="1088"/>
      <c r="AS118" s="1088"/>
      <c r="AT118" s="1088"/>
      <c r="AU118" s="1088"/>
      <c r="AV118" s="1088"/>
      <c r="AW118" s="1088"/>
      <c r="AX118" s="1086">
        <f t="shared" si="13"/>
        <v>0</v>
      </c>
    </row>
    <row r="119" spans="1:50" ht="12">
      <c r="A119" s="1086" t="s">
        <v>1325</v>
      </c>
      <c r="B119" s="1086" t="s">
        <v>1326</v>
      </c>
      <c r="C119" s="1086">
        <f>SUM(C120:C122)</f>
        <v>0</v>
      </c>
      <c r="D119" s="1086">
        <f t="shared" ref="D119:AC119" si="26">SUM(D120:D122)</f>
        <v>0</v>
      </c>
      <c r="E119" s="1086">
        <f t="shared" si="26"/>
        <v>0</v>
      </c>
      <c r="F119" s="1086">
        <f t="shared" si="26"/>
        <v>0</v>
      </c>
      <c r="G119" s="1086">
        <f t="shared" si="26"/>
        <v>0</v>
      </c>
      <c r="H119" s="1086">
        <f t="shared" si="26"/>
        <v>0</v>
      </c>
      <c r="I119" s="1086">
        <f t="shared" si="26"/>
        <v>0</v>
      </c>
      <c r="J119" s="1086">
        <f t="shared" si="26"/>
        <v>0</v>
      </c>
      <c r="K119" s="1086">
        <f t="shared" si="26"/>
        <v>0</v>
      </c>
      <c r="L119" s="1086">
        <f t="shared" si="26"/>
        <v>0</v>
      </c>
      <c r="M119" s="1086">
        <f t="shared" si="26"/>
        <v>0</v>
      </c>
      <c r="N119" s="1086">
        <f t="shared" si="26"/>
        <v>0</v>
      </c>
      <c r="O119" s="1086">
        <f t="shared" si="26"/>
        <v>0</v>
      </c>
      <c r="P119" s="1086">
        <f t="shared" si="26"/>
        <v>0</v>
      </c>
      <c r="Q119" s="1086">
        <f t="shared" si="26"/>
        <v>0</v>
      </c>
      <c r="R119" s="1086">
        <f t="shared" si="26"/>
        <v>0</v>
      </c>
      <c r="S119" s="1086">
        <f t="shared" si="26"/>
        <v>0</v>
      </c>
      <c r="T119" s="1086">
        <f t="shared" si="26"/>
        <v>0</v>
      </c>
      <c r="U119" s="1086">
        <f t="shared" si="26"/>
        <v>0</v>
      </c>
      <c r="V119" s="1086">
        <f t="shared" si="26"/>
        <v>0</v>
      </c>
      <c r="W119" s="1086">
        <f t="shared" si="26"/>
        <v>0</v>
      </c>
      <c r="X119" s="1086">
        <f t="shared" si="26"/>
        <v>0</v>
      </c>
      <c r="Y119" s="1086">
        <f t="shared" si="26"/>
        <v>0</v>
      </c>
      <c r="Z119" s="1086">
        <f t="shared" si="26"/>
        <v>0</v>
      </c>
      <c r="AA119" s="1086">
        <f t="shared" si="26"/>
        <v>0</v>
      </c>
      <c r="AB119" s="1086">
        <f t="shared" si="26"/>
        <v>0</v>
      </c>
      <c r="AC119" s="1086">
        <f t="shared" si="26"/>
        <v>0</v>
      </c>
      <c r="AD119" s="1086"/>
      <c r="AE119" s="1086"/>
      <c r="AF119" s="1086"/>
      <c r="AG119" s="1086"/>
      <c r="AH119" s="1086"/>
      <c r="AI119" s="1086"/>
      <c r="AJ119" s="1086"/>
      <c r="AK119" s="1086"/>
      <c r="AL119" s="1086"/>
      <c r="AM119" s="1086"/>
      <c r="AN119" s="1086"/>
      <c r="AO119" s="1086"/>
      <c r="AP119" s="1086"/>
      <c r="AQ119" s="1086"/>
      <c r="AR119" s="1086"/>
      <c r="AS119" s="1086"/>
      <c r="AT119" s="1086"/>
      <c r="AU119" s="1086"/>
      <c r="AV119" s="1086"/>
      <c r="AW119" s="1086"/>
      <c r="AX119" s="1086">
        <f t="shared" si="13"/>
        <v>0</v>
      </c>
    </row>
    <row r="120" spans="1:50" ht="12">
      <c r="A120" s="1086" t="s">
        <v>1327</v>
      </c>
      <c r="B120" s="1086" t="s">
        <v>1328</v>
      </c>
      <c r="C120" s="1088">
        <v>0</v>
      </c>
      <c r="D120" s="1088">
        <v>0</v>
      </c>
      <c r="E120" s="1088">
        <v>0</v>
      </c>
      <c r="F120" s="1088">
        <v>0</v>
      </c>
      <c r="G120" s="1088">
        <v>0</v>
      </c>
      <c r="H120" s="1088">
        <v>0</v>
      </c>
      <c r="I120" s="1088">
        <v>0</v>
      </c>
      <c r="J120" s="1088">
        <v>0</v>
      </c>
      <c r="K120" s="1088">
        <v>0</v>
      </c>
      <c r="L120" s="1088">
        <v>0</v>
      </c>
      <c r="M120" s="1088">
        <v>0</v>
      </c>
      <c r="N120" s="1088">
        <v>0</v>
      </c>
      <c r="O120" s="1088">
        <v>0</v>
      </c>
      <c r="P120" s="1088">
        <v>0</v>
      </c>
      <c r="Q120" s="1088">
        <v>0</v>
      </c>
      <c r="R120" s="1088">
        <v>0</v>
      </c>
      <c r="S120" s="1088">
        <v>0</v>
      </c>
      <c r="T120" s="1088">
        <v>0</v>
      </c>
      <c r="U120" s="1088">
        <v>0</v>
      </c>
      <c r="V120" s="1088">
        <v>0</v>
      </c>
      <c r="W120" s="1088">
        <v>0</v>
      </c>
      <c r="X120" s="1088">
        <v>0</v>
      </c>
      <c r="Y120" s="1088">
        <v>0</v>
      </c>
      <c r="Z120" s="1088">
        <v>0</v>
      </c>
      <c r="AA120" s="1088">
        <v>0</v>
      </c>
      <c r="AB120" s="1088">
        <v>0</v>
      </c>
      <c r="AC120" s="1088">
        <v>0</v>
      </c>
      <c r="AD120" s="1088"/>
      <c r="AE120" s="1088"/>
      <c r="AF120" s="1088"/>
      <c r="AG120" s="1088"/>
      <c r="AH120" s="1088"/>
      <c r="AI120" s="1088"/>
      <c r="AJ120" s="1088"/>
      <c r="AK120" s="1088"/>
      <c r="AL120" s="1088"/>
      <c r="AM120" s="1088"/>
      <c r="AN120" s="1088"/>
      <c r="AO120" s="1088"/>
      <c r="AP120" s="1088"/>
      <c r="AQ120" s="1088"/>
      <c r="AR120" s="1088"/>
      <c r="AS120" s="1088"/>
      <c r="AT120" s="1088"/>
      <c r="AU120" s="1088"/>
      <c r="AV120" s="1088"/>
      <c r="AW120" s="1088"/>
      <c r="AX120" s="1086">
        <f t="shared" si="13"/>
        <v>0</v>
      </c>
    </row>
    <row r="121" spans="1:50" ht="12">
      <c r="A121" s="1086" t="s">
        <v>1329</v>
      </c>
      <c r="B121" s="1086" t="s">
        <v>1330</v>
      </c>
      <c r="C121" s="1088">
        <v>0</v>
      </c>
      <c r="D121" s="1088">
        <v>0</v>
      </c>
      <c r="E121" s="1088">
        <v>0</v>
      </c>
      <c r="F121" s="1088">
        <v>0</v>
      </c>
      <c r="G121" s="1088">
        <v>0</v>
      </c>
      <c r="H121" s="1088">
        <v>0</v>
      </c>
      <c r="I121" s="1088">
        <v>0</v>
      </c>
      <c r="J121" s="1088">
        <v>0</v>
      </c>
      <c r="K121" s="1088">
        <v>0</v>
      </c>
      <c r="L121" s="1088">
        <v>0</v>
      </c>
      <c r="M121" s="1088">
        <v>0</v>
      </c>
      <c r="N121" s="1088">
        <v>0</v>
      </c>
      <c r="O121" s="1088">
        <v>0</v>
      </c>
      <c r="P121" s="1088">
        <v>0</v>
      </c>
      <c r="Q121" s="1088">
        <v>0</v>
      </c>
      <c r="R121" s="1088">
        <v>0</v>
      </c>
      <c r="S121" s="1088">
        <v>0</v>
      </c>
      <c r="T121" s="1088">
        <v>0</v>
      </c>
      <c r="U121" s="1088">
        <v>0</v>
      </c>
      <c r="V121" s="1088">
        <v>0</v>
      </c>
      <c r="W121" s="1088">
        <v>0</v>
      </c>
      <c r="X121" s="1088">
        <v>0</v>
      </c>
      <c r="Y121" s="1088">
        <v>0</v>
      </c>
      <c r="Z121" s="1088">
        <v>0</v>
      </c>
      <c r="AA121" s="1088">
        <v>0</v>
      </c>
      <c r="AB121" s="1088">
        <v>0</v>
      </c>
      <c r="AC121" s="1088">
        <v>0</v>
      </c>
      <c r="AD121" s="1088"/>
      <c r="AE121" s="1088"/>
      <c r="AF121" s="1088"/>
      <c r="AG121" s="1088"/>
      <c r="AH121" s="1088"/>
      <c r="AI121" s="1088"/>
      <c r="AJ121" s="1088"/>
      <c r="AK121" s="1088"/>
      <c r="AL121" s="1088"/>
      <c r="AM121" s="1088"/>
      <c r="AN121" s="1088"/>
      <c r="AO121" s="1088"/>
      <c r="AP121" s="1088"/>
      <c r="AQ121" s="1088"/>
      <c r="AR121" s="1088"/>
      <c r="AS121" s="1088"/>
      <c r="AT121" s="1088"/>
      <c r="AU121" s="1088"/>
      <c r="AV121" s="1088"/>
      <c r="AW121" s="1088"/>
      <c r="AX121" s="1086">
        <f t="shared" si="13"/>
        <v>0</v>
      </c>
    </row>
    <row r="122" spans="1:50" ht="12">
      <c r="A122" s="1086" t="s">
        <v>1331</v>
      </c>
      <c r="B122" s="1086" t="s">
        <v>1332</v>
      </c>
      <c r="C122" s="1088">
        <v>0</v>
      </c>
      <c r="D122" s="1088">
        <v>0</v>
      </c>
      <c r="E122" s="1088">
        <v>0</v>
      </c>
      <c r="F122" s="1088">
        <v>0</v>
      </c>
      <c r="G122" s="1088">
        <v>0</v>
      </c>
      <c r="H122" s="1088">
        <v>0</v>
      </c>
      <c r="I122" s="1088">
        <v>0</v>
      </c>
      <c r="J122" s="1088">
        <v>0</v>
      </c>
      <c r="K122" s="1088">
        <v>0</v>
      </c>
      <c r="L122" s="1088">
        <v>0</v>
      </c>
      <c r="M122" s="1088">
        <v>0</v>
      </c>
      <c r="N122" s="1088">
        <v>0</v>
      </c>
      <c r="O122" s="1088">
        <v>0</v>
      </c>
      <c r="P122" s="1088">
        <v>0</v>
      </c>
      <c r="Q122" s="1088">
        <v>0</v>
      </c>
      <c r="R122" s="1088">
        <v>0</v>
      </c>
      <c r="S122" s="1088">
        <v>0</v>
      </c>
      <c r="T122" s="1088">
        <v>0</v>
      </c>
      <c r="U122" s="1088">
        <v>0</v>
      </c>
      <c r="V122" s="1088">
        <v>0</v>
      </c>
      <c r="W122" s="1088">
        <v>0</v>
      </c>
      <c r="X122" s="1088">
        <v>0</v>
      </c>
      <c r="Y122" s="1088">
        <v>0</v>
      </c>
      <c r="Z122" s="1088">
        <v>0</v>
      </c>
      <c r="AA122" s="1088">
        <v>0</v>
      </c>
      <c r="AB122" s="1088">
        <v>0</v>
      </c>
      <c r="AC122" s="1088">
        <v>0</v>
      </c>
      <c r="AD122" s="1088"/>
      <c r="AE122" s="1088"/>
      <c r="AF122" s="1088"/>
      <c r="AG122" s="1088"/>
      <c r="AH122" s="1088"/>
      <c r="AI122" s="1088"/>
      <c r="AJ122" s="1088"/>
      <c r="AK122" s="1088"/>
      <c r="AL122" s="1088"/>
      <c r="AM122" s="1088"/>
      <c r="AN122" s="1088"/>
      <c r="AO122" s="1088"/>
      <c r="AP122" s="1088"/>
      <c r="AQ122" s="1088"/>
      <c r="AR122" s="1088"/>
      <c r="AS122" s="1088"/>
      <c r="AT122" s="1088"/>
      <c r="AU122" s="1088"/>
      <c r="AV122" s="1088"/>
      <c r="AW122" s="1088"/>
      <c r="AX122" s="1086">
        <f t="shared" si="13"/>
        <v>0</v>
      </c>
    </row>
    <row r="123" spans="1:50" ht="12">
      <c r="A123" s="1086" t="s">
        <v>852</v>
      </c>
      <c r="B123" s="1086" t="s">
        <v>412</v>
      </c>
      <c r="C123" s="1088">
        <v>0</v>
      </c>
      <c r="D123" s="1088">
        <v>13940</v>
      </c>
      <c r="E123" s="1088">
        <v>0</v>
      </c>
      <c r="F123" s="1088">
        <v>96000</v>
      </c>
      <c r="G123" s="1088">
        <v>96000</v>
      </c>
      <c r="H123" s="1088">
        <v>96000</v>
      </c>
      <c r="I123" s="1088">
        <v>96000</v>
      </c>
      <c r="J123" s="1088">
        <v>96000</v>
      </c>
      <c r="K123" s="1088">
        <v>96000</v>
      </c>
      <c r="L123" s="1088">
        <v>96000</v>
      </c>
      <c r="M123" s="1088">
        <v>96000</v>
      </c>
      <c r="N123" s="1088">
        <v>96000</v>
      </c>
      <c r="O123" s="1088">
        <v>96000</v>
      </c>
      <c r="P123" s="1088">
        <v>96000</v>
      </c>
      <c r="Q123" s="1088">
        <v>96000</v>
      </c>
      <c r="R123" s="1088">
        <v>96000</v>
      </c>
      <c r="S123" s="1088">
        <v>96000</v>
      </c>
      <c r="T123" s="1088">
        <v>96000</v>
      </c>
      <c r="U123" s="1088">
        <v>96000</v>
      </c>
      <c r="V123" s="1088">
        <v>96000</v>
      </c>
      <c r="W123" s="1088">
        <v>96000</v>
      </c>
      <c r="X123" s="1088">
        <v>96000</v>
      </c>
      <c r="Y123" s="1088">
        <v>96000</v>
      </c>
      <c r="Z123" s="1088">
        <v>0</v>
      </c>
      <c r="AA123" s="1088">
        <v>0</v>
      </c>
      <c r="AB123" s="1088">
        <v>0</v>
      </c>
      <c r="AC123" s="1088">
        <v>0</v>
      </c>
      <c r="AD123" s="1088"/>
      <c r="AE123" s="1088"/>
      <c r="AF123" s="1088"/>
      <c r="AG123" s="1088"/>
      <c r="AH123" s="1088"/>
      <c r="AI123" s="1088"/>
      <c r="AJ123" s="1088"/>
      <c r="AK123" s="1088"/>
      <c r="AL123" s="1088"/>
      <c r="AM123" s="1088"/>
      <c r="AN123" s="1088"/>
      <c r="AO123" s="1088"/>
      <c r="AP123" s="1088"/>
      <c r="AQ123" s="1088"/>
      <c r="AR123" s="1088"/>
      <c r="AS123" s="1088"/>
      <c r="AT123" s="1088"/>
      <c r="AU123" s="1088"/>
      <c r="AV123" s="1088"/>
      <c r="AW123" s="1088"/>
      <c r="AX123" s="1086">
        <f t="shared" si="13"/>
        <v>1933940</v>
      </c>
    </row>
    <row r="124" spans="1:50" ht="12">
      <c r="A124" s="1086" t="s">
        <v>1333</v>
      </c>
      <c r="B124" s="1086" t="s">
        <v>1334</v>
      </c>
      <c r="C124" s="1088">
        <v>0</v>
      </c>
      <c r="D124" s="1088">
        <v>0</v>
      </c>
      <c r="E124" s="1088">
        <v>0</v>
      </c>
      <c r="F124" s="1088">
        <v>0</v>
      </c>
      <c r="G124" s="1088">
        <v>0</v>
      </c>
      <c r="H124" s="1088">
        <v>0</v>
      </c>
      <c r="I124" s="1088">
        <v>0</v>
      </c>
      <c r="J124" s="1088">
        <v>0</v>
      </c>
      <c r="K124" s="1088">
        <v>0</v>
      </c>
      <c r="L124" s="1088">
        <v>0</v>
      </c>
      <c r="M124" s="1088">
        <v>0</v>
      </c>
      <c r="N124" s="1088">
        <v>0</v>
      </c>
      <c r="O124" s="1088">
        <v>0</v>
      </c>
      <c r="P124" s="1088">
        <v>0</v>
      </c>
      <c r="Q124" s="1088">
        <v>0</v>
      </c>
      <c r="R124" s="1088">
        <v>0</v>
      </c>
      <c r="S124" s="1088">
        <v>0</v>
      </c>
      <c r="T124" s="1088">
        <v>0</v>
      </c>
      <c r="U124" s="1088">
        <v>0</v>
      </c>
      <c r="V124" s="1088">
        <v>0</v>
      </c>
      <c r="W124" s="1088">
        <v>0</v>
      </c>
      <c r="X124" s="1088">
        <v>0</v>
      </c>
      <c r="Y124" s="1088">
        <v>0</v>
      </c>
      <c r="Z124" s="1088">
        <v>0</v>
      </c>
      <c r="AA124" s="1088">
        <v>0</v>
      </c>
      <c r="AB124" s="1088">
        <v>0</v>
      </c>
      <c r="AC124" s="1088">
        <v>0</v>
      </c>
      <c r="AD124" s="1088"/>
      <c r="AE124" s="1088"/>
      <c r="AF124" s="1088"/>
      <c r="AG124" s="1088"/>
      <c r="AH124" s="1088"/>
      <c r="AI124" s="1088"/>
      <c r="AJ124" s="1088"/>
      <c r="AK124" s="1088"/>
      <c r="AL124" s="1088"/>
      <c r="AM124" s="1088"/>
      <c r="AN124" s="1088"/>
      <c r="AO124" s="1088"/>
      <c r="AP124" s="1088"/>
      <c r="AQ124" s="1088"/>
      <c r="AR124" s="1088"/>
      <c r="AS124" s="1088"/>
      <c r="AT124" s="1088"/>
      <c r="AU124" s="1088"/>
      <c r="AV124" s="1088"/>
      <c r="AW124" s="1088"/>
      <c r="AX124" s="1086">
        <f t="shared" si="13"/>
        <v>0</v>
      </c>
    </row>
    <row r="125" spans="1:50" ht="12">
      <c r="A125" s="1086" t="s">
        <v>1335</v>
      </c>
      <c r="B125" s="1086" t="s">
        <v>1336</v>
      </c>
      <c r="C125" s="1088">
        <v>0</v>
      </c>
      <c r="D125" s="1088">
        <v>0</v>
      </c>
      <c r="E125" s="1088">
        <v>0</v>
      </c>
      <c r="F125" s="1088">
        <v>0</v>
      </c>
      <c r="G125" s="1088">
        <v>0</v>
      </c>
      <c r="H125" s="1088">
        <v>0</v>
      </c>
      <c r="I125" s="1088">
        <v>0</v>
      </c>
      <c r="J125" s="1088">
        <v>0</v>
      </c>
      <c r="K125" s="1088">
        <v>0</v>
      </c>
      <c r="L125" s="1088">
        <v>0</v>
      </c>
      <c r="M125" s="1088">
        <v>0</v>
      </c>
      <c r="N125" s="1088">
        <v>0</v>
      </c>
      <c r="O125" s="1088">
        <v>0</v>
      </c>
      <c r="P125" s="1088">
        <v>0</v>
      </c>
      <c r="Q125" s="1088">
        <v>0</v>
      </c>
      <c r="R125" s="1088">
        <v>0</v>
      </c>
      <c r="S125" s="1088">
        <v>0</v>
      </c>
      <c r="T125" s="1088">
        <v>0</v>
      </c>
      <c r="U125" s="1088">
        <v>0</v>
      </c>
      <c r="V125" s="1088">
        <v>0</v>
      </c>
      <c r="W125" s="1088">
        <v>0</v>
      </c>
      <c r="X125" s="1088">
        <v>0</v>
      </c>
      <c r="Y125" s="1088">
        <v>0</v>
      </c>
      <c r="Z125" s="1088">
        <v>0</v>
      </c>
      <c r="AA125" s="1088">
        <v>0</v>
      </c>
      <c r="AB125" s="1088">
        <v>0</v>
      </c>
      <c r="AC125" s="1088">
        <v>0</v>
      </c>
      <c r="AD125" s="1088"/>
      <c r="AE125" s="1088"/>
      <c r="AF125" s="1088"/>
      <c r="AG125" s="1088"/>
      <c r="AH125" s="1088"/>
      <c r="AI125" s="1088"/>
      <c r="AJ125" s="1088"/>
      <c r="AK125" s="1088"/>
      <c r="AL125" s="1088"/>
      <c r="AM125" s="1088"/>
      <c r="AN125" s="1088"/>
      <c r="AO125" s="1088"/>
      <c r="AP125" s="1088"/>
      <c r="AQ125" s="1088"/>
      <c r="AR125" s="1088"/>
      <c r="AS125" s="1088"/>
      <c r="AT125" s="1088"/>
      <c r="AU125" s="1088"/>
      <c r="AV125" s="1088"/>
      <c r="AW125" s="1088"/>
      <c r="AX125" s="1086">
        <f t="shared" si="13"/>
        <v>0</v>
      </c>
    </row>
    <row r="126" spans="1:50" ht="12">
      <c r="A126" s="1086" t="s">
        <v>1337</v>
      </c>
      <c r="B126" s="1086" t="s">
        <v>1338</v>
      </c>
      <c r="C126" s="1088">
        <v>0</v>
      </c>
      <c r="D126" s="1088">
        <v>0</v>
      </c>
      <c r="E126" s="1088">
        <v>0</v>
      </c>
      <c r="F126" s="1088">
        <v>0</v>
      </c>
      <c r="G126" s="1088">
        <v>0</v>
      </c>
      <c r="H126" s="1088">
        <v>0</v>
      </c>
      <c r="I126" s="1088">
        <v>0</v>
      </c>
      <c r="J126" s="1088">
        <v>0</v>
      </c>
      <c r="K126" s="1088">
        <v>0</v>
      </c>
      <c r="L126" s="1088">
        <v>0</v>
      </c>
      <c r="M126" s="1088">
        <v>0</v>
      </c>
      <c r="N126" s="1088">
        <v>0</v>
      </c>
      <c r="O126" s="1088">
        <v>0</v>
      </c>
      <c r="P126" s="1088">
        <v>0</v>
      </c>
      <c r="Q126" s="1088">
        <v>0</v>
      </c>
      <c r="R126" s="1088">
        <v>0</v>
      </c>
      <c r="S126" s="1088">
        <v>0</v>
      </c>
      <c r="T126" s="1088">
        <v>0</v>
      </c>
      <c r="U126" s="1088">
        <v>0</v>
      </c>
      <c r="V126" s="1088">
        <v>0</v>
      </c>
      <c r="W126" s="1088">
        <v>0</v>
      </c>
      <c r="X126" s="1088">
        <v>0</v>
      </c>
      <c r="Y126" s="1088">
        <v>0</v>
      </c>
      <c r="Z126" s="1088">
        <v>0</v>
      </c>
      <c r="AA126" s="1088">
        <v>0</v>
      </c>
      <c r="AB126" s="1088">
        <v>0</v>
      </c>
      <c r="AC126" s="1088">
        <v>0</v>
      </c>
      <c r="AD126" s="1088"/>
      <c r="AE126" s="1088"/>
      <c r="AF126" s="1088"/>
      <c r="AG126" s="1088"/>
      <c r="AH126" s="1088"/>
      <c r="AI126" s="1088"/>
      <c r="AJ126" s="1088"/>
      <c r="AK126" s="1088"/>
      <c r="AL126" s="1088"/>
      <c r="AM126" s="1088"/>
      <c r="AN126" s="1088"/>
      <c r="AO126" s="1088"/>
      <c r="AP126" s="1088"/>
      <c r="AQ126" s="1088"/>
      <c r="AR126" s="1088"/>
      <c r="AS126" s="1088"/>
      <c r="AT126" s="1088"/>
      <c r="AU126" s="1088"/>
      <c r="AV126" s="1088"/>
      <c r="AW126" s="1088"/>
      <c r="AX126" s="1086">
        <f t="shared" si="13"/>
        <v>0</v>
      </c>
    </row>
    <row r="127" spans="1:50" ht="12">
      <c r="A127" s="1086" t="s">
        <v>1339</v>
      </c>
      <c r="B127" s="1086" t="s">
        <v>1340</v>
      </c>
      <c r="C127" s="1086">
        <f>SUM(C128:C134)</f>
        <v>0</v>
      </c>
      <c r="D127" s="1086">
        <f t="shared" ref="D127:AC127" si="27">SUM(D128:D134)</f>
        <v>57923.25</v>
      </c>
      <c r="E127" s="1086">
        <f t="shared" si="27"/>
        <v>52060.5</v>
      </c>
      <c r="F127" s="1086">
        <f t="shared" si="27"/>
        <v>67275</v>
      </c>
      <c r="G127" s="1086">
        <f t="shared" si="27"/>
        <v>67275</v>
      </c>
      <c r="H127" s="1086">
        <f t="shared" si="27"/>
        <v>67275</v>
      </c>
      <c r="I127" s="1086">
        <f t="shared" si="27"/>
        <v>67275</v>
      </c>
      <c r="J127" s="1086">
        <f t="shared" si="27"/>
        <v>67275</v>
      </c>
      <c r="K127" s="1086">
        <f t="shared" si="27"/>
        <v>67275</v>
      </c>
      <c r="L127" s="1086">
        <f t="shared" si="27"/>
        <v>67275</v>
      </c>
      <c r="M127" s="1086">
        <f t="shared" si="27"/>
        <v>67275</v>
      </c>
      <c r="N127" s="1086">
        <f t="shared" si="27"/>
        <v>67275</v>
      </c>
      <c r="O127" s="1086">
        <f t="shared" si="27"/>
        <v>67275</v>
      </c>
      <c r="P127" s="1086">
        <f t="shared" si="27"/>
        <v>67275</v>
      </c>
      <c r="Q127" s="1086">
        <f t="shared" si="27"/>
        <v>67275</v>
      </c>
      <c r="R127" s="1086">
        <f t="shared" si="27"/>
        <v>67275</v>
      </c>
      <c r="S127" s="1086">
        <f t="shared" si="27"/>
        <v>67275</v>
      </c>
      <c r="T127" s="1086">
        <f t="shared" si="27"/>
        <v>67275</v>
      </c>
      <c r="U127" s="1086">
        <f t="shared" si="27"/>
        <v>67275</v>
      </c>
      <c r="V127" s="1086">
        <f t="shared" si="27"/>
        <v>67275</v>
      </c>
      <c r="W127" s="1086">
        <f t="shared" si="27"/>
        <v>67275</v>
      </c>
      <c r="X127" s="1086">
        <f t="shared" si="27"/>
        <v>67275</v>
      </c>
      <c r="Y127" s="1086">
        <f t="shared" si="27"/>
        <v>67275</v>
      </c>
      <c r="Z127" s="1086">
        <f t="shared" si="27"/>
        <v>0</v>
      </c>
      <c r="AA127" s="1086">
        <f t="shared" si="27"/>
        <v>0</v>
      </c>
      <c r="AB127" s="1086">
        <f t="shared" si="27"/>
        <v>0</v>
      </c>
      <c r="AC127" s="1086">
        <f t="shared" si="27"/>
        <v>0</v>
      </c>
      <c r="AD127" s="1086"/>
      <c r="AE127" s="1086"/>
      <c r="AF127" s="1086"/>
      <c r="AG127" s="1086"/>
      <c r="AH127" s="1086"/>
      <c r="AI127" s="1086"/>
      <c r="AJ127" s="1086"/>
      <c r="AK127" s="1086"/>
      <c r="AL127" s="1086"/>
      <c r="AM127" s="1086"/>
      <c r="AN127" s="1086"/>
      <c r="AO127" s="1086"/>
      <c r="AP127" s="1086"/>
      <c r="AQ127" s="1086"/>
      <c r="AR127" s="1086"/>
      <c r="AS127" s="1086"/>
      <c r="AT127" s="1086"/>
      <c r="AU127" s="1086"/>
      <c r="AV127" s="1086"/>
      <c r="AW127" s="1086"/>
      <c r="AX127" s="1086">
        <f t="shared" si="13"/>
        <v>1455483.75</v>
      </c>
    </row>
    <row r="128" spans="1:50" ht="12">
      <c r="A128" s="1086" t="s">
        <v>1341</v>
      </c>
      <c r="B128" s="1086" t="s">
        <v>1342</v>
      </c>
      <c r="C128" s="1088">
        <v>0</v>
      </c>
      <c r="D128" s="1088">
        <v>0</v>
      </c>
      <c r="E128" s="1088">
        <v>0</v>
      </c>
      <c r="F128" s="1088">
        <v>0</v>
      </c>
      <c r="G128" s="1088">
        <v>0</v>
      </c>
      <c r="H128" s="1088">
        <v>0</v>
      </c>
      <c r="I128" s="1088">
        <v>0</v>
      </c>
      <c r="J128" s="1088">
        <v>0</v>
      </c>
      <c r="K128" s="1088">
        <v>0</v>
      </c>
      <c r="L128" s="1088">
        <v>0</v>
      </c>
      <c r="M128" s="1088">
        <v>0</v>
      </c>
      <c r="N128" s="1088">
        <v>0</v>
      </c>
      <c r="O128" s="1088">
        <v>0</v>
      </c>
      <c r="P128" s="1088">
        <v>0</v>
      </c>
      <c r="Q128" s="1088">
        <v>0</v>
      </c>
      <c r="R128" s="1088">
        <v>0</v>
      </c>
      <c r="S128" s="1088">
        <v>0</v>
      </c>
      <c r="T128" s="1088">
        <v>0</v>
      </c>
      <c r="U128" s="1088">
        <v>0</v>
      </c>
      <c r="V128" s="1088">
        <v>0</v>
      </c>
      <c r="W128" s="1088">
        <v>0</v>
      </c>
      <c r="X128" s="1088">
        <v>0</v>
      </c>
      <c r="Y128" s="1088">
        <v>0</v>
      </c>
      <c r="Z128" s="1088">
        <v>0</v>
      </c>
      <c r="AA128" s="1088">
        <v>0</v>
      </c>
      <c r="AB128" s="1088">
        <v>0</v>
      </c>
      <c r="AC128" s="1088">
        <v>0</v>
      </c>
      <c r="AD128" s="1088"/>
      <c r="AE128" s="1088"/>
      <c r="AF128" s="1088"/>
      <c r="AG128" s="1088"/>
      <c r="AH128" s="1088"/>
      <c r="AI128" s="1088"/>
      <c r="AJ128" s="1088"/>
      <c r="AK128" s="1088"/>
      <c r="AL128" s="1088"/>
      <c r="AM128" s="1088"/>
      <c r="AN128" s="1088"/>
      <c r="AO128" s="1088"/>
      <c r="AP128" s="1088"/>
      <c r="AQ128" s="1088"/>
      <c r="AR128" s="1088"/>
      <c r="AS128" s="1088"/>
      <c r="AT128" s="1088"/>
      <c r="AU128" s="1088"/>
      <c r="AV128" s="1088"/>
      <c r="AW128" s="1088"/>
      <c r="AX128" s="1086">
        <f t="shared" si="13"/>
        <v>0</v>
      </c>
    </row>
    <row r="129" spans="1:50" ht="12">
      <c r="A129" s="1086" t="s">
        <v>1343</v>
      </c>
      <c r="B129" s="1086" t="s">
        <v>1344</v>
      </c>
      <c r="C129" s="1088">
        <v>0</v>
      </c>
      <c r="D129" s="1088">
        <v>38497</v>
      </c>
      <c r="E129" s="1088">
        <v>36018</v>
      </c>
      <c r="F129" s="1088">
        <v>45021</v>
      </c>
      <c r="G129" s="1088">
        <v>45021</v>
      </c>
      <c r="H129" s="1088">
        <v>45021</v>
      </c>
      <c r="I129" s="1088">
        <v>45021</v>
      </c>
      <c r="J129" s="1088">
        <v>45021</v>
      </c>
      <c r="K129" s="1088">
        <v>45021</v>
      </c>
      <c r="L129" s="1088">
        <v>45021</v>
      </c>
      <c r="M129" s="1088">
        <v>45021</v>
      </c>
      <c r="N129" s="1088">
        <v>45021</v>
      </c>
      <c r="O129" s="1088">
        <v>45021</v>
      </c>
      <c r="P129" s="1088">
        <v>45021</v>
      </c>
      <c r="Q129" s="1088">
        <v>45021</v>
      </c>
      <c r="R129" s="1088">
        <v>45021</v>
      </c>
      <c r="S129" s="1088">
        <v>45021</v>
      </c>
      <c r="T129" s="1088">
        <v>45021</v>
      </c>
      <c r="U129" s="1088">
        <v>45021</v>
      </c>
      <c r="V129" s="1088">
        <v>45021</v>
      </c>
      <c r="W129" s="1088">
        <v>45021</v>
      </c>
      <c r="X129" s="1088">
        <v>45021</v>
      </c>
      <c r="Y129" s="1088">
        <v>45021</v>
      </c>
      <c r="Z129" s="1088">
        <v>0</v>
      </c>
      <c r="AA129" s="1088">
        <v>0</v>
      </c>
      <c r="AB129" s="1088">
        <v>0</v>
      </c>
      <c r="AC129" s="1088">
        <v>0</v>
      </c>
      <c r="AD129" s="1088"/>
      <c r="AE129" s="1088"/>
      <c r="AF129" s="1088"/>
      <c r="AG129" s="1088"/>
      <c r="AH129" s="1088"/>
      <c r="AI129" s="1088"/>
      <c r="AJ129" s="1088"/>
      <c r="AK129" s="1088"/>
      <c r="AL129" s="1088"/>
      <c r="AM129" s="1088"/>
      <c r="AN129" s="1088"/>
      <c r="AO129" s="1088"/>
      <c r="AP129" s="1088"/>
      <c r="AQ129" s="1088"/>
      <c r="AR129" s="1088"/>
      <c r="AS129" s="1088"/>
      <c r="AT129" s="1088"/>
      <c r="AU129" s="1088"/>
      <c r="AV129" s="1088"/>
      <c r="AW129" s="1088"/>
      <c r="AX129" s="1086">
        <f t="shared" si="13"/>
        <v>974935</v>
      </c>
    </row>
    <row r="130" spans="1:50" ht="12">
      <c r="A130" s="1086" t="s">
        <v>1345</v>
      </c>
      <c r="B130" s="1086" t="s">
        <v>1346</v>
      </c>
      <c r="C130" s="1088">
        <v>0</v>
      </c>
      <c r="D130" s="1088">
        <v>0</v>
      </c>
      <c r="E130" s="1088">
        <v>0</v>
      </c>
      <c r="F130" s="1088">
        <v>0</v>
      </c>
      <c r="G130" s="1088">
        <v>0</v>
      </c>
      <c r="H130" s="1088">
        <v>0</v>
      </c>
      <c r="I130" s="1088">
        <v>0</v>
      </c>
      <c r="J130" s="1088">
        <v>0</v>
      </c>
      <c r="K130" s="1088">
        <v>0</v>
      </c>
      <c r="L130" s="1088">
        <v>0</v>
      </c>
      <c r="M130" s="1088">
        <v>0</v>
      </c>
      <c r="N130" s="1088">
        <v>0</v>
      </c>
      <c r="O130" s="1088">
        <v>0</v>
      </c>
      <c r="P130" s="1088">
        <v>0</v>
      </c>
      <c r="Q130" s="1088">
        <v>0</v>
      </c>
      <c r="R130" s="1088">
        <v>0</v>
      </c>
      <c r="S130" s="1088">
        <v>0</v>
      </c>
      <c r="T130" s="1088">
        <v>0</v>
      </c>
      <c r="U130" s="1088">
        <v>0</v>
      </c>
      <c r="V130" s="1088">
        <v>0</v>
      </c>
      <c r="W130" s="1088">
        <v>0</v>
      </c>
      <c r="X130" s="1088">
        <v>0</v>
      </c>
      <c r="Y130" s="1088">
        <v>0</v>
      </c>
      <c r="Z130" s="1088">
        <v>0</v>
      </c>
      <c r="AA130" s="1088">
        <v>0</v>
      </c>
      <c r="AB130" s="1088">
        <v>0</v>
      </c>
      <c r="AC130" s="1088">
        <v>0</v>
      </c>
      <c r="AD130" s="1088"/>
      <c r="AE130" s="1088"/>
      <c r="AF130" s="1088"/>
      <c r="AG130" s="1088"/>
      <c r="AH130" s="1088"/>
      <c r="AI130" s="1088"/>
      <c r="AJ130" s="1088"/>
      <c r="AK130" s="1088"/>
      <c r="AL130" s="1088"/>
      <c r="AM130" s="1088"/>
      <c r="AN130" s="1088"/>
      <c r="AO130" s="1088"/>
      <c r="AP130" s="1088"/>
      <c r="AQ130" s="1088"/>
      <c r="AR130" s="1088"/>
      <c r="AS130" s="1088"/>
      <c r="AT130" s="1088"/>
      <c r="AU130" s="1088"/>
      <c r="AV130" s="1088"/>
      <c r="AW130" s="1088"/>
      <c r="AX130" s="1086">
        <f t="shared" si="13"/>
        <v>0</v>
      </c>
    </row>
    <row r="131" spans="1:50" ht="12">
      <c r="A131" s="1086" t="s">
        <v>1347</v>
      </c>
      <c r="B131" s="1086" t="s">
        <v>1348</v>
      </c>
      <c r="C131" s="1088">
        <v>0</v>
      </c>
      <c r="D131" s="1088">
        <v>0</v>
      </c>
      <c r="E131" s="1088">
        <v>0</v>
      </c>
      <c r="F131" s="1088">
        <v>0</v>
      </c>
      <c r="G131" s="1088">
        <v>0</v>
      </c>
      <c r="H131" s="1088">
        <v>0</v>
      </c>
      <c r="I131" s="1088">
        <v>0</v>
      </c>
      <c r="J131" s="1088">
        <v>0</v>
      </c>
      <c r="K131" s="1088">
        <v>0</v>
      </c>
      <c r="L131" s="1088">
        <v>0</v>
      </c>
      <c r="M131" s="1088">
        <v>0</v>
      </c>
      <c r="N131" s="1088">
        <v>0</v>
      </c>
      <c r="O131" s="1088">
        <v>0</v>
      </c>
      <c r="P131" s="1088">
        <v>0</v>
      </c>
      <c r="Q131" s="1088">
        <v>0</v>
      </c>
      <c r="R131" s="1088">
        <v>0</v>
      </c>
      <c r="S131" s="1088">
        <v>0</v>
      </c>
      <c r="T131" s="1088">
        <v>0</v>
      </c>
      <c r="U131" s="1088">
        <v>0</v>
      </c>
      <c r="V131" s="1088">
        <v>0</v>
      </c>
      <c r="W131" s="1088">
        <v>0</v>
      </c>
      <c r="X131" s="1088">
        <v>0</v>
      </c>
      <c r="Y131" s="1088">
        <v>0</v>
      </c>
      <c r="Z131" s="1088">
        <v>0</v>
      </c>
      <c r="AA131" s="1088">
        <v>0</v>
      </c>
      <c r="AB131" s="1088">
        <v>0</v>
      </c>
      <c r="AC131" s="1088">
        <v>0</v>
      </c>
      <c r="AD131" s="1088"/>
      <c r="AE131" s="1088"/>
      <c r="AF131" s="1088"/>
      <c r="AG131" s="1088"/>
      <c r="AH131" s="1088"/>
      <c r="AI131" s="1088"/>
      <c r="AJ131" s="1088"/>
      <c r="AK131" s="1088"/>
      <c r="AL131" s="1088"/>
      <c r="AM131" s="1088"/>
      <c r="AN131" s="1088"/>
      <c r="AO131" s="1088"/>
      <c r="AP131" s="1088"/>
      <c r="AQ131" s="1088"/>
      <c r="AR131" s="1088"/>
      <c r="AS131" s="1088"/>
      <c r="AT131" s="1088"/>
      <c r="AU131" s="1088"/>
      <c r="AV131" s="1088"/>
      <c r="AW131" s="1088"/>
      <c r="AX131" s="1086">
        <f t="shared" ref="AX131:AX194" si="28">SUM(C131:AW131)</f>
        <v>0</v>
      </c>
    </row>
    <row r="132" spans="1:50" ht="12">
      <c r="A132" s="1086" t="s">
        <v>1349</v>
      </c>
      <c r="B132" s="1086" t="s">
        <v>1350</v>
      </c>
      <c r="C132" s="1088">
        <v>0</v>
      </c>
      <c r="D132" s="1088">
        <v>0</v>
      </c>
      <c r="E132" s="1088">
        <v>0</v>
      </c>
      <c r="F132" s="1088">
        <v>0</v>
      </c>
      <c r="G132" s="1088">
        <v>0</v>
      </c>
      <c r="H132" s="1088">
        <v>0</v>
      </c>
      <c r="I132" s="1088">
        <v>0</v>
      </c>
      <c r="J132" s="1088">
        <v>0</v>
      </c>
      <c r="K132" s="1088">
        <v>0</v>
      </c>
      <c r="L132" s="1088">
        <v>0</v>
      </c>
      <c r="M132" s="1088">
        <v>0</v>
      </c>
      <c r="N132" s="1088">
        <v>0</v>
      </c>
      <c r="O132" s="1088">
        <v>0</v>
      </c>
      <c r="P132" s="1088">
        <v>0</v>
      </c>
      <c r="Q132" s="1088">
        <v>0</v>
      </c>
      <c r="R132" s="1088">
        <v>0</v>
      </c>
      <c r="S132" s="1088">
        <v>0</v>
      </c>
      <c r="T132" s="1088">
        <v>0</v>
      </c>
      <c r="U132" s="1088">
        <v>0</v>
      </c>
      <c r="V132" s="1088">
        <v>0</v>
      </c>
      <c r="W132" s="1088">
        <v>0</v>
      </c>
      <c r="X132" s="1088">
        <v>0</v>
      </c>
      <c r="Y132" s="1088">
        <v>0</v>
      </c>
      <c r="Z132" s="1088">
        <v>0</v>
      </c>
      <c r="AA132" s="1088">
        <v>0</v>
      </c>
      <c r="AB132" s="1088">
        <v>0</v>
      </c>
      <c r="AC132" s="1088">
        <v>0</v>
      </c>
      <c r="AD132" s="1088"/>
      <c r="AE132" s="1088"/>
      <c r="AF132" s="1088"/>
      <c r="AG132" s="1088"/>
      <c r="AH132" s="1088"/>
      <c r="AI132" s="1088"/>
      <c r="AJ132" s="1088"/>
      <c r="AK132" s="1088"/>
      <c r="AL132" s="1088"/>
      <c r="AM132" s="1088"/>
      <c r="AN132" s="1088"/>
      <c r="AO132" s="1088"/>
      <c r="AP132" s="1088"/>
      <c r="AQ132" s="1088"/>
      <c r="AR132" s="1088"/>
      <c r="AS132" s="1088"/>
      <c r="AT132" s="1088"/>
      <c r="AU132" s="1088"/>
      <c r="AV132" s="1088"/>
      <c r="AW132" s="1088"/>
      <c r="AX132" s="1086">
        <f t="shared" si="28"/>
        <v>0</v>
      </c>
    </row>
    <row r="133" spans="1:50" ht="12">
      <c r="A133" s="1086" t="s">
        <v>1351</v>
      </c>
      <c r="B133" s="1086" t="s">
        <v>1352</v>
      </c>
      <c r="C133" s="1088">
        <v>0</v>
      </c>
      <c r="D133" s="1088">
        <v>13673.25</v>
      </c>
      <c r="E133" s="1088">
        <v>10660.5</v>
      </c>
      <c r="F133" s="1088">
        <v>15525</v>
      </c>
      <c r="G133" s="1088">
        <v>15525</v>
      </c>
      <c r="H133" s="1088">
        <v>15525</v>
      </c>
      <c r="I133" s="1088">
        <v>15525</v>
      </c>
      <c r="J133" s="1088">
        <v>15525</v>
      </c>
      <c r="K133" s="1088">
        <v>15525</v>
      </c>
      <c r="L133" s="1088">
        <v>15525</v>
      </c>
      <c r="M133" s="1088">
        <v>15525</v>
      </c>
      <c r="N133" s="1088">
        <v>15525</v>
      </c>
      <c r="O133" s="1088">
        <v>15525</v>
      </c>
      <c r="P133" s="1088">
        <v>15525</v>
      </c>
      <c r="Q133" s="1088">
        <v>15525</v>
      </c>
      <c r="R133" s="1088">
        <v>15525</v>
      </c>
      <c r="S133" s="1088">
        <v>15525</v>
      </c>
      <c r="T133" s="1088">
        <v>15525</v>
      </c>
      <c r="U133" s="1088">
        <v>15525</v>
      </c>
      <c r="V133" s="1088">
        <v>15525</v>
      </c>
      <c r="W133" s="1088">
        <v>15525</v>
      </c>
      <c r="X133" s="1088">
        <v>15525</v>
      </c>
      <c r="Y133" s="1088">
        <v>15525</v>
      </c>
      <c r="Z133" s="1088">
        <v>0</v>
      </c>
      <c r="AA133" s="1088">
        <v>0</v>
      </c>
      <c r="AB133" s="1088">
        <v>0</v>
      </c>
      <c r="AC133" s="1088">
        <v>0</v>
      </c>
      <c r="AD133" s="1088"/>
      <c r="AE133" s="1088"/>
      <c r="AF133" s="1088"/>
      <c r="AG133" s="1088"/>
      <c r="AH133" s="1088"/>
      <c r="AI133" s="1088"/>
      <c r="AJ133" s="1088"/>
      <c r="AK133" s="1088"/>
      <c r="AL133" s="1088"/>
      <c r="AM133" s="1088"/>
      <c r="AN133" s="1088"/>
      <c r="AO133" s="1088"/>
      <c r="AP133" s="1088"/>
      <c r="AQ133" s="1088"/>
      <c r="AR133" s="1088"/>
      <c r="AS133" s="1088"/>
      <c r="AT133" s="1088"/>
      <c r="AU133" s="1088"/>
      <c r="AV133" s="1088"/>
      <c r="AW133" s="1088"/>
      <c r="AX133" s="1086">
        <f t="shared" si="28"/>
        <v>334833.75</v>
      </c>
    </row>
    <row r="134" spans="1:50" ht="12">
      <c r="A134" s="1086" t="s">
        <v>1353</v>
      </c>
      <c r="B134" s="1086" t="s">
        <v>1354</v>
      </c>
      <c r="C134" s="1088">
        <v>0</v>
      </c>
      <c r="D134" s="1088">
        <v>5753</v>
      </c>
      <c r="E134" s="1088">
        <v>5382</v>
      </c>
      <c r="F134" s="1088">
        <v>6729</v>
      </c>
      <c r="G134" s="1088">
        <v>6729</v>
      </c>
      <c r="H134" s="1088">
        <v>6729</v>
      </c>
      <c r="I134" s="1088">
        <v>6729</v>
      </c>
      <c r="J134" s="1088">
        <v>6729</v>
      </c>
      <c r="K134" s="1088">
        <v>6729</v>
      </c>
      <c r="L134" s="1088">
        <v>6729</v>
      </c>
      <c r="M134" s="1088">
        <v>6729</v>
      </c>
      <c r="N134" s="1088">
        <v>6729</v>
      </c>
      <c r="O134" s="1088">
        <v>6729</v>
      </c>
      <c r="P134" s="1088">
        <v>6729</v>
      </c>
      <c r="Q134" s="1088">
        <v>6729</v>
      </c>
      <c r="R134" s="1088">
        <v>6729</v>
      </c>
      <c r="S134" s="1088">
        <v>6729</v>
      </c>
      <c r="T134" s="1088">
        <v>6729</v>
      </c>
      <c r="U134" s="1088">
        <v>6729</v>
      </c>
      <c r="V134" s="1088">
        <v>6729</v>
      </c>
      <c r="W134" s="1088">
        <v>6729</v>
      </c>
      <c r="X134" s="1088">
        <v>6729</v>
      </c>
      <c r="Y134" s="1088">
        <v>6729</v>
      </c>
      <c r="Z134" s="1088">
        <v>0</v>
      </c>
      <c r="AA134" s="1088">
        <v>0</v>
      </c>
      <c r="AB134" s="1088">
        <v>0</v>
      </c>
      <c r="AC134" s="1088">
        <v>0</v>
      </c>
      <c r="AD134" s="1088"/>
      <c r="AE134" s="1088"/>
      <c r="AF134" s="1088"/>
      <c r="AG134" s="1088"/>
      <c r="AH134" s="1088"/>
      <c r="AI134" s="1088"/>
      <c r="AJ134" s="1088"/>
      <c r="AK134" s="1088"/>
      <c r="AL134" s="1088"/>
      <c r="AM134" s="1088"/>
      <c r="AN134" s="1088"/>
      <c r="AO134" s="1088"/>
      <c r="AP134" s="1088"/>
      <c r="AQ134" s="1088"/>
      <c r="AR134" s="1088"/>
      <c r="AS134" s="1088"/>
      <c r="AT134" s="1088"/>
      <c r="AU134" s="1088"/>
      <c r="AV134" s="1088"/>
      <c r="AW134" s="1088"/>
      <c r="AX134" s="1086">
        <f t="shared" si="28"/>
        <v>145715</v>
      </c>
    </row>
    <row r="135" spans="1:50" ht="12">
      <c r="A135" s="1086" t="s">
        <v>1355</v>
      </c>
      <c r="B135" s="1086" t="s">
        <v>1356</v>
      </c>
      <c r="C135" s="1086">
        <f>SUM(C136:C142)</f>
        <v>43548.39</v>
      </c>
      <c r="D135" s="1086">
        <f t="shared" ref="D135:AC135" si="29">SUM(D136:D142)</f>
        <v>122860.97</v>
      </c>
      <c r="E135" s="1086">
        <f t="shared" si="29"/>
        <v>161750</v>
      </c>
      <c r="F135" s="1086">
        <f t="shared" si="29"/>
        <v>625708.1</v>
      </c>
      <c r="G135" s="1086">
        <f t="shared" si="29"/>
        <v>141700</v>
      </c>
      <c r="H135" s="1086">
        <f t="shared" si="29"/>
        <v>141700</v>
      </c>
      <c r="I135" s="1086">
        <f t="shared" si="29"/>
        <v>141700</v>
      </c>
      <c r="J135" s="1086">
        <f t="shared" si="29"/>
        <v>161700</v>
      </c>
      <c r="K135" s="1086">
        <f t="shared" si="29"/>
        <v>141700</v>
      </c>
      <c r="L135" s="1086">
        <f t="shared" si="29"/>
        <v>141700</v>
      </c>
      <c r="M135" s="1086">
        <f t="shared" si="29"/>
        <v>141700</v>
      </c>
      <c r="N135" s="1086">
        <f t="shared" si="29"/>
        <v>161700</v>
      </c>
      <c r="O135" s="1086">
        <f t="shared" si="29"/>
        <v>141700</v>
      </c>
      <c r="P135" s="1086">
        <f t="shared" si="29"/>
        <v>141700</v>
      </c>
      <c r="Q135" s="1086">
        <f t="shared" si="29"/>
        <v>141700</v>
      </c>
      <c r="R135" s="1086">
        <f t="shared" si="29"/>
        <v>161700</v>
      </c>
      <c r="S135" s="1086">
        <f t="shared" si="29"/>
        <v>141700</v>
      </c>
      <c r="T135" s="1086">
        <f t="shared" si="29"/>
        <v>141700</v>
      </c>
      <c r="U135" s="1086">
        <f t="shared" si="29"/>
        <v>141700</v>
      </c>
      <c r="V135" s="1086">
        <f t="shared" si="29"/>
        <v>161700</v>
      </c>
      <c r="W135" s="1086">
        <f t="shared" si="29"/>
        <v>141700</v>
      </c>
      <c r="X135" s="1086">
        <f t="shared" si="29"/>
        <v>141700</v>
      </c>
      <c r="Y135" s="1086">
        <f t="shared" si="29"/>
        <v>141700</v>
      </c>
      <c r="Z135" s="1086">
        <f t="shared" si="29"/>
        <v>0</v>
      </c>
      <c r="AA135" s="1086">
        <f t="shared" si="29"/>
        <v>0</v>
      </c>
      <c r="AB135" s="1086">
        <f t="shared" si="29"/>
        <v>0</v>
      </c>
      <c r="AC135" s="1086">
        <f t="shared" si="29"/>
        <v>0</v>
      </c>
      <c r="AD135" s="1086"/>
      <c r="AE135" s="1086"/>
      <c r="AF135" s="1086"/>
      <c r="AG135" s="1086"/>
      <c r="AH135" s="1086"/>
      <c r="AI135" s="1086"/>
      <c r="AJ135" s="1086"/>
      <c r="AK135" s="1086"/>
      <c r="AL135" s="1086"/>
      <c r="AM135" s="1086"/>
      <c r="AN135" s="1086"/>
      <c r="AO135" s="1086"/>
      <c r="AP135" s="1086"/>
      <c r="AQ135" s="1086"/>
      <c r="AR135" s="1086"/>
      <c r="AS135" s="1086"/>
      <c r="AT135" s="1086"/>
      <c r="AU135" s="1086"/>
      <c r="AV135" s="1086"/>
      <c r="AW135" s="1086"/>
      <c r="AX135" s="1086">
        <f t="shared" si="28"/>
        <v>3726167.46</v>
      </c>
    </row>
    <row r="136" spans="1:50" ht="12">
      <c r="A136" s="1086" t="s">
        <v>854</v>
      </c>
      <c r="B136" s="1086" t="s">
        <v>411</v>
      </c>
      <c r="C136" s="1088">
        <v>43548.39</v>
      </c>
      <c r="D136" s="1088">
        <v>120870.97</v>
      </c>
      <c r="E136" s="1088">
        <v>141750</v>
      </c>
      <c r="F136" s="1088">
        <v>141700</v>
      </c>
      <c r="G136" s="1088">
        <v>141700</v>
      </c>
      <c r="H136" s="1088">
        <v>141700</v>
      </c>
      <c r="I136" s="1088">
        <v>141700</v>
      </c>
      <c r="J136" s="1088">
        <v>141700</v>
      </c>
      <c r="K136" s="1088">
        <v>141700</v>
      </c>
      <c r="L136" s="1088">
        <v>141700</v>
      </c>
      <c r="M136" s="1088">
        <v>141700</v>
      </c>
      <c r="N136" s="1088">
        <v>141700</v>
      </c>
      <c r="O136" s="1088">
        <v>141700</v>
      </c>
      <c r="P136" s="1088">
        <v>141700</v>
      </c>
      <c r="Q136" s="1088">
        <v>141700</v>
      </c>
      <c r="R136" s="1088">
        <v>141700</v>
      </c>
      <c r="S136" s="1088">
        <v>141700</v>
      </c>
      <c r="T136" s="1088">
        <v>141700</v>
      </c>
      <c r="U136" s="1088">
        <v>141700</v>
      </c>
      <c r="V136" s="1088">
        <v>141700</v>
      </c>
      <c r="W136" s="1088">
        <v>141700</v>
      </c>
      <c r="X136" s="1088">
        <v>141700</v>
      </c>
      <c r="Y136" s="1088">
        <v>141700</v>
      </c>
      <c r="Z136" s="1088">
        <v>0</v>
      </c>
      <c r="AA136" s="1088">
        <v>0</v>
      </c>
      <c r="AB136" s="1088">
        <v>0</v>
      </c>
      <c r="AC136" s="1088">
        <v>0</v>
      </c>
      <c r="AD136" s="1088"/>
      <c r="AE136" s="1088"/>
      <c r="AF136" s="1088"/>
      <c r="AG136" s="1088"/>
      <c r="AH136" s="1088"/>
      <c r="AI136" s="1088"/>
      <c r="AJ136" s="1088"/>
      <c r="AK136" s="1088"/>
      <c r="AL136" s="1088"/>
      <c r="AM136" s="1088"/>
      <c r="AN136" s="1088"/>
      <c r="AO136" s="1088"/>
      <c r="AP136" s="1088"/>
      <c r="AQ136" s="1088"/>
      <c r="AR136" s="1088"/>
      <c r="AS136" s="1088"/>
      <c r="AT136" s="1088"/>
      <c r="AU136" s="1088"/>
      <c r="AV136" s="1088"/>
      <c r="AW136" s="1088"/>
      <c r="AX136" s="1086">
        <f t="shared" si="28"/>
        <v>3140169.36</v>
      </c>
    </row>
    <row r="137" spans="1:50" ht="12">
      <c r="A137" s="1086" t="s">
        <v>855</v>
      </c>
      <c r="B137" s="1086" t="s">
        <v>790</v>
      </c>
      <c r="C137" s="1088">
        <v>0</v>
      </c>
      <c r="D137" s="1088">
        <v>1990</v>
      </c>
      <c r="E137" s="1088">
        <v>20000</v>
      </c>
      <c r="F137" s="1088">
        <v>0</v>
      </c>
      <c r="G137" s="1088">
        <v>0</v>
      </c>
      <c r="H137" s="1088">
        <v>0</v>
      </c>
      <c r="I137" s="1088">
        <v>0</v>
      </c>
      <c r="J137" s="1088">
        <v>20000</v>
      </c>
      <c r="K137" s="1088">
        <v>0</v>
      </c>
      <c r="L137" s="1088">
        <v>0</v>
      </c>
      <c r="M137" s="1088">
        <v>0</v>
      </c>
      <c r="N137" s="1088">
        <v>20000</v>
      </c>
      <c r="O137" s="1088">
        <v>0</v>
      </c>
      <c r="P137" s="1088">
        <v>0</v>
      </c>
      <c r="Q137" s="1088">
        <v>0</v>
      </c>
      <c r="R137" s="1088">
        <v>20000</v>
      </c>
      <c r="S137" s="1088">
        <v>0</v>
      </c>
      <c r="T137" s="1088">
        <v>0</v>
      </c>
      <c r="U137" s="1088">
        <v>0</v>
      </c>
      <c r="V137" s="1088">
        <v>20000</v>
      </c>
      <c r="W137" s="1088">
        <v>0</v>
      </c>
      <c r="X137" s="1088">
        <v>0</v>
      </c>
      <c r="Y137" s="1088">
        <v>0</v>
      </c>
      <c r="Z137" s="1088">
        <v>0</v>
      </c>
      <c r="AA137" s="1088">
        <v>0</v>
      </c>
      <c r="AB137" s="1088">
        <v>0</v>
      </c>
      <c r="AC137" s="1088">
        <v>0</v>
      </c>
      <c r="AD137" s="1088"/>
      <c r="AE137" s="1088"/>
      <c r="AF137" s="1088"/>
      <c r="AG137" s="1088"/>
      <c r="AH137" s="1088"/>
      <c r="AI137" s="1088"/>
      <c r="AJ137" s="1088"/>
      <c r="AK137" s="1088"/>
      <c r="AL137" s="1088"/>
      <c r="AM137" s="1088"/>
      <c r="AN137" s="1088"/>
      <c r="AO137" s="1088"/>
      <c r="AP137" s="1088"/>
      <c r="AQ137" s="1088"/>
      <c r="AR137" s="1088"/>
      <c r="AS137" s="1088"/>
      <c r="AT137" s="1088"/>
      <c r="AU137" s="1088"/>
      <c r="AV137" s="1088"/>
      <c r="AW137" s="1088"/>
      <c r="AX137" s="1086">
        <f t="shared" si="28"/>
        <v>101990</v>
      </c>
    </row>
    <row r="138" spans="1:50" ht="24">
      <c r="A138" s="1086" t="s">
        <v>1357</v>
      </c>
      <c r="B138" s="1086" t="s">
        <v>1358</v>
      </c>
      <c r="C138" s="1088">
        <v>0</v>
      </c>
      <c r="D138" s="1088">
        <v>0</v>
      </c>
      <c r="E138" s="1088">
        <v>0</v>
      </c>
      <c r="F138" s="1088">
        <v>0</v>
      </c>
      <c r="G138" s="1088">
        <v>0</v>
      </c>
      <c r="H138" s="1088">
        <v>0</v>
      </c>
      <c r="I138" s="1088">
        <v>0</v>
      </c>
      <c r="J138" s="1088">
        <v>0</v>
      </c>
      <c r="K138" s="1088">
        <v>0</v>
      </c>
      <c r="L138" s="1088">
        <v>0</v>
      </c>
      <c r="M138" s="1088">
        <v>0</v>
      </c>
      <c r="N138" s="1088">
        <v>0</v>
      </c>
      <c r="O138" s="1088">
        <v>0</v>
      </c>
      <c r="P138" s="1088">
        <v>0</v>
      </c>
      <c r="Q138" s="1088">
        <v>0</v>
      </c>
      <c r="R138" s="1088">
        <v>0</v>
      </c>
      <c r="S138" s="1088">
        <v>0</v>
      </c>
      <c r="T138" s="1088">
        <v>0</v>
      </c>
      <c r="U138" s="1088">
        <v>0</v>
      </c>
      <c r="V138" s="1088">
        <v>0</v>
      </c>
      <c r="W138" s="1088">
        <v>0</v>
      </c>
      <c r="X138" s="1088">
        <v>0</v>
      </c>
      <c r="Y138" s="1088">
        <v>0</v>
      </c>
      <c r="Z138" s="1088">
        <v>0</v>
      </c>
      <c r="AA138" s="1088">
        <v>0</v>
      </c>
      <c r="AB138" s="1088">
        <v>0</v>
      </c>
      <c r="AC138" s="1088">
        <v>0</v>
      </c>
      <c r="AD138" s="1088"/>
      <c r="AE138" s="1088"/>
      <c r="AF138" s="1088"/>
      <c r="AG138" s="1088"/>
      <c r="AH138" s="1088"/>
      <c r="AI138" s="1088"/>
      <c r="AJ138" s="1088"/>
      <c r="AK138" s="1088"/>
      <c r="AL138" s="1088"/>
      <c r="AM138" s="1088"/>
      <c r="AN138" s="1088"/>
      <c r="AO138" s="1088"/>
      <c r="AP138" s="1088"/>
      <c r="AQ138" s="1088"/>
      <c r="AR138" s="1088"/>
      <c r="AS138" s="1088"/>
      <c r="AT138" s="1088"/>
      <c r="AU138" s="1088"/>
      <c r="AV138" s="1088"/>
      <c r="AW138" s="1088"/>
      <c r="AX138" s="1086">
        <f t="shared" si="28"/>
        <v>0</v>
      </c>
    </row>
    <row r="139" spans="1:50" ht="12">
      <c r="A139" s="1086" t="s">
        <v>1359</v>
      </c>
      <c r="B139" s="1086" t="s">
        <v>1360</v>
      </c>
      <c r="C139" s="1088">
        <v>0</v>
      </c>
      <c r="D139" s="1088">
        <v>0</v>
      </c>
      <c r="E139" s="1088">
        <v>0</v>
      </c>
      <c r="F139" s="1088">
        <v>0</v>
      </c>
      <c r="G139" s="1088">
        <v>0</v>
      </c>
      <c r="H139" s="1088">
        <v>0</v>
      </c>
      <c r="I139" s="1088">
        <v>0</v>
      </c>
      <c r="J139" s="1088">
        <v>0</v>
      </c>
      <c r="K139" s="1088">
        <v>0</v>
      </c>
      <c r="L139" s="1088">
        <v>0</v>
      </c>
      <c r="M139" s="1088">
        <v>0</v>
      </c>
      <c r="N139" s="1088">
        <v>0</v>
      </c>
      <c r="O139" s="1088">
        <v>0</v>
      </c>
      <c r="P139" s="1088">
        <v>0</v>
      </c>
      <c r="Q139" s="1088">
        <v>0</v>
      </c>
      <c r="R139" s="1088">
        <v>0</v>
      </c>
      <c r="S139" s="1088">
        <v>0</v>
      </c>
      <c r="T139" s="1088">
        <v>0</v>
      </c>
      <c r="U139" s="1088">
        <v>0</v>
      </c>
      <c r="V139" s="1088">
        <v>0</v>
      </c>
      <c r="W139" s="1088">
        <v>0</v>
      </c>
      <c r="X139" s="1088">
        <v>0</v>
      </c>
      <c r="Y139" s="1088">
        <v>0</v>
      </c>
      <c r="Z139" s="1088">
        <v>0</v>
      </c>
      <c r="AA139" s="1088">
        <v>0</v>
      </c>
      <c r="AB139" s="1088">
        <v>0</v>
      </c>
      <c r="AC139" s="1088">
        <v>0</v>
      </c>
      <c r="AD139" s="1088"/>
      <c r="AE139" s="1088"/>
      <c r="AF139" s="1088"/>
      <c r="AG139" s="1088"/>
      <c r="AH139" s="1088"/>
      <c r="AI139" s="1088"/>
      <c r="AJ139" s="1088"/>
      <c r="AK139" s="1088"/>
      <c r="AL139" s="1088"/>
      <c r="AM139" s="1088"/>
      <c r="AN139" s="1088"/>
      <c r="AO139" s="1088"/>
      <c r="AP139" s="1088"/>
      <c r="AQ139" s="1088"/>
      <c r="AR139" s="1088"/>
      <c r="AS139" s="1088"/>
      <c r="AT139" s="1088"/>
      <c r="AU139" s="1088"/>
      <c r="AV139" s="1088"/>
      <c r="AW139" s="1088"/>
      <c r="AX139" s="1086">
        <f t="shared" si="28"/>
        <v>0</v>
      </c>
    </row>
    <row r="140" spans="1:50" ht="12">
      <c r="A140" s="1086" t="s">
        <v>1361</v>
      </c>
      <c r="B140" s="1086" t="s">
        <v>1362</v>
      </c>
      <c r="C140" s="1088">
        <v>0</v>
      </c>
      <c r="D140" s="1088">
        <v>0</v>
      </c>
      <c r="E140" s="1088">
        <v>0</v>
      </c>
      <c r="F140" s="1088">
        <v>484008.1</v>
      </c>
      <c r="G140" s="1088">
        <v>0</v>
      </c>
      <c r="H140" s="1088">
        <v>0</v>
      </c>
      <c r="I140" s="1088">
        <v>0</v>
      </c>
      <c r="J140" s="1088">
        <v>0</v>
      </c>
      <c r="K140" s="1088">
        <v>0</v>
      </c>
      <c r="L140" s="1088">
        <v>0</v>
      </c>
      <c r="M140" s="1088">
        <v>0</v>
      </c>
      <c r="N140" s="1088">
        <v>0</v>
      </c>
      <c r="O140" s="1088">
        <v>0</v>
      </c>
      <c r="P140" s="1088">
        <v>0</v>
      </c>
      <c r="Q140" s="1088">
        <v>0</v>
      </c>
      <c r="R140" s="1088">
        <v>0</v>
      </c>
      <c r="S140" s="1088">
        <v>0</v>
      </c>
      <c r="T140" s="1088">
        <v>0</v>
      </c>
      <c r="U140" s="1088">
        <v>0</v>
      </c>
      <c r="V140" s="1088">
        <v>0</v>
      </c>
      <c r="W140" s="1088">
        <v>0</v>
      </c>
      <c r="X140" s="1088">
        <v>0</v>
      </c>
      <c r="Y140" s="1088">
        <v>0</v>
      </c>
      <c r="Z140" s="1088">
        <v>0</v>
      </c>
      <c r="AA140" s="1088">
        <v>0</v>
      </c>
      <c r="AB140" s="1088">
        <v>0</v>
      </c>
      <c r="AC140" s="1088">
        <v>0</v>
      </c>
      <c r="AD140" s="1088"/>
      <c r="AE140" s="1088"/>
      <c r="AF140" s="1088"/>
      <c r="AG140" s="1088"/>
      <c r="AH140" s="1088"/>
      <c r="AI140" s="1088"/>
      <c r="AJ140" s="1088"/>
      <c r="AK140" s="1088"/>
      <c r="AL140" s="1088"/>
      <c r="AM140" s="1088"/>
      <c r="AN140" s="1088"/>
      <c r="AO140" s="1088"/>
      <c r="AP140" s="1088"/>
      <c r="AQ140" s="1088"/>
      <c r="AR140" s="1088"/>
      <c r="AS140" s="1088"/>
      <c r="AT140" s="1088"/>
      <c r="AU140" s="1088"/>
      <c r="AV140" s="1088"/>
      <c r="AW140" s="1088"/>
      <c r="AX140" s="1086">
        <f t="shared" si="28"/>
        <v>484008.1</v>
      </c>
    </row>
    <row r="141" spans="1:50" ht="12">
      <c r="A141" s="1086" t="s">
        <v>1363</v>
      </c>
      <c r="B141" s="1086" t="s">
        <v>1364</v>
      </c>
      <c r="C141" s="1088">
        <v>0</v>
      </c>
      <c r="D141" s="1088">
        <v>0</v>
      </c>
      <c r="E141" s="1088">
        <v>0</v>
      </c>
      <c r="F141" s="1088">
        <v>0</v>
      </c>
      <c r="G141" s="1088">
        <v>0</v>
      </c>
      <c r="H141" s="1088">
        <v>0</v>
      </c>
      <c r="I141" s="1088">
        <v>0</v>
      </c>
      <c r="J141" s="1088">
        <v>0</v>
      </c>
      <c r="K141" s="1088">
        <v>0</v>
      </c>
      <c r="L141" s="1088">
        <v>0</v>
      </c>
      <c r="M141" s="1088">
        <v>0</v>
      </c>
      <c r="N141" s="1088">
        <v>0</v>
      </c>
      <c r="O141" s="1088">
        <v>0</v>
      </c>
      <c r="P141" s="1088">
        <v>0</v>
      </c>
      <c r="Q141" s="1088">
        <v>0</v>
      </c>
      <c r="R141" s="1088">
        <v>0</v>
      </c>
      <c r="S141" s="1088">
        <v>0</v>
      </c>
      <c r="T141" s="1088">
        <v>0</v>
      </c>
      <c r="U141" s="1088">
        <v>0</v>
      </c>
      <c r="V141" s="1088">
        <v>0</v>
      </c>
      <c r="W141" s="1088">
        <v>0</v>
      </c>
      <c r="X141" s="1088">
        <v>0</v>
      </c>
      <c r="Y141" s="1088">
        <v>0</v>
      </c>
      <c r="Z141" s="1088">
        <v>0</v>
      </c>
      <c r="AA141" s="1088">
        <v>0</v>
      </c>
      <c r="AB141" s="1088">
        <v>0</v>
      </c>
      <c r="AC141" s="1088">
        <v>0</v>
      </c>
      <c r="AD141" s="1088"/>
      <c r="AE141" s="1088"/>
      <c r="AF141" s="1088"/>
      <c r="AG141" s="1088"/>
      <c r="AH141" s="1088"/>
      <c r="AI141" s="1088"/>
      <c r="AJ141" s="1088"/>
      <c r="AK141" s="1088"/>
      <c r="AL141" s="1088"/>
      <c r="AM141" s="1088"/>
      <c r="AN141" s="1088"/>
      <c r="AO141" s="1088"/>
      <c r="AP141" s="1088"/>
      <c r="AQ141" s="1088"/>
      <c r="AR141" s="1088"/>
      <c r="AS141" s="1088"/>
      <c r="AT141" s="1088"/>
      <c r="AU141" s="1088"/>
      <c r="AV141" s="1088"/>
      <c r="AW141" s="1088"/>
      <c r="AX141" s="1086">
        <f t="shared" si="28"/>
        <v>0</v>
      </c>
    </row>
    <row r="142" spans="1:50" ht="24">
      <c r="A142" s="1086" t="s">
        <v>1365</v>
      </c>
      <c r="B142" s="1086" t="s">
        <v>1366</v>
      </c>
      <c r="C142" s="1088">
        <v>0</v>
      </c>
      <c r="D142" s="1088">
        <v>0</v>
      </c>
      <c r="E142" s="1088">
        <v>0</v>
      </c>
      <c r="F142" s="1088">
        <v>0</v>
      </c>
      <c r="G142" s="1088">
        <v>0</v>
      </c>
      <c r="H142" s="1088">
        <v>0</v>
      </c>
      <c r="I142" s="1088">
        <v>0</v>
      </c>
      <c r="J142" s="1088">
        <v>0</v>
      </c>
      <c r="K142" s="1088">
        <v>0</v>
      </c>
      <c r="L142" s="1088">
        <v>0</v>
      </c>
      <c r="M142" s="1088">
        <v>0</v>
      </c>
      <c r="N142" s="1088">
        <v>0</v>
      </c>
      <c r="O142" s="1088">
        <v>0</v>
      </c>
      <c r="P142" s="1088">
        <v>0</v>
      </c>
      <c r="Q142" s="1088">
        <v>0</v>
      </c>
      <c r="R142" s="1088">
        <v>0</v>
      </c>
      <c r="S142" s="1088">
        <v>0</v>
      </c>
      <c r="T142" s="1088">
        <v>0</v>
      </c>
      <c r="U142" s="1088">
        <v>0</v>
      </c>
      <c r="V142" s="1088">
        <v>0</v>
      </c>
      <c r="W142" s="1088">
        <v>0</v>
      </c>
      <c r="X142" s="1088">
        <v>0</v>
      </c>
      <c r="Y142" s="1088">
        <v>0</v>
      </c>
      <c r="Z142" s="1088">
        <v>0</v>
      </c>
      <c r="AA142" s="1088">
        <v>0</v>
      </c>
      <c r="AB142" s="1088">
        <v>0</v>
      </c>
      <c r="AC142" s="1088">
        <v>0</v>
      </c>
      <c r="AD142" s="1088"/>
      <c r="AE142" s="1088"/>
      <c r="AF142" s="1088"/>
      <c r="AG142" s="1088"/>
      <c r="AH142" s="1088"/>
      <c r="AI142" s="1088"/>
      <c r="AJ142" s="1088"/>
      <c r="AK142" s="1088"/>
      <c r="AL142" s="1088"/>
      <c r="AM142" s="1088"/>
      <c r="AN142" s="1088"/>
      <c r="AO142" s="1088"/>
      <c r="AP142" s="1088"/>
      <c r="AQ142" s="1088"/>
      <c r="AR142" s="1088"/>
      <c r="AS142" s="1088"/>
      <c r="AT142" s="1088"/>
      <c r="AU142" s="1088"/>
      <c r="AV142" s="1088"/>
      <c r="AW142" s="1088"/>
      <c r="AX142" s="1086">
        <f t="shared" si="28"/>
        <v>0</v>
      </c>
    </row>
    <row r="143" spans="1:50" ht="24">
      <c r="A143" s="1086" t="s">
        <v>1367</v>
      </c>
      <c r="B143" s="1086" t="s">
        <v>1368</v>
      </c>
      <c r="C143" s="1088">
        <v>0</v>
      </c>
      <c r="D143" s="1088">
        <v>0</v>
      </c>
      <c r="E143" s="1088">
        <v>0</v>
      </c>
      <c r="F143" s="1088">
        <v>0</v>
      </c>
      <c r="G143" s="1088">
        <v>0</v>
      </c>
      <c r="H143" s="1088">
        <v>0</v>
      </c>
      <c r="I143" s="1088">
        <v>0</v>
      </c>
      <c r="J143" s="1088">
        <v>0</v>
      </c>
      <c r="K143" s="1088">
        <v>0</v>
      </c>
      <c r="L143" s="1088">
        <v>0</v>
      </c>
      <c r="M143" s="1088">
        <v>0</v>
      </c>
      <c r="N143" s="1088">
        <v>0</v>
      </c>
      <c r="O143" s="1088">
        <v>0</v>
      </c>
      <c r="P143" s="1088">
        <v>0</v>
      </c>
      <c r="Q143" s="1088">
        <v>0</v>
      </c>
      <c r="R143" s="1088">
        <v>0</v>
      </c>
      <c r="S143" s="1088">
        <v>0</v>
      </c>
      <c r="T143" s="1088">
        <v>0</v>
      </c>
      <c r="U143" s="1088">
        <v>0</v>
      </c>
      <c r="V143" s="1088">
        <v>0</v>
      </c>
      <c r="W143" s="1088">
        <v>0</v>
      </c>
      <c r="X143" s="1088">
        <v>0</v>
      </c>
      <c r="Y143" s="1088">
        <v>0</v>
      </c>
      <c r="Z143" s="1088">
        <v>0</v>
      </c>
      <c r="AA143" s="1088">
        <v>0</v>
      </c>
      <c r="AB143" s="1088">
        <v>0</v>
      </c>
      <c r="AC143" s="1088">
        <v>0</v>
      </c>
      <c r="AD143" s="1088"/>
      <c r="AE143" s="1088"/>
      <c r="AF143" s="1088"/>
      <c r="AG143" s="1088"/>
      <c r="AH143" s="1088"/>
      <c r="AI143" s="1088"/>
      <c r="AJ143" s="1088"/>
      <c r="AK143" s="1088"/>
      <c r="AL143" s="1088"/>
      <c r="AM143" s="1088"/>
      <c r="AN143" s="1088"/>
      <c r="AO143" s="1088"/>
      <c r="AP143" s="1088"/>
      <c r="AQ143" s="1088"/>
      <c r="AR143" s="1088"/>
      <c r="AS143" s="1088"/>
      <c r="AT143" s="1088"/>
      <c r="AU143" s="1088"/>
      <c r="AV143" s="1088"/>
      <c r="AW143" s="1088"/>
      <c r="AX143" s="1086">
        <f t="shared" si="28"/>
        <v>0</v>
      </c>
    </row>
    <row r="144" spans="1:50" ht="12">
      <c r="A144" s="1086" t="s">
        <v>1369</v>
      </c>
      <c r="B144" s="1086" t="s">
        <v>1370</v>
      </c>
      <c r="C144" s="1086">
        <f>SUM(C145:C149)</f>
        <v>0</v>
      </c>
      <c r="D144" s="1086">
        <f t="shared" ref="D144:AC144" si="30">SUM(D145:D149)</f>
        <v>0</v>
      </c>
      <c r="E144" s="1086">
        <f t="shared" si="30"/>
        <v>0</v>
      </c>
      <c r="F144" s="1086">
        <f t="shared" si="30"/>
        <v>0</v>
      </c>
      <c r="G144" s="1086">
        <f t="shared" si="30"/>
        <v>0</v>
      </c>
      <c r="H144" s="1086">
        <f t="shared" si="30"/>
        <v>0</v>
      </c>
      <c r="I144" s="1086">
        <f t="shared" si="30"/>
        <v>0</v>
      </c>
      <c r="J144" s="1086">
        <f t="shared" si="30"/>
        <v>0</v>
      </c>
      <c r="K144" s="1086">
        <f t="shared" si="30"/>
        <v>0</v>
      </c>
      <c r="L144" s="1086">
        <f t="shared" si="30"/>
        <v>0</v>
      </c>
      <c r="M144" s="1086">
        <f t="shared" si="30"/>
        <v>0</v>
      </c>
      <c r="N144" s="1086">
        <f t="shared" si="30"/>
        <v>0</v>
      </c>
      <c r="O144" s="1086">
        <f t="shared" si="30"/>
        <v>0</v>
      </c>
      <c r="P144" s="1086">
        <f t="shared" si="30"/>
        <v>0</v>
      </c>
      <c r="Q144" s="1086">
        <f t="shared" si="30"/>
        <v>0</v>
      </c>
      <c r="R144" s="1086">
        <f t="shared" si="30"/>
        <v>0</v>
      </c>
      <c r="S144" s="1086">
        <f t="shared" si="30"/>
        <v>0</v>
      </c>
      <c r="T144" s="1086">
        <f t="shared" si="30"/>
        <v>0</v>
      </c>
      <c r="U144" s="1086">
        <f t="shared" si="30"/>
        <v>496249182.73451352</v>
      </c>
      <c r="V144" s="1086">
        <f t="shared" si="30"/>
        <v>181661524.88255209</v>
      </c>
      <c r="W144" s="1086">
        <f t="shared" si="30"/>
        <v>180317096.05410075</v>
      </c>
      <c r="X144" s="1086">
        <f t="shared" si="30"/>
        <v>176980185.72603345</v>
      </c>
      <c r="Y144" s="1086">
        <f t="shared" si="30"/>
        <v>104691070.02279706</v>
      </c>
      <c r="Z144" s="1086">
        <f t="shared" si="30"/>
        <v>91352024.947841749</v>
      </c>
      <c r="AA144" s="1086">
        <f t="shared" si="30"/>
        <v>156464779.80411685</v>
      </c>
      <c r="AB144" s="1086">
        <f t="shared" si="30"/>
        <v>0</v>
      </c>
      <c r="AC144" s="1086">
        <f t="shared" si="30"/>
        <v>0</v>
      </c>
      <c r="AD144" s="1086"/>
      <c r="AE144" s="1086"/>
      <c r="AF144" s="1086"/>
      <c r="AG144" s="1086"/>
      <c r="AH144" s="1086"/>
      <c r="AI144" s="1086"/>
      <c r="AJ144" s="1086"/>
      <c r="AK144" s="1086"/>
      <c r="AL144" s="1086"/>
      <c r="AM144" s="1086"/>
      <c r="AN144" s="1086"/>
      <c r="AO144" s="1086"/>
      <c r="AP144" s="1086"/>
      <c r="AQ144" s="1086"/>
      <c r="AR144" s="1086"/>
      <c r="AS144" s="1086"/>
      <c r="AT144" s="1086"/>
      <c r="AU144" s="1086"/>
      <c r="AV144" s="1086"/>
      <c r="AW144" s="1086"/>
      <c r="AX144" s="1086">
        <f t="shared" si="28"/>
        <v>1387715864.1719556</v>
      </c>
    </row>
    <row r="145" spans="1:50" ht="12">
      <c r="A145" s="1086" t="s">
        <v>1371</v>
      </c>
      <c r="B145" s="1086" t="s">
        <v>1372</v>
      </c>
      <c r="C145" s="1088">
        <v>0</v>
      </c>
      <c r="D145" s="1088">
        <v>0</v>
      </c>
      <c r="E145" s="1088">
        <v>0</v>
      </c>
      <c r="F145" s="1088">
        <v>0</v>
      </c>
      <c r="G145" s="1088">
        <v>0</v>
      </c>
      <c r="H145" s="1088">
        <v>0</v>
      </c>
      <c r="I145" s="1088">
        <v>0</v>
      </c>
      <c r="J145" s="1088">
        <v>0</v>
      </c>
      <c r="K145" s="1088">
        <v>0</v>
      </c>
      <c r="L145" s="1088">
        <v>0</v>
      </c>
      <c r="M145" s="1088">
        <v>0</v>
      </c>
      <c r="N145" s="1088">
        <v>0</v>
      </c>
      <c r="O145" s="1088">
        <v>0</v>
      </c>
      <c r="P145" s="1088">
        <v>0</v>
      </c>
      <c r="Q145" s="1088">
        <v>0</v>
      </c>
      <c r="R145" s="1088">
        <v>0</v>
      </c>
      <c r="S145" s="1088">
        <v>0</v>
      </c>
      <c r="T145" s="1088">
        <v>0</v>
      </c>
      <c r="U145" s="1088">
        <v>496249182.73451352</v>
      </c>
      <c r="V145" s="1088">
        <v>181661524.88255209</v>
      </c>
      <c r="W145" s="1088">
        <v>136800957.06990084</v>
      </c>
      <c r="X145" s="1088">
        <v>133464046.74183355</v>
      </c>
      <c r="Y145" s="1088">
        <v>104691070.02279706</v>
      </c>
      <c r="Z145" s="1088">
        <v>91352024.947841749</v>
      </c>
      <c r="AA145" s="1088">
        <v>156464779.80411685</v>
      </c>
      <c r="AB145" s="1088">
        <v>0</v>
      </c>
      <c r="AC145" s="1088">
        <v>0</v>
      </c>
      <c r="AD145" s="1088"/>
      <c r="AE145" s="1088"/>
      <c r="AF145" s="1088"/>
      <c r="AG145" s="1088"/>
      <c r="AH145" s="1088"/>
      <c r="AI145" s="1088"/>
      <c r="AJ145" s="1088"/>
      <c r="AK145" s="1088"/>
      <c r="AL145" s="1088"/>
      <c r="AM145" s="1088"/>
      <c r="AN145" s="1088"/>
      <c r="AO145" s="1088"/>
      <c r="AP145" s="1088"/>
      <c r="AQ145" s="1088"/>
      <c r="AR145" s="1088"/>
      <c r="AS145" s="1088"/>
      <c r="AT145" s="1088"/>
      <c r="AU145" s="1088"/>
      <c r="AV145" s="1088"/>
      <c r="AW145" s="1088"/>
      <c r="AX145" s="1086">
        <f t="shared" si="28"/>
        <v>1300683586.2035556</v>
      </c>
    </row>
    <row r="146" spans="1:50" ht="12">
      <c r="A146" s="1086" t="s">
        <v>1373</v>
      </c>
      <c r="B146" s="1086" t="s">
        <v>1374</v>
      </c>
      <c r="C146" s="1088">
        <v>0</v>
      </c>
      <c r="D146" s="1088">
        <v>0</v>
      </c>
      <c r="E146" s="1088">
        <v>0</v>
      </c>
      <c r="F146" s="1088">
        <v>0</v>
      </c>
      <c r="G146" s="1088">
        <v>0</v>
      </c>
      <c r="H146" s="1088">
        <v>0</v>
      </c>
      <c r="I146" s="1088">
        <v>0</v>
      </c>
      <c r="J146" s="1088">
        <v>0</v>
      </c>
      <c r="K146" s="1088">
        <v>0</v>
      </c>
      <c r="L146" s="1088">
        <v>0</v>
      </c>
      <c r="M146" s="1088">
        <v>0</v>
      </c>
      <c r="N146" s="1088">
        <v>0</v>
      </c>
      <c r="O146" s="1088">
        <v>0</v>
      </c>
      <c r="P146" s="1088">
        <v>0</v>
      </c>
      <c r="Q146" s="1088">
        <v>0</v>
      </c>
      <c r="R146" s="1088">
        <v>0</v>
      </c>
      <c r="S146" s="1088">
        <v>0</v>
      </c>
      <c r="T146" s="1088">
        <v>0</v>
      </c>
      <c r="U146" s="1088">
        <v>0</v>
      </c>
      <c r="V146" s="1088">
        <v>0</v>
      </c>
      <c r="W146" s="1088">
        <v>0</v>
      </c>
      <c r="X146" s="1088">
        <v>0</v>
      </c>
      <c r="Y146" s="1088">
        <v>0</v>
      </c>
      <c r="Z146" s="1088">
        <v>0</v>
      </c>
      <c r="AA146" s="1088">
        <v>0</v>
      </c>
      <c r="AB146" s="1088">
        <v>0</v>
      </c>
      <c r="AC146" s="1088">
        <v>0</v>
      </c>
      <c r="AD146" s="1088"/>
      <c r="AE146" s="1088"/>
      <c r="AF146" s="1088"/>
      <c r="AG146" s="1088"/>
      <c r="AH146" s="1088"/>
      <c r="AI146" s="1088"/>
      <c r="AJ146" s="1088"/>
      <c r="AK146" s="1088"/>
      <c r="AL146" s="1088"/>
      <c r="AM146" s="1088"/>
      <c r="AN146" s="1088"/>
      <c r="AO146" s="1088"/>
      <c r="AP146" s="1088"/>
      <c r="AQ146" s="1088"/>
      <c r="AR146" s="1088"/>
      <c r="AS146" s="1088"/>
      <c r="AT146" s="1088"/>
      <c r="AU146" s="1088"/>
      <c r="AV146" s="1088"/>
      <c r="AW146" s="1088"/>
      <c r="AX146" s="1086">
        <f t="shared" si="28"/>
        <v>0</v>
      </c>
    </row>
    <row r="147" spans="1:50" ht="12">
      <c r="A147" s="1086" t="s">
        <v>1375</v>
      </c>
      <c r="B147" s="1086" t="s">
        <v>1376</v>
      </c>
      <c r="C147" s="1088">
        <v>0</v>
      </c>
      <c r="D147" s="1088">
        <v>0</v>
      </c>
      <c r="E147" s="1088">
        <v>0</v>
      </c>
      <c r="F147" s="1088">
        <v>0</v>
      </c>
      <c r="G147" s="1088">
        <v>0</v>
      </c>
      <c r="H147" s="1088">
        <v>0</v>
      </c>
      <c r="I147" s="1088">
        <v>0</v>
      </c>
      <c r="J147" s="1088">
        <v>0</v>
      </c>
      <c r="K147" s="1088">
        <v>0</v>
      </c>
      <c r="L147" s="1088">
        <v>0</v>
      </c>
      <c r="M147" s="1088">
        <v>0</v>
      </c>
      <c r="N147" s="1088">
        <v>0</v>
      </c>
      <c r="O147" s="1088">
        <v>0</v>
      </c>
      <c r="P147" s="1088">
        <v>0</v>
      </c>
      <c r="Q147" s="1088">
        <v>0</v>
      </c>
      <c r="R147" s="1088">
        <v>0</v>
      </c>
      <c r="S147" s="1088">
        <v>0</v>
      </c>
      <c r="T147" s="1088">
        <v>0</v>
      </c>
      <c r="U147" s="1088">
        <v>0</v>
      </c>
      <c r="V147" s="1088">
        <v>0</v>
      </c>
      <c r="W147" s="1088">
        <v>43516138.984199896</v>
      </c>
      <c r="X147" s="1088">
        <v>43516138.984199896</v>
      </c>
      <c r="Y147" s="1088">
        <v>0</v>
      </c>
      <c r="Z147" s="1088">
        <v>0</v>
      </c>
      <c r="AA147" s="1088">
        <v>0</v>
      </c>
      <c r="AB147" s="1088">
        <v>0</v>
      </c>
      <c r="AC147" s="1088">
        <v>0</v>
      </c>
      <c r="AD147" s="1088"/>
      <c r="AE147" s="1088"/>
      <c r="AF147" s="1088"/>
      <c r="AG147" s="1088"/>
      <c r="AH147" s="1088"/>
      <c r="AI147" s="1088"/>
      <c r="AJ147" s="1088"/>
      <c r="AK147" s="1088"/>
      <c r="AL147" s="1088"/>
      <c r="AM147" s="1088"/>
      <c r="AN147" s="1088"/>
      <c r="AO147" s="1088"/>
      <c r="AP147" s="1088"/>
      <c r="AQ147" s="1088"/>
      <c r="AR147" s="1088"/>
      <c r="AS147" s="1088"/>
      <c r="AT147" s="1088"/>
      <c r="AU147" s="1088"/>
      <c r="AV147" s="1088"/>
      <c r="AW147" s="1088"/>
      <c r="AX147" s="1086">
        <f t="shared" si="28"/>
        <v>87032277.968399793</v>
      </c>
    </row>
    <row r="148" spans="1:50" ht="12">
      <c r="A148" s="1086" t="s">
        <v>1377</v>
      </c>
      <c r="B148" s="1086" t="s">
        <v>1378</v>
      </c>
      <c r="C148" s="1088">
        <v>0</v>
      </c>
      <c r="D148" s="1088">
        <v>0</v>
      </c>
      <c r="E148" s="1088">
        <v>0</v>
      </c>
      <c r="F148" s="1088">
        <v>0</v>
      </c>
      <c r="G148" s="1088">
        <v>0</v>
      </c>
      <c r="H148" s="1088">
        <v>0</v>
      </c>
      <c r="I148" s="1088">
        <v>0</v>
      </c>
      <c r="J148" s="1088">
        <v>0</v>
      </c>
      <c r="K148" s="1088">
        <v>0</v>
      </c>
      <c r="L148" s="1088">
        <v>0</v>
      </c>
      <c r="M148" s="1088">
        <v>0</v>
      </c>
      <c r="N148" s="1088">
        <v>0</v>
      </c>
      <c r="O148" s="1088">
        <v>0</v>
      </c>
      <c r="P148" s="1088">
        <v>0</v>
      </c>
      <c r="Q148" s="1088">
        <v>0</v>
      </c>
      <c r="R148" s="1088">
        <v>0</v>
      </c>
      <c r="S148" s="1088">
        <v>0</v>
      </c>
      <c r="T148" s="1088">
        <v>0</v>
      </c>
      <c r="U148" s="1088">
        <v>0</v>
      </c>
      <c r="V148" s="1088">
        <v>0</v>
      </c>
      <c r="W148" s="1088">
        <v>0</v>
      </c>
      <c r="X148" s="1088">
        <v>0</v>
      </c>
      <c r="Y148" s="1088">
        <v>0</v>
      </c>
      <c r="Z148" s="1088">
        <v>0</v>
      </c>
      <c r="AA148" s="1088">
        <v>0</v>
      </c>
      <c r="AB148" s="1088">
        <v>0</v>
      </c>
      <c r="AC148" s="1088">
        <v>0</v>
      </c>
      <c r="AD148" s="1088"/>
      <c r="AE148" s="1088"/>
      <c r="AF148" s="1088"/>
      <c r="AG148" s="1088"/>
      <c r="AH148" s="1088"/>
      <c r="AI148" s="1088"/>
      <c r="AJ148" s="1088"/>
      <c r="AK148" s="1088"/>
      <c r="AL148" s="1088"/>
      <c r="AM148" s="1088"/>
      <c r="AN148" s="1088"/>
      <c r="AO148" s="1088"/>
      <c r="AP148" s="1088"/>
      <c r="AQ148" s="1088"/>
      <c r="AR148" s="1088"/>
      <c r="AS148" s="1088"/>
      <c r="AT148" s="1088"/>
      <c r="AU148" s="1088"/>
      <c r="AV148" s="1088"/>
      <c r="AW148" s="1088"/>
      <c r="AX148" s="1086">
        <f t="shared" si="28"/>
        <v>0</v>
      </c>
    </row>
    <row r="149" spans="1:50" ht="12">
      <c r="A149" s="1086" t="s">
        <v>1379</v>
      </c>
      <c r="B149" s="1086" t="s">
        <v>1380</v>
      </c>
      <c r="C149" s="1088">
        <v>0</v>
      </c>
      <c r="D149" s="1088">
        <v>0</v>
      </c>
      <c r="E149" s="1088">
        <v>0</v>
      </c>
      <c r="F149" s="1088">
        <v>0</v>
      </c>
      <c r="G149" s="1088">
        <v>0</v>
      </c>
      <c r="H149" s="1088">
        <v>0</v>
      </c>
      <c r="I149" s="1088">
        <v>0</v>
      </c>
      <c r="J149" s="1088">
        <v>0</v>
      </c>
      <c r="K149" s="1088">
        <v>0</v>
      </c>
      <c r="L149" s="1088">
        <v>0</v>
      </c>
      <c r="M149" s="1088">
        <v>0</v>
      </c>
      <c r="N149" s="1088">
        <v>0</v>
      </c>
      <c r="O149" s="1088">
        <v>0</v>
      </c>
      <c r="P149" s="1088">
        <v>0</v>
      </c>
      <c r="Q149" s="1088">
        <v>0</v>
      </c>
      <c r="R149" s="1088">
        <v>0</v>
      </c>
      <c r="S149" s="1088">
        <v>0</v>
      </c>
      <c r="T149" s="1088">
        <v>0</v>
      </c>
      <c r="U149" s="1088">
        <v>0</v>
      </c>
      <c r="V149" s="1088">
        <v>0</v>
      </c>
      <c r="W149" s="1088">
        <v>0</v>
      </c>
      <c r="X149" s="1088">
        <v>0</v>
      </c>
      <c r="Y149" s="1088">
        <v>0</v>
      </c>
      <c r="Z149" s="1088">
        <v>0</v>
      </c>
      <c r="AA149" s="1088">
        <v>0</v>
      </c>
      <c r="AB149" s="1088">
        <v>0</v>
      </c>
      <c r="AC149" s="1088">
        <v>0</v>
      </c>
      <c r="AD149" s="1088"/>
      <c r="AE149" s="1088"/>
      <c r="AF149" s="1088"/>
      <c r="AG149" s="1088"/>
      <c r="AH149" s="1088"/>
      <c r="AI149" s="1088"/>
      <c r="AJ149" s="1088"/>
      <c r="AK149" s="1088"/>
      <c r="AL149" s="1088"/>
      <c r="AM149" s="1088"/>
      <c r="AN149" s="1088"/>
      <c r="AO149" s="1088"/>
      <c r="AP149" s="1088"/>
      <c r="AQ149" s="1088"/>
      <c r="AR149" s="1088"/>
      <c r="AS149" s="1088"/>
      <c r="AT149" s="1088"/>
      <c r="AU149" s="1088"/>
      <c r="AV149" s="1088"/>
      <c r="AW149" s="1088"/>
      <c r="AX149" s="1086">
        <f t="shared" si="28"/>
        <v>0</v>
      </c>
    </row>
    <row r="150" spans="1:50" ht="12">
      <c r="A150" s="1086" t="s">
        <v>1381</v>
      </c>
      <c r="B150" s="1086" t="s">
        <v>1382</v>
      </c>
      <c r="C150" s="1086">
        <f>SUM(C151:C160)</f>
        <v>20850</v>
      </c>
      <c r="D150" s="1086">
        <f t="shared" ref="D150:AC150" si="31">SUM(D151:D160)</f>
        <v>45970</v>
      </c>
      <c r="E150" s="1086">
        <f t="shared" si="31"/>
        <v>37940</v>
      </c>
      <c r="F150" s="1086">
        <f t="shared" si="31"/>
        <v>5194494.3172727274</v>
      </c>
      <c r="G150" s="1086">
        <f t="shared" si="31"/>
        <v>5194494.3172727274</v>
      </c>
      <c r="H150" s="1086">
        <f t="shared" si="31"/>
        <v>5194494.3172727274</v>
      </c>
      <c r="I150" s="1086">
        <f t="shared" si="31"/>
        <v>5194494.3172727274</v>
      </c>
      <c r="J150" s="1086">
        <f t="shared" si="31"/>
        <v>5194494.3172727274</v>
      </c>
      <c r="K150" s="1086">
        <f t="shared" si="31"/>
        <v>5194494.3172727274</v>
      </c>
      <c r="L150" s="1086">
        <f t="shared" si="31"/>
        <v>5194494.3172727274</v>
      </c>
      <c r="M150" s="1086">
        <f t="shared" si="31"/>
        <v>5194494.3172727274</v>
      </c>
      <c r="N150" s="1086">
        <f t="shared" si="31"/>
        <v>5194494.3172727274</v>
      </c>
      <c r="O150" s="1086">
        <f t="shared" si="31"/>
        <v>5194494.3172727274</v>
      </c>
      <c r="P150" s="1086">
        <f t="shared" si="31"/>
        <v>5194494.3172727274</v>
      </c>
      <c r="Q150" s="1086">
        <f t="shared" si="31"/>
        <v>5194494.3172727274</v>
      </c>
      <c r="R150" s="1086">
        <f t="shared" si="31"/>
        <v>5194494.3172727274</v>
      </c>
      <c r="S150" s="1086">
        <f t="shared" si="31"/>
        <v>5194494.3172727274</v>
      </c>
      <c r="T150" s="1086">
        <f t="shared" si="31"/>
        <v>5194494.3172727274</v>
      </c>
      <c r="U150" s="1086">
        <f t="shared" si="31"/>
        <v>5194494.3172727274</v>
      </c>
      <c r="V150" s="1086">
        <f t="shared" si="31"/>
        <v>5194494.3172727274</v>
      </c>
      <c r="W150" s="1086">
        <f t="shared" si="31"/>
        <v>5194494.3172727274</v>
      </c>
      <c r="X150" s="1086">
        <f t="shared" si="31"/>
        <v>5194494.3172727274</v>
      </c>
      <c r="Y150" s="1086">
        <f t="shared" si="31"/>
        <v>5194494.3172727274</v>
      </c>
      <c r="Z150" s="1086">
        <f t="shared" si="31"/>
        <v>5144494.3172727274</v>
      </c>
      <c r="AA150" s="1086">
        <f t="shared" si="31"/>
        <v>5144494.3172727274</v>
      </c>
      <c r="AB150" s="1086">
        <f t="shared" si="31"/>
        <v>0</v>
      </c>
      <c r="AC150" s="1086">
        <f t="shared" si="31"/>
        <v>0</v>
      </c>
      <c r="AD150" s="1086"/>
      <c r="AE150" s="1086"/>
      <c r="AF150" s="1086"/>
      <c r="AG150" s="1086"/>
      <c r="AH150" s="1086"/>
      <c r="AI150" s="1086"/>
      <c r="AJ150" s="1086"/>
      <c r="AK150" s="1086"/>
      <c r="AL150" s="1086"/>
      <c r="AM150" s="1086"/>
      <c r="AN150" s="1086"/>
      <c r="AO150" s="1086"/>
      <c r="AP150" s="1086"/>
      <c r="AQ150" s="1086"/>
      <c r="AR150" s="1086"/>
      <c r="AS150" s="1086"/>
      <c r="AT150" s="1086"/>
      <c r="AU150" s="1086"/>
      <c r="AV150" s="1086"/>
      <c r="AW150" s="1086"/>
      <c r="AX150" s="1086">
        <f t="shared" si="28"/>
        <v>114283634.97999997</v>
      </c>
    </row>
    <row r="151" spans="1:50" ht="12">
      <c r="A151" s="1086" t="s">
        <v>1383</v>
      </c>
      <c r="B151" s="1086" t="s">
        <v>403</v>
      </c>
      <c r="C151" s="1088">
        <v>20850</v>
      </c>
      <c r="D151" s="1088">
        <v>45970</v>
      </c>
      <c r="E151" s="1088">
        <v>37940</v>
      </c>
      <c r="F151" s="1088">
        <v>50000</v>
      </c>
      <c r="G151" s="1088">
        <v>50000</v>
      </c>
      <c r="H151" s="1088">
        <v>50000</v>
      </c>
      <c r="I151" s="1088">
        <v>50000</v>
      </c>
      <c r="J151" s="1088">
        <v>50000</v>
      </c>
      <c r="K151" s="1088">
        <v>50000</v>
      </c>
      <c r="L151" s="1088">
        <v>50000</v>
      </c>
      <c r="M151" s="1088">
        <v>50000</v>
      </c>
      <c r="N151" s="1088">
        <v>50000</v>
      </c>
      <c r="O151" s="1088">
        <v>50000</v>
      </c>
      <c r="P151" s="1088">
        <v>50000</v>
      </c>
      <c r="Q151" s="1088">
        <v>50000</v>
      </c>
      <c r="R151" s="1088">
        <v>50000</v>
      </c>
      <c r="S151" s="1088">
        <v>50000</v>
      </c>
      <c r="T151" s="1088">
        <v>50000</v>
      </c>
      <c r="U151" s="1088">
        <v>50000</v>
      </c>
      <c r="V151" s="1088">
        <v>50000</v>
      </c>
      <c r="W151" s="1088">
        <v>50000</v>
      </c>
      <c r="X151" s="1088">
        <v>50000</v>
      </c>
      <c r="Y151" s="1088">
        <v>50000</v>
      </c>
      <c r="Z151" s="1088">
        <v>0</v>
      </c>
      <c r="AA151" s="1088">
        <v>0</v>
      </c>
      <c r="AB151" s="1088">
        <v>0</v>
      </c>
      <c r="AC151" s="1088">
        <v>0</v>
      </c>
      <c r="AD151" s="1088"/>
      <c r="AE151" s="1088"/>
      <c r="AF151" s="1088"/>
      <c r="AG151" s="1088"/>
      <c r="AH151" s="1088"/>
      <c r="AI151" s="1088"/>
      <c r="AJ151" s="1088"/>
      <c r="AK151" s="1088"/>
      <c r="AL151" s="1088"/>
      <c r="AM151" s="1088"/>
      <c r="AN151" s="1088"/>
      <c r="AO151" s="1088"/>
      <c r="AP151" s="1088"/>
      <c r="AQ151" s="1088"/>
      <c r="AR151" s="1088"/>
      <c r="AS151" s="1088"/>
      <c r="AT151" s="1088"/>
      <c r="AU151" s="1088"/>
      <c r="AV151" s="1088"/>
      <c r="AW151" s="1088"/>
      <c r="AX151" s="1086">
        <f t="shared" si="28"/>
        <v>1104760</v>
      </c>
    </row>
    <row r="152" spans="1:50" ht="12">
      <c r="A152" s="1086" t="s">
        <v>1384</v>
      </c>
      <c r="B152" s="1086" t="s">
        <v>1385</v>
      </c>
      <c r="C152" s="1088">
        <v>0</v>
      </c>
      <c r="D152" s="1088">
        <v>0</v>
      </c>
      <c r="E152" s="1088">
        <v>0</v>
      </c>
      <c r="F152" s="1088">
        <v>0</v>
      </c>
      <c r="G152" s="1088">
        <v>0</v>
      </c>
      <c r="H152" s="1088">
        <v>0</v>
      </c>
      <c r="I152" s="1088">
        <v>0</v>
      </c>
      <c r="J152" s="1088">
        <v>0</v>
      </c>
      <c r="K152" s="1088">
        <v>0</v>
      </c>
      <c r="L152" s="1088">
        <v>0</v>
      </c>
      <c r="M152" s="1088">
        <v>0</v>
      </c>
      <c r="N152" s="1088">
        <v>0</v>
      </c>
      <c r="O152" s="1088">
        <v>0</v>
      </c>
      <c r="P152" s="1088">
        <v>0</v>
      </c>
      <c r="Q152" s="1088">
        <v>0</v>
      </c>
      <c r="R152" s="1088">
        <v>0</v>
      </c>
      <c r="S152" s="1088">
        <v>0</v>
      </c>
      <c r="T152" s="1088">
        <v>0</v>
      </c>
      <c r="U152" s="1088">
        <v>0</v>
      </c>
      <c r="V152" s="1088">
        <v>0</v>
      </c>
      <c r="W152" s="1088">
        <v>0</v>
      </c>
      <c r="X152" s="1088">
        <v>0</v>
      </c>
      <c r="Y152" s="1088">
        <v>0</v>
      </c>
      <c r="Z152" s="1088">
        <v>0</v>
      </c>
      <c r="AA152" s="1088">
        <v>0</v>
      </c>
      <c r="AB152" s="1088">
        <v>0</v>
      </c>
      <c r="AC152" s="1088">
        <v>0</v>
      </c>
      <c r="AD152" s="1088"/>
      <c r="AE152" s="1088"/>
      <c r="AF152" s="1088"/>
      <c r="AG152" s="1088"/>
      <c r="AH152" s="1088"/>
      <c r="AI152" s="1088"/>
      <c r="AJ152" s="1088"/>
      <c r="AK152" s="1088"/>
      <c r="AL152" s="1088"/>
      <c r="AM152" s="1088"/>
      <c r="AN152" s="1088"/>
      <c r="AO152" s="1088"/>
      <c r="AP152" s="1088"/>
      <c r="AQ152" s="1088"/>
      <c r="AR152" s="1088"/>
      <c r="AS152" s="1088"/>
      <c r="AT152" s="1088"/>
      <c r="AU152" s="1088"/>
      <c r="AV152" s="1088"/>
      <c r="AW152" s="1088"/>
      <c r="AX152" s="1086">
        <f t="shared" si="28"/>
        <v>0</v>
      </c>
    </row>
    <row r="153" spans="1:50" ht="12">
      <c r="A153" s="1086" t="s">
        <v>1386</v>
      </c>
      <c r="B153" s="1086" t="s">
        <v>1387</v>
      </c>
      <c r="C153" s="1088">
        <v>0</v>
      </c>
      <c r="D153" s="1088">
        <v>0</v>
      </c>
      <c r="E153" s="1088">
        <v>0</v>
      </c>
      <c r="F153" s="1088">
        <v>0</v>
      </c>
      <c r="G153" s="1088">
        <v>0</v>
      </c>
      <c r="H153" s="1088">
        <v>0</v>
      </c>
      <c r="I153" s="1088">
        <v>0</v>
      </c>
      <c r="J153" s="1088">
        <v>0</v>
      </c>
      <c r="K153" s="1088">
        <v>0</v>
      </c>
      <c r="L153" s="1088">
        <v>0</v>
      </c>
      <c r="M153" s="1088">
        <v>0</v>
      </c>
      <c r="N153" s="1088">
        <v>0</v>
      </c>
      <c r="O153" s="1088">
        <v>0</v>
      </c>
      <c r="P153" s="1088">
        <v>0</v>
      </c>
      <c r="Q153" s="1088">
        <v>0</v>
      </c>
      <c r="R153" s="1088">
        <v>0</v>
      </c>
      <c r="S153" s="1088">
        <v>0</v>
      </c>
      <c r="T153" s="1088">
        <v>0</v>
      </c>
      <c r="U153" s="1088">
        <v>0</v>
      </c>
      <c r="V153" s="1088">
        <v>0</v>
      </c>
      <c r="W153" s="1088">
        <v>0</v>
      </c>
      <c r="X153" s="1088">
        <v>0</v>
      </c>
      <c r="Y153" s="1088">
        <v>0</v>
      </c>
      <c r="Z153" s="1088">
        <v>0</v>
      </c>
      <c r="AA153" s="1088">
        <v>0</v>
      </c>
      <c r="AB153" s="1088">
        <v>0</v>
      </c>
      <c r="AC153" s="1088">
        <v>0</v>
      </c>
      <c r="AD153" s="1088"/>
      <c r="AE153" s="1088"/>
      <c r="AF153" s="1088"/>
      <c r="AG153" s="1088"/>
      <c r="AH153" s="1088"/>
      <c r="AI153" s="1088"/>
      <c r="AJ153" s="1088"/>
      <c r="AK153" s="1088"/>
      <c r="AL153" s="1088"/>
      <c r="AM153" s="1088"/>
      <c r="AN153" s="1088"/>
      <c r="AO153" s="1088"/>
      <c r="AP153" s="1088"/>
      <c r="AQ153" s="1088"/>
      <c r="AR153" s="1088"/>
      <c r="AS153" s="1088"/>
      <c r="AT153" s="1088"/>
      <c r="AU153" s="1088"/>
      <c r="AV153" s="1088"/>
      <c r="AW153" s="1088"/>
      <c r="AX153" s="1086">
        <f t="shared" si="28"/>
        <v>0</v>
      </c>
    </row>
    <row r="154" spans="1:50" ht="12">
      <c r="A154" s="1086" t="s">
        <v>1388</v>
      </c>
      <c r="B154" s="1086" t="s">
        <v>1389</v>
      </c>
      <c r="C154" s="1088">
        <v>0</v>
      </c>
      <c r="D154" s="1088">
        <v>0</v>
      </c>
      <c r="E154" s="1088">
        <v>0</v>
      </c>
      <c r="F154" s="1088">
        <v>0</v>
      </c>
      <c r="G154" s="1088">
        <v>0</v>
      </c>
      <c r="H154" s="1088">
        <v>0</v>
      </c>
      <c r="I154" s="1088">
        <v>0</v>
      </c>
      <c r="J154" s="1088">
        <v>0</v>
      </c>
      <c r="K154" s="1088">
        <v>0</v>
      </c>
      <c r="L154" s="1088">
        <v>0</v>
      </c>
      <c r="M154" s="1088">
        <v>0</v>
      </c>
      <c r="N154" s="1088">
        <v>0</v>
      </c>
      <c r="O154" s="1088">
        <v>0</v>
      </c>
      <c r="P154" s="1088">
        <v>0</v>
      </c>
      <c r="Q154" s="1088">
        <v>0</v>
      </c>
      <c r="R154" s="1088">
        <v>0</v>
      </c>
      <c r="S154" s="1088">
        <v>0</v>
      </c>
      <c r="T154" s="1088">
        <v>0</v>
      </c>
      <c r="U154" s="1088">
        <v>0</v>
      </c>
      <c r="V154" s="1088">
        <v>0</v>
      </c>
      <c r="W154" s="1088">
        <v>0</v>
      </c>
      <c r="X154" s="1088">
        <v>0</v>
      </c>
      <c r="Y154" s="1088">
        <v>0</v>
      </c>
      <c r="Z154" s="1088">
        <v>0</v>
      </c>
      <c r="AA154" s="1088">
        <v>0</v>
      </c>
      <c r="AB154" s="1088">
        <v>0</v>
      </c>
      <c r="AC154" s="1088">
        <v>0</v>
      </c>
      <c r="AD154" s="1088"/>
      <c r="AE154" s="1088"/>
      <c r="AF154" s="1088"/>
      <c r="AG154" s="1088"/>
      <c r="AH154" s="1088"/>
      <c r="AI154" s="1088"/>
      <c r="AJ154" s="1088"/>
      <c r="AK154" s="1088"/>
      <c r="AL154" s="1088"/>
      <c r="AM154" s="1088"/>
      <c r="AN154" s="1088"/>
      <c r="AO154" s="1088"/>
      <c r="AP154" s="1088"/>
      <c r="AQ154" s="1088"/>
      <c r="AR154" s="1088"/>
      <c r="AS154" s="1088"/>
      <c r="AT154" s="1088"/>
      <c r="AU154" s="1088"/>
      <c r="AV154" s="1088"/>
      <c r="AW154" s="1088"/>
      <c r="AX154" s="1086">
        <f t="shared" si="28"/>
        <v>0</v>
      </c>
    </row>
    <row r="155" spans="1:50" ht="12">
      <c r="A155" s="1086" t="s">
        <v>1390</v>
      </c>
      <c r="B155" s="1086" t="s">
        <v>1391</v>
      </c>
      <c r="C155" s="1088">
        <v>0</v>
      </c>
      <c r="D155" s="1088">
        <v>0</v>
      </c>
      <c r="E155" s="1088">
        <v>0</v>
      </c>
      <c r="F155" s="1088">
        <v>0</v>
      </c>
      <c r="G155" s="1088">
        <v>0</v>
      </c>
      <c r="H155" s="1088">
        <v>0</v>
      </c>
      <c r="I155" s="1088">
        <v>0</v>
      </c>
      <c r="J155" s="1088">
        <v>0</v>
      </c>
      <c r="K155" s="1088">
        <v>0</v>
      </c>
      <c r="L155" s="1088">
        <v>0</v>
      </c>
      <c r="M155" s="1088">
        <v>0</v>
      </c>
      <c r="N155" s="1088">
        <v>0</v>
      </c>
      <c r="O155" s="1088">
        <v>0</v>
      </c>
      <c r="P155" s="1088">
        <v>0</v>
      </c>
      <c r="Q155" s="1088">
        <v>0</v>
      </c>
      <c r="R155" s="1088">
        <v>0</v>
      </c>
      <c r="S155" s="1088">
        <v>0</v>
      </c>
      <c r="T155" s="1088">
        <v>0</v>
      </c>
      <c r="U155" s="1088">
        <v>0</v>
      </c>
      <c r="V155" s="1088">
        <v>0</v>
      </c>
      <c r="W155" s="1088">
        <v>0</v>
      </c>
      <c r="X155" s="1088">
        <v>0</v>
      </c>
      <c r="Y155" s="1088">
        <v>0</v>
      </c>
      <c r="Z155" s="1088">
        <v>0</v>
      </c>
      <c r="AA155" s="1088">
        <v>0</v>
      </c>
      <c r="AB155" s="1088">
        <v>0</v>
      </c>
      <c r="AC155" s="1088">
        <v>0</v>
      </c>
      <c r="AD155" s="1088"/>
      <c r="AE155" s="1088"/>
      <c r="AF155" s="1088"/>
      <c r="AG155" s="1088"/>
      <c r="AH155" s="1088"/>
      <c r="AI155" s="1088"/>
      <c r="AJ155" s="1088"/>
      <c r="AK155" s="1088"/>
      <c r="AL155" s="1088"/>
      <c r="AM155" s="1088"/>
      <c r="AN155" s="1088"/>
      <c r="AO155" s="1088"/>
      <c r="AP155" s="1088"/>
      <c r="AQ155" s="1088"/>
      <c r="AR155" s="1088"/>
      <c r="AS155" s="1088"/>
      <c r="AT155" s="1088"/>
      <c r="AU155" s="1088"/>
      <c r="AV155" s="1088"/>
      <c r="AW155" s="1088"/>
      <c r="AX155" s="1086">
        <f t="shared" si="28"/>
        <v>0</v>
      </c>
    </row>
    <row r="156" spans="1:50" ht="12">
      <c r="A156" s="1086" t="s">
        <v>1392</v>
      </c>
      <c r="B156" s="1086" t="s">
        <v>1393</v>
      </c>
      <c r="C156" s="1088">
        <v>0</v>
      </c>
      <c r="D156" s="1088">
        <v>0</v>
      </c>
      <c r="E156" s="1088">
        <v>0</v>
      </c>
      <c r="F156" s="1088">
        <v>0</v>
      </c>
      <c r="G156" s="1088">
        <v>0</v>
      </c>
      <c r="H156" s="1088">
        <v>0</v>
      </c>
      <c r="I156" s="1088">
        <v>0</v>
      </c>
      <c r="J156" s="1088">
        <v>0</v>
      </c>
      <c r="K156" s="1088">
        <v>0</v>
      </c>
      <c r="L156" s="1088">
        <v>0</v>
      </c>
      <c r="M156" s="1088">
        <v>0</v>
      </c>
      <c r="N156" s="1088">
        <v>0</v>
      </c>
      <c r="O156" s="1088">
        <v>0</v>
      </c>
      <c r="P156" s="1088">
        <v>0</v>
      </c>
      <c r="Q156" s="1088">
        <v>0</v>
      </c>
      <c r="R156" s="1088">
        <v>0</v>
      </c>
      <c r="S156" s="1088">
        <v>0</v>
      </c>
      <c r="T156" s="1088">
        <v>0</v>
      </c>
      <c r="U156" s="1088">
        <v>0</v>
      </c>
      <c r="V156" s="1088">
        <v>0</v>
      </c>
      <c r="W156" s="1088">
        <v>0</v>
      </c>
      <c r="X156" s="1088">
        <v>0</v>
      </c>
      <c r="Y156" s="1088">
        <v>0</v>
      </c>
      <c r="Z156" s="1088">
        <v>0</v>
      </c>
      <c r="AA156" s="1088">
        <v>0</v>
      </c>
      <c r="AB156" s="1088">
        <v>0</v>
      </c>
      <c r="AC156" s="1088">
        <v>0</v>
      </c>
      <c r="AD156" s="1088"/>
      <c r="AE156" s="1088"/>
      <c r="AF156" s="1088"/>
      <c r="AG156" s="1088"/>
      <c r="AH156" s="1088"/>
      <c r="AI156" s="1088"/>
      <c r="AJ156" s="1088"/>
      <c r="AK156" s="1088"/>
      <c r="AL156" s="1088"/>
      <c r="AM156" s="1088"/>
      <c r="AN156" s="1088"/>
      <c r="AO156" s="1088"/>
      <c r="AP156" s="1088"/>
      <c r="AQ156" s="1088"/>
      <c r="AR156" s="1088"/>
      <c r="AS156" s="1088"/>
      <c r="AT156" s="1088"/>
      <c r="AU156" s="1088"/>
      <c r="AV156" s="1088"/>
      <c r="AW156" s="1088"/>
      <c r="AX156" s="1086">
        <f t="shared" si="28"/>
        <v>0</v>
      </c>
    </row>
    <row r="157" spans="1:50" ht="24">
      <c r="A157" s="1086" t="s">
        <v>1394</v>
      </c>
      <c r="B157" s="1086" t="s">
        <v>1395</v>
      </c>
      <c r="C157" s="1088">
        <v>0</v>
      </c>
      <c r="D157" s="1088">
        <v>0</v>
      </c>
      <c r="E157" s="1088">
        <v>0</v>
      </c>
      <c r="F157" s="1088">
        <v>0</v>
      </c>
      <c r="G157" s="1088">
        <v>0</v>
      </c>
      <c r="H157" s="1088">
        <v>0</v>
      </c>
      <c r="I157" s="1088">
        <v>0</v>
      </c>
      <c r="J157" s="1088">
        <v>0</v>
      </c>
      <c r="K157" s="1088">
        <v>0</v>
      </c>
      <c r="L157" s="1088">
        <v>0</v>
      </c>
      <c r="M157" s="1088">
        <v>0</v>
      </c>
      <c r="N157" s="1088">
        <v>0</v>
      </c>
      <c r="O157" s="1088">
        <v>0</v>
      </c>
      <c r="P157" s="1088">
        <v>0</v>
      </c>
      <c r="Q157" s="1088">
        <v>0</v>
      </c>
      <c r="R157" s="1088">
        <v>0</v>
      </c>
      <c r="S157" s="1088">
        <v>0</v>
      </c>
      <c r="T157" s="1088">
        <v>0</v>
      </c>
      <c r="U157" s="1088">
        <v>0</v>
      </c>
      <c r="V157" s="1088">
        <v>0</v>
      </c>
      <c r="W157" s="1088">
        <v>0</v>
      </c>
      <c r="X157" s="1088">
        <v>0</v>
      </c>
      <c r="Y157" s="1088">
        <v>0</v>
      </c>
      <c r="Z157" s="1088">
        <v>0</v>
      </c>
      <c r="AA157" s="1088">
        <v>0</v>
      </c>
      <c r="AB157" s="1088">
        <v>0</v>
      </c>
      <c r="AC157" s="1088">
        <v>0</v>
      </c>
      <c r="AD157" s="1088"/>
      <c r="AE157" s="1088"/>
      <c r="AF157" s="1088"/>
      <c r="AG157" s="1088"/>
      <c r="AH157" s="1088"/>
      <c r="AI157" s="1088"/>
      <c r="AJ157" s="1088"/>
      <c r="AK157" s="1088"/>
      <c r="AL157" s="1088"/>
      <c r="AM157" s="1088"/>
      <c r="AN157" s="1088"/>
      <c r="AO157" s="1088"/>
      <c r="AP157" s="1088"/>
      <c r="AQ157" s="1088"/>
      <c r="AR157" s="1088"/>
      <c r="AS157" s="1088"/>
      <c r="AT157" s="1088"/>
      <c r="AU157" s="1088"/>
      <c r="AV157" s="1088"/>
      <c r="AW157" s="1088"/>
      <c r="AX157" s="1086">
        <f t="shared" si="28"/>
        <v>0</v>
      </c>
    </row>
    <row r="158" spans="1:50" ht="12">
      <c r="A158" s="1086" t="s">
        <v>853</v>
      </c>
      <c r="B158" s="1086" t="s">
        <v>1396</v>
      </c>
      <c r="C158" s="1088">
        <v>0</v>
      </c>
      <c r="D158" s="1088">
        <v>0</v>
      </c>
      <c r="E158" s="1088">
        <v>0</v>
      </c>
      <c r="F158" s="1088">
        <v>5144494.3172727274</v>
      </c>
      <c r="G158" s="1088">
        <v>5144494.3172727274</v>
      </c>
      <c r="H158" s="1088">
        <v>5144494.3172727274</v>
      </c>
      <c r="I158" s="1088">
        <v>5144494.3172727274</v>
      </c>
      <c r="J158" s="1088">
        <v>5144494.3172727274</v>
      </c>
      <c r="K158" s="1088">
        <v>5144494.3172727274</v>
      </c>
      <c r="L158" s="1088">
        <v>5144494.3172727274</v>
      </c>
      <c r="M158" s="1088">
        <v>5144494.3172727274</v>
      </c>
      <c r="N158" s="1088">
        <v>5144494.3172727274</v>
      </c>
      <c r="O158" s="1088">
        <v>5144494.3172727274</v>
      </c>
      <c r="P158" s="1088">
        <v>5144494.3172727274</v>
      </c>
      <c r="Q158" s="1088">
        <v>5144494.3172727274</v>
      </c>
      <c r="R158" s="1088">
        <v>5144494.3172727274</v>
      </c>
      <c r="S158" s="1088">
        <v>5144494.3172727274</v>
      </c>
      <c r="T158" s="1088">
        <v>5144494.3172727274</v>
      </c>
      <c r="U158" s="1088">
        <v>5144494.3172727274</v>
      </c>
      <c r="V158" s="1088">
        <v>5144494.3172727274</v>
      </c>
      <c r="W158" s="1088">
        <v>5144494.3172727274</v>
      </c>
      <c r="X158" s="1088">
        <v>5144494.3172727274</v>
      </c>
      <c r="Y158" s="1088">
        <v>5144494.3172727274</v>
      </c>
      <c r="Z158" s="1088">
        <v>5144494.3172727274</v>
      </c>
      <c r="AA158" s="1088">
        <v>5144494.3172727274</v>
      </c>
      <c r="AB158" s="1088">
        <v>0</v>
      </c>
      <c r="AC158" s="1088">
        <v>0</v>
      </c>
      <c r="AD158" s="1088"/>
      <c r="AE158" s="1088"/>
      <c r="AF158" s="1088"/>
      <c r="AG158" s="1088"/>
      <c r="AH158" s="1088"/>
      <c r="AI158" s="1088"/>
      <c r="AJ158" s="1088"/>
      <c r="AK158" s="1088"/>
      <c r="AL158" s="1088"/>
      <c r="AM158" s="1088"/>
      <c r="AN158" s="1088"/>
      <c r="AO158" s="1088"/>
      <c r="AP158" s="1088"/>
      <c r="AQ158" s="1088"/>
      <c r="AR158" s="1088"/>
      <c r="AS158" s="1088"/>
      <c r="AT158" s="1088"/>
      <c r="AU158" s="1088"/>
      <c r="AV158" s="1088"/>
      <c r="AW158" s="1088"/>
      <c r="AX158" s="1086">
        <f t="shared" si="28"/>
        <v>113178874.97999997</v>
      </c>
    </row>
    <row r="159" spans="1:50" ht="12">
      <c r="A159" s="1086" t="s">
        <v>1397</v>
      </c>
      <c r="B159" s="1086" t="s">
        <v>1398</v>
      </c>
      <c r="C159" s="1088">
        <v>0</v>
      </c>
      <c r="D159" s="1088">
        <v>0</v>
      </c>
      <c r="E159" s="1088">
        <v>0</v>
      </c>
      <c r="F159" s="1088">
        <v>0</v>
      </c>
      <c r="G159" s="1088">
        <v>0</v>
      </c>
      <c r="H159" s="1088">
        <v>0</v>
      </c>
      <c r="I159" s="1088">
        <v>0</v>
      </c>
      <c r="J159" s="1088">
        <v>0</v>
      </c>
      <c r="K159" s="1088">
        <v>0</v>
      </c>
      <c r="L159" s="1088">
        <v>0</v>
      </c>
      <c r="M159" s="1088">
        <v>0</v>
      </c>
      <c r="N159" s="1088">
        <v>0</v>
      </c>
      <c r="O159" s="1088">
        <v>0</v>
      </c>
      <c r="P159" s="1088">
        <v>0</v>
      </c>
      <c r="Q159" s="1088">
        <v>0</v>
      </c>
      <c r="R159" s="1088">
        <v>0</v>
      </c>
      <c r="S159" s="1088">
        <v>0</v>
      </c>
      <c r="T159" s="1088">
        <v>0</v>
      </c>
      <c r="U159" s="1088">
        <v>0</v>
      </c>
      <c r="V159" s="1088">
        <v>0</v>
      </c>
      <c r="W159" s="1088">
        <v>0</v>
      </c>
      <c r="X159" s="1088">
        <v>0</v>
      </c>
      <c r="Y159" s="1088">
        <v>0</v>
      </c>
      <c r="Z159" s="1088">
        <v>0</v>
      </c>
      <c r="AA159" s="1088">
        <v>0</v>
      </c>
      <c r="AB159" s="1088">
        <v>0</v>
      </c>
      <c r="AC159" s="1088">
        <v>0</v>
      </c>
      <c r="AD159" s="1088"/>
      <c r="AE159" s="1088"/>
      <c r="AF159" s="1088"/>
      <c r="AG159" s="1088"/>
      <c r="AH159" s="1088"/>
      <c r="AI159" s="1088"/>
      <c r="AJ159" s="1088"/>
      <c r="AK159" s="1088"/>
      <c r="AL159" s="1088"/>
      <c r="AM159" s="1088"/>
      <c r="AN159" s="1088"/>
      <c r="AO159" s="1088"/>
      <c r="AP159" s="1088"/>
      <c r="AQ159" s="1088"/>
      <c r="AR159" s="1088"/>
      <c r="AS159" s="1088"/>
      <c r="AT159" s="1088"/>
      <c r="AU159" s="1088"/>
      <c r="AV159" s="1088"/>
      <c r="AW159" s="1088"/>
      <c r="AX159" s="1086">
        <f t="shared" si="28"/>
        <v>0</v>
      </c>
    </row>
    <row r="160" spans="1:50" ht="12">
      <c r="A160" s="1086" t="s">
        <v>1399</v>
      </c>
      <c r="B160" s="1086" t="s">
        <v>1400</v>
      </c>
      <c r="C160" s="1088">
        <v>0</v>
      </c>
      <c r="D160" s="1088">
        <v>0</v>
      </c>
      <c r="E160" s="1088">
        <v>0</v>
      </c>
      <c r="F160" s="1088">
        <v>0</v>
      </c>
      <c r="G160" s="1088">
        <v>0</v>
      </c>
      <c r="H160" s="1088">
        <v>0</v>
      </c>
      <c r="I160" s="1088">
        <v>0</v>
      </c>
      <c r="J160" s="1088">
        <v>0</v>
      </c>
      <c r="K160" s="1088">
        <v>0</v>
      </c>
      <c r="L160" s="1088">
        <v>0</v>
      </c>
      <c r="M160" s="1088">
        <v>0</v>
      </c>
      <c r="N160" s="1088">
        <v>0</v>
      </c>
      <c r="O160" s="1088">
        <v>0</v>
      </c>
      <c r="P160" s="1088">
        <v>0</v>
      </c>
      <c r="Q160" s="1088">
        <v>0</v>
      </c>
      <c r="R160" s="1088">
        <v>0</v>
      </c>
      <c r="S160" s="1088">
        <v>0</v>
      </c>
      <c r="T160" s="1088">
        <v>0</v>
      </c>
      <c r="U160" s="1088">
        <v>0</v>
      </c>
      <c r="V160" s="1088">
        <v>0</v>
      </c>
      <c r="W160" s="1088">
        <v>0</v>
      </c>
      <c r="X160" s="1088">
        <v>0</v>
      </c>
      <c r="Y160" s="1088">
        <v>0</v>
      </c>
      <c r="Z160" s="1088">
        <v>0</v>
      </c>
      <c r="AA160" s="1088">
        <v>0</v>
      </c>
      <c r="AB160" s="1088">
        <v>0</v>
      </c>
      <c r="AC160" s="1088">
        <v>0</v>
      </c>
      <c r="AD160" s="1088"/>
      <c r="AE160" s="1088"/>
      <c r="AF160" s="1088"/>
      <c r="AG160" s="1088"/>
      <c r="AH160" s="1088"/>
      <c r="AI160" s="1088"/>
      <c r="AJ160" s="1088"/>
      <c r="AK160" s="1088"/>
      <c r="AL160" s="1088"/>
      <c r="AM160" s="1088"/>
      <c r="AN160" s="1088"/>
      <c r="AO160" s="1088"/>
      <c r="AP160" s="1088"/>
      <c r="AQ160" s="1088"/>
      <c r="AR160" s="1088"/>
      <c r="AS160" s="1088"/>
      <c r="AT160" s="1088"/>
      <c r="AU160" s="1088"/>
      <c r="AV160" s="1088"/>
      <c r="AW160" s="1088"/>
      <c r="AX160" s="1086">
        <f t="shared" si="28"/>
        <v>0</v>
      </c>
    </row>
    <row r="161" spans="1:51" ht="24">
      <c r="A161" s="1086" t="s">
        <v>1401</v>
      </c>
      <c r="B161" s="1086" t="s">
        <v>1402</v>
      </c>
      <c r="C161" s="1086">
        <f>C162+C166+C172+C177+C196+C203+C206</f>
        <v>0</v>
      </c>
      <c r="D161" s="1086">
        <f t="shared" ref="D161:AB161" si="32">D162+D166+D172+D177+D196+D203+D206</f>
        <v>0</v>
      </c>
      <c r="E161" s="1086">
        <f t="shared" si="32"/>
        <v>4085179.51</v>
      </c>
      <c r="F161" s="1086">
        <f t="shared" si="32"/>
        <v>780785795.52842009</v>
      </c>
      <c r="G161" s="1086">
        <f t="shared" si="32"/>
        <v>155912712.74382001</v>
      </c>
      <c r="H161" s="1086">
        <f t="shared" si="32"/>
        <v>75327768.287819996</v>
      </c>
      <c r="I161" s="1086">
        <f t="shared" si="32"/>
        <v>284629218.28781998</v>
      </c>
      <c r="J161" s="1086">
        <f t="shared" si="32"/>
        <v>1944821533.455842</v>
      </c>
      <c r="K161" s="1086">
        <f t="shared" si="32"/>
        <v>1288930110.0580454</v>
      </c>
      <c r="L161" s="1086">
        <f t="shared" si="32"/>
        <v>1155069645.0580454</v>
      </c>
      <c r="M161" s="1086">
        <f t="shared" si="32"/>
        <v>1155069645.0580454</v>
      </c>
      <c r="N161" s="1086">
        <f t="shared" si="32"/>
        <v>894229437.71806788</v>
      </c>
      <c r="O161" s="1086">
        <f t="shared" si="32"/>
        <v>898483505.32816792</v>
      </c>
      <c r="P161" s="1086">
        <f t="shared" si="32"/>
        <v>898483505.32816792</v>
      </c>
      <c r="Q161" s="1086">
        <f t="shared" si="32"/>
        <v>898483505.32816792</v>
      </c>
      <c r="R161" s="1086">
        <f t="shared" si="32"/>
        <v>898483505.32816792</v>
      </c>
      <c r="S161" s="1086">
        <f t="shared" si="32"/>
        <v>931609437.93826795</v>
      </c>
      <c r="T161" s="1086">
        <f t="shared" si="32"/>
        <v>931609437.93826795</v>
      </c>
      <c r="U161" s="1086">
        <f t="shared" si="32"/>
        <v>108874047.97709887</v>
      </c>
      <c r="V161" s="1086">
        <f t="shared" si="32"/>
        <v>45823713.957198814</v>
      </c>
      <c r="W161" s="1086">
        <f t="shared" si="32"/>
        <v>13042010.366998864</v>
      </c>
      <c r="X161" s="1086">
        <f t="shared" si="32"/>
        <v>13042010.366998864</v>
      </c>
      <c r="Y161" s="1086">
        <f t="shared" si="32"/>
        <v>13042010.366998864</v>
      </c>
      <c r="Z161" s="1086">
        <f t="shared" si="32"/>
        <v>0</v>
      </c>
      <c r="AA161" s="1086">
        <f t="shared" si="32"/>
        <v>0</v>
      </c>
      <c r="AB161" s="1086">
        <f t="shared" si="32"/>
        <v>0</v>
      </c>
      <c r="AC161" s="1086">
        <f>AC162+AC166+AC172+AC177+AC196+AC203+AC206</f>
        <v>0</v>
      </c>
      <c r="AD161" s="1086"/>
      <c r="AE161" s="1086"/>
      <c r="AF161" s="1086"/>
      <c r="AG161" s="1086"/>
      <c r="AH161" s="1086"/>
      <c r="AI161" s="1086"/>
      <c r="AJ161" s="1086"/>
      <c r="AK161" s="1086"/>
      <c r="AL161" s="1086"/>
      <c r="AM161" s="1086"/>
      <c r="AN161" s="1086"/>
      <c r="AO161" s="1086"/>
      <c r="AP161" s="1086"/>
      <c r="AQ161" s="1086"/>
      <c r="AR161" s="1086"/>
      <c r="AS161" s="1086"/>
      <c r="AT161" s="1086"/>
      <c r="AU161" s="1086"/>
      <c r="AV161" s="1086"/>
      <c r="AW161" s="1086"/>
      <c r="AX161" s="1087">
        <f t="shared" si="28"/>
        <v>13389837735.930428</v>
      </c>
      <c r="AY161" s="1089">
        <v>0</v>
      </c>
    </row>
    <row r="162" spans="1:51" ht="12">
      <c r="A162" s="1086" t="s">
        <v>1403</v>
      </c>
      <c r="B162" s="1086" t="s">
        <v>1404</v>
      </c>
      <c r="C162" s="1086">
        <f>SUM(C163:C165)</f>
        <v>0</v>
      </c>
      <c r="D162" s="1086">
        <f t="shared" ref="D162:AC162" si="33">SUM(D163:D165)</f>
        <v>0</v>
      </c>
      <c r="E162" s="1086">
        <f t="shared" si="33"/>
        <v>0</v>
      </c>
      <c r="F162" s="1086">
        <f t="shared" si="33"/>
        <v>710000000</v>
      </c>
      <c r="G162" s="1086">
        <f t="shared" si="33"/>
        <v>0</v>
      </c>
      <c r="H162" s="1086">
        <f t="shared" si="33"/>
        <v>0</v>
      </c>
      <c r="I162" s="1086">
        <f t="shared" si="33"/>
        <v>0</v>
      </c>
      <c r="J162" s="1086">
        <f t="shared" si="33"/>
        <v>0</v>
      </c>
      <c r="K162" s="1086">
        <f t="shared" si="33"/>
        <v>0</v>
      </c>
      <c r="L162" s="1086">
        <f t="shared" si="33"/>
        <v>0</v>
      </c>
      <c r="M162" s="1086">
        <f t="shared" si="33"/>
        <v>0</v>
      </c>
      <c r="N162" s="1086">
        <f t="shared" si="33"/>
        <v>0</v>
      </c>
      <c r="O162" s="1086">
        <f t="shared" si="33"/>
        <v>0</v>
      </c>
      <c r="P162" s="1086">
        <f t="shared" si="33"/>
        <v>0</v>
      </c>
      <c r="Q162" s="1086">
        <f t="shared" si="33"/>
        <v>0</v>
      </c>
      <c r="R162" s="1086">
        <f t="shared" si="33"/>
        <v>0</v>
      </c>
      <c r="S162" s="1086">
        <f t="shared" si="33"/>
        <v>0</v>
      </c>
      <c r="T162" s="1086">
        <f t="shared" si="33"/>
        <v>0</v>
      </c>
      <c r="U162" s="1086">
        <f t="shared" si="33"/>
        <v>0</v>
      </c>
      <c r="V162" s="1086">
        <f t="shared" si="33"/>
        <v>0</v>
      </c>
      <c r="W162" s="1086">
        <f t="shared" si="33"/>
        <v>0</v>
      </c>
      <c r="X162" s="1086">
        <f t="shared" si="33"/>
        <v>0</v>
      </c>
      <c r="Y162" s="1086">
        <f t="shared" si="33"/>
        <v>0</v>
      </c>
      <c r="Z162" s="1086">
        <f t="shared" si="33"/>
        <v>0</v>
      </c>
      <c r="AA162" s="1086">
        <f t="shared" si="33"/>
        <v>0</v>
      </c>
      <c r="AB162" s="1086">
        <f t="shared" si="33"/>
        <v>0</v>
      </c>
      <c r="AC162" s="1086">
        <f t="shared" si="33"/>
        <v>0</v>
      </c>
      <c r="AD162" s="1086"/>
      <c r="AE162" s="1086"/>
      <c r="AF162" s="1086"/>
      <c r="AG162" s="1086"/>
      <c r="AH162" s="1086"/>
      <c r="AI162" s="1086"/>
      <c r="AJ162" s="1086"/>
      <c r="AK162" s="1086"/>
      <c r="AL162" s="1086"/>
      <c r="AM162" s="1086"/>
      <c r="AN162" s="1086"/>
      <c r="AO162" s="1086"/>
      <c r="AP162" s="1086"/>
      <c r="AQ162" s="1086"/>
      <c r="AR162" s="1086"/>
      <c r="AS162" s="1086"/>
      <c r="AT162" s="1086"/>
      <c r="AU162" s="1086"/>
      <c r="AV162" s="1086"/>
      <c r="AW162" s="1086"/>
      <c r="AX162" s="1086">
        <f t="shared" si="28"/>
        <v>710000000</v>
      </c>
    </row>
    <row r="163" spans="1:51" ht="12">
      <c r="A163" s="1086" t="s">
        <v>1405</v>
      </c>
      <c r="B163" s="1086" t="s">
        <v>1406</v>
      </c>
      <c r="C163" s="1088">
        <v>0</v>
      </c>
      <c r="D163" s="1088">
        <v>0</v>
      </c>
      <c r="E163" s="1088">
        <v>0</v>
      </c>
      <c r="F163" s="1088">
        <v>710000000</v>
      </c>
      <c r="G163" s="1088">
        <v>0</v>
      </c>
      <c r="H163" s="1088">
        <v>0</v>
      </c>
      <c r="I163" s="1088">
        <v>0</v>
      </c>
      <c r="J163" s="1088">
        <v>0</v>
      </c>
      <c r="K163" s="1088">
        <v>0</v>
      </c>
      <c r="L163" s="1088">
        <v>0</v>
      </c>
      <c r="M163" s="1088">
        <v>0</v>
      </c>
      <c r="N163" s="1088">
        <v>0</v>
      </c>
      <c r="O163" s="1088">
        <v>0</v>
      </c>
      <c r="P163" s="1088">
        <v>0</v>
      </c>
      <c r="Q163" s="1088">
        <v>0</v>
      </c>
      <c r="R163" s="1088">
        <v>0</v>
      </c>
      <c r="S163" s="1088">
        <v>0</v>
      </c>
      <c r="T163" s="1088">
        <v>0</v>
      </c>
      <c r="U163" s="1088">
        <v>0</v>
      </c>
      <c r="V163" s="1088">
        <v>0</v>
      </c>
      <c r="W163" s="1088">
        <v>0</v>
      </c>
      <c r="X163" s="1088">
        <v>0</v>
      </c>
      <c r="Y163" s="1088">
        <v>0</v>
      </c>
      <c r="Z163" s="1088">
        <v>0</v>
      </c>
      <c r="AA163" s="1088">
        <v>0</v>
      </c>
      <c r="AB163" s="1088">
        <v>0</v>
      </c>
      <c r="AC163" s="1088">
        <v>0</v>
      </c>
      <c r="AD163" s="1088"/>
      <c r="AE163" s="1088"/>
      <c r="AF163" s="1088"/>
      <c r="AG163" s="1088"/>
      <c r="AH163" s="1088"/>
      <c r="AI163" s="1088"/>
      <c r="AJ163" s="1088"/>
      <c r="AK163" s="1088"/>
      <c r="AL163" s="1088"/>
      <c r="AM163" s="1088"/>
      <c r="AN163" s="1088"/>
      <c r="AO163" s="1088"/>
      <c r="AP163" s="1088"/>
      <c r="AQ163" s="1088"/>
      <c r="AR163" s="1088"/>
      <c r="AS163" s="1088"/>
      <c r="AT163" s="1088"/>
      <c r="AU163" s="1088"/>
      <c r="AV163" s="1088"/>
      <c r="AW163" s="1088"/>
      <c r="AX163" s="1086">
        <f t="shared" si="28"/>
        <v>710000000</v>
      </c>
    </row>
    <row r="164" spans="1:51" ht="12">
      <c r="A164" s="1086" t="s">
        <v>1407</v>
      </c>
      <c r="B164" s="1086" t="s">
        <v>1408</v>
      </c>
      <c r="C164" s="1088">
        <v>0</v>
      </c>
      <c r="D164" s="1088">
        <v>0</v>
      </c>
      <c r="E164" s="1088">
        <v>0</v>
      </c>
      <c r="F164" s="1088">
        <v>0</v>
      </c>
      <c r="G164" s="1088">
        <v>0</v>
      </c>
      <c r="H164" s="1088">
        <v>0</v>
      </c>
      <c r="I164" s="1088">
        <v>0</v>
      </c>
      <c r="J164" s="1088">
        <v>0</v>
      </c>
      <c r="K164" s="1088">
        <v>0</v>
      </c>
      <c r="L164" s="1088">
        <v>0</v>
      </c>
      <c r="M164" s="1088">
        <v>0</v>
      </c>
      <c r="N164" s="1088">
        <v>0</v>
      </c>
      <c r="O164" s="1088">
        <v>0</v>
      </c>
      <c r="P164" s="1088">
        <v>0</v>
      </c>
      <c r="Q164" s="1088">
        <v>0</v>
      </c>
      <c r="R164" s="1088">
        <v>0</v>
      </c>
      <c r="S164" s="1088">
        <v>0</v>
      </c>
      <c r="T164" s="1088">
        <v>0</v>
      </c>
      <c r="U164" s="1088">
        <v>0</v>
      </c>
      <c r="V164" s="1088">
        <v>0</v>
      </c>
      <c r="W164" s="1088">
        <v>0</v>
      </c>
      <c r="X164" s="1088">
        <v>0</v>
      </c>
      <c r="Y164" s="1088">
        <v>0</v>
      </c>
      <c r="Z164" s="1088">
        <v>0</v>
      </c>
      <c r="AA164" s="1088">
        <v>0</v>
      </c>
      <c r="AB164" s="1088">
        <v>0</v>
      </c>
      <c r="AC164" s="1088">
        <v>0</v>
      </c>
      <c r="AD164" s="1088"/>
      <c r="AE164" s="1088"/>
      <c r="AF164" s="1088"/>
      <c r="AG164" s="1088"/>
      <c r="AH164" s="1088"/>
      <c r="AI164" s="1088"/>
      <c r="AJ164" s="1088"/>
      <c r="AK164" s="1088"/>
      <c r="AL164" s="1088"/>
      <c r="AM164" s="1088"/>
      <c r="AN164" s="1088"/>
      <c r="AO164" s="1088"/>
      <c r="AP164" s="1088"/>
      <c r="AQ164" s="1088"/>
      <c r="AR164" s="1088"/>
      <c r="AS164" s="1088"/>
      <c r="AT164" s="1088"/>
      <c r="AU164" s="1088"/>
      <c r="AV164" s="1088"/>
      <c r="AW164" s="1088"/>
      <c r="AX164" s="1086">
        <f t="shared" si="28"/>
        <v>0</v>
      </c>
    </row>
    <row r="165" spans="1:51" ht="24">
      <c r="A165" s="1086" t="s">
        <v>1409</v>
      </c>
      <c r="B165" s="1086" t="s">
        <v>1410</v>
      </c>
      <c r="C165" s="1088">
        <v>0</v>
      </c>
      <c r="D165" s="1088">
        <v>0</v>
      </c>
      <c r="E165" s="1088">
        <v>0</v>
      </c>
      <c r="F165" s="1088">
        <v>0</v>
      </c>
      <c r="G165" s="1088">
        <v>0</v>
      </c>
      <c r="H165" s="1088">
        <v>0</v>
      </c>
      <c r="I165" s="1088">
        <v>0</v>
      </c>
      <c r="J165" s="1088">
        <v>0</v>
      </c>
      <c r="K165" s="1088">
        <v>0</v>
      </c>
      <c r="L165" s="1088">
        <v>0</v>
      </c>
      <c r="M165" s="1088">
        <v>0</v>
      </c>
      <c r="N165" s="1088">
        <v>0</v>
      </c>
      <c r="O165" s="1088">
        <v>0</v>
      </c>
      <c r="P165" s="1088">
        <v>0</v>
      </c>
      <c r="Q165" s="1088">
        <v>0</v>
      </c>
      <c r="R165" s="1088">
        <v>0</v>
      </c>
      <c r="S165" s="1088">
        <v>0</v>
      </c>
      <c r="T165" s="1088">
        <v>0</v>
      </c>
      <c r="U165" s="1088">
        <v>0</v>
      </c>
      <c r="V165" s="1088">
        <v>0</v>
      </c>
      <c r="W165" s="1088">
        <v>0</v>
      </c>
      <c r="X165" s="1088">
        <v>0</v>
      </c>
      <c r="Y165" s="1088">
        <v>0</v>
      </c>
      <c r="Z165" s="1088">
        <v>0</v>
      </c>
      <c r="AA165" s="1088">
        <v>0</v>
      </c>
      <c r="AB165" s="1088">
        <v>0</v>
      </c>
      <c r="AC165" s="1088">
        <v>0</v>
      </c>
      <c r="AD165" s="1088"/>
      <c r="AE165" s="1088"/>
      <c r="AF165" s="1088"/>
      <c r="AG165" s="1088"/>
      <c r="AH165" s="1088"/>
      <c r="AI165" s="1088"/>
      <c r="AJ165" s="1088"/>
      <c r="AK165" s="1088"/>
      <c r="AL165" s="1088"/>
      <c r="AM165" s="1088"/>
      <c r="AN165" s="1088"/>
      <c r="AO165" s="1088"/>
      <c r="AP165" s="1088"/>
      <c r="AQ165" s="1088"/>
      <c r="AR165" s="1088"/>
      <c r="AS165" s="1088"/>
      <c r="AT165" s="1088"/>
      <c r="AU165" s="1088"/>
      <c r="AV165" s="1088"/>
      <c r="AW165" s="1088"/>
      <c r="AX165" s="1086">
        <f t="shared" si="28"/>
        <v>0</v>
      </c>
    </row>
    <row r="166" spans="1:51" ht="12">
      <c r="A166" s="1086" t="s">
        <v>1411</v>
      </c>
      <c r="B166" s="1086" t="s">
        <v>1412</v>
      </c>
      <c r="C166" s="1086">
        <f>SUM(C167:C171)</f>
        <v>0</v>
      </c>
      <c r="D166" s="1086">
        <f t="shared" ref="D166:AC166" si="34">SUM(D167:D171)</f>
        <v>0</v>
      </c>
      <c r="E166" s="1086">
        <f t="shared" si="34"/>
        <v>4085179.51</v>
      </c>
      <c r="F166" s="1086">
        <f t="shared" si="34"/>
        <v>31797750.745999999</v>
      </c>
      <c r="G166" s="1086">
        <f t="shared" si="34"/>
        <v>88974748.016000003</v>
      </c>
      <c r="H166" s="1086">
        <f t="shared" si="34"/>
        <v>34381665.215999998</v>
      </c>
      <c r="I166" s="1086">
        <f t="shared" si="34"/>
        <v>94579165.216000006</v>
      </c>
      <c r="J166" s="1086">
        <f t="shared" si="34"/>
        <v>60260665.215999998</v>
      </c>
      <c r="K166" s="1086">
        <f t="shared" si="34"/>
        <v>2447782.608</v>
      </c>
      <c r="L166" s="1086">
        <f t="shared" si="34"/>
        <v>12740782.607999999</v>
      </c>
      <c r="M166" s="1086">
        <f t="shared" si="34"/>
        <v>12740782.607999999</v>
      </c>
      <c r="N166" s="1086">
        <f t="shared" si="34"/>
        <v>12740782.607999999</v>
      </c>
      <c r="O166" s="1086">
        <f t="shared" si="34"/>
        <v>12740782.607999999</v>
      </c>
      <c r="P166" s="1086">
        <f t="shared" si="34"/>
        <v>12740782.607999999</v>
      </c>
      <c r="Q166" s="1086">
        <f t="shared" si="34"/>
        <v>12740782.607999999</v>
      </c>
      <c r="R166" s="1086">
        <f t="shared" si="34"/>
        <v>12740782.607999999</v>
      </c>
      <c r="S166" s="1086">
        <f t="shared" si="34"/>
        <v>12740782.607999999</v>
      </c>
      <c r="T166" s="1086">
        <f t="shared" si="34"/>
        <v>12740782.607999999</v>
      </c>
      <c r="U166" s="1086">
        <f t="shared" si="34"/>
        <v>57723500</v>
      </c>
      <c r="V166" s="1086">
        <f t="shared" si="34"/>
        <v>0</v>
      </c>
      <c r="W166" s="1086">
        <f t="shared" si="34"/>
        <v>0</v>
      </c>
      <c r="X166" s="1086">
        <f t="shared" si="34"/>
        <v>0</v>
      </c>
      <c r="Y166" s="1086">
        <f t="shared" si="34"/>
        <v>0</v>
      </c>
      <c r="Z166" s="1086">
        <f t="shared" si="34"/>
        <v>0</v>
      </c>
      <c r="AA166" s="1086">
        <f t="shared" si="34"/>
        <v>0</v>
      </c>
      <c r="AB166" s="1086">
        <f t="shared" si="34"/>
        <v>0</v>
      </c>
      <c r="AC166" s="1086">
        <f t="shared" si="34"/>
        <v>0</v>
      </c>
      <c r="AD166" s="1086"/>
      <c r="AE166" s="1086"/>
      <c r="AF166" s="1086"/>
      <c r="AG166" s="1086"/>
      <c r="AH166" s="1086"/>
      <c r="AI166" s="1086"/>
      <c r="AJ166" s="1086"/>
      <c r="AK166" s="1086"/>
      <c r="AL166" s="1086"/>
      <c r="AM166" s="1086"/>
      <c r="AN166" s="1086"/>
      <c r="AO166" s="1086"/>
      <c r="AP166" s="1086"/>
      <c r="AQ166" s="1086"/>
      <c r="AR166" s="1086"/>
      <c r="AS166" s="1086"/>
      <c r="AT166" s="1086"/>
      <c r="AU166" s="1086"/>
      <c r="AV166" s="1086"/>
      <c r="AW166" s="1086"/>
      <c r="AX166" s="1086">
        <f t="shared" si="28"/>
        <v>488917499.99999982</v>
      </c>
    </row>
    <row r="167" spans="1:51" ht="12">
      <c r="A167" s="1086" t="s">
        <v>1413</v>
      </c>
      <c r="B167" s="1086" t="s">
        <v>1414</v>
      </c>
      <c r="C167" s="1088">
        <v>0</v>
      </c>
      <c r="D167" s="1088">
        <v>0</v>
      </c>
      <c r="E167" s="1088">
        <v>3780000</v>
      </c>
      <c r="F167" s="1088">
        <v>16220000</v>
      </c>
      <c r="G167" s="1088">
        <v>0</v>
      </c>
      <c r="H167" s="1088">
        <v>0</v>
      </c>
      <c r="I167" s="1088">
        <v>0</v>
      </c>
      <c r="J167" s="1088">
        <v>0</v>
      </c>
      <c r="K167" s="1088">
        <v>0</v>
      </c>
      <c r="L167" s="1088">
        <v>0</v>
      </c>
      <c r="M167" s="1088">
        <v>0</v>
      </c>
      <c r="N167" s="1088">
        <v>0</v>
      </c>
      <c r="O167" s="1088">
        <v>0</v>
      </c>
      <c r="P167" s="1088">
        <v>0</v>
      </c>
      <c r="Q167" s="1088">
        <v>0</v>
      </c>
      <c r="R167" s="1088">
        <v>0</v>
      </c>
      <c r="S167" s="1088">
        <v>0</v>
      </c>
      <c r="T167" s="1088">
        <v>0</v>
      </c>
      <c r="U167" s="1088">
        <v>0</v>
      </c>
      <c r="V167" s="1088">
        <v>0</v>
      </c>
      <c r="W167" s="1088">
        <v>0</v>
      </c>
      <c r="X167" s="1088">
        <v>0</v>
      </c>
      <c r="Y167" s="1088">
        <v>0</v>
      </c>
      <c r="Z167" s="1088">
        <v>0</v>
      </c>
      <c r="AA167" s="1088">
        <v>0</v>
      </c>
      <c r="AB167" s="1088">
        <v>0</v>
      </c>
      <c r="AC167" s="1088">
        <v>0</v>
      </c>
      <c r="AD167" s="1088"/>
      <c r="AE167" s="1088"/>
      <c r="AF167" s="1088"/>
      <c r="AG167" s="1088"/>
      <c r="AH167" s="1088"/>
      <c r="AI167" s="1088"/>
      <c r="AJ167" s="1088"/>
      <c r="AK167" s="1088"/>
      <c r="AL167" s="1088"/>
      <c r="AM167" s="1088"/>
      <c r="AN167" s="1088"/>
      <c r="AO167" s="1088"/>
      <c r="AP167" s="1088"/>
      <c r="AQ167" s="1088"/>
      <c r="AR167" s="1088"/>
      <c r="AS167" s="1088"/>
      <c r="AT167" s="1088"/>
      <c r="AU167" s="1088"/>
      <c r="AV167" s="1088"/>
      <c r="AW167" s="1088"/>
      <c r="AX167" s="1086">
        <f t="shared" si="28"/>
        <v>20000000</v>
      </c>
    </row>
    <row r="168" spans="1:51" ht="12">
      <c r="A168" s="1086" t="s">
        <v>1415</v>
      </c>
      <c r="B168" s="1086" t="s">
        <v>1416</v>
      </c>
      <c r="C168" s="1088">
        <v>0</v>
      </c>
      <c r="D168" s="1088">
        <v>0</v>
      </c>
      <c r="E168" s="1088">
        <v>0</v>
      </c>
      <c r="F168" s="1088">
        <v>9970100</v>
      </c>
      <c r="G168" s="1088">
        <v>66854600</v>
      </c>
      <c r="H168" s="1088">
        <v>29486100</v>
      </c>
      <c r="I168" s="1088">
        <v>89683600</v>
      </c>
      <c r="J168" s="1088">
        <v>45365100</v>
      </c>
      <c r="K168" s="1088">
        <v>0</v>
      </c>
      <c r="L168" s="1088">
        <v>0</v>
      </c>
      <c r="M168" s="1088">
        <v>0</v>
      </c>
      <c r="N168" s="1088">
        <v>0</v>
      </c>
      <c r="O168" s="1088">
        <v>0</v>
      </c>
      <c r="P168" s="1088">
        <v>0</v>
      </c>
      <c r="Q168" s="1088">
        <v>0</v>
      </c>
      <c r="R168" s="1088">
        <v>0</v>
      </c>
      <c r="S168" s="1088">
        <v>0</v>
      </c>
      <c r="T168" s="1088">
        <v>0</v>
      </c>
      <c r="U168" s="1088">
        <v>47430500</v>
      </c>
      <c r="V168" s="1088">
        <v>0</v>
      </c>
      <c r="W168" s="1088">
        <v>0</v>
      </c>
      <c r="X168" s="1088">
        <v>0</v>
      </c>
      <c r="Y168" s="1088">
        <v>0</v>
      </c>
      <c r="Z168" s="1088">
        <v>0</v>
      </c>
      <c r="AA168" s="1088">
        <v>0</v>
      </c>
      <c r="AB168" s="1088">
        <v>0</v>
      </c>
      <c r="AC168" s="1088">
        <v>0</v>
      </c>
      <c r="AD168" s="1088"/>
      <c r="AE168" s="1088"/>
      <c r="AF168" s="1088"/>
      <c r="AG168" s="1088"/>
      <c r="AH168" s="1088"/>
      <c r="AI168" s="1088"/>
      <c r="AJ168" s="1088"/>
      <c r="AK168" s="1088"/>
      <c r="AL168" s="1088"/>
      <c r="AM168" s="1088"/>
      <c r="AN168" s="1088"/>
      <c r="AO168" s="1088"/>
      <c r="AP168" s="1088"/>
      <c r="AQ168" s="1088"/>
      <c r="AR168" s="1088"/>
      <c r="AS168" s="1088"/>
      <c r="AT168" s="1088"/>
      <c r="AU168" s="1088"/>
      <c r="AV168" s="1088"/>
      <c r="AW168" s="1088"/>
      <c r="AX168" s="1086">
        <f t="shared" si="28"/>
        <v>288790000</v>
      </c>
    </row>
    <row r="169" spans="1:51" ht="12">
      <c r="A169" s="1086" t="s">
        <v>1417</v>
      </c>
      <c r="B169" s="1086" t="s">
        <v>1418</v>
      </c>
      <c r="C169" s="1088">
        <v>0</v>
      </c>
      <c r="D169" s="1088">
        <v>0</v>
      </c>
      <c r="E169" s="1088">
        <v>0</v>
      </c>
      <c r="F169" s="1088">
        <v>0</v>
      </c>
      <c r="G169" s="1088">
        <v>0</v>
      </c>
      <c r="H169" s="1088">
        <v>0</v>
      </c>
      <c r="I169" s="1088">
        <v>0</v>
      </c>
      <c r="J169" s="1088">
        <v>0</v>
      </c>
      <c r="K169" s="1088">
        <v>0</v>
      </c>
      <c r="L169" s="1088">
        <v>10293000</v>
      </c>
      <c r="M169" s="1088">
        <v>10293000</v>
      </c>
      <c r="N169" s="1088">
        <v>10293000</v>
      </c>
      <c r="O169" s="1088">
        <v>10293000</v>
      </c>
      <c r="P169" s="1088">
        <v>10293000</v>
      </c>
      <c r="Q169" s="1088">
        <v>10293000</v>
      </c>
      <c r="R169" s="1088">
        <v>10293000</v>
      </c>
      <c r="S169" s="1088">
        <v>10293000</v>
      </c>
      <c r="T169" s="1088">
        <v>10293000</v>
      </c>
      <c r="U169" s="1088">
        <v>10293000</v>
      </c>
      <c r="V169" s="1088">
        <v>0</v>
      </c>
      <c r="W169" s="1088">
        <v>0</v>
      </c>
      <c r="X169" s="1088">
        <v>0</v>
      </c>
      <c r="Y169" s="1088">
        <v>0</v>
      </c>
      <c r="Z169" s="1088">
        <v>0</v>
      </c>
      <c r="AA169" s="1088">
        <v>0</v>
      </c>
      <c r="AB169" s="1088">
        <v>0</v>
      </c>
      <c r="AC169" s="1088">
        <v>0</v>
      </c>
      <c r="AD169" s="1088"/>
      <c r="AE169" s="1088"/>
      <c r="AF169" s="1088"/>
      <c r="AG169" s="1088"/>
      <c r="AH169" s="1088"/>
      <c r="AI169" s="1088"/>
      <c r="AJ169" s="1088"/>
      <c r="AK169" s="1088"/>
      <c r="AL169" s="1088"/>
      <c r="AM169" s="1088"/>
      <c r="AN169" s="1088"/>
      <c r="AO169" s="1088"/>
      <c r="AP169" s="1088"/>
      <c r="AQ169" s="1088"/>
      <c r="AR169" s="1088"/>
      <c r="AS169" s="1088"/>
      <c r="AT169" s="1088"/>
      <c r="AU169" s="1088"/>
      <c r="AV169" s="1088"/>
      <c r="AW169" s="1088"/>
      <c r="AX169" s="1086">
        <f t="shared" si="28"/>
        <v>102930000</v>
      </c>
    </row>
    <row r="170" spans="1:51" ht="12">
      <c r="A170" s="1086" t="s">
        <v>1419</v>
      </c>
      <c r="B170" s="1086" t="s">
        <v>1420</v>
      </c>
      <c r="C170" s="1088">
        <v>0</v>
      </c>
      <c r="D170" s="1088">
        <v>0</v>
      </c>
      <c r="E170" s="1088">
        <v>0</v>
      </c>
      <c r="F170" s="1088">
        <v>0</v>
      </c>
      <c r="G170" s="1088">
        <v>0</v>
      </c>
      <c r="H170" s="1088">
        <v>0</v>
      </c>
      <c r="I170" s="1088">
        <v>0</v>
      </c>
      <c r="J170" s="1088">
        <v>0</v>
      </c>
      <c r="K170" s="1088">
        <v>0</v>
      </c>
      <c r="L170" s="1088">
        <v>0</v>
      </c>
      <c r="M170" s="1088">
        <v>0</v>
      </c>
      <c r="N170" s="1088">
        <v>0</v>
      </c>
      <c r="O170" s="1088">
        <v>0</v>
      </c>
      <c r="P170" s="1088">
        <v>0</v>
      </c>
      <c r="Q170" s="1088">
        <v>0</v>
      </c>
      <c r="R170" s="1088">
        <v>0</v>
      </c>
      <c r="S170" s="1088">
        <v>0</v>
      </c>
      <c r="T170" s="1088">
        <v>0</v>
      </c>
      <c r="U170" s="1088">
        <v>0</v>
      </c>
      <c r="V170" s="1088">
        <v>0</v>
      </c>
      <c r="W170" s="1088">
        <v>0</v>
      </c>
      <c r="X170" s="1088">
        <v>0</v>
      </c>
      <c r="Y170" s="1088">
        <v>0</v>
      </c>
      <c r="Z170" s="1088">
        <v>0</v>
      </c>
      <c r="AA170" s="1088">
        <v>0</v>
      </c>
      <c r="AB170" s="1088">
        <v>0</v>
      </c>
      <c r="AC170" s="1088">
        <v>0</v>
      </c>
      <c r="AD170" s="1088"/>
      <c r="AE170" s="1088"/>
      <c r="AF170" s="1088"/>
      <c r="AG170" s="1088"/>
      <c r="AH170" s="1088"/>
      <c r="AI170" s="1088"/>
      <c r="AJ170" s="1088"/>
      <c r="AK170" s="1088"/>
      <c r="AL170" s="1088"/>
      <c r="AM170" s="1088"/>
      <c r="AN170" s="1088"/>
      <c r="AO170" s="1088"/>
      <c r="AP170" s="1088"/>
      <c r="AQ170" s="1088"/>
      <c r="AR170" s="1088"/>
      <c r="AS170" s="1088"/>
      <c r="AT170" s="1088"/>
      <c r="AU170" s="1088"/>
      <c r="AV170" s="1088"/>
      <c r="AW170" s="1088"/>
      <c r="AX170" s="1086">
        <f t="shared" si="28"/>
        <v>0</v>
      </c>
    </row>
    <row r="171" spans="1:51" ht="12">
      <c r="A171" s="1086" t="s">
        <v>1421</v>
      </c>
      <c r="B171" s="1086" t="s">
        <v>1422</v>
      </c>
      <c r="C171" s="1088">
        <v>0</v>
      </c>
      <c r="D171" s="1088">
        <v>0</v>
      </c>
      <c r="E171" s="1088">
        <v>305179.51</v>
      </c>
      <c r="F171" s="1088">
        <v>5607650.7460000003</v>
      </c>
      <c r="G171" s="1088">
        <v>22120148.015999999</v>
      </c>
      <c r="H171" s="1088">
        <v>4895565.216</v>
      </c>
      <c r="I171" s="1088">
        <v>4895565.216</v>
      </c>
      <c r="J171" s="1088">
        <v>14895565.216</v>
      </c>
      <c r="K171" s="1088">
        <v>2447782.608</v>
      </c>
      <c r="L171" s="1088">
        <v>2447782.608</v>
      </c>
      <c r="M171" s="1088">
        <v>2447782.608</v>
      </c>
      <c r="N171" s="1088">
        <v>2447782.608</v>
      </c>
      <c r="O171" s="1088">
        <v>2447782.608</v>
      </c>
      <c r="P171" s="1088">
        <v>2447782.608</v>
      </c>
      <c r="Q171" s="1088">
        <v>2447782.608</v>
      </c>
      <c r="R171" s="1088">
        <v>2447782.608</v>
      </c>
      <c r="S171" s="1088">
        <v>2447782.608</v>
      </c>
      <c r="T171" s="1088">
        <v>2447782.608</v>
      </c>
      <c r="U171" s="1088">
        <v>0</v>
      </c>
      <c r="V171" s="1088">
        <v>0</v>
      </c>
      <c r="W171" s="1088">
        <v>0</v>
      </c>
      <c r="X171" s="1088">
        <v>0</v>
      </c>
      <c r="Y171" s="1088">
        <v>0</v>
      </c>
      <c r="Z171" s="1088">
        <v>0</v>
      </c>
      <c r="AA171" s="1088">
        <v>0</v>
      </c>
      <c r="AB171" s="1088">
        <v>0</v>
      </c>
      <c r="AC171" s="1088">
        <v>0</v>
      </c>
      <c r="AD171" s="1088"/>
      <c r="AE171" s="1088"/>
      <c r="AF171" s="1088"/>
      <c r="AG171" s="1088"/>
      <c r="AH171" s="1088"/>
      <c r="AI171" s="1088"/>
      <c r="AJ171" s="1088"/>
      <c r="AK171" s="1088"/>
      <c r="AL171" s="1088"/>
      <c r="AM171" s="1088"/>
      <c r="AN171" s="1088"/>
      <c r="AO171" s="1088"/>
      <c r="AP171" s="1088"/>
      <c r="AQ171" s="1088"/>
      <c r="AR171" s="1088"/>
      <c r="AS171" s="1088"/>
      <c r="AT171" s="1088"/>
      <c r="AU171" s="1088"/>
      <c r="AV171" s="1088"/>
      <c r="AW171" s="1088"/>
      <c r="AX171" s="1086">
        <f t="shared" si="28"/>
        <v>77197499.999999985</v>
      </c>
    </row>
    <row r="172" spans="1:51" ht="12">
      <c r="A172" s="1086" t="s">
        <v>1423</v>
      </c>
      <c r="B172" s="1086" t="s">
        <v>1424</v>
      </c>
      <c r="C172" s="1086">
        <f>SUM(C173:C176)</f>
        <v>0</v>
      </c>
      <c r="D172" s="1086">
        <f t="shared" ref="D172:AC172" si="35">SUM(D173:D176)</f>
        <v>0</v>
      </c>
      <c r="E172" s="1086">
        <f t="shared" si="35"/>
        <v>0</v>
      </c>
      <c r="F172" s="1086">
        <f t="shared" si="35"/>
        <v>928469.76749999996</v>
      </c>
      <c r="G172" s="1086">
        <f t="shared" si="35"/>
        <v>928469.76749999996</v>
      </c>
      <c r="H172" s="1086">
        <f t="shared" si="35"/>
        <v>928469.76749999996</v>
      </c>
      <c r="I172" s="1086">
        <f t="shared" si="35"/>
        <v>928469.76749999996</v>
      </c>
      <c r="J172" s="1086">
        <f t="shared" si="35"/>
        <v>278136285.31707609</v>
      </c>
      <c r="K172" s="1086">
        <f t="shared" si="35"/>
        <v>273882217.70697612</v>
      </c>
      <c r="L172" s="1086">
        <f t="shared" si="35"/>
        <v>273882217.70697612</v>
      </c>
      <c r="M172" s="1086">
        <f t="shared" si="35"/>
        <v>273882217.70697612</v>
      </c>
      <c r="N172" s="1086">
        <f t="shared" si="35"/>
        <v>13042010.366998864</v>
      </c>
      <c r="O172" s="1086">
        <f t="shared" si="35"/>
        <v>17296077.977098864</v>
      </c>
      <c r="P172" s="1086">
        <f t="shared" si="35"/>
        <v>17296077.977098864</v>
      </c>
      <c r="Q172" s="1086">
        <f t="shared" si="35"/>
        <v>17296077.977098864</v>
      </c>
      <c r="R172" s="1086">
        <f t="shared" si="35"/>
        <v>17296077.977098864</v>
      </c>
      <c r="S172" s="1086">
        <f t="shared" si="35"/>
        <v>21550145.587198861</v>
      </c>
      <c r="T172" s="1086">
        <f t="shared" si="35"/>
        <v>21550145.587198861</v>
      </c>
      <c r="U172" s="1086">
        <f t="shared" si="35"/>
        <v>17296077.977098864</v>
      </c>
      <c r="V172" s="1086">
        <f t="shared" si="35"/>
        <v>13042010.366998864</v>
      </c>
      <c r="W172" s="1086">
        <f t="shared" si="35"/>
        <v>13042010.366998864</v>
      </c>
      <c r="X172" s="1086">
        <f t="shared" si="35"/>
        <v>13042010.366998864</v>
      </c>
      <c r="Y172" s="1086">
        <f t="shared" si="35"/>
        <v>13042010.366998864</v>
      </c>
      <c r="Z172" s="1086">
        <f t="shared" si="35"/>
        <v>0</v>
      </c>
      <c r="AA172" s="1086">
        <f t="shared" si="35"/>
        <v>0</v>
      </c>
      <c r="AB172" s="1086">
        <f t="shared" si="35"/>
        <v>0</v>
      </c>
      <c r="AC172" s="1086">
        <f t="shared" si="35"/>
        <v>0</v>
      </c>
      <c r="AD172" s="1086"/>
      <c r="AE172" s="1086"/>
      <c r="AF172" s="1086"/>
      <c r="AG172" s="1086"/>
      <c r="AH172" s="1086"/>
      <c r="AI172" s="1086"/>
      <c r="AJ172" s="1086"/>
      <c r="AK172" s="1086"/>
      <c r="AL172" s="1086"/>
      <c r="AM172" s="1086"/>
      <c r="AN172" s="1086"/>
      <c r="AO172" s="1086"/>
      <c r="AP172" s="1086"/>
      <c r="AQ172" s="1086"/>
      <c r="AR172" s="1086"/>
      <c r="AS172" s="1086"/>
      <c r="AT172" s="1086"/>
      <c r="AU172" s="1086"/>
      <c r="AV172" s="1086"/>
      <c r="AW172" s="1086"/>
      <c r="AX172" s="1086">
        <f t="shared" si="28"/>
        <v>1298287550.4028916</v>
      </c>
    </row>
    <row r="173" spans="1:51" ht="12">
      <c r="A173" s="1086" t="s">
        <v>1425</v>
      </c>
      <c r="B173" s="1086" t="s">
        <v>1426</v>
      </c>
      <c r="C173" s="1088">
        <v>0</v>
      </c>
      <c r="D173" s="1088">
        <v>0</v>
      </c>
      <c r="E173" s="1088">
        <v>0</v>
      </c>
      <c r="F173" s="1088">
        <v>0</v>
      </c>
      <c r="G173" s="1088">
        <v>0</v>
      </c>
      <c r="H173" s="1088">
        <v>0</v>
      </c>
      <c r="I173" s="1088">
        <v>0</v>
      </c>
      <c r="J173" s="1088">
        <v>260840207.33997726</v>
      </c>
      <c r="K173" s="1088">
        <v>260840207.33997726</v>
      </c>
      <c r="L173" s="1088">
        <v>260840207.33997726</v>
      </c>
      <c r="M173" s="1088">
        <v>260840207.33997726</v>
      </c>
      <c r="N173" s="1088">
        <v>0</v>
      </c>
      <c r="O173" s="1088">
        <v>0</v>
      </c>
      <c r="P173" s="1088">
        <v>0</v>
      </c>
      <c r="Q173" s="1088">
        <v>0</v>
      </c>
      <c r="R173" s="1088">
        <v>0</v>
      </c>
      <c r="S173" s="1088">
        <v>0</v>
      </c>
      <c r="T173" s="1088">
        <v>0</v>
      </c>
      <c r="U173" s="1088">
        <v>0</v>
      </c>
      <c r="V173" s="1088">
        <v>0</v>
      </c>
      <c r="W173" s="1088">
        <v>0</v>
      </c>
      <c r="X173" s="1088">
        <v>0</v>
      </c>
      <c r="Y173" s="1088">
        <v>0</v>
      </c>
      <c r="Z173" s="1088">
        <v>0</v>
      </c>
      <c r="AA173" s="1088">
        <v>0</v>
      </c>
      <c r="AB173" s="1088">
        <v>0</v>
      </c>
      <c r="AC173" s="1088">
        <v>0</v>
      </c>
      <c r="AD173" s="1088"/>
      <c r="AE173" s="1088"/>
      <c r="AF173" s="1088"/>
      <c r="AG173" s="1088"/>
      <c r="AH173" s="1088"/>
      <c r="AI173" s="1088"/>
      <c r="AJ173" s="1088"/>
      <c r="AK173" s="1088"/>
      <c r="AL173" s="1088"/>
      <c r="AM173" s="1088"/>
      <c r="AN173" s="1088"/>
      <c r="AO173" s="1088"/>
      <c r="AP173" s="1088"/>
      <c r="AQ173" s="1088"/>
      <c r="AR173" s="1088"/>
      <c r="AS173" s="1088"/>
      <c r="AT173" s="1088"/>
      <c r="AU173" s="1088"/>
      <c r="AV173" s="1088"/>
      <c r="AW173" s="1088"/>
      <c r="AX173" s="1086">
        <f t="shared" si="28"/>
        <v>1043360829.3599091</v>
      </c>
    </row>
    <row r="174" spans="1:51" ht="12">
      <c r="A174" s="1086" t="s">
        <v>1427</v>
      </c>
      <c r="B174" s="1086" t="s">
        <v>1428</v>
      </c>
      <c r="C174" s="1088">
        <v>0</v>
      </c>
      <c r="D174" s="1088">
        <v>0</v>
      </c>
      <c r="E174" s="1088">
        <v>0</v>
      </c>
      <c r="F174" s="1088">
        <v>0</v>
      </c>
      <c r="G174" s="1088">
        <v>0</v>
      </c>
      <c r="H174" s="1088">
        <v>0</v>
      </c>
      <c r="I174" s="1088">
        <v>0</v>
      </c>
      <c r="J174" s="1088">
        <v>0</v>
      </c>
      <c r="K174" s="1088">
        <v>0</v>
      </c>
      <c r="L174" s="1088">
        <v>0</v>
      </c>
      <c r="M174" s="1088">
        <v>0</v>
      </c>
      <c r="N174" s="1088">
        <v>0</v>
      </c>
      <c r="O174" s="1088">
        <v>0</v>
      </c>
      <c r="P174" s="1088">
        <v>0</v>
      </c>
      <c r="Q174" s="1088">
        <v>0</v>
      </c>
      <c r="R174" s="1088">
        <v>0</v>
      </c>
      <c r="S174" s="1088">
        <v>0</v>
      </c>
      <c r="T174" s="1088">
        <v>0</v>
      </c>
      <c r="U174" s="1088">
        <v>0</v>
      </c>
      <c r="V174" s="1088">
        <v>0</v>
      </c>
      <c r="W174" s="1088">
        <v>0</v>
      </c>
      <c r="X174" s="1088">
        <v>0</v>
      </c>
      <c r="Y174" s="1088">
        <v>0</v>
      </c>
      <c r="Z174" s="1088">
        <v>0</v>
      </c>
      <c r="AA174" s="1088">
        <v>0</v>
      </c>
      <c r="AB174" s="1088">
        <v>0</v>
      </c>
      <c r="AC174" s="1088">
        <v>0</v>
      </c>
      <c r="AD174" s="1088"/>
      <c r="AE174" s="1088"/>
      <c r="AF174" s="1088"/>
      <c r="AG174" s="1088"/>
      <c r="AH174" s="1088"/>
      <c r="AI174" s="1088"/>
      <c r="AJ174" s="1088"/>
      <c r="AK174" s="1088"/>
      <c r="AL174" s="1088"/>
      <c r="AM174" s="1088"/>
      <c r="AN174" s="1088"/>
      <c r="AO174" s="1088"/>
      <c r="AP174" s="1088"/>
      <c r="AQ174" s="1088"/>
      <c r="AR174" s="1088"/>
      <c r="AS174" s="1088"/>
      <c r="AT174" s="1088"/>
      <c r="AU174" s="1088"/>
      <c r="AV174" s="1088"/>
      <c r="AW174" s="1088"/>
      <c r="AX174" s="1086">
        <f t="shared" si="28"/>
        <v>0</v>
      </c>
    </row>
    <row r="175" spans="1:51" ht="12">
      <c r="A175" s="1086" t="s">
        <v>1429</v>
      </c>
      <c r="B175" s="1086" t="s">
        <v>1430</v>
      </c>
      <c r="C175" s="1088">
        <v>0</v>
      </c>
      <c r="D175" s="1088">
        <v>0</v>
      </c>
      <c r="E175" s="1088">
        <v>0</v>
      </c>
      <c r="F175" s="1088">
        <v>0</v>
      </c>
      <c r="G175" s="1088">
        <v>0</v>
      </c>
      <c r="H175" s="1088">
        <v>0</v>
      </c>
      <c r="I175" s="1088">
        <v>0</v>
      </c>
      <c r="J175" s="1088">
        <v>13042010.366998864</v>
      </c>
      <c r="K175" s="1088">
        <v>13042010.366998864</v>
      </c>
      <c r="L175" s="1088">
        <v>13042010.366998864</v>
      </c>
      <c r="M175" s="1088">
        <v>13042010.366998864</v>
      </c>
      <c r="N175" s="1088">
        <v>13042010.366998864</v>
      </c>
      <c r="O175" s="1088">
        <v>13042010.366998864</v>
      </c>
      <c r="P175" s="1088">
        <v>13042010.366998864</v>
      </c>
      <c r="Q175" s="1088">
        <v>13042010.366998864</v>
      </c>
      <c r="R175" s="1088">
        <v>13042010.366998864</v>
      </c>
      <c r="S175" s="1088">
        <v>13042010.366998864</v>
      </c>
      <c r="T175" s="1088">
        <v>13042010.366998864</v>
      </c>
      <c r="U175" s="1088">
        <v>13042010.366998864</v>
      </c>
      <c r="V175" s="1088">
        <v>13042010.366998864</v>
      </c>
      <c r="W175" s="1088">
        <v>13042010.366998864</v>
      </c>
      <c r="X175" s="1088">
        <v>13042010.366998864</v>
      </c>
      <c r="Y175" s="1088">
        <v>13042010.366998864</v>
      </c>
      <c r="Z175" s="1088">
        <v>0</v>
      </c>
      <c r="AA175" s="1088">
        <v>0</v>
      </c>
      <c r="AB175" s="1088">
        <v>0</v>
      </c>
      <c r="AC175" s="1088">
        <v>0</v>
      </c>
      <c r="AD175" s="1088"/>
      <c r="AE175" s="1088"/>
      <c r="AF175" s="1088"/>
      <c r="AG175" s="1088"/>
      <c r="AH175" s="1088"/>
      <c r="AI175" s="1088"/>
      <c r="AJ175" s="1088"/>
      <c r="AK175" s="1088"/>
      <c r="AL175" s="1088"/>
      <c r="AM175" s="1088"/>
      <c r="AN175" s="1088"/>
      <c r="AO175" s="1088"/>
      <c r="AP175" s="1088"/>
      <c r="AQ175" s="1088"/>
      <c r="AR175" s="1088"/>
      <c r="AS175" s="1088"/>
      <c r="AT175" s="1088"/>
      <c r="AU175" s="1088"/>
      <c r="AV175" s="1088"/>
      <c r="AW175" s="1088"/>
      <c r="AX175" s="1086">
        <f t="shared" si="28"/>
        <v>208672165.87198177</v>
      </c>
    </row>
    <row r="176" spans="1:51" ht="24">
      <c r="A176" s="1086" t="s">
        <v>1431</v>
      </c>
      <c r="B176" s="1086" t="s">
        <v>1432</v>
      </c>
      <c r="C176" s="1088">
        <v>0</v>
      </c>
      <c r="D176" s="1088">
        <v>0</v>
      </c>
      <c r="E176" s="1088">
        <v>0</v>
      </c>
      <c r="F176" s="1088">
        <v>928469.76749999996</v>
      </c>
      <c r="G176" s="1088">
        <v>928469.76749999996</v>
      </c>
      <c r="H176" s="1088">
        <v>928469.76749999996</v>
      </c>
      <c r="I176" s="1088">
        <v>928469.76749999996</v>
      </c>
      <c r="J176" s="1088">
        <v>4254067.6100999992</v>
      </c>
      <c r="K176" s="1088">
        <v>0</v>
      </c>
      <c r="L176" s="1088">
        <v>0</v>
      </c>
      <c r="M176" s="1088">
        <v>0</v>
      </c>
      <c r="N176" s="1088">
        <v>0</v>
      </c>
      <c r="O176" s="1088">
        <v>4254067.6100999992</v>
      </c>
      <c r="P176" s="1088">
        <v>4254067.6100999992</v>
      </c>
      <c r="Q176" s="1088">
        <v>4254067.6100999992</v>
      </c>
      <c r="R176" s="1088">
        <v>4254067.6100999992</v>
      </c>
      <c r="S176" s="1088">
        <v>8508135.2201999985</v>
      </c>
      <c r="T176" s="1088">
        <v>8508135.2201999985</v>
      </c>
      <c r="U176" s="1088">
        <v>4254067.6100999992</v>
      </c>
      <c r="V176" s="1088">
        <v>0</v>
      </c>
      <c r="W176" s="1088">
        <v>0</v>
      </c>
      <c r="X176" s="1088">
        <v>0</v>
      </c>
      <c r="Y176" s="1088">
        <v>0</v>
      </c>
      <c r="Z176" s="1088">
        <v>0</v>
      </c>
      <c r="AA176" s="1088">
        <v>0</v>
      </c>
      <c r="AB176" s="1088">
        <v>0</v>
      </c>
      <c r="AC176" s="1088">
        <v>0</v>
      </c>
      <c r="AD176" s="1088"/>
      <c r="AE176" s="1088"/>
      <c r="AF176" s="1088"/>
      <c r="AG176" s="1088"/>
      <c r="AH176" s="1088"/>
      <c r="AI176" s="1088"/>
      <c r="AJ176" s="1088"/>
      <c r="AK176" s="1088"/>
      <c r="AL176" s="1088"/>
      <c r="AM176" s="1088"/>
      <c r="AN176" s="1088"/>
      <c r="AO176" s="1088"/>
      <c r="AP176" s="1088"/>
      <c r="AQ176" s="1088"/>
      <c r="AR176" s="1088"/>
      <c r="AS176" s="1088"/>
      <c r="AT176" s="1088"/>
      <c r="AU176" s="1088"/>
      <c r="AV176" s="1088"/>
      <c r="AW176" s="1088"/>
      <c r="AX176" s="1086">
        <f t="shared" si="28"/>
        <v>46254555.170999996</v>
      </c>
    </row>
    <row r="177" spans="1:50" ht="12">
      <c r="A177" s="1086" t="s">
        <v>1433</v>
      </c>
      <c r="B177" s="1086" t="s">
        <v>1434</v>
      </c>
      <c r="C177" s="1086">
        <f>SUM(C178:C195)</f>
        <v>0</v>
      </c>
      <c r="D177" s="1086">
        <f t="shared" ref="D177:AC177" si="36">SUM(D178:D195)</f>
        <v>0</v>
      </c>
      <c r="E177" s="1086">
        <f t="shared" si="36"/>
        <v>0</v>
      </c>
      <c r="F177" s="1086">
        <f t="shared" si="36"/>
        <v>0</v>
      </c>
      <c r="G177" s="1086">
        <f t="shared" si="36"/>
        <v>0</v>
      </c>
      <c r="H177" s="1086">
        <f t="shared" si="36"/>
        <v>5000000</v>
      </c>
      <c r="I177" s="1086">
        <f t="shared" si="36"/>
        <v>150000000</v>
      </c>
      <c r="J177" s="1086">
        <f t="shared" si="36"/>
        <v>1444538270.1250362</v>
      </c>
      <c r="K177" s="1086">
        <f t="shared" si="36"/>
        <v>808379500</v>
      </c>
      <c r="L177" s="1086">
        <f t="shared" si="36"/>
        <v>808379500</v>
      </c>
      <c r="M177" s="1086">
        <f t="shared" si="36"/>
        <v>808379500</v>
      </c>
      <c r="N177" s="1086">
        <f t="shared" si="36"/>
        <v>808379500</v>
      </c>
      <c r="O177" s="1086">
        <f t="shared" si="36"/>
        <v>808379500</v>
      </c>
      <c r="P177" s="1086">
        <f t="shared" si="36"/>
        <v>808379500</v>
      </c>
      <c r="Q177" s="1086">
        <f t="shared" si="36"/>
        <v>808379500</v>
      </c>
      <c r="R177" s="1086">
        <f t="shared" si="36"/>
        <v>808379500</v>
      </c>
      <c r="S177" s="1086">
        <f t="shared" si="36"/>
        <v>808379500</v>
      </c>
      <c r="T177" s="1086">
        <f t="shared" si="36"/>
        <v>808379500</v>
      </c>
      <c r="U177" s="1086">
        <f t="shared" si="36"/>
        <v>0</v>
      </c>
      <c r="V177" s="1086">
        <f t="shared" si="36"/>
        <v>0</v>
      </c>
      <c r="W177" s="1086">
        <f t="shared" si="36"/>
        <v>0</v>
      </c>
      <c r="X177" s="1086">
        <f t="shared" si="36"/>
        <v>0</v>
      </c>
      <c r="Y177" s="1086">
        <f t="shared" si="36"/>
        <v>0</v>
      </c>
      <c r="Z177" s="1086">
        <f t="shared" si="36"/>
        <v>0</v>
      </c>
      <c r="AA177" s="1086">
        <f t="shared" si="36"/>
        <v>0</v>
      </c>
      <c r="AB177" s="1086">
        <f t="shared" si="36"/>
        <v>0</v>
      </c>
      <c r="AC177" s="1086">
        <f t="shared" si="36"/>
        <v>0</v>
      </c>
      <c r="AD177" s="1086"/>
      <c r="AE177" s="1086"/>
      <c r="AF177" s="1086"/>
      <c r="AG177" s="1086"/>
      <c r="AH177" s="1086"/>
      <c r="AI177" s="1086"/>
      <c r="AJ177" s="1086"/>
      <c r="AK177" s="1086"/>
      <c r="AL177" s="1086"/>
      <c r="AM177" s="1086"/>
      <c r="AN177" s="1086"/>
      <c r="AO177" s="1086"/>
      <c r="AP177" s="1086"/>
      <c r="AQ177" s="1086"/>
      <c r="AR177" s="1086"/>
      <c r="AS177" s="1086"/>
      <c r="AT177" s="1086"/>
      <c r="AU177" s="1086"/>
      <c r="AV177" s="1086"/>
      <c r="AW177" s="1086"/>
      <c r="AX177" s="1086">
        <f t="shared" si="28"/>
        <v>9683333270.1250362</v>
      </c>
    </row>
    <row r="178" spans="1:50" ht="24">
      <c r="A178" s="1086" t="s">
        <v>1435</v>
      </c>
      <c r="B178" s="1086" t="s">
        <v>1436</v>
      </c>
      <c r="C178" s="1088">
        <v>0</v>
      </c>
      <c r="D178" s="1088">
        <v>0</v>
      </c>
      <c r="E178" s="1088">
        <v>0</v>
      </c>
      <c r="F178" s="1088">
        <v>0</v>
      </c>
      <c r="G178" s="1088">
        <v>0</v>
      </c>
      <c r="H178" s="1088">
        <v>5000000</v>
      </c>
      <c r="I178" s="1088">
        <v>150000000</v>
      </c>
      <c r="J178" s="1088">
        <v>150000000</v>
      </c>
      <c r="K178" s="1088">
        <v>808379500</v>
      </c>
      <c r="L178" s="1088">
        <v>808379500</v>
      </c>
      <c r="M178" s="1088">
        <v>808379500</v>
      </c>
      <c r="N178" s="1088">
        <v>808379500</v>
      </c>
      <c r="O178" s="1088">
        <v>808379500</v>
      </c>
      <c r="P178" s="1088">
        <v>808379500</v>
      </c>
      <c r="Q178" s="1088">
        <v>808379500</v>
      </c>
      <c r="R178" s="1088">
        <v>808379500</v>
      </c>
      <c r="S178" s="1088">
        <v>808379500</v>
      </c>
      <c r="T178" s="1088">
        <v>808379500</v>
      </c>
      <c r="U178" s="1088">
        <v>0</v>
      </c>
      <c r="V178" s="1088">
        <v>0</v>
      </c>
      <c r="W178" s="1088">
        <v>0</v>
      </c>
      <c r="X178" s="1088">
        <v>0</v>
      </c>
      <c r="Y178" s="1088">
        <v>0</v>
      </c>
      <c r="Z178" s="1088">
        <v>0</v>
      </c>
      <c r="AA178" s="1088">
        <v>0</v>
      </c>
      <c r="AB178" s="1088">
        <v>0</v>
      </c>
      <c r="AC178" s="1088">
        <v>0</v>
      </c>
      <c r="AD178" s="1088"/>
      <c r="AE178" s="1088"/>
      <c r="AF178" s="1088"/>
      <c r="AG178" s="1088"/>
      <c r="AH178" s="1088"/>
      <c r="AI178" s="1088"/>
      <c r="AJ178" s="1088"/>
      <c r="AK178" s="1088"/>
      <c r="AL178" s="1088"/>
      <c r="AM178" s="1088"/>
      <c r="AN178" s="1088"/>
      <c r="AO178" s="1088"/>
      <c r="AP178" s="1088"/>
      <c r="AQ178" s="1088"/>
      <c r="AR178" s="1088"/>
      <c r="AS178" s="1088"/>
      <c r="AT178" s="1088"/>
      <c r="AU178" s="1088"/>
      <c r="AV178" s="1088"/>
      <c r="AW178" s="1088"/>
      <c r="AX178" s="1086">
        <f t="shared" si="28"/>
        <v>8388795000</v>
      </c>
    </row>
    <row r="179" spans="1:50" ht="12">
      <c r="A179" s="1086" t="s">
        <v>1437</v>
      </c>
      <c r="B179" s="1086" t="s">
        <v>1438</v>
      </c>
      <c r="C179" s="1088">
        <v>0</v>
      </c>
      <c r="D179" s="1088">
        <v>0</v>
      </c>
      <c r="E179" s="1088">
        <v>0</v>
      </c>
      <c r="F179" s="1088">
        <v>0</v>
      </c>
      <c r="G179" s="1088">
        <v>0</v>
      </c>
      <c r="H179" s="1088">
        <v>0</v>
      </c>
      <c r="I179" s="1088">
        <v>0</v>
      </c>
      <c r="J179" s="1088">
        <v>0</v>
      </c>
      <c r="K179" s="1088">
        <v>0</v>
      </c>
      <c r="L179" s="1088">
        <v>0</v>
      </c>
      <c r="M179" s="1088">
        <v>0</v>
      </c>
      <c r="N179" s="1088">
        <v>0</v>
      </c>
      <c r="O179" s="1088">
        <v>0</v>
      </c>
      <c r="P179" s="1088">
        <v>0</v>
      </c>
      <c r="Q179" s="1088">
        <v>0</v>
      </c>
      <c r="R179" s="1088">
        <v>0</v>
      </c>
      <c r="S179" s="1088">
        <v>0</v>
      </c>
      <c r="T179" s="1088">
        <v>0</v>
      </c>
      <c r="U179" s="1088">
        <v>0</v>
      </c>
      <c r="V179" s="1088">
        <v>0</v>
      </c>
      <c r="W179" s="1088">
        <v>0</v>
      </c>
      <c r="X179" s="1088">
        <v>0</v>
      </c>
      <c r="Y179" s="1088">
        <v>0</v>
      </c>
      <c r="Z179" s="1088">
        <v>0</v>
      </c>
      <c r="AA179" s="1088">
        <v>0</v>
      </c>
      <c r="AB179" s="1088">
        <v>0</v>
      </c>
      <c r="AC179" s="1088">
        <v>0</v>
      </c>
      <c r="AD179" s="1088"/>
      <c r="AE179" s="1088"/>
      <c r="AF179" s="1088"/>
      <c r="AG179" s="1088"/>
      <c r="AH179" s="1088"/>
      <c r="AI179" s="1088"/>
      <c r="AJ179" s="1088"/>
      <c r="AK179" s="1088"/>
      <c r="AL179" s="1088"/>
      <c r="AM179" s="1088"/>
      <c r="AN179" s="1088"/>
      <c r="AO179" s="1088"/>
      <c r="AP179" s="1088"/>
      <c r="AQ179" s="1088"/>
      <c r="AR179" s="1088"/>
      <c r="AS179" s="1088"/>
      <c r="AT179" s="1088"/>
      <c r="AU179" s="1088"/>
      <c r="AV179" s="1088"/>
      <c r="AW179" s="1088"/>
      <c r="AX179" s="1086">
        <f t="shared" si="28"/>
        <v>0</v>
      </c>
    </row>
    <row r="180" spans="1:50" ht="12">
      <c r="A180" s="1086" t="s">
        <v>1439</v>
      </c>
      <c r="B180" s="1086" t="s">
        <v>1440</v>
      </c>
      <c r="C180" s="1088">
        <v>0</v>
      </c>
      <c r="D180" s="1088">
        <v>0</v>
      </c>
      <c r="E180" s="1088">
        <v>0</v>
      </c>
      <c r="F180" s="1088">
        <v>0</v>
      </c>
      <c r="G180" s="1088">
        <v>0</v>
      </c>
      <c r="H180" s="1088">
        <v>0</v>
      </c>
      <c r="I180" s="1088">
        <v>0</v>
      </c>
      <c r="J180" s="1088">
        <v>0</v>
      </c>
      <c r="K180" s="1088">
        <v>0</v>
      </c>
      <c r="L180" s="1088">
        <v>0</v>
      </c>
      <c r="M180" s="1088">
        <v>0</v>
      </c>
      <c r="N180" s="1088">
        <v>0</v>
      </c>
      <c r="O180" s="1088">
        <v>0</v>
      </c>
      <c r="P180" s="1088">
        <v>0</v>
      </c>
      <c r="Q180" s="1088">
        <v>0</v>
      </c>
      <c r="R180" s="1088">
        <v>0</v>
      </c>
      <c r="S180" s="1088">
        <v>0</v>
      </c>
      <c r="T180" s="1088">
        <v>0</v>
      </c>
      <c r="U180" s="1088">
        <v>0</v>
      </c>
      <c r="V180" s="1088">
        <v>0</v>
      </c>
      <c r="W180" s="1088">
        <v>0</v>
      </c>
      <c r="X180" s="1088">
        <v>0</v>
      </c>
      <c r="Y180" s="1088">
        <v>0</v>
      </c>
      <c r="Z180" s="1088">
        <v>0</v>
      </c>
      <c r="AA180" s="1088">
        <v>0</v>
      </c>
      <c r="AB180" s="1088">
        <v>0</v>
      </c>
      <c r="AC180" s="1088">
        <v>0</v>
      </c>
      <c r="AD180" s="1088"/>
      <c r="AE180" s="1088"/>
      <c r="AF180" s="1088"/>
      <c r="AG180" s="1088"/>
      <c r="AH180" s="1088"/>
      <c r="AI180" s="1088"/>
      <c r="AJ180" s="1088"/>
      <c r="AK180" s="1088"/>
      <c r="AL180" s="1088"/>
      <c r="AM180" s="1088"/>
      <c r="AN180" s="1088"/>
      <c r="AO180" s="1088"/>
      <c r="AP180" s="1088"/>
      <c r="AQ180" s="1088"/>
      <c r="AR180" s="1088"/>
      <c r="AS180" s="1088"/>
      <c r="AT180" s="1088"/>
      <c r="AU180" s="1088"/>
      <c r="AV180" s="1088"/>
      <c r="AW180" s="1088"/>
      <c r="AX180" s="1086">
        <f t="shared" si="28"/>
        <v>0</v>
      </c>
    </row>
    <row r="181" spans="1:50" ht="12">
      <c r="A181" s="1086" t="s">
        <v>1441</v>
      </c>
      <c r="B181" s="1086" t="s">
        <v>1442</v>
      </c>
      <c r="C181" s="1088">
        <v>0</v>
      </c>
      <c r="D181" s="1088">
        <v>0</v>
      </c>
      <c r="E181" s="1088">
        <v>0</v>
      </c>
      <c r="F181" s="1088">
        <v>0</v>
      </c>
      <c r="G181" s="1088">
        <v>0</v>
      </c>
      <c r="H181" s="1088">
        <v>0</v>
      </c>
      <c r="I181" s="1088">
        <v>0</v>
      </c>
      <c r="J181" s="1088">
        <v>0</v>
      </c>
      <c r="K181" s="1088">
        <v>0</v>
      </c>
      <c r="L181" s="1088">
        <v>0</v>
      </c>
      <c r="M181" s="1088">
        <v>0</v>
      </c>
      <c r="N181" s="1088">
        <v>0</v>
      </c>
      <c r="O181" s="1088">
        <v>0</v>
      </c>
      <c r="P181" s="1088">
        <v>0</v>
      </c>
      <c r="Q181" s="1088">
        <v>0</v>
      </c>
      <c r="R181" s="1088">
        <v>0</v>
      </c>
      <c r="S181" s="1088">
        <v>0</v>
      </c>
      <c r="T181" s="1088">
        <v>0</v>
      </c>
      <c r="U181" s="1088">
        <v>0</v>
      </c>
      <c r="V181" s="1088">
        <v>0</v>
      </c>
      <c r="W181" s="1088">
        <v>0</v>
      </c>
      <c r="X181" s="1088">
        <v>0</v>
      </c>
      <c r="Y181" s="1088">
        <v>0</v>
      </c>
      <c r="Z181" s="1088">
        <v>0</v>
      </c>
      <c r="AA181" s="1088">
        <v>0</v>
      </c>
      <c r="AB181" s="1088">
        <v>0</v>
      </c>
      <c r="AC181" s="1088">
        <v>0</v>
      </c>
      <c r="AD181" s="1088"/>
      <c r="AE181" s="1088"/>
      <c r="AF181" s="1088"/>
      <c r="AG181" s="1088"/>
      <c r="AH181" s="1088"/>
      <c r="AI181" s="1088"/>
      <c r="AJ181" s="1088"/>
      <c r="AK181" s="1088"/>
      <c r="AL181" s="1088"/>
      <c r="AM181" s="1088"/>
      <c r="AN181" s="1088"/>
      <c r="AO181" s="1088"/>
      <c r="AP181" s="1088"/>
      <c r="AQ181" s="1088"/>
      <c r="AR181" s="1088"/>
      <c r="AS181" s="1088"/>
      <c r="AT181" s="1088"/>
      <c r="AU181" s="1088"/>
      <c r="AV181" s="1088"/>
      <c r="AW181" s="1088"/>
      <c r="AX181" s="1086">
        <f t="shared" si="28"/>
        <v>0</v>
      </c>
    </row>
    <row r="182" spans="1:50" ht="12">
      <c r="A182" s="1086" t="s">
        <v>1443</v>
      </c>
      <c r="B182" s="1086" t="s">
        <v>1444</v>
      </c>
      <c r="C182" s="1088">
        <v>0</v>
      </c>
      <c r="D182" s="1088">
        <v>0</v>
      </c>
      <c r="E182" s="1088">
        <v>0</v>
      </c>
      <c r="F182" s="1088">
        <v>0</v>
      </c>
      <c r="G182" s="1088">
        <v>0</v>
      </c>
      <c r="H182" s="1088">
        <v>0</v>
      </c>
      <c r="I182" s="1088">
        <v>0</v>
      </c>
      <c r="J182" s="1088">
        <v>0</v>
      </c>
      <c r="K182" s="1088">
        <v>0</v>
      </c>
      <c r="L182" s="1088">
        <v>0</v>
      </c>
      <c r="M182" s="1088">
        <v>0</v>
      </c>
      <c r="N182" s="1088">
        <v>0</v>
      </c>
      <c r="O182" s="1088">
        <v>0</v>
      </c>
      <c r="P182" s="1088">
        <v>0</v>
      </c>
      <c r="Q182" s="1088">
        <v>0</v>
      </c>
      <c r="R182" s="1088">
        <v>0</v>
      </c>
      <c r="S182" s="1088">
        <v>0</v>
      </c>
      <c r="T182" s="1088">
        <v>0</v>
      </c>
      <c r="U182" s="1088">
        <v>0</v>
      </c>
      <c r="V182" s="1088">
        <v>0</v>
      </c>
      <c r="W182" s="1088">
        <v>0</v>
      </c>
      <c r="X182" s="1088">
        <v>0</v>
      </c>
      <c r="Y182" s="1088">
        <v>0</v>
      </c>
      <c r="Z182" s="1088">
        <v>0</v>
      </c>
      <c r="AA182" s="1088">
        <v>0</v>
      </c>
      <c r="AB182" s="1088">
        <v>0</v>
      </c>
      <c r="AC182" s="1088">
        <v>0</v>
      </c>
      <c r="AD182" s="1088"/>
      <c r="AE182" s="1088"/>
      <c r="AF182" s="1088"/>
      <c r="AG182" s="1088"/>
      <c r="AH182" s="1088"/>
      <c r="AI182" s="1088"/>
      <c r="AJ182" s="1088"/>
      <c r="AK182" s="1088"/>
      <c r="AL182" s="1088"/>
      <c r="AM182" s="1088"/>
      <c r="AN182" s="1088"/>
      <c r="AO182" s="1088"/>
      <c r="AP182" s="1088"/>
      <c r="AQ182" s="1088"/>
      <c r="AR182" s="1088"/>
      <c r="AS182" s="1088"/>
      <c r="AT182" s="1088"/>
      <c r="AU182" s="1088"/>
      <c r="AV182" s="1088"/>
      <c r="AW182" s="1088"/>
      <c r="AX182" s="1086">
        <f t="shared" si="28"/>
        <v>0</v>
      </c>
    </row>
    <row r="183" spans="1:50" ht="12">
      <c r="A183" s="1086" t="s">
        <v>1445</v>
      </c>
      <c r="B183" s="1086" t="s">
        <v>1446</v>
      </c>
      <c r="C183" s="1088">
        <v>0</v>
      </c>
      <c r="D183" s="1088">
        <v>0</v>
      </c>
      <c r="E183" s="1088">
        <v>0</v>
      </c>
      <c r="F183" s="1088">
        <v>0</v>
      </c>
      <c r="G183" s="1088">
        <v>0</v>
      </c>
      <c r="H183" s="1088">
        <v>0</v>
      </c>
      <c r="I183" s="1088">
        <v>0</v>
      </c>
      <c r="J183" s="1088">
        <v>0</v>
      </c>
      <c r="K183" s="1088">
        <v>0</v>
      </c>
      <c r="L183" s="1088">
        <v>0</v>
      </c>
      <c r="M183" s="1088">
        <v>0</v>
      </c>
      <c r="N183" s="1088">
        <v>0</v>
      </c>
      <c r="O183" s="1088">
        <v>0</v>
      </c>
      <c r="P183" s="1088">
        <v>0</v>
      </c>
      <c r="Q183" s="1088">
        <v>0</v>
      </c>
      <c r="R183" s="1088">
        <v>0</v>
      </c>
      <c r="S183" s="1088">
        <v>0</v>
      </c>
      <c r="T183" s="1088">
        <v>0</v>
      </c>
      <c r="U183" s="1088">
        <v>0</v>
      </c>
      <c r="V183" s="1088">
        <v>0</v>
      </c>
      <c r="W183" s="1088">
        <v>0</v>
      </c>
      <c r="X183" s="1088">
        <v>0</v>
      </c>
      <c r="Y183" s="1088">
        <v>0</v>
      </c>
      <c r="Z183" s="1088">
        <v>0</v>
      </c>
      <c r="AA183" s="1088">
        <v>0</v>
      </c>
      <c r="AB183" s="1088">
        <v>0</v>
      </c>
      <c r="AC183" s="1088">
        <v>0</v>
      </c>
      <c r="AD183" s="1088"/>
      <c r="AE183" s="1088"/>
      <c r="AF183" s="1088"/>
      <c r="AG183" s="1088"/>
      <c r="AH183" s="1088"/>
      <c r="AI183" s="1088"/>
      <c r="AJ183" s="1088"/>
      <c r="AK183" s="1088"/>
      <c r="AL183" s="1088"/>
      <c r="AM183" s="1088"/>
      <c r="AN183" s="1088"/>
      <c r="AO183" s="1088"/>
      <c r="AP183" s="1088"/>
      <c r="AQ183" s="1088"/>
      <c r="AR183" s="1088"/>
      <c r="AS183" s="1088"/>
      <c r="AT183" s="1088"/>
      <c r="AU183" s="1088"/>
      <c r="AV183" s="1088"/>
      <c r="AW183" s="1088"/>
      <c r="AX183" s="1086">
        <f t="shared" si="28"/>
        <v>0</v>
      </c>
    </row>
    <row r="184" spans="1:50" ht="12">
      <c r="A184" s="1086" t="s">
        <v>1447</v>
      </c>
      <c r="B184" s="1086" t="s">
        <v>1448</v>
      </c>
      <c r="C184" s="1088">
        <v>0</v>
      </c>
      <c r="D184" s="1088">
        <v>0</v>
      </c>
      <c r="E184" s="1088">
        <v>0</v>
      </c>
      <c r="F184" s="1088">
        <v>0</v>
      </c>
      <c r="G184" s="1088">
        <v>0</v>
      </c>
      <c r="H184" s="1088">
        <v>0</v>
      </c>
      <c r="I184" s="1088">
        <v>0</v>
      </c>
      <c r="J184" s="1088">
        <v>0</v>
      </c>
      <c r="K184" s="1088">
        <v>0</v>
      </c>
      <c r="L184" s="1088">
        <v>0</v>
      </c>
      <c r="M184" s="1088">
        <v>0</v>
      </c>
      <c r="N184" s="1088">
        <v>0</v>
      </c>
      <c r="O184" s="1088">
        <v>0</v>
      </c>
      <c r="P184" s="1088">
        <v>0</v>
      </c>
      <c r="Q184" s="1088">
        <v>0</v>
      </c>
      <c r="R184" s="1088">
        <v>0</v>
      </c>
      <c r="S184" s="1088">
        <v>0</v>
      </c>
      <c r="T184" s="1088">
        <v>0</v>
      </c>
      <c r="U184" s="1088">
        <v>0</v>
      </c>
      <c r="V184" s="1088">
        <v>0</v>
      </c>
      <c r="W184" s="1088">
        <v>0</v>
      </c>
      <c r="X184" s="1088">
        <v>0</v>
      </c>
      <c r="Y184" s="1088">
        <v>0</v>
      </c>
      <c r="Z184" s="1088">
        <v>0</v>
      </c>
      <c r="AA184" s="1088">
        <v>0</v>
      </c>
      <c r="AB184" s="1088">
        <v>0</v>
      </c>
      <c r="AC184" s="1088">
        <v>0</v>
      </c>
      <c r="AD184" s="1088"/>
      <c r="AE184" s="1088"/>
      <c r="AF184" s="1088"/>
      <c r="AG184" s="1088"/>
      <c r="AH184" s="1088"/>
      <c r="AI184" s="1088"/>
      <c r="AJ184" s="1088"/>
      <c r="AK184" s="1088"/>
      <c r="AL184" s="1088"/>
      <c r="AM184" s="1088"/>
      <c r="AN184" s="1088"/>
      <c r="AO184" s="1088"/>
      <c r="AP184" s="1088"/>
      <c r="AQ184" s="1088"/>
      <c r="AR184" s="1088"/>
      <c r="AS184" s="1088"/>
      <c r="AT184" s="1088"/>
      <c r="AU184" s="1088"/>
      <c r="AV184" s="1088"/>
      <c r="AW184" s="1088"/>
      <c r="AX184" s="1086">
        <f t="shared" si="28"/>
        <v>0</v>
      </c>
    </row>
    <row r="185" spans="1:50" ht="24">
      <c r="A185" s="1086" t="s">
        <v>1449</v>
      </c>
      <c r="B185" s="1086" t="s">
        <v>1450</v>
      </c>
      <c r="C185" s="1088">
        <v>0</v>
      </c>
      <c r="D185" s="1088">
        <v>0</v>
      </c>
      <c r="E185" s="1088">
        <v>0</v>
      </c>
      <c r="F185" s="1088">
        <v>0</v>
      </c>
      <c r="G185" s="1088">
        <v>0</v>
      </c>
      <c r="H185" s="1088">
        <v>0</v>
      </c>
      <c r="I185" s="1088">
        <v>0</v>
      </c>
      <c r="J185" s="1088">
        <v>0</v>
      </c>
      <c r="K185" s="1088">
        <v>0</v>
      </c>
      <c r="L185" s="1088">
        <v>0</v>
      </c>
      <c r="M185" s="1088">
        <v>0</v>
      </c>
      <c r="N185" s="1088">
        <v>0</v>
      </c>
      <c r="O185" s="1088">
        <v>0</v>
      </c>
      <c r="P185" s="1088">
        <v>0</v>
      </c>
      <c r="Q185" s="1088">
        <v>0</v>
      </c>
      <c r="R185" s="1088">
        <v>0</v>
      </c>
      <c r="S185" s="1088">
        <v>0</v>
      </c>
      <c r="T185" s="1088">
        <v>0</v>
      </c>
      <c r="U185" s="1088">
        <v>0</v>
      </c>
      <c r="V185" s="1088">
        <v>0</v>
      </c>
      <c r="W185" s="1088">
        <v>0</v>
      </c>
      <c r="X185" s="1088">
        <v>0</v>
      </c>
      <c r="Y185" s="1088">
        <v>0</v>
      </c>
      <c r="Z185" s="1088">
        <v>0</v>
      </c>
      <c r="AA185" s="1088">
        <v>0</v>
      </c>
      <c r="AB185" s="1088">
        <v>0</v>
      </c>
      <c r="AC185" s="1088">
        <v>0</v>
      </c>
      <c r="AD185" s="1088"/>
      <c r="AE185" s="1088"/>
      <c r="AF185" s="1088"/>
      <c r="AG185" s="1088"/>
      <c r="AH185" s="1088"/>
      <c r="AI185" s="1088"/>
      <c r="AJ185" s="1088"/>
      <c r="AK185" s="1088"/>
      <c r="AL185" s="1088"/>
      <c r="AM185" s="1088"/>
      <c r="AN185" s="1088"/>
      <c r="AO185" s="1088"/>
      <c r="AP185" s="1088"/>
      <c r="AQ185" s="1088"/>
      <c r="AR185" s="1088"/>
      <c r="AS185" s="1088"/>
      <c r="AT185" s="1088"/>
      <c r="AU185" s="1088"/>
      <c r="AV185" s="1088"/>
      <c r="AW185" s="1088"/>
      <c r="AX185" s="1086">
        <f t="shared" si="28"/>
        <v>0</v>
      </c>
    </row>
    <row r="186" spans="1:50" ht="12">
      <c r="A186" s="1086" t="s">
        <v>1451</v>
      </c>
      <c r="B186" s="1086" t="s">
        <v>1452</v>
      </c>
      <c r="C186" s="1088">
        <v>0</v>
      </c>
      <c r="D186" s="1088">
        <v>0</v>
      </c>
      <c r="E186" s="1088">
        <v>0</v>
      </c>
      <c r="F186" s="1088">
        <v>0</v>
      </c>
      <c r="G186" s="1088">
        <v>0</v>
      </c>
      <c r="H186" s="1088">
        <v>0</v>
      </c>
      <c r="I186" s="1088">
        <v>0</v>
      </c>
      <c r="J186" s="1088">
        <v>0</v>
      </c>
      <c r="K186" s="1088">
        <v>0</v>
      </c>
      <c r="L186" s="1088">
        <v>0</v>
      </c>
      <c r="M186" s="1088">
        <v>0</v>
      </c>
      <c r="N186" s="1088">
        <v>0</v>
      </c>
      <c r="O186" s="1088">
        <v>0</v>
      </c>
      <c r="P186" s="1088">
        <v>0</v>
      </c>
      <c r="Q186" s="1088">
        <v>0</v>
      </c>
      <c r="R186" s="1088">
        <v>0</v>
      </c>
      <c r="S186" s="1088">
        <v>0</v>
      </c>
      <c r="T186" s="1088">
        <v>0</v>
      </c>
      <c r="U186" s="1088">
        <v>0</v>
      </c>
      <c r="V186" s="1088">
        <v>0</v>
      </c>
      <c r="W186" s="1088">
        <v>0</v>
      </c>
      <c r="X186" s="1088">
        <v>0</v>
      </c>
      <c r="Y186" s="1088">
        <v>0</v>
      </c>
      <c r="Z186" s="1088">
        <v>0</v>
      </c>
      <c r="AA186" s="1088">
        <v>0</v>
      </c>
      <c r="AB186" s="1088">
        <v>0</v>
      </c>
      <c r="AC186" s="1088">
        <v>0</v>
      </c>
      <c r="AD186" s="1088"/>
      <c r="AE186" s="1088"/>
      <c r="AF186" s="1088"/>
      <c r="AG186" s="1088"/>
      <c r="AH186" s="1088"/>
      <c r="AI186" s="1088"/>
      <c r="AJ186" s="1088"/>
      <c r="AK186" s="1088"/>
      <c r="AL186" s="1088"/>
      <c r="AM186" s="1088"/>
      <c r="AN186" s="1088"/>
      <c r="AO186" s="1088"/>
      <c r="AP186" s="1088"/>
      <c r="AQ186" s="1088"/>
      <c r="AR186" s="1088"/>
      <c r="AS186" s="1088"/>
      <c r="AT186" s="1088"/>
      <c r="AU186" s="1088"/>
      <c r="AV186" s="1088"/>
      <c r="AW186" s="1088"/>
      <c r="AX186" s="1086">
        <f t="shared" si="28"/>
        <v>0</v>
      </c>
    </row>
    <row r="187" spans="1:50" ht="12">
      <c r="A187" s="1086" t="s">
        <v>1453</v>
      </c>
      <c r="B187" s="1086" t="s">
        <v>1454</v>
      </c>
      <c r="C187" s="1088">
        <v>0</v>
      </c>
      <c r="D187" s="1088">
        <v>0</v>
      </c>
      <c r="E187" s="1088">
        <v>0</v>
      </c>
      <c r="F187" s="1088">
        <v>0</v>
      </c>
      <c r="G187" s="1088">
        <v>0</v>
      </c>
      <c r="H187" s="1088">
        <v>0</v>
      </c>
      <c r="I187" s="1088">
        <v>0</v>
      </c>
      <c r="J187" s="1088">
        <v>0</v>
      </c>
      <c r="K187" s="1088">
        <v>0</v>
      </c>
      <c r="L187" s="1088">
        <v>0</v>
      </c>
      <c r="M187" s="1088">
        <v>0</v>
      </c>
      <c r="N187" s="1088">
        <v>0</v>
      </c>
      <c r="O187" s="1088">
        <v>0</v>
      </c>
      <c r="P187" s="1088">
        <v>0</v>
      </c>
      <c r="Q187" s="1088">
        <v>0</v>
      </c>
      <c r="R187" s="1088">
        <v>0</v>
      </c>
      <c r="S187" s="1088">
        <v>0</v>
      </c>
      <c r="T187" s="1088">
        <v>0</v>
      </c>
      <c r="U187" s="1088">
        <v>0</v>
      </c>
      <c r="V187" s="1088">
        <v>0</v>
      </c>
      <c r="W187" s="1088">
        <v>0</v>
      </c>
      <c r="X187" s="1088">
        <v>0</v>
      </c>
      <c r="Y187" s="1088">
        <v>0</v>
      </c>
      <c r="Z187" s="1088">
        <v>0</v>
      </c>
      <c r="AA187" s="1088">
        <v>0</v>
      </c>
      <c r="AB187" s="1088">
        <v>0</v>
      </c>
      <c r="AC187" s="1088">
        <v>0</v>
      </c>
      <c r="AD187" s="1088"/>
      <c r="AE187" s="1088"/>
      <c r="AF187" s="1088"/>
      <c r="AG187" s="1088"/>
      <c r="AH187" s="1088"/>
      <c r="AI187" s="1088"/>
      <c r="AJ187" s="1088"/>
      <c r="AK187" s="1088"/>
      <c r="AL187" s="1088"/>
      <c r="AM187" s="1088"/>
      <c r="AN187" s="1088"/>
      <c r="AO187" s="1088"/>
      <c r="AP187" s="1088"/>
      <c r="AQ187" s="1088"/>
      <c r="AR187" s="1088"/>
      <c r="AS187" s="1088"/>
      <c r="AT187" s="1088"/>
      <c r="AU187" s="1088"/>
      <c r="AV187" s="1088"/>
      <c r="AW187" s="1088"/>
      <c r="AX187" s="1086">
        <f t="shared" si="28"/>
        <v>0</v>
      </c>
    </row>
    <row r="188" spans="1:50" ht="12">
      <c r="A188" s="1086" t="s">
        <v>1455</v>
      </c>
      <c r="B188" s="1086" t="s">
        <v>1456</v>
      </c>
      <c r="C188" s="1088">
        <v>0</v>
      </c>
      <c r="D188" s="1088">
        <v>0</v>
      </c>
      <c r="E188" s="1088">
        <v>0</v>
      </c>
      <c r="F188" s="1088">
        <v>0</v>
      </c>
      <c r="G188" s="1088">
        <v>0</v>
      </c>
      <c r="H188" s="1088">
        <v>0</v>
      </c>
      <c r="I188" s="1088">
        <v>0</v>
      </c>
      <c r="J188" s="1088">
        <v>0</v>
      </c>
      <c r="K188" s="1088">
        <v>0</v>
      </c>
      <c r="L188" s="1088">
        <v>0</v>
      </c>
      <c r="M188" s="1088">
        <v>0</v>
      </c>
      <c r="N188" s="1088">
        <v>0</v>
      </c>
      <c r="O188" s="1088">
        <v>0</v>
      </c>
      <c r="P188" s="1088">
        <v>0</v>
      </c>
      <c r="Q188" s="1088">
        <v>0</v>
      </c>
      <c r="R188" s="1088">
        <v>0</v>
      </c>
      <c r="S188" s="1088">
        <v>0</v>
      </c>
      <c r="T188" s="1088">
        <v>0</v>
      </c>
      <c r="U188" s="1088">
        <v>0</v>
      </c>
      <c r="V188" s="1088">
        <v>0</v>
      </c>
      <c r="W188" s="1088">
        <v>0</v>
      </c>
      <c r="X188" s="1088">
        <v>0</v>
      </c>
      <c r="Y188" s="1088">
        <v>0</v>
      </c>
      <c r="Z188" s="1088">
        <v>0</v>
      </c>
      <c r="AA188" s="1088">
        <v>0</v>
      </c>
      <c r="AB188" s="1088">
        <v>0</v>
      </c>
      <c r="AC188" s="1088">
        <v>0</v>
      </c>
      <c r="AD188" s="1088"/>
      <c r="AE188" s="1088"/>
      <c r="AF188" s="1088"/>
      <c r="AG188" s="1088"/>
      <c r="AH188" s="1088"/>
      <c r="AI188" s="1088"/>
      <c r="AJ188" s="1088"/>
      <c r="AK188" s="1088"/>
      <c r="AL188" s="1088"/>
      <c r="AM188" s="1088"/>
      <c r="AN188" s="1088"/>
      <c r="AO188" s="1088"/>
      <c r="AP188" s="1088"/>
      <c r="AQ188" s="1088"/>
      <c r="AR188" s="1088"/>
      <c r="AS188" s="1088"/>
      <c r="AT188" s="1088"/>
      <c r="AU188" s="1088"/>
      <c r="AV188" s="1088"/>
      <c r="AW188" s="1088"/>
      <c r="AX188" s="1086">
        <f t="shared" si="28"/>
        <v>0</v>
      </c>
    </row>
    <row r="189" spans="1:50" ht="12">
      <c r="A189" s="1086" t="s">
        <v>1457</v>
      </c>
      <c r="B189" s="1086" t="s">
        <v>1458</v>
      </c>
      <c r="C189" s="1088">
        <v>0</v>
      </c>
      <c r="D189" s="1088">
        <v>0</v>
      </c>
      <c r="E189" s="1088">
        <v>0</v>
      </c>
      <c r="F189" s="1088">
        <v>0</v>
      </c>
      <c r="G189" s="1088">
        <v>0</v>
      </c>
      <c r="H189" s="1088">
        <v>0</v>
      </c>
      <c r="I189" s="1088">
        <v>0</v>
      </c>
      <c r="J189" s="1088">
        <v>0</v>
      </c>
      <c r="K189" s="1088">
        <v>0</v>
      </c>
      <c r="L189" s="1088">
        <v>0</v>
      </c>
      <c r="M189" s="1088">
        <v>0</v>
      </c>
      <c r="N189" s="1088">
        <v>0</v>
      </c>
      <c r="O189" s="1088">
        <v>0</v>
      </c>
      <c r="P189" s="1088">
        <v>0</v>
      </c>
      <c r="Q189" s="1088">
        <v>0</v>
      </c>
      <c r="R189" s="1088">
        <v>0</v>
      </c>
      <c r="S189" s="1088">
        <v>0</v>
      </c>
      <c r="T189" s="1088">
        <v>0</v>
      </c>
      <c r="U189" s="1088">
        <v>0</v>
      </c>
      <c r="V189" s="1088">
        <v>0</v>
      </c>
      <c r="W189" s="1088">
        <v>0</v>
      </c>
      <c r="X189" s="1088">
        <v>0</v>
      </c>
      <c r="Y189" s="1088">
        <v>0</v>
      </c>
      <c r="Z189" s="1088">
        <v>0</v>
      </c>
      <c r="AA189" s="1088">
        <v>0</v>
      </c>
      <c r="AB189" s="1088">
        <v>0</v>
      </c>
      <c r="AC189" s="1088">
        <v>0</v>
      </c>
      <c r="AD189" s="1088"/>
      <c r="AE189" s="1088"/>
      <c r="AF189" s="1088"/>
      <c r="AG189" s="1088"/>
      <c r="AH189" s="1088"/>
      <c r="AI189" s="1088"/>
      <c r="AJ189" s="1088"/>
      <c r="AK189" s="1088"/>
      <c r="AL189" s="1088"/>
      <c r="AM189" s="1088"/>
      <c r="AN189" s="1088"/>
      <c r="AO189" s="1088"/>
      <c r="AP189" s="1088"/>
      <c r="AQ189" s="1088"/>
      <c r="AR189" s="1088"/>
      <c r="AS189" s="1088"/>
      <c r="AT189" s="1088"/>
      <c r="AU189" s="1088"/>
      <c r="AV189" s="1088"/>
      <c r="AW189" s="1088"/>
      <c r="AX189" s="1086">
        <f t="shared" si="28"/>
        <v>0</v>
      </c>
    </row>
    <row r="190" spans="1:50" ht="12">
      <c r="A190" s="1086" t="s">
        <v>1459</v>
      </c>
      <c r="B190" s="1086" t="s">
        <v>1460</v>
      </c>
      <c r="C190" s="1088">
        <v>0</v>
      </c>
      <c r="D190" s="1088">
        <v>0</v>
      </c>
      <c r="E190" s="1088">
        <v>0</v>
      </c>
      <c r="F190" s="1088">
        <v>0</v>
      </c>
      <c r="G190" s="1088">
        <v>0</v>
      </c>
      <c r="H190" s="1088">
        <v>0</v>
      </c>
      <c r="I190" s="1088">
        <v>0</v>
      </c>
      <c r="J190" s="1088">
        <v>0</v>
      </c>
      <c r="K190" s="1088">
        <v>0</v>
      </c>
      <c r="L190" s="1088">
        <v>0</v>
      </c>
      <c r="M190" s="1088">
        <v>0</v>
      </c>
      <c r="N190" s="1088">
        <v>0</v>
      </c>
      <c r="O190" s="1088">
        <v>0</v>
      </c>
      <c r="P190" s="1088">
        <v>0</v>
      </c>
      <c r="Q190" s="1088">
        <v>0</v>
      </c>
      <c r="R190" s="1088">
        <v>0</v>
      </c>
      <c r="S190" s="1088">
        <v>0</v>
      </c>
      <c r="T190" s="1088">
        <v>0</v>
      </c>
      <c r="U190" s="1088">
        <v>0</v>
      </c>
      <c r="V190" s="1088">
        <v>0</v>
      </c>
      <c r="W190" s="1088">
        <v>0</v>
      </c>
      <c r="X190" s="1088">
        <v>0</v>
      </c>
      <c r="Y190" s="1088">
        <v>0</v>
      </c>
      <c r="Z190" s="1088">
        <v>0</v>
      </c>
      <c r="AA190" s="1088">
        <v>0</v>
      </c>
      <c r="AB190" s="1088">
        <v>0</v>
      </c>
      <c r="AC190" s="1088">
        <v>0</v>
      </c>
      <c r="AD190" s="1088"/>
      <c r="AE190" s="1088"/>
      <c r="AF190" s="1088"/>
      <c r="AG190" s="1088"/>
      <c r="AH190" s="1088"/>
      <c r="AI190" s="1088"/>
      <c r="AJ190" s="1088"/>
      <c r="AK190" s="1088"/>
      <c r="AL190" s="1088"/>
      <c r="AM190" s="1088"/>
      <c r="AN190" s="1088"/>
      <c r="AO190" s="1088"/>
      <c r="AP190" s="1088"/>
      <c r="AQ190" s="1088"/>
      <c r="AR190" s="1088"/>
      <c r="AS190" s="1088"/>
      <c r="AT190" s="1088"/>
      <c r="AU190" s="1088"/>
      <c r="AV190" s="1088"/>
      <c r="AW190" s="1088"/>
      <c r="AX190" s="1086">
        <f t="shared" si="28"/>
        <v>0</v>
      </c>
    </row>
    <row r="191" spans="1:50" ht="12">
      <c r="A191" s="1086" t="s">
        <v>1461</v>
      </c>
      <c r="B191" s="1086" t="s">
        <v>1462</v>
      </c>
      <c r="C191" s="1088">
        <v>0</v>
      </c>
      <c r="D191" s="1088">
        <v>0</v>
      </c>
      <c r="E191" s="1088">
        <v>0</v>
      </c>
      <c r="F191" s="1088">
        <v>0</v>
      </c>
      <c r="G191" s="1088">
        <v>0</v>
      </c>
      <c r="H191" s="1088">
        <v>0</v>
      </c>
      <c r="I191" s="1088">
        <v>0</v>
      </c>
      <c r="J191" s="1088">
        <v>0</v>
      </c>
      <c r="K191" s="1088">
        <v>0</v>
      </c>
      <c r="L191" s="1088">
        <v>0</v>
      </c>
      <c r="M191" s="1088">
        <v>0</v>
      </c>
      <c r="N191" s="1088">
        <v>0</v>
      </c>
      <c r="O191" s="1088">
        <v>0</v>
      </c>
      <c r="P191" s="1088">
        <v>0</v>
      </c>
      <c r="Q191" s="1088">
        <v>0</v>
      </c>
      <c r="R191" s="1088">
        <v>0</v>
      </c>
      <c r="S191" s="1088">
        <v>0</v>
      </c>
      <c r="T191" s="1088">
        <v>0</v>
      </c>
      <c r="U191" s="1088">
        <v>0</v>
      </c>
      <c r="V191" s="1088">
        <v>0</v>
      </c>
      <c r="W191" s="1088">
        <v>0</v>
      </c>
      <c r="X191" s="1088">
        <v>0</v>
      </c>
      <c r="Y191" s="1088">
        <v>0</v>
      </c>
      <c r="Z191" s="1088">
        <v>0</v>
      </c>
      <c r="AA191" s="1088">
        <v>0</v>
      </c>
      <c r="AB191" s="1088">
        <v>0</v>
      </c>
      <c r="AC191" s="1088">
        <v>0</v>
      </c>
      <c r="AD191" s="1088"/>
      <c r="AE191" s="1088"/>
      <c r="AF191" s="1088"/>
      <c r="AG191" s="1088"/>
      <c r="AH191" s="1088"/>
      <c r="AI191" s="1088"/>
      <c r="AJ191" s="1088"/>
      <c r="AK191" s="1088"/>
      <c r="AL191" s="1088"/>
      <c r="AM191" s="1088"/>
      <c r="AN191" s="1088"/>
      <c r="AO191" s="1088"/>
      <c r="AP191" s="1088"/>
      <c r="AQ191" s="1088"/>
      <c r="AR191" s="1088"/>
      <c r="AS191" s="1088"/>
      <c r="AT191" s="1088"/>
      <c r="AU191" s="1088"/>
      <c r="AV191" s="1088"/>
      <c r="AW191" s="1088"/>
      <c r="AX191" s="1086">
        <f t="shared" si="28"/>
        <v>0</v>
      </c>
    </row>
    <row r="192" spans="1:50" ht="12">
      <c r="A192" s="1086" t="s">
        <v>1463</v>
      </c>
      <c r="B192" s="1086" t="s">
        <v>1464</v>
      </c>
      <c r="C192" s="1088">
        <v>0</v>
      </c>
      <c r="D192" s="1088">
        <v>0</v>
      </c>
      <c r="E192" s="1088">
        <v>0</v>
      </c>
      <c r="F192" s="1088">
        <v>0</v>
      </c>
      <c r="G192" s="1088">
        <v>0</v>
      </c>
      <c r="H192" s="1088">
        <v>0</v>
      </c>
      <c r="I192" s="1088">
        <v>0</v>
      </c>
      <c r="J192" s="1088">
        <v>0</v>
      </c>
      <c r="K192" s="1088">
        <v>0</v>
      </c>
      <c r="L192" s="1088">
        <v>0</v>
      </c>
      <c r="M192" s="1088">
        <v>0</v>
      </c>
      <c r="N192" s="1088">
        <v>0</v>
      </c>
      <c r="O192" s="1088">
        <v>0</v>
      </c>
      <c r="P192" s="1088">
        <v>0</v>
      </c>
      <c r="Q192" s="1088">
        <v>0</v>
      </c>
      <c r="R192" s="1088">
        <v>0</v>
      </c>
      <c r="S192" s="1088">
        <v>0</v>
      </c>
      <c r="T192" s="1088">
        <v>0</v>
      </c>
      <c r="U192" s="1088">
        <v>0</v>
      </c>
      <c r="V192" s="1088">
        <v>0</v>
      </c>
      <c r="W192" s="1088">
        <v>0</v>
      </c>
      <c r="X192" s="1088">
        <v>0</v>
      </c>
      <c r="Y192" s="1088">
        <v>0</v>
      </c>
      <c r="Z192" s="1088">
        <v>0</v>
      </c>
      <c r="AA192" s="1088">
        <v>0</v>
      </c>
      <c r="AB192" s="1088">
        <v>0</v>
      </c>
      <c r="AC192" s="1088">
        <v>0</v>
      </c>
      <c r="AD192" s="1088"/>
      <c r="AE192" s="1088"/>
      <c r="AF192" s="1088"/>
      <c r="AG192" s="1088"/>
      <c r="AH192" s="1088"/>
      <c r="AI192" s="1088"/>
      <c r="AJ192" s="1088"/>
      <c r="AK192" s="1088"/>
      <c r="AL192" s="1088"/>
      <c r="AM192" s="1088"/>
      <c r="AN192" s="1088"/>
      <c r="AO192" s="1088"/>
      <c r="AP192" s="1088"/>
      <c r="AQ192" s="1088"/>
      <c r="AR192" s="1088"/>
      <c r="AS192" s="1088"/>
      <c r="AT192" s="1088"/>
      <c r="AU192" s="1088"/>
      <c r="AV192" s="1088"/>
      <c r="AW192" s="1088"/>
      <c r="AX192" s="1086">
        <f t="shared" si="28"/>
        <v>0</v>
      </c>
    </row>
    <row r="193" spans="1:50" ht="12">
      <c r="A193" s="1086" t="s">
        <v>1465</v>
      </c>
      <c r="B193" s="1086" t="s">
        <v>1466</v>
      </c>
      <c r="C193" s="1088">
        <v>0</v>
      </c>
      <c r="D193" s="1088">
        <v>0</v>
      </c>
      <c r="E193" s="1088">
        <v>0</v>
      </c>
      <c r="F193" s="1088">
        <v>0</v>
      </c>
      <c r="G193" s="1088">
        <v>0</v>
      </c>
      <c r="H193" s="1088">
        <v>0</v>
      </c>
      <c r="I193" s="1088">
        <v>0</v>
      </c>
      <c r="J193" s="1088">
        <v>0</v>
      </c>
      <c r="K193" s="1088">
        <v>0</v>
      </c>
      <c r="L193" s="1088">
        <v>0</v>
      </c>
      <c r="M193" s="1088">
        <v>0</v>
      </c>
      <c r="N193" s="1088">
        <v>0</v>
      </c>
      <c r="O193" s="1088">
        <v>0</v>
      </c>
      <c r="P193" s="1088">
        <v>0</v>
      </c>
      <c r="Q193" s="1088">
        <v>0</v>
      </c>
      <c r="R193" s="1088">
        <v>0</v>
      </c>
      <c r="S193" s="1088">
        <v>0</v>
      </c>
      <c r="T193" s="1088">
        <v>0</v>
      </c>
      <c r="U193" s="1088">
        <v>0</v>
      </c>
      <c r="V193" s="1088">
        <v>0</v>
      </c>
      <c r="W193" s="1088">
        <v>0</v>
      </c>
      <c r="X193" s="1088">
        <v>0</v>
      </c>
      <c r="Y193" s="1088">
        <v>0</v>
      </c>
      <c r="Z193" s="1088">
        <v>0</v>
      </c>
      <c r="AA193" s="1088">
        <v>0</v>
      </c>
      <c r="AB193" s="1088">
        <v>0</v>
      </c>
      <c r="AC193" s="1088">
        <v>0</v>
      </c>
      <c r="AD193" s="1088"/>
      <c r="AE193" s="1088"/>
      <c r="AF193" s="1088"/>
      <c r="AG193" s="1088"/>
      <c r="AH193" s="1088"/>
      <c r="AI193" s="1088"/>
      <c r="AJ193" s="1088"/>
      <c r="AK193" s="1088"/>
      <c r="AL193" s="1088"/>
      <c r="AM193" s="1088"/>
      <c r="AN193" s="1088"/>
      <c r="AO193" s="1088"/>
      <c r="AP193" s="1088"/>
      <c r="AQ193" s="1088"/>
      <c r="AR193" s="1088"/>
      <c r="AS193" s="1088"/>
      <c r="AT193" s="1088"/>
      <c r="AU193" s="1088"/>
      <c r="AV193" s="1088"/>
      <c r="AW193" s="1088"/>
      <c r="AX193" s="1086">
        <f t="shared" si="28"/>
        <v>0</v>
      </c>
    </row>
    <row r="194" spans="1:50" ht="12">
      <c r="A194" s="1086" t="s">
        <v>1467</v>
      </c>
      <c r="B194" s="1086" t="s">
        <v>1468</v>
      </c>
      <c r="C194" s="1088">
        <v>0</v>
      </c>
      <c r="D194" s="1088">
        <v>0</v>
      </c>
      <c r="E194" s="1088">
        <v>0</v>
      </c>
      <c r="F194" s="1088">
        <v>0</v>
      </c>
      <c r="G194" s="1088">
        <v>0</v>
      </c>
      <c r="H194" s="1088">
        <v>0</v>
      </c>
      <c r="I194" s="1088">
        <v>0</v>
      </c>
      <c r="J194" s="1088">
        <v>1294538270.1250362</v>
      </c>
      <c r="K194" s="1088">
        <v>0</v>
      </c>
      <c r="L194" s="1088">
        <v>0</v>
      </c>
      <c r="M194" s="1088">
        <v>0</v>
      </c>
      <c r="N194" s="1088">
        <v>0</v>
      </c>
      <c r="O194" s="1088">
        <v>0</v>
      </c>
      <c r="P194" s="1088">
        <v>0</v>
      </c>
      <c r="Q194" s="1088">
        <v>0</v>
      </c>
      <c r="R194" s="1088">
        <v>0</v>
      </c>
      <c r="S194" s="1088">
        <v>0</v>
      </c>
      <c r="T194" s="1088">
        <v>0</v>
      </c>
      <c r="U194" s="1088">
        <v>0</v>
      </c>
      <c r="V194" s="1088">
        <v>0</v>
      </c>
      <c r="W194" s="1088">
        <v>0</v>
      </c>
      <c r="X194" s="1088">
        <v>0</v>
      </c>
      <c r="Y194" s="1088">
        <v>0</v>
      </c>
      <c r="Z194" s="1088">
        <v>0</v>
      </c>
      <c r="AA194" s="1088">
        <v>0</v>
      </c>
      <c r="AB194" s="1088">
        <v>0</v>
      </c>
      <c r="AC194" s="1088">
        <v>0</v>
      </c>
      <c r="AD194" s="1088"/>
      <c r="AE194" s="1088"/>
      <c r="AF194" s="1088"/>
      <c r="AG194" s="1088"/>
      <c r="AH194" s="1088"/>
      <c r="AI194" s="1088"/>
      <c r="AJ194" s="1088"/>
      <c r="AK194" s="1088"/>
      <c r="AL194" s="1088"/>
      <c r="AM194" s="1088"/>
      <c r="AN194" s="1088"/>
      <c r="AO194" s="1088"/>
      <c r="AP194" s="1088"/>
      <c r="AQ194" s="1088"/>
      <c r="AR194" s="1088"/>
      <c r="AS194" s="1088"/>
      <c r="AT194" s="1088"/>
      <c r="AU194" s="1088"/>
      <c r="AV194" s="1088"/>
      <c r="AW194" s="1088"/>
      <c r="AX194" s="1086">
        <f t="shared" si="28"/>
        <v>1294538270.1250362</v>
      </c>
    </row>
    <row r="195" spans="1:50" ht="12">
      <c r="A195" s="1086" t="s">
        <v>1469</v>
      </c>
      <c r="B195" s="1086" t="s">
        <v>1470</v>
      </c>
      <c r="C195" s="1088">
        <v>0</v>
      </c>
      <c r="D195" s="1088">
        <v>0</v>
      </c>
      <c r="E195" s="1088">
        <v>0</v>
      </c>
      <c r="F195" s="1088">
        <v>0</v>
      </c>
      <c r="G195" s="1088">
        <v>0</v>
      </c>
      <c r="H195" s="1088">
        <v>0</v>
      </c>
      <c r="I195" s="1088">
        <v>0</v>
      </c>
      <c r="J195" s="1088">
        <v>0</v>
      </c>
      <c r="K195" s="1088">
        <v>0</v>
      </c>
      <c r="L195" s="1088">
        <v>0</v>
      </c>
      <c r="M195" s="1088">
        <v>0</v>
      </c>
      <c r="N195" s="1088">
        <v>0</v>
      </c>
      <c r="O195" s="1088">
        <v>0</v>
      </c>
      <c r="P195" s="1088">
        <v>0</v>
      </c>
      <c r="Q195" s="1088">
        <v>0</v>
      </c>
      <c r="R195" s="1088">
        <v>0</v>
      </c>
      <c r="S195" s="1088">
        <v>0</v>
      </c>
      <c r="T195" s="1088">
        <v>0</v>
      </c>
      <c r="U195" s="1088">
        <v>0</v>
      </c>
      <c r="V195" s="1088">
        <v>0</v>
      </c>
      <c r="W195" s="1088">
        <v>0</v>
      </c>
      <c r="X195" s="1088">
        <v>0</v>
      </c>
      <c r="Y195" s="1088">
        <v>0</v>
      </c>
      <c r="Z195" s="1088">
        <v>0</v>
      </c>
      <c r="AA195" s="1088">
        <v>0</v>
      </c>
      <c r="AB195" s="1088">
        <v>0</v>
      </c>
      <c r="AC195" s="1088">
        <v>0</v>
      </c>
      <c r="AD195" s="1088"/>
      <c r="AE195" s="1088"/>
      <c r="AF195" s="1088"/>
      <c r="AG195" s="1088"/>
      <c r="AH195" s="1088"/>
      <c r="AI195" s="1088"/>
      <c r="AJ195" s="1088"/>
      <c r="AK195" s="1088"/>
      <c r="AL195" s="1088"/>
      <c r="AM195" s="1088"/>
      <c r="AN195" s="1088"/>
      <c r="AO195" s="1088"/>
      <c r="AP195" s="1088"/>
      <c r="AQ195" s="1088"/>
      <c r="AR195" s="1088"/>
      <c r="AS195" s="1088"/>
      <c r="AT195" s="1088"/>
      <c r="AU195" s="1088"/>
      <c r="AV195" s="1088"/>
      <c r="AW195" s="1088"/>
      <c r="AX195" s="1086">
        <f t="shared" ref="AX195:AX258" si="37">SUM(C195:AW195)</f>
        <v>0</v>
      </c>
    </row>
    <row r="196" spans="1:50" ht="12">
      <c r="A196" s="1086" t="s">
        <v>1471</v>
      </c>
      <c r="B196" s="1086" t="s">
        <v>1472</v>
      </c>
      <c r="C196" s="1086">
        <f>SUM(C197:C202)</f>
        <v>0</v>
      </c>
      <c r="D196" s="1086">
        <f t="shared" ref="D196:AC196" si="38">SUM(D197:D202)</f>
        <v>0</v>
      </c>
      <c r="E196" s="1086">
        <f t="shared" si="38"/>
        <v>0</v>
      </c>
      <c r="F196" s="1086">
        <f t="shared" si="38"/>
        <v>0</v>
      </c>
      <c r="G196" s="1086">
        <f t="shared" si="38"/>
        <v>0</v>
      </c>
      <c r="H196" s="1086">
        <f t="shared" si="38"/>
        <v>0</v>
      </c>
      <c r="I196" s="1086">
        <f t="shared" si="38"/>
        <v>0</v>
      </c>
      <c r="J196" s="1086">
        <f t="shared" si="38"/>
        <v>84917250</v>
      </c>
      <c r="K196" s="1086">
        <f t="shared" si="38"/>
        <v>141528750</v>
      </c>
      <c r="L196" s="1086">
        <f t="shared" si="38"/>
        <v>0</v>
      </c>
      <c r="M196" s="1086">
        <f t="shared" si="38"/>
        <v>0</v>
      </c>
      <c r="N196" s="1086">
        <f t="shared" si="38"/>
        <v>0</v>
      </c>
      <c r="O196" s="1086">
        <f t="shared" si="38"/>
        <v>0</v>
      </c>
      <c r="P196" s="1086">
        <f t="shared" si="38"/>
        <v>0</v>
      </c>
      <c r="Q196" s="1086">
        <f t="shared" si="38"/>
        <v>0</v>
      </c>
      <c r="R196" s="1086">
        <f t="shared" si="38"/>
        <v>0</v>
      </c>
      <c r="S196" s="1086">
        <f t="shared" si="38"/>
        <v>28305750</v>
      </c>
      <c r="T196" s="1086">
        <f t="shared" si="38"/>
        <v>28305750</v>
      </c>
      <c r="U196" s="1086">
        <f t="shared" si="38"/>
        <v>0</v>
      </c>
      <c r="V196" s="1086">
        <f t="shared" si="38"/>
        <v>0</v>
      </c>
      <c r="W196" s="1086">
        <f t="shared" si="38"/>
        <v>0</v>
      </c>
      <c r="X196" s="1086">
        <f t="shared" si="38"/>
        <v>0</v>
      </c>
      <c r="Y196" s="1086">
        <f t="shared" si="38"/>
        <v>0</v>
      </c>
      <c r="Z196" s="1086">
        <f t="shared" si="38"/>
        <v>0</v>
      </c>
      <c r="AA196" s="1086">
        <f t="shared" si="38"/>
        <v>0</v>
      </c>
      <c r="AB196" s="1086">
        <f t="shared" si="38"/>
        <v>0</v>
      </c>
      <c r="AC196" s="1086">
        <f t="shared" si="38"/>
        <v>0</v>
      </c>
      <c r="AD196" s="1086"/>
      <c r="AE196" s="1086"/>
      <c r="AF196" s="1086"/>
      <c r="AG196" s="1086"/>
      <c r="AH196" s="1086"/>
      <c r="AI196" s="1086"/>
      <c r="AJ196" s="1086"/>
      <c r="AK196" s="1086"/>
      <c r="AL196" s="1086"/>
      <c r="AM196" s="1086"/>
      <c r="AN196" s="1086"/>
      <c r="AO196" s="1086"/>
      <c r="AP196" s="1086"/>
      <c r="AQ196" s="1086"/>
      <c r="AR196" s="1086"/>
      <c r="AS196" s="1086"/>
      <c r="AT196" s="1086"/>
      <c r="AU196" s="1086"/>
      <c r="AV196" s="1086"/>
      <c r="AW196" s="1086"/>
      <c r="AX196" s="1086">
        <f t="shared" si="37"/>
        <v>283057500</v>
      </c>
    </row>
    <row r="197" spans="1:50" ht="12">
      <c r="A197" s="1086" t="s">
        <v>1473</v>
      </c>
      <c r="B197" s="1086" t="s">
        <v>1474</v>
      </c>
      <c r="C197" s="1088">
        <v>0</v>
      </c>
      <c r="D197" s="1088">
        <v>0</v>
      </c>
      <c r="E197" s="1088">
        <v>0</v>
      </c>
      <c r="F197" s="1088">
        <v>0</v>
      </c>
      <c r="G197" s="1088">
        <v>0</v>
      </c>
      <c r="H197" s="1088">
        <v>0</v>
      </c>
      <c r="I197" s="1088">
        <v>0</v>
      </c>
      <c r="J197" s="1088">
        <v>84917250</v>
      </c>
      <c r="K197" s="1088">
        <v>141528750</v>
      </c>
      <c r="L197" s="1088">
        <v>0</v>
      </c>
      <c r="M197" s="1088">
        <v>0</v>
      </c>
      <c r="N197" s="1088">
        <v>0</v>
      </c>
      <c r="O197" s="1088">
        <v>0</v>
      </c>
      <c r="P197" s="1088">
        <v>0</v>
      </c>
      <c r="Q197" s="1088">
        <v>0</v>
      </c>
      <c r="R197" s="1088">
        <v>0</v>
      </c>
      <c r="S197" s="1088">
        <v>28305750</v>
      </c>
      <c r="T197" s="1088">
        <v>28305750</v>
      </c>
      <c r="U197" s="1088">
        <v>0</v>
      </c>
      <c r="V197" s="1088">
        <v>0</v>
      </c>
      <c r="W197" s="1088">
        <v>0</v>
      </c>
      <c r="X197" s="1088">
        <v>0</v>
      </c>
      <c r="Y197" s="1088">
        <v>0</v>
      </c>
      <c r="Z197" s="1088">
        <v>0</v>
      </c>
      <c r="AA197" s="1088">
        <v>0</v>
      </c>
      <c r="AB197" s="1088">
        <v>0</v>
      </c>
      <c r="AC197" s="1088">
        <v>0</v>
      </c>
      <c r="AD197" s="1088"/>
      <c r="AE197" s="1088"/>
      <c r="AF197" s="1088"/>
      <c r="AG197" s="1088"/>
      <c r="AH197" s="1088"/>
      <c r="AI197" s="1088"/>
      <c r="AJ197" s="1088"/>
      <c r="AK197" s="1088"/>
      <c r="AL197" s="1088"/>
      <c r="AM197" s="1088"/>
      <c r="AN197" s="1088"/>
      <c r="AO197" s="1088"/>
      <c r="AP197" s="1088"/>
      <c r="AQ197" s="1088"/>
      <c r="AR197" s="1088"/>
      <c r="AS197" s="1088"/>
      <c r="AT197" s="1088"/>
      <c r="AU197" s="1088"/>
      <c r="AV197" s="1088"/>
      <c r="AW197" s="1088"/>
      <c r="AX197" s="1086">
        <f t="shared" si="37"/>
        <v>283057500</v>
      </c>
    </row>
    <row r="198" spans="1:50" ht="12">
      <c r="A198" s="1086" t="s">
        <v>1475</v>
      </c>
      <c r="B198" s="1086" t="s">
        <v>1476</v>
      </c>
      <c r="C198" s="1088">
        <v>0</v>
      </c>
      <c r="D198" s="1088">
        <v>0</v>
      </c>
      <c r="E198" s="1088">
        <v>0</v>
      </c>
      <c r="F198" s="1088">
        <v>0</v>
      </c>
      <c r="G198" s="1088">
        <v>0</v>
      </c>
      <c r="H198" s="1088">
        <v>0</v>
      </c>
      <c r="I198" s="1088">
        <v>0</v>
      </c>
      <c r="J198" s="1088">
        <v>0</v>
      </c>
      <c r="K198" s="1088">
        <v>0</v>
      </c>
      <c r="L198" s="1088">
        <v>0</v>
      </c>
      <c r="M198" s="1088">
        <v>0</v>
      </c>
      <c r="N198" s="1088">
        <v>0</v>
      </c>
      <c r="O198" s="1088">
        <v>0</v>
      </c>
      <c r="P198" s="1088">
        <v>0</v>
      </c>
      <c r="Q198" s="1088">
        <v>0</v>
      </c>
      <c r="R198" s="1088">
        <v>0</v>
      </c>
      <c r="S198" s="1088">
        <v>0</v>
      </c>
      <c r="T198" s="1088">
        <v>0</v>
      </c>
      <c r="U198" s="1088">
        <v>0</v>
      </c>
      <c r="V198" s="1088">
        <v>0</v>
      </c>
      <c r="W198" s="1088">
        <v>0</v>
      </c>
      <c r="X198" s="1088">
        <v>0</v>
      </c>
      <c r="Y198" s="1088">
        <v>0</v>
      </c>
      <c r="Z198" s="1088">
        <v>0</v>
      </c>
      <c r="AA198" s="1088">
        <v>0</v>
      </c>
      <c r="AB198" s="1088">
        <v>0</v>
      </c>
      <c r="AC198" s="1088">
        <v>0</v>
      </c>
      <c r="AD198" s="1088"/>
      <c r="AE198" s="1088"/>
      <c r="AF198" s="1088"/>
      <c r="AG198" s="1088"/>
      <c r="AH198" s="1088"/>
      <c r="AI198" s="1088"/>
      <c r="AJ198" s="1088"/>
      <c r="AK198" s="1088"/>
      <c r="AL198" s="1088"/>
      <c r="AM198" s="1088"/>
      <c r="AN198" s="1088"/>
      <c r="AO198" s="1088"/>
      <c r="AP198" s="1088"/>
      <c r="AQ198" s="1088"/>
      <c r="AR198" s="1088"/>
      <c r="AS198" s="1088"/>
      <c r="AT198" s="1088"/>
      <c r="AU198" s="1088"/>
      <c r="AV198" s="1088"/>
      <c r="AW198" s="1088"/>
      <c r="AX198" s="1086">
        <f t="shared" si="37"/>
        <v>0</v>
      </c>
    </row>
    <row r="199" spans="1:50" ht="12">
      <c r="A199" s="1086" t="s">
        <v>1477</v>
      </c>
      <c r="B199" s="1086" t="s">
        <v>1478</v>
      </c>
      <c r="C199" s="1088">
        <v>0</v>
      </c>
      <c r="D199" s="1088">
        <v>0</v>
      </c>
      <c r="E199" s="1088">
        <v>0</v>
      </c>
      <c r="F199" s="1088">
        <v>0</v>
      </c>
      <c r="G199" s="1088">
        <v>0</v>
      </c>
      <c r="H199" s="1088">
        <v>0</v>
      </c>
      <c r="I199" s="1088">
        <v>0</v>
      </c>
      <c r="J199" s="1088">
        <v>0</v>
      </c>
      <c r="K199" s="1088">
        <v>0</v>
      </c>
      <c r="L199" s="1088">
        <v>0</v>
      </c>
      <c r="M199" s="1088">
        <v>0</v>
      </c>
      <c r="N199" s="1088">
        <v>0</v>
      </c>
      <c r="O199" s="1088">
        <v>0</v>
      </c>
      <c r="P199" s="1088">
        <v>0</v>
      </c>
      <c r="Q199" s="1088">
        <v>0</v>
      </c>
      <c r="R199" s="1088">
        <v>0</v>
      </c>
      <c r="S199" s="1088">
        <v>0</v>
      </c>
      <c r="T199" s="1088">
        <v>0</v>
      </c>
      <c r="U199" s="1088">
        <v>0</v>
      </c>
      <c r="V199" s="1088">
        <v>0</v>
      </c>
      <c r="W199" s="1088">
        <v>0</v>
      </c>
      <c r="X199" s="1088">
        <v>0</v>
      </c>
      <c r="Y199" s="1088">
        <v>0</v>
      </c>
      <c r="Z199" s="1088">
        <v>0</v>
      </c>
      <c r="AA199" s="1088">
        <v>0</v>
      </c>
      <c r="AB199" s="1088">
        <v>0</v>
      </c>
      <c r="AC199" s="1088">
        <v>0</v>
      </c>
      <c r="AD199" s="1088"/>
      <c r="AE199" s="1088"/>
      <c r="AF199" s="1088"/>
      <c r="AG199" s="1088"/>
      <c r="AH199" s="1088"/>
      <c r="AI199" s="1088"/>
      <c r="AJ199" s="1088"/>
      <c r="AK199" s="1088"/>
      <c r="AL199" s="1088"/>
      <c r="AM199" s="1088"/>
      <c r="AN199" s="1088"/>
      <c r="AO199" s="1088"/>
      <c r="AP199" s="1088"/>
      <c r="AQ199" s="1088"/>
      <c r="AR199" s="1088"/>
      <c r="AS199" s="1088"/>
      <c r="AT199" s="1088"/>
      <c r="AU199" s="1088"/>
      <c r="AV199" s="1088"/>
      <c r="AW199" s="1088"/>
      <c r="AX199" s="1086">
        <f t="shared" si="37"/>
        <v>0</v>
      </c>
    </row>
    <row r="200" spans="1:50" ht="12">
      <c r="A200" s="1086" t="s">
        <v>1479</v>
      </c>
      <c r="B200" s="1086" t="s">
        <v>1480</v>
      </c>
      <c r="C200" s="1088">
        <v>0</v>
      </c>
      <c r="D200" s="1088">
        <v>0</v>
      </c>
      <c r="E200" s="1088">
        <v>0</v>
      </c>
      <c r="F200" s="1088">
        <v>0</v>
      </c>
      <c r="G200" s="1088">
        <v>0</v>
      </c>
      <c r="H200" s="1088">
        <v>0</v>
      </c>
      <c r="I200" s="1088">
        <v>0</v>
      </c>
      <c r="J200" s="1088">
        <v>0</v>
      </c>
      <c r="K200" s="1088">
        <v>0</v>
      </c>
      <c r="L200" s="1088">
        <v>0</v>
      </c>
      <c r="M200" s="1088">
        <v>0</v>
      </c>
      <c r="N200" s="1088">
        <v>0</v>
      </c>
      <c r="O200" s="1088">
        <v>0</v>
      </c>
      <c r="P200" s="1088">
        <v>0</v>
      </c>
      <c r="Q200" s="1088">
        <v>0</v>
      </c>
      <c r="R200" s="1088">
        <v>0</v>
      </c>
      <c r="S200" s="1088">
        <v>0</v>
      </c>
      <c r="T200" s="1088">
        <v>0</v>
      </c>
      <c r="U200" s="1088">
        <v>0</v>
      </c>
      <c r="V200" s="1088">
        <v>0</v>
      </c>
      <c r="W200" s="1088">
        <v>0</v>
      </c>
      <c r="X200" s="1088">
        <v>0</v>
      </c>
      <c r="Y200" s="1088">
        <v>0</v>
      </c>
      <c r="Z200" s="1088">
        <v>0</v>
      </c>
      <c r="AA200" s="1088">
        <v>0</v>
      </c>
      <c r="AB200" s="1088">
        <v>0</v>
      </c>
      <c r="AC200" s="1088">
        <v>0</v>
      </c>
      <c r="AD200" s="1088"/>
      <c r="AE200" s="1088"/>
      <c r="AF200" s="1088"/>
      <c r="AG200" s="1088"/>
      <c r="AH200" s="1088"/>
      <c r="AI200" s="1088"/>
      <c r="AJ200" s="1088"/>
      <c r="AK200" s="1088"/>
      <c r="AL200" s="1088"/>
      <c r="AM200" s="1088"/>
      <c r="AN200" s="1088"/>
      <c r="AO200" s="1088"/>
      <c r="AP200" s="1088"/>
      <c r="AQ200" s="1088"/>
      <c r="AR200" s="1088"/>
      <c r="AS200" s="1088"/>
      <c r="AT200" s="1088"/>
      <c r="AU200" s="1088"/>
      <c r="AV200" s="1088"/>
      <c r="AW200" s="1088"/>
      <c r="AX200" s="1086">
        <f t="shared" si="37"/>
        <v>0</v>
      </c>
    </row>
    <row r="201" spans="1:50" ht="12">
      <c r="A201" s="1086" t="s">
        <v>1481</v>
      </c>
      <c r="B201" s="1086" t="s">
        <v>1482</v>
      </c>
      <c r="C201" s="1088">
        <v>0</v>
      </c>
      <c r="D201" s="1088">
        <v>0</v>
      </c>
      <c r="E201" s="1088">
        <v>0</v>
      </c>
      <c r="F201" s="1088">
        <v>0</v>
      </c>
      <c r="G201" s="1088">
        <v>0</v>
      </c>
      <c r="H201" s="1088">
        <v>0</v>
      </c>
      <c r="I201" s="1088">
        <v>0</v>
      </c>
      <c r="J201" s="1088">
        <v>0</v>
      </c>
      <c r="K201" s="1088">
        <v>0</v>
      </c>
      <c r="L201" s="1088">
        <v>0</v>
      </c>
      <c r="M201" s="1088">
        <v>0</v>
      </c>
      <c r="N201" s="1088">
        <v>0</v>
      </c>
      <c r="O201" s="1088">
        <v>0</v>
      </c>
      <c r="P201" s="1088">
        <v>0</v>
      </c>
      <c r="Q201" s="1088">
        <v>0</v>
      </c>
      <c r="R201" s="1088">
        <v>0</v>
      </c>
      <c r="S201" s="1088">
        <v>0</v>
      </c>
      <c r="T201" s="1088">
        <v>0</v>
      </c>
      <c r="U201" s="1088">
        <v>0</v>
      </c>
      <c r="V201" s="1088">
        <v>0</v>
      </c>
      <c r="W201" s="1088">
        <v>0</v>
      </c>
      <c r="X201" s="1088">
        <v>0</v>
      </c>
      <c r="Y201" s="1088">
        <v>0</v>
      </c>
      <c r="Z201" s="1088">
        <v>0</v>
      </c>
      <c r="AA201" s="1088">
        <v>0</v>
      </c>
      <c r="AB201" s="1088">
        <v>0</v>
      </c>
      <c r="AC201" s="1088">
        <v>0</v>
      </c>
      <c r="AD201" s="1088"/>
      <c r="AE201" s="1088"/>
      <c r="AF201" s="1088"/>
      <c r="AG201" s="1088"/>
      <c r="AH201" s="1088"/>
      <c r="AI201" s="1088"/>
      <c r="AJ201" s="1088"/>
      <c r="AK201" s="1088"/>
      <c r="AL201" s="1088"/>
      <c r="AM201" s="1088"/>
      <c r="AN201" s="1088"/>
      <c r="AO201" s="1088"/>
      <c r="AP201" s="1088"/>
      <c r="AQ201" s="1088"/>
      <c r="AR201" s="1088"/>
      <c r="AS201" s="1088"/>
      <c r="AT201" s="1088"/>
      <c r="AU201" s="1088"/>
      <c r="AV201" s="1088"/>
      <c r="AW201" s="1088"/>
      <c r="AX201" s="1086">
        <f t="shared" si="37"/>
        <v>0</v>
      </c>
    </row>
    <row r="202" spans="1:50" ht="12">
      <c r="A202" s="1086" t="s">
        <v>1483</v>
      </c>
      <c r="B202" s="1086" t="s">
        <v>1484</v>
      </c>
      <c r="C202" s="1088">
        <v>0</v>
      </c>
      <c r="D202" s="1088">
        <v>0</v>
      </c>
      <c r="E202" s="1088">
        <v>0</v>
      </c>
      <c r="F202" s="1088">
        <v>0</v>
      </c>
      <c r="G202" s="1088">
        <v>0</v>
      </c>
      <c r="H202" s="1088">
        <v>0</v>
      </c>
      <c r="I202" s="1088">
        <v>0</v>
      </c>
      <c r="J202" s="1088">
        <v>0</v>
      </c>
      <c r="K202" s="1088">
        <v>0</v>
      </c>
      <c r="L202" s="1088">
        <v>0</v>
      </c>
      <c r="M202" s="1088">
        <v>0</v>
      </c>
      <c r="N202" s="1088">
        <v>0</v>
      </c>
      <c r="O202" s="1088">
        <v>0</v>
      </c>
      <c r="P202" s="1088">
        <v>0</v>
      </c>
      <c r="Q202" s="1088">
        <v>0</v>
      </c>
      <c r="R202" s="1088">
        <v>0</v>
      </c>
      <c r="S202" s="1088">
        <v>0</v>
      </c>
      <c r="T202" s="1088">
        <v>0</v>
      </c>
      <c r="U202" s="1088">
        <v>0</v>
      </c>
      <c r="V202" s="1088">
        <v>0</v>
      </c>
      <c r="W202" s="1088">
        <v>0</v>
      </c>
      <c r="X202" s="1088">
        <v>0</v>
      </c>
      <c r="Y202" s="1088">
        <v>0</v>
      </c>
      <c r="Z202" s="1088">
        <v>0</v>
      </c>
      <c r="AA202" s="1088">
        <v>0</v>
      </c>
      <c r="AB202" s="1088">
        <v>0</v>
      </c>
      <c r="AC202" s="1088">
        <v>0</v>
      </c>
      <c r="AD202" s="1088"/>
      <c r="AE202" s="1088"/>
      <c r="AF202" s="1088"/>
      <c r="AG202" s="1088"/>
      <c r="AH202" s="1088"/>
      <c r="AI202" s="1088"/>
      <c r="AJ202" s="1088"/>
      <c r="AK202" s="1088"/>
      <c r="AL202" s="1088"/>
      <c r="AM202" s="1088"/>
      <c r="AN202" s="1088"/>
      <c r="AO202" s="1088"/>
      <c r="AP202" s="1088"/>
      <c r="AQ202" s="1088"/>
      <c r="AR202" s="1088"/>
      <c r="AS202" s="1088"/>
      <c r="AT202" s="1088"/>
      <c r="AU202" s="1088"/>
      <c r="AV202" s="1088"/>
      <c r="AW202" s="1088"/>
      <c r="AX202" s="1086">
        <f t="shared" si="37"/>
        <v>0</v>
      </c>
    </row>
    <row r="203" spans="1:50" ht="12">
      <c r="A203" s="1086" t="s">
        <v>1485</v>
      </c>
      <c r="B203" s="1086" t="s">
        <v>1486</v>
      </c>
      <c r="C203" s="1086">
        <f>SUM(C204:C205)</f>
        <v>0</v>
      </c>
      <c r="D203" s="1086">
        <f t="shared" ref="D203:AC203" si="39">SUM(D204:D205)</f>
        <v>0</v>
      </c>
      <c r="E203" s="1086">
        <f t="shared" si="39"/>
        <v>0</v>
      </c>
      <c r="F203" s="1086">
        <f t="shared" si="39"/>
        <v>0</v>
      </c>
      <c r="G203" s="1086">
        <f t="shared" si="39"/>
        <v>0</v>
      </c>
      <c r="H203" s="1086">
        <f t="shared" si="39"/>
        <v>0</v>
      </c>
      <c r="I203" s="1086">
        <f t="shared" si="39"/>
        <v>0</v>
      </c>
      <c r="J203" s="1086">
        <f t="shared" si="39"/>
        <v>0</v>
      </c>
      <c r="K203" s="1086">
        <f t="shared" si="39"/>
        <v>0</v>
      </c>
      <c r="L203" s="1086">
        <f t="shared" si="39"/>
        <v>0</v>
      </c>
      <c r="M203" s="1086">
        <f t="shared" si="39"/>
        <v>0</v>
      </c>
      <c r="N203" s="1086">
        <f t="shared" si="39"/>
        <v>0</v>
      </c>
      <c r="O203" s="1086">
        <f t="shared" si="39"/>
        <v>0</v>
      </c>
      <c r="P203" s="1086">
        <f t="shared" si="39"/>
        <v>0</v>
      </c>
      <c r="Q203" s="1086">
        <f t="shared" si="39"/>
        <v>0</v>
      </c>
      <c r="R203" s="1086">
        <f t="shared" si="39"/>
        <v>0</v>
      </c>
      <c r="S203" s="1086">
        <f t="shared" si="39"/>
        <v>0</v>
      </c>
      <c r="T203" s="1086">
        <f t="shared" si="39"/>
        <v>0</v>
      </c>
      <c r="U203" s="1086">
        <f t="shared" si="39"/>
        <v>0</v>
      </c>
      <c r="V203" s="1086">
        <f t="shared" si="39"/>
        <v>0</v>
      </c>
      <c r="W203" s="1086">
        <f t="shared" si="39"/>
        <v>0</v>
      </c>
      <c r="X203" s="1086">
        <f t="shared" si="39"/>
        <v>0</v>
      </c>
      <c r="Y203" s="1086">
        <f t="shared" si="39"/>
        <v>0</v>
      </c>
      <c r="Z203" s="1086">
        <f t="shared" si="39"/>
        <v>0</v>
      </c>
      <c r="AA203" s="1086">
        <f t="shared" si="39"/>
        <v>0</v>
      </c>
      <c r="AB203" s="1086">
        <f t="shared" si="39"/>
        <v>0</v>
      </c>
      <c r="AC203" s="1086">
        <f t="shared" si="39"/>
        <v>0</v>
      </c>
      <c r="AD203" s="1086"/>
      <c r="AE203" s="1086"/>
      <c r="AF203" s="1086"/>
      <c r="AG203" s="1086"/>
      <c r="AH203" s="1086"/>
      <c r="AI203" s="1086"/>
      <c r="AJ203" s="1086"/>
      <c r="AK203" s="1086"/>
      <c r="AL203" s="1086"/>
      <c r="AM203" s="1086"/>
      <c r="AN203" s="1086"/>
      <c r="AO203" s="1086"/>
      <c r="AP203" s="1086"/>
      <c r="AQ203" s="1086"/>
      <c r="AR203" s="1086"/>
      <c r="AS203" s="1086"/>
      <c r="AT203" s="1086"/>
      <c r="AU203" s="1086"/>
      <c r="AV203" s="1086"/>
      <c r="AW203" s="1086"/>
      <c r="AX203" s="1086">
        <f t="shared" si="37"/>
        <v>0</v>
      </c>
    </row>
    <row r="204" spans="1:50" ht="12">
      <c r="A204" s="1086" t="s">
        <v>1487</v>
      </c>
      <c r="B204" s="1086" t="s">
        <v>1488</v>
      </c>
      <c r="C204" s="1088">
        <v>0</v>
      </c>
      <c r="D204" s="1088">
        <v>0</v>
      </c>
      <c r="E204" s="1088">
        <v>0</v>
      </c>
      <c r="F204" s="1088">
        <v>0</v>
      </c>
      <c r="G204" s="1088">
        <v>0</v>
      </c>
      <c r="H204" s="1088">
        <v>0</v>
      </c>
      <c r="I204" s="1088">
        <v>0</v>
      </c>
      <c r="J204" s="1088">
        <v>0</v>
      </c>
      <c r="K204" s="1088">
        <v>0</v>
      </c>
      <c r="L204" s="1088">
        <v>0</v>
      </c>
      <c r="M204" s="1088">
        <v>0</v>
      </c>
      <c r="N204" s="1088">
        <v>0</v>
      </c>
      <c r="O204" s="1088">
        <v>0</v>
      </c>
      <c r="P204" s="1088">
        <v>0</v>
      </c>
      <c r="Q204" s="1088">
        <v>0</v>
      </c>
      <c r="R204" s="1088">
        <v>0</v>
      </c>
      <c r="S204" s="1088">
        <v>0</v>
      </c>
      <c r="T204" s="1088">
        <v>0</v>
      </c>
      <c r="U204" s="1088">
        <v>0</v>
      </c>
      <c r="V204" s="1088">
        <v>0</v>
      </c>
      <c r="W204" s="1088">
        <v>0</v>
      </c>
      <c r="X204" s="1088">
        <v>0</v>
      </c>
      <c r="Y204" s="1088">
        <v>0</v>
      </c>
      <c r="Z204" s="1088">
        <v>0</v>
      </c>
      <c r="AA204" s="1088">
        <v>0</v>
      </c>
      <c r="AB204" s="1088">
        <v>0</v>
      </c>
      <c r="AC204" s="1088">
        <v>0</v>
      </c>
      <c r="AD204" s="1088"/>
      <c r="AE204" s="1088"/>
      <c r="AF204" s="1088"/>
      <c r="AG204" s="1088"/>
      <c r="AH204" s="1088"/>
      <c r="AI204" s="1088"/>
      <c r="AJ204" s="1088"/>
      <c r="AK204" s="1088"/>
      <c r="AL204" s="1088"/>
      <c r="AM204" s="1088"/>
      <c r="AN204" s="1088"/>
      <c r="AO204" s="1088"/>
      <c r="AP204" s="1088"/>
      <c r="AQ204" s="1088"/>
      <c r="AR204" s="1088"/>
      <c r="AS204" s="1088"/>
      <c r="AT204" s="1088"/>
      <c r="AU204" s="1088"/>
      <c r="AV204" s="1088"/>
      <c r="AW204" s="1088"/>
      <c r="AX204" s="1086">
        <f t="shared" si="37"/>
        <v>0</v>
      </c>
    </row>
    <row r="205" spans="1:50" ht="24">
      <c r="A205" s="1086" t="s">
        <v>1489</v>
      </c>
      <c r="B205" s="1086" t="s">
        <v>1490</v>
      </c>
      <c r="C205" s="1088">
        <v>0</v>
      </c>
      <c r="D205" s="1088">
        <v>0</v>
      </c>
      <c r="E205" s="1088">
        <v>0</v>
      </c>
      <c r="F205" s="1088">
        <v>0</v>
      </c>
      <c r="G205" s="1088">
        <v>0</v>
      </c>
      <c r="H205" s="1088">
        <v>0</v>
      </c>
      <c r="I205" s="1088">
        <v>0</v>
      </c>
      <c r="J205" s="1088">
        <v>0</v>
      </c>
      <c r="K205" s="1088">
        <v>0</v>
      </c>
      <c r="L205" s="1088">
        <v>0</v>
      </c>
      <c r="M205" s="1088">
        <v>0</v>
      </c>
      <c r="N205" s="1088">
        <v>0</v>
      </c>
      <c r="O205" s="1088">
        <v>0</v>
      </c>
      <c r="P205" s="1088">
        <v>0</v>
      </c>
      <c r="Q205" s="1088">
        <v>0</v>
      </c>
      <c r="R205" s="1088">
        <v>0</v>
      </c>
      <c r="S205" s="1088">
        <v>0</v>
      </c>
      <c r="T205" s="1088">
        <v>0</v>
      </c>
      <c r="U205" s="1088">
        <v>0</v>
      </c>
      <c r="V205" s="1088">
        <v>0</v>
      </c>
      <c r="W205" s="1088">
        <v>0</v>
      </c>
      <c r="X205" s="1088">
        <v>0</v>
      </c>
      <c r="Y205" s="1088">
        <v>0</v>
      </c>
      <c r="Z205" s="1088">
        <v>0</v>
      </c>
      <c r="AA205" s="1088">
        <v>0</v>
      </c>
      <c r="AB205" s="1088">
        <v>0</v>
      </c>
      <c r="AC205" s="1088">
        <v>0</v>
      </c>
      <c r="AD205" s="1088"/>
      <c r="AE205" s="1088"/>
      <c r="AF205" s="1088"/>
      <c r="AG205" s="1088"/>
      <c r="AH205" s="1088"/>
      <c r="AI205" s="1088"/>
      <c r="AJ205" s="1088"/>
      <c r="AK205" s="1088"/>
      <c r="AL205" s="1088"/>
      <c r="AM205" s="1088"/>
      <c r="AN205" s="1088"/>
      <c r="AO205" s="1088"/>
      <c r="AP205" s="1088"/>
      <c r="AQ205" s="1088"/>
      <c r="AR205" s="1088"/>
      <c r="AS205" s="1088"/>
      <c r="AT205" s="1088"/>
      <c r="AU205" s="1088"/>
      <c r="AV205" s="1088"/>
      <c r="AW205" s="1088"/>
      <c r="AX205" s="1086">
        <f t="shared" si="37"/>
        <v>0</v>
      </c>
    </row>
    <row r="206" spans="1:50" ht="12">
      <c r="A206" s="1086" t="s">
        <v>1491</v>
      </c>
      <c r="B206" s="1086" t="s">
        <v>1492</v>
      </c>
      <c r="C206" s="1086">
        <f>C207</f>
        <v>0</v>
      </c>
      <c r="D206" s="1086">
        <f t="shared" ref="D206:AC206" si="40">D207</f>
        <v>0</v>
      </c>
      <c r="E206" s="1086">
        <f t="shared" si="40"/>
        <v>0</v>
      </c>
      <c r="F206" s="1086">
        <f t="shared" si="40"/>
        <v>38059575.014919996</v>
      </c>
      <c r="G206" s="1086">
        <f t="shared" si="40"/>
        <v>66009494.960320003</v>
      </c>
      <c r="H206" s="1086">
        <f t="shared" si="40"/>
        <v>35017633.30432</v>
      </c>
      <c r="I206" s="1086">
        <f t="shared" si="40"/>
        <v>39121583.30432</v>
      </c>
      <c r="J206" s="1086">
        <f t="shared" si="40"/>
        <v>76969062.79772982</v>
      </c>
      <c r="K206" s="1086">
        <f t="shared" si="40"/>
        <v>62691859.74306909</v>
      </c>
      <c r="L206" s="1086">
        <f t="shared" si="40"/>
        <v>60067144.74306909</v>
      </c>
      <c r="M206" s="1086">
        <f t="shared" si="40"/>
        <v>60067144.74306909</v>
      </c>
      <c r="N206" s="1086">
        <f t="shared" si="40"/>
        <v>60067144.74306909</v>
      </c>
      <c r="O206" s="1086">
        <f t="shared" si="40"/>
        <v>60067144.74306909</v>
      </c>
      <c r="P206" s="1086">
        <f t="shared" si="40"/>
        <v>60067144.74306909</v>
      </c>
      <c r="Q206" s="1086">
        <f t="shared" si="40"/>
        <v>60067144.74306909</v>
      </c>
      <c r="R206" s="1086">
        <f t="shared" si="40"/>
        <v>60067144.74306909</v>
      </c>
      <c r="S206" s="1086">
        <f t="shared" si="40"/>
        <v>60633259.74306909</v>
      </c>
      <c r="T206" s="1086">
        <f t="shared" si="40"/>
        <v>60633259.74306909</v>
      </c>
      <c r="U206" s="1086">
        <f t="shared" si="40"/>
        <v>33854470</v>
      </c>
      <c r="V206" s="1086">
        <f t="shared" si="40"/>
        <v>32781703.590199947</v>
      </c>
      <c r="W206" s="1086">
        <f t="shared" si="40"/>
        <v>0</v>
      </c>
      <c r="X206" s="1086">
        <f t="shared" si="40"/>
        <v>0</v>
      </c>
      <c r="Y206" s="1086">
        <f t="shared" si="40"/>
        <v>0</v>
      </c>
      <c r="Z206" s="1086">
        <f t="shared" si="40"/>
        <v>0</v>
      </c>
      <c r="AA206" s="1086">
        <f t="shared" si="40"/>
        <v>0</v>
      </c>
      <c r="AB206" s="1086">
        <f t="shared" si="40"/>
        <v>0</v>
      </c>
      <c r="AC206" s="1086">
        <f t="shared" si="40"/>
        <v>0</v>
      </c>
      <c r="AD206" s="1086"/>
      <c r="AE206" s="1086"/>
      <c r="AF206" s="1086"/>
      <c r="AG206" s="1086"/>
      <c r="AH206" s="1086"/>
      <c r="AI206" s="1086"/>
      <c r="AJ206" s="1086"/>
      <c r="AK206" s="1086"/>
      <c r="AL206" s="1086"/>
      <c r="AM206" s="1086"/>
      <c r="AN206" s="1086"/>
      <c r="AO206" s="1086"/>
      <c r="AP206" s="1086"/>
      <c r="AQ206" s="1086"/>
      <c r="AR206" s="1086"/>
      <c r="AS206" s="1086"/>
      <c r="AT206" s="1086"/>
      <c r="AU206" s="1086"/>
      <c r="AV206" s="1086"/>
      <c r="AW206" s="1086"/>
      <c r="AX206" s="1086">
        <f t="shared" si="37"/>
        <v>926241915.40250051</v>
      </c>
    </row>
    <row r="207" spans="1:50" ht="12">
      <c r="A207" s="1086" t="s">
        <v>1493</v>
      </c>
      <c r="B207" s="1086" t="s">
        <v>1494</v>
      </c>
      <c r="C207" s="1086">
        <f>SUM(C208:C215)</f>
        <v>0</v>
      </c>
      <c r="D207" s="1086">
        <f t="shared" ref="D207:AC207" si="41">SUM(D208:D215)</f>
        <v>0</v>
      </c>
      <c r="E207" s="1086">
        <f t="shared" si="41"/>
        <v>0</v>
      </c>
      <c r="F207" s="1086">
        <f t="shared" si="41"/>
        <v>38059575.014919996</v>
      </c>
      <c r="G207" s="1086">
        <f t="shared" si="41"/>
        <v>66009494.960320003</v>
      </c>
      <c r="H207" s="1086">
        <f t="shared" si="41"/>
        <v>35017633.30432</v>
      </c>
      <c r="I207" s="1086">
        <f t="shared" si="41"/>
        <v>39121583.30432</v>
      </c>
      <c r="J207" s="1086">
        <f t="shared" si="41"/>
        <v>76969062.79772982</v>
      </c>
      <c r="K207" s="1086">
        <f t="shared" si="41"/>
        <v>62691859.74306909</v>
      </c>
      <c r="L207" s="1086">
        <f t="shared" si="41"/>
        <v>60067144.74306909</v>
      </c>
      <c r="M207" s="1086">
        <f t="shared" si="41"/>
        <v>60067144.74306909</v>
      </c>
      <c r="N207" s="1086">
        <f t="shared" si="41"/>
        <v>60067144.74306909</v>
      </c>
      <c r="O207" s="1086">
        <f t="shared" si="41"/>
        <v>60067144.74306909</v>
      </c>
      <c r="P207" s="1086">
        <f t="shared" si="41"/>
        <v>60067144.74306909</v>
      </c>
      <c r="Q207" s="1086">
        <f t="shared" si="41"/>
        <v>60067144.74306909</v>
      </c>
      <c r="R207" s="1086">
        <f t="shared" si="41"/>
        <v>60067144.74306909</v>
      </c>
      <c r="S207" s="1086">
        <f t="shared" si="41"/>
        <v>60633259.74306909</v>
      </c>
      <c r="T207" s="1086">
        <f t="shared" si="41"/>
        <v>60633259.74306909</v>
      </c>
      <c r="U207" s="1086">
        <f t="shared" si="41"/>
        <v>33854470</v>
      </c>
      <c r="V207" s="1086">
        <f t="shared" si="41"/>
        <v>32781703.590199947</v>
      </c>
      <c r="W207" s="1086">
        <f t="shared" si="41"/>
        <v>0</v>
      </c>
      <c r="X207" s="1086">
        <f t="shared" si="41"/>
        <v>0</v>
      </c>
      <c r="Y207" s="1086">
        <f t="shared" si="41"/>
        <v>0</v>
      </c>
      <c r="Z207" s="1086">
        <f t="shared" si="41"/>
        <v>0</v>
      </c>
      <c r="AA207" s="1086">
        <f t="shared" si="41"/>
        <v>0</v>
      </c>
      <c r="AB207" s="1086">
        <f t="shared" si="41"/>
        <v>0</v>
      </c>
      <c r="AC207" s="1086">
        <f t="shared" si="41"/>
        <v>0</v>
      </c>
      <c r="AD207" s="1086"/>
      <c r="AE207" s="1086"/>
      <c r="AF207" s="1086"/>
      <c r="AG207" s="1086"/>
      <c r="AH207" s="1086"/>
      <c r="AI207" s="1086"/>
      <c r="AJ207" s="1086"/>
      <c r="AK207" s="1086"/>
      <c r="AL207" s="1086"/>
      <c r="AM207" s="1086"/>
      <c r="AN207" s="1086"/>
      <c r="AO207" s="1086"/>
      <c r="AP207" s="1086"/>
      <c r="AQ207" s="1086"/>
      <c r="AR207" s="1086"/>
      <c r="AS207" s="1086"/>
      <c r="AT207" s="1086"/>
      <c r="AU207" s="1086"/>
      <c r="AV207" s="1086"/>
      <c r="AW207" s="1086"/>
      <c r="AX207" s="1086">
        <f t="shared" si="37"/>
        <v>926241915.40250051</v>
      </c>
    </row>
    <row r="208" spans="1:50" ht="12">
      <c r="A208" s="1086" t="s">
        <v>1495</v>
      </c>
      <c r="B208" s="1086" t="s">
        <v>1496</v>
      </c>
      <c r="C208" s="1088">
        <v>0</v>
      </c>
      <c r="D208" s="1088">
        <v>0</v>
      </c>
      <c r="E208" s="1088">
        <v>0</v>
      </c>
      <c r="F208" s="1088">
        <v>32700000</v>
      </c>
      <c r="G208" s="1088">
        <v>32700000</v>
      </c>
      <c r="H208" s="1088">
        <v>32700000</v>
      </c>
      <c r="I208" s="1088">
        <v>32700000</v>
      </c>
      <c r="J208" s="1088">
        <v>32700000</v>
      </c>
      <c r="K208" s="1088">
        <v>32700000</v>
      </c>
      <c r="L208" s="1088">
        <v>32700000</v>
      </c>
      <c r="M208" s="1088">
        <v>32700000</v>
      </c>
      <c r="N208" s="1088">
        <v>32700000</v>
      </c>
      <c r="O208" s="1088">
        <v>32700000</v>
      </c>
      <c r="P208" s="1088">
        <v>32700000</v>
      </c>
      <c r="Q208" s="1088">
        <v>32700000</v>
      </c>
      <c r="R208" s="1088">
        <v>32700000</v>
      </c>
      <c r="S208" s="1088">
        <v>32700000</v>
      </c>
      <c r="T208" s="1088">
        <v>32700000</v>
      </c>
      <c r="U208" s="1088">
        <v>32700000</v>
      </c>
      <c r="V208" s="1088">
        <v>32700000</v>
      </c>
      <c r="W208" s="1088">
        <v>0</v>
      </c>
      <c r="X208" s="1088">
        <v>0</v>
      </c>
      <c r="Y208" s="1088">
        <v>0</v>
      </c>
      <c r="Z208" s="1088">
        <v>0</v>
      </c>
      <c r="AA208" s="1088">
        <v>0</v>
      </c>
      <c r="AB208" s="1088">
        <v>0</v>
      </c>
      <c r="AC208" s="1088">
        <v>0</v>
      </c>
      <c r="AD208" s="1088"/>
      <c r="AE208" s="1088"/>
      <c r="AF208" s="1088"/>
      <c r="AG208" s="1088"/>
      <c r="AH208" s="1088"/>
      <c r="AI208" s="1088"/>
      <c r="AJ208" s="1088"/>
      <c r="AK208" s="1088"/>
      <c r="AL208" s="1088"/>
      <c r="AM208" s="1088"/>
      <c r="AN208" s="1088"/>
      <c r="AO208" s="1088"/>
      <c r="AP208" s="1088"/>
      <c r="AQ208" s="1088"/>
      <c r="AR208" s="1088"/>
      <c r="AS208" s="1088"/>
      <c r="AT208" s="1088"/>
      <c r="AU208" s="1088"/>
      <c r="AV208" s="1088"/>
      <c r="AW208" s="1088"/>
      <c r="AX208" s="1086">
        <f t="shared" si="37"/>
        <v>555900000</v>
      </c>
    </row>
    <row r="209" spans="1:51" ht="12">
      <c r="A209" s="1086" t="s">
        <v>1497</v>
      </c>
      <c r="B209" s="1086" t="s">
        <v>1498</v>
      </c>
      <c r="C209" s="1088">
        <v>0</v>
      </c>
      <c r="D209" s="1088">
        <v>0</v>
      </c>
      <c r="E209" s="1088">
        <v>0</v>
      </c>
      <c r="F209" s="1088">
        <v>0</v>
      </c>
      <c r="G209" s="1088">
        <v>30000000</v>
      </c>
      <c r="H209" s="1088">
        <v>0</v>
      </c>
      <c r="I209" s="1088">
        <v>0</v>
      </c>
      <c r="J209" s="1088">
        <v>0</v>
      </c>
      <c r="K209" s="1088">
        <v>0</v>
      </c>
      <c r="L209" s="1088">
        <v>0</v>
      </c>
      <c r="M209" s="1088">
        <v>0</v>
      </c>
      <c r="N209" s="1088">
        <v>0</v>
      </c>
      <c r="O209" s="1088">
        <v>0</v>
      </c>
      <c r="P209" s="1088">
        <v>0</v>
      </c>
      <c r="Q209" s="1088">
        <v>0</v>
      </c>
      <c r="R209" s="1088">
        <v>0</v>
      </c>
      <c r="S209" s="1088">
        <v>0</v>
      </c>
      <c r="T209" s="1088">
        <v>0</v>
      </c>
      <c r="U209" s="1088">
        <v>0</v>
      </c>
      <c r="V209" s="1088">
        <v>0</v>
      </c>
      <c r="W209" s="1088">
        <v>0</v>
      </c>
      <c r="X209" s="1088">
        <v>0</v>
      </c>
      <c r="Y209" s="1088">
        <v>0</v>
      </c>
      <c r="Z209" s="1088">
        <v>0</v>
      </c>
      <c r="AA209" s="1088">
        <v>0</v>
      </c>
      <c r="AB209" s="1088">
        <v>0</v>
      </c>
      <c r="AC209" s="1088">
        <v>0</v>
      </c>
      <c r="AD209" s="1088"/>
      <c r="AE209" s="1088"/>
      <c r="AF209" s="1088"/>
      <c r="AG209" s="1088"/>
      <c r="AH209" s="1088"/>
      <c r="AI209" s="1088"/>
      <c r="AJ209" s="1088"/>
      <c r="AK209" s="1088"/>
      <c r="AL209" s="1088"/>
      <c r="AM209" s="1088"/>
      <c r="AN209" s="1088"/>
      <c r="AO209" s="1088"/>
      <c r="AP209" s="1088"/>
      <c r="AQ209" s="1088"/>
      <c r="AR209" s="1088"/>
      <c r="AS209" s="1088"/>
      <c r="AT209" s="1088"/>
      <c r="AU209" s="1088"/>
      <c r="AV209" s="1088"/>
      <c r="AW209" s="1088"/>
      <c r="AX209" s="1086">
        <f t="shared" si="37"/>
        <v>30000000</v>
      </c>
    </row>
    <row r="210" spans="1:51" ht="12">
      <c r="A210" s="1086" t="s">
        <v>1499</v>
      </c>
      <c r="B210" s="1086" t="s">
        <v>1500</v>
      </c>
      <c r="C210" s="1088">
        <v>0</v>
      </c>
      <c r="D210" s="1088">
        <v>0</v>
      </c>
      <c r="E210" s="1088">
        <v>0</v>
      </c>
      <c r="F210" s="1088">
        <v>0</v>
      </c>
      <c r="G210" s="1088">
        <v>0</v>
      </c>
      <c r="H210" s="1088">
        <v>0</v>
      </c>
      <c r="I210" s="1088">
        <v>0</v>
      </c>
      <c r="J210" s="1088">
        <v>0</v>
      </c>
      <c r="K210" s="1088">
        <v>0</v>
      </c>
      <c r="L210" s="1088">
        <v>0</v>
      </c>
      <c r="M210" s="1088">
        <v>0</v>
      </c>
      <c r="N210" s="1088">
        <v>0</v>
      </c>
      <c r="O210" s="1088">
        <v>0</v>
      </c>
      <c r="P210" s="1088">
        <v>0</v>
      </c>
      <c r="Q210" s="1088">
        <v>0</v>
      </c>
      <c r="R210" s="1088">
        <v>0</v>
      </c>
      <c r="S210" s="1088">
        <v>0</v>
      </c>
      <c r="T210" s="1088">
        <v>0</v>
      </c>
      <c r="U210" s="1088">
        <v>0</v>
      </c>
      <c r="V210" s="1088">
        <v>0</v>
      </c>
      <c r="W210" s="1088">
        <v>0</v>
      </c>
      <c r="X210" s="1088">
        <v>0</v>
      </c>
      <c r="Y210" s="1088">
        <v>0</v>
      </c>
      <c r="Z210" s="1088">
        <v>0</v>
      </c>
      <c r="AA210" s="1088">
        <v>0</v>
      </c>
      <c r="AB210" s="1088">
        <v>0</v>
      </c>
      <c r="AC210" s="1088">
        <v>0</v>
      </c>
      <c r="AD210" s="1088"/>
      <c r="AE210" s="1088"/>
      <c r="AF210" s="1088"/>
      <c r="AG210" s="1088"/>
      <c r="AH210" s="1088"/>
      <c r="AI210" s="1088"/>
      <c r="AJ210" s="1088"/>
      <c r="AK210" s="1088"/>
      <c r="AL210" s="1088"/>
      <c r="AM210" s="1088"/>
      <c r="AN210" s="1088"/>
      <c r="AO210" s="1088"/>
      <c r="AP210" s="1088"/>
      <c r="AQ210" s="1088"/>
      <c r="AR210" s="1088"/>
      <c r="AS210" s="1088"/>
      <c r="AT210" s="1088"/>
      <c r="AU210" s="1088"/>
      <c r="AV210" s="1088"/>
      <c r="AW210" s="1088"/>
      <c r="AX210" s="1086">
        <f t="shared" si="37"/>
        <v>0</v>
      </c>
    </row>
    <row r="211" spans="1:51" ht="24">
      <c r="A211" s="1086" t="s">
        <v>1501</v>
      </c>
      <c r="B211" s="1086" t="s">
        <v>1502</v>
      </c>
      <c r="C211" s="1088">
        <v>0</v>
      </c>
      <c r="D211" s="1088">
        <v>0</v>
      </c>
      <c r="E211" s="1088">
        <v>0</v>
      </c>
      <c r="F211" s="1088">
        <v>0</v>
      </c>
      <c r="G211" s="1088">
        <v>0</v>
      </c>
      <c r="H211" s="1088">
        <v>0</v>
      </c>
      <c r="I211" s="1088">
        <v>0</v>
      </c>
      <c r="J211" s="1088">
        <v>0</v>
      </c>
      <c r="K211" s="1088">
        <v>0</v>
      </c>
      <c r="L211" s="1088">
        <v>0</v>
      </c>
      <c r="M211" s="1088">
        <v>0</v>
      </c>
      <c r="N211" s="1088">
        <v>0</v>
      </c>
      <c r="O211" s="1088">
        <v>0</v>
      </c>
      <c r="P211" s="1088">
        <v>0</v>
      </c>
      <c r="Q211" s="1088">
        <v>0</v>
      </c>
      <c r="R211" s="1088">
        <v>0</v>
      </c>
      <c r="S211" s="1088">
        <v>0</v>
      </c>
      <c r="T211" s="1088">
        <v>0</v>
      </c>
      <c r="U211" s="1088">
        <v>0</v>
      </c>
      <c r="V211" s="1088">
        <v>0</v>
      </c>
      <c r="W211" s="1088">
        <v>0</v>
      </c>
      <c r="X211" s="1088">
        <v>0</v>
      </c>
      <c r="Y211" s="1088">
        <v>0</v>
      </c>
      <c r="Z211" s="1088">
        <v>0</v>
      </c>
      <c r="AA211" s="1088">
        <v>0</v>
      </c>
      <c r="AB211" s="1088">
        <v>0</v>
      </c>
      <c r="AC211" s="1088">
        <v>0</v>
      </c>
      <c r="AD211" s="1088"/>
      <c r="AE211" s="1088"/>
      <c r="AF211" s="1088"/>
      <c r="AG211" s="1088"/>
      <c r="AH211" s="1088"/>
      <c r="AI211" s="1088"/>
      <c r="AJ211" s="1088"/>
      <c r="AK211" s="1088"/>
      <c r="AL211" s="1088"/>
      <c r="AM211" s="1088"/>
      <c r="AN211" s="1088"/>
      <c r="AO211" s="1088"/>
      <c r="AP211" s="1088"/>
      <c r="AQ211" s="1088"/>
      <c r="AR211" s="1088"/>
      <c r="AS211" s="1088"/>
      <c r="AT211" s="1088"/>
      <c r="AU211" s="1088"/>
      <c r="AV211" s="1088"/>
      <c r="AW211" s="1088"/>
      <c r="AX211" s="1086">
        <f t="shared" si="37"/>
        <v>0</v>
      </c>
    </row>
    <row r="212" spans="1:51" ht="24">
      <c r="A212" s="1086" t="s">
        <v>1503</v>
      </c>
      <c r="B212" s="1086" t="s">
        <v>1504</v>
      </c>
      <c r="C212" s="1088">
        <v>0</v>
      </c>
      <c r="D212" s="1088">
        <v>0</v>
      </c>
      <c r="E212" s="1088">
        <v>0</v>
      </c>
      <c r="F212" s="1088">
        <v>0</v>
      </c>
      <c r="G212" s="1088">
        <v>0</v>
      </c>
      <c r="H212" s="1088">
        <v>0</v>
      </c>
      <c r="I212" s="1088">
        <v>0</v>
      </c>
      <c r="J212" s="1088">
        <v>0</v>
      </c>
      <c r="K212" s="1088">
        <v>0</v>
      </c>
      <c r="L212" s="1088">
        <v>0</v>
      </c>
      <c r="M212" s="1088">
        <v>0</v>
      </c>
      <c r="N212" s="1088">
        <v>0</v>
      </c>
      <c r="O212" s="1088">
        <v>0</v>
      </c>
      <c r="P212" s="1088">
        <v>0</v>
      </c>
      <c r="Q212" s="1088">
        <v>0</v>
      </c>
      <c r="R212" s="1088">
        <v>0</v>
      </c>
      <c r="S212" s="1088">
        <v>0</v>
      </c>
      <c r="T212" s="1088">
        <v>0</v>
      </c>
      <c r="U212" s="1088">
        <v>0</v>
      </c>
      <c r="V212" s="1088">
        <v>0</v>
      </c>
      <c r="W212" s="1088">
        <v>0</v>
      </c>
      <c r="X212" s="1088">
        <v>0</v>
      </c>
      <c r="Y212" s="1088">
        <v>0</v>
      </c>
      <c r="Z212" s="1088">
        <v>0</v>
      </c>
      <c r="AA212" s="1088">
        <v>0</v>
      </c>
      <c r="AB212" s="1088">
        <v>0</v>
      </c>
      <c r="AC212" s="1088">
        <v>0</v>
      </c>
      <c r="AD212" s="1088"/>
      <c r="AE212" s="1088"/>
      <c r="AF212" s="1088"/>
      <c r="AG212" s="1088"/>
      <c r="AH212" s="1088"/>
      <c r="AI212" s="1088"/>
      <c r="AJ212" s="1088"/>
      <c r="AK212" s="1088"/>
      <c r="AL212" s="1088"/>
      <c r="AM212" s="1088"/>
      <c r="AN212" s="1088"/>
      <c r="AO212" s="1088"/>
      <c r="AP212" s="1088"/>
      <c r="AQ212" s="1088"/>
      <c r="AR212" s="1088"/>
      <c r="AS212" s="1088"/>
      <c r="AT212" s="1088"/>
      <c r="AU212" s="1088"/>
      <c r="AV212" s="1088"/>
      <c r="AW212" s="1088"/>
      <c r="AX212" s="1086">
        <f t="shared" si="37"/>
        <v>0</v>
      </c>
    </row>
    <row r="213" spans="1:51" ht="24">
      <c r="A213" s="1086" t="s">
        <v>1505</v>
      </c>
      <c r="B213" s="1086" t="s">
        <v>1506</v>
      </c>
      <c r="C213" s="1088">
        <v>0</v>
      </c>
      <c r="D213" s="1088">
        <v>0</v>
      </c>
      <c r="E213" s="1088">
        <v>0</v>
      </c>
      <c r="F213" s="1088">
        <v>0</v>
      </c>
      <c r="G213" s="1088">
        <v>0</v>
      </c>
      <c r="H213" s="1088">
        <v>0</v>
      </c>
      <c r="I213" s="1088">
        <v>0</v>
      </c>
      <c r="J213" s="1088">
        <v>0</v>
      </c>
      <c r="K213" s="1088">
        <v>0</v>
      </c>
      <c r="L213" s="1088">
        <v>0</v>
      </c>
      <c r="M213" s="1088">
        <v>0</v>
      </c>
      <c r="N213" s="1088">
        <v>0</v>
      </c>
      <c r="O213" s="1088">
        <v>0</v>
      </c>
      <c r="P213" s="1088">
        <v>0</v>
      </c>
      <c r="Q213" s="1088">
        <v>0</v>
      </c>
      <c r="R213" s="1088">
        <v>0</v>
      </c>
      <c r="S213" s="1088">
        <v>0</v>
      </c>
      <c r="T213" s="1088">
        <v>0</v>
      </c>
      <c r="U213" s="1088">
        <v>0</v>
      </c>
      <c r="V213" s="1088">
        <v>0</v>
      </c>
      <c r="W213" s="1088">
        <v>0</v>
      </c>
      <c r="X213" s="1088">
        <v>0</v>
      </c>
      <c r="Y213" s="1088">
        <v>0</v>
      </c>
      <c r="Z213" s="1088">
        <v>0</v>
      </c>
      <c r="AA213" s="1088">
        <v>0</v>
      </c>
      <c r="AB213" s="1088">
        <v>0</v>
      </c>
      <c r="AC213" s="1088">
        <v>0</v>
      </c>
      <c r="AD213" s="1088"/>
      <c r="AE213" s="1088"/>
      <c r="AF213" s="1088"/>
      <c r="AG213" s="1088"/>
      <c r="AH213" s="1088"/>
      <c r="AI213" s="1088"/>
      <c r="AJ213" s="1088"/>
      <c r="AK213" s="1088"/>
      <c r="AL213" s="1088"/>
      <c r="AM213" s="1088"/>
      <c r="AN213" s="1088"/>
      <c r="AO213" s="1088"/>
      <c r="AP213" s="1088"/>
      <c r="AQ213" s="1088"/>
      <c r="AR213" s="1088"/>
      <c r="AS213" s="1088"/>
      <c r="AT213" s="1088"/>
      <c r="AU213" s="1088"/>
      <c r="AV213" s="1088"/>
      <c r="AW213" s="1088"/>
      <c r="AX213" s="1086">
        <f t="shared" si="37"/>
        <v>0</v>
      </c>
    </row>
    <row r="214" spans="1:51" ht="24">
      <c r="A214" s="1086" t="s">
        <v>1507</v>
      </c>
      <c r="B214" s="1086" t="s">
        <v>1508</v>
      </c>
      <c r="C214" s="1088">
        <v>0</v>
      </c>
      <c r="D214" s="1088">
        <v>0</v>
      </c>
      <c r="E214" s="1088">
        <v>0</v>
      </c>
      <c r="F214" s="1088">
        <v>4631000</v>
      </c>
      <c r="G214" s="1088">
        <v>1500000</v>
      </c>
      <c r="H214" s="1088">
        <v>1500000</v>
      </c>
      <c r="I214" s="1088">
        <v>1500000</v>
      </c>
      <c r="J214" s="1088">
        <v>12230136.363636363</v>
      </c>
      <c r="K214" s="1088">
        <v>10730136.363636363</v>
      </c>
      <c r="L214" s="1088">
        <v>10730136.363636363</v>
      </c>
      <c r="M214" s="1088">
        <v>10730136.363636363</v>
      </c>
      <c r="N214" s="1088">
        <v>10730136.363636363</v>
      </c>
      <c r="O214" s="1088">
        <v>10730136.363636363</v>
      </c>
      <c r="P214" s="1088">
        <v>10730136.363636363</v>
      </c>
      <c r="Q214" s="1088">
        <v>10730136.363636363</v>
      </c>
      <c r="R214" s="1088">
        <v>10730136.363636363</v>
      </c>
      <c r="S214" s="1088">
        <v>10730136.363636363</v>
      </c>
      <c r="T214" s="1088">
        <v>10730136.363636363</v>
      </c>
      <c r="U214" s="1088">
        <v>0</v>
      </c>
      <c r="V214" s="1088">
        <v>0</v>
      </c>
      <c r="W214" s="1088">
        <v>0</v>
      </c>
      <c r="X214" s="1088">
        <v>0</v>
      </c>
      <c r="Y214" s="1088">
        <v>0</v>
      </c>
      <c r="Z214" s="1088">
        <v>0</v>
      </c>
      <c r="AA214" s="1088">
        <v>0</v>
      </c>
      <c r="AB214" s="1088">
        <v>0</v>
      </c>
      <c r="AC214" s="1088">
        <v>0</v>
      </c>
      <c r="AD214" s="1088"/>
      <c r="AE214" s="1088"/>
      <c r="AF214" s="1088"/>
      <c r="AG214" s="1088"/>
      <c r="AH214" s="1088"/>
      <c r="AI214" s="1088"/>
      <c r="AJ214" s="1088"/>
      <c r="AK214" s="1088"/>
      <c r="AL214" s="1088"/>
      <c r="AM214" s="1088"/>
      <c r="AN214" s="1088"/>
      <c r="AO214" s="1088"/>
      <c r="AP214" s="1088"/>
      <c r="AQ214" s="1088"/>
      <c r="AR214" s="1088"/>
      <c r="AS214" s="1088"/>
      <c r="AT214" s="1088"/>
      <c r="AU214" s="1088"/>
      <c r="AV214" s="1088"/>
      <c r="AW214" s="1088"/>
      <c r="AX214" s="1086">
        <f t="shared" si="37"/>
        <v>128662499.99999997</v>
      </c>
    </row>
    <row r="215" spans="1:51" ht="12">
      <c r="A215" s="1086" t="s">
        <v>1509</v>
      </c>
      <c r="B215" s="1086" t="s">
        <v>1510</v>
      </c>
      <c r="C215" s="1088">
        <v>0</v>
      </c>
      <c r="D215" s="1088">
        <v>0</v>
      </c>
      <c r="E215" s="1088">
        <v>0</v>
      </c>
      <c r="F215" s="1088">
        <v>728575.01491999999</v>
      </c>
      <c r="G215" s="1088">
        <v>1809494.9603200001</v>
      </c>
      <c r="H215" s="1088">
        <v>817633.30432</v>
      </c>
      <c r="I215" s="1088">
        <v>4921583.3043200001</v>
      </c>
      <c r="J215" s="1088">
        <v>32038926.434093453</v>
      </c>
      <c r="K215" s="1088">
        <v>19261723.37943273</v>
      </c>
      <c r="L215" s="1088">
        <v>16637008.379432729</v>
      </c>
      <c r="M215" s="1088">
        <v>16637008.379432729</v>
      </c>
      <c r="N215" s="1088">
        <v>16637008.379432729</v>
      </c>
      <c r="O215" s="1088">
        <v>16637008.379432729</v>
      </c>
      <c r="P215" s="1088">
        <v>16637008.379432729</v>
      </c>
      <c r="Q215" s="1088">
        <v>16637008.379432729</v>
      </c>
      <c r="R215" s="1088">
        <v>16637008.379432729</v>
      </c>
      <c r="S215" s="1088">
        <v>17203123.37943273</v>
      </c>
      <c r="T215" s="1088">
        <v>17203123.37943273</v>
      </c>
      <c r="U215" s="1088">
        <v>1154470</v>
      </c>
      <c r="V215" s="1088">
        <v>81703.590199947357</v>
      </c>
      <c r="W215" s="1088">
        <v>0</v>
      </c>
      <c r="X215" s="1088">
        <v>0</v>
      </c>
      <c r="Y215" s="1088">
        <v>0</v>
      </c>
      <c r="Z215" s="1088">
        <v>0</v>
      </c>
      <c r="AA215" s="1088">
        <v>0</v>
      </c>
      <c r="AB215" s="1088">
        <v>0</v>
      </c>
      <c r="AC215" s="1088">
        <v>0</v>
      </c>
      <c r="AD215" s="1088"/>
      <c r="AE215" s="1088"/>
      <c r="AF215" s="1088"/>
      <c r="AG215" s="1088"/>
      <c r="AH215" s="1088"/>
      <c r="AI215" s="1088"/>
      <c r="AJ215" s="1088"/>
      <c r="AK215" s="1088"/>
      <c r="AL215" s="1088"/>
      <c r="AM215" s="1088"/>
      <c r="AN215" s="1088"/>
      <c r="AO215" s="1088"/>
      <c r="AP215" s="1088"/>
      <c r="AQ215" s="1088"/>
      <c r="AR215" s="1088"/>
      <c r="AS215" s="1088"/>
      <c r="AT215" s="1088"/>
      <c r="AU215" s="1088"/>
      <c r="AV215" s="1088"/>
      <c r="AW215" s="1088"/>
      <c r="AX215" s="1086">
        <f t="shared" si="37"/>
        <v>211679415.40250072</v>
      </c>
    </row>
    <row r="216" spans="1:51" ht="12">
      <c r="A216" s="1086" t="s">
        <v>1511</v>
      </c>
      <c r="B216" s="1086" t="s">
        <v>1512</v>
      </c>
      <c r="C216" s="1086">
        <f t="shared" ref="C216:Z216" si="42">C217+C221+C234+C243</f>
        <v>0</v>
      </c>
      <c r="D216" s="1086">
        <f t="shared" si="42"/>
        <v>0</v>
      </c>
      <c r="E216" s="1086">
        <f t="shared" si="42"/>
        <v>0</v>
      </c>
      <c r="F216" s="1086">
        <f t="shared" si="42"/>
        <v>16661930.89710043</v>
      </c>
      <c r="G216" s="1086">
        <f t="shared" si="42"/>
        <v>0</v>
      </c>
      <c r="H216" s="1086">
        <f t="shared" si="42"/>
        <v>0</v>
      </c>
      <c r="I216" s="1086">
        <f t="shared" si="42"/>
        <v>0</v>
      </c>
      <c r="J216" s="1086">
        <f t="shared" si="42"/>
        <v>0</v>
      </c>
      <c r="K216" s="1086">
        <f t="shared" si="42"/>
        <v>3813876749.1292624</v>
      </c>
      <c r="L216" s="1086">
        <f t="shared" si="42"/>
        <v>0</v>
      </c>
      <c r="M216" s="1086">
        <f t="shared" si="42"/>
        <v>0</v>
      </c>
      <c r="N216" s="1086">
        <f t="shared" si="42"/>
        <v>0</v>
      </c>
      <c r="O216" s="1086">
        <f t="shared" si="42"/>
        <v>0</v>
      </c>
      <c r="P216" s="1086">
        <f t="shared" si="42"/>
        <v>0</v>
      </c>
      <c r="Q216" s="1086">
        <f t="shared" si="42"/>
        <v>0</v>
      </c>
      <c r="R216" s="1086">
        <f t="shared" si="42"/>
        <v>0</v>
      </c>
      <c r="S216" s="1086">
        <f t="shared" si="42"/>
        <v>0</v>
      </c>
      <c r="T216" s="1086">
        <f t="shared" si="42"/>
        <v>0</v>
      </c>
      <c r="U216" s="1086">
        <f t="shared" si="42"/>
        <v>12188855680.219646</v>
      </c>
      <c r="V216" s="1086">
        <f t="shared" si="42"/>
        <v>1859098706.6952002</v>
      </c>
      <c r="W216" s="1086">
        <f t="shared" si="42"/>
        <v>1631402889.3275476</v>
      </c>
      <c r="X216" s="1086">
        <f t="shared" si="42"/>
        <v>968088597.20075548</v>
      </c>
      <c r="Y216" s="1086">
        <f t="shared" si="42"/>
        <v>904829334.21447277</v>
      </c>
      <c r="Z216" s="1086">
        <f t="shared" si="42"/>
        <v>749728534.64896154</v>
      </c>
      <c r="AA216" s="1086">
        <f>AA217+AA221+AA234+AA243</f>
        <v>1001477605.4488964</v>
      </c>
      <c r="AB216" s="1086">
        <f>AB217+AB221+AB234+AB243</f>
        <v>356465382.08606488</v>
      </c>
      <c r="AC216" s="1086">
        <f>AC217+AC221+AC234+AC243</f>
        <v>0</v>
      </c>
      <c r="AD216" s="1086">
        <f>AD217+AD221+AD234+AD243</f>
        <v>0</v>
      </c>
      <c r="AE216" s="1086"/>
      <c r="AF216" s="1086"/>
      <c r="AG216" s="1086"/>
      <c r="AH216" s="1086"/>
      <c r="AI216" s="1086"/>
      <c r="AJ216" s="1086"/>
      <c r="AK216" s="1086"/>
      <c r="AL216" s="1086"/>
      <c r="AM216" s="1086"/>
      <c r="AN216" s="1086"/>
      <c r="AO216" s="1086"/>
      <c r="AP216" s="1086"/>
      <c r="AQ216" s="1086"/>
      <c r="AR216" s="1086"/>
      <c r="AS216" s="1086"/>
      <c r="AT216" s="1086"/>
      <c r="AU216" s="1086"/>
      <c r="AV216" s="1086"/>
      <c r="AW216" s="1086"/>
      <c r="AX216" s="1087">
        <f t="shared" si="37"/>
        <v>23490485409.867908</v>
      </c>
      <c r="AY216" s="1090">
        <v>87047409.729928017</v>
      </c>
    </row>
    <row r="217" spans="1:51" ht="12">
      <c r="A217" s="1086" t="s">
        <v>1513</v>
      </c>
      <c r="B217" s="1086" t="s">
        <v>299</v>
      </c>
      <c r="C217" s="1086">
        <f t="shared" ref="C217:AB217" si="43">SUM(C218:C220)</f>
        <v>0</v>
      </c>
      <c r="D217" s="1086">
        <f t="shared" si="43"/>
        <v>0</v>
      </c>
      <c r="E217" s="1086">
        <f t="shared" si="43"/>
        <v>0</v>
      </c>
      <c r="F217" s="1086">
        <f t="shared" si="43"/>
        <v>0</v>
      </c>
      <c r="G217" s="1086">
        <f t="shared" si="43"/>
        <v>0</v>
      </c>
      <c r="H217" s="1086">
        <f t="shared" si="43"/>
        <v>0</v>
      </c>
      <c r="I217" s="1086">
        <f t="shared" si="43"/>
        <v>0</v>
      </c>
      <c r="J217" s="1086">
        <f t="shared" si="43"/>
        <v>0</v>
      </c>
      <c r="K217" s="1086">
        <f t="shared" si="43"/>
        <v>0</v>
      </c>
      <c r="L217" s="1086">
        <f t="shared" si="43"/>
        <v>0</v>
      </c>
      <c r="M217" s="1086">
        <f t="shared" si="43"/>
        <v>0</v>
      </c>
      <c r="N217" s="1086">
        <f t="shared" si="43"/>
        <v>0</v>
      </c>
      <c r="O217" s="1086">
        <f t="shared" si="43"/>
        <v>0</v>
      </c>
      <c r="P217" s="1086">
        <f t="shared" si="43"/>
        <v>0</v>
      </c>
      <c r="Q217" s="1086">
        <f t="shared" si="43"/>
        <v>0</v>
      </c>
      <c r="R217" s="1086">
        <f t="shared" si="43"/>
        <v>0</v>
      </c>
      <c r="S217" s="1086">
        <f t="shared" si="43"/>
        <v>0</v>
      </c>
      <c r="T217" s="1086">
        <f t="shared" si="43"/>
        <v>0</v>
      </c>
      <c r="U217" s="1086">
        <f t="shared" si="43"/>
        <v>0</v>
      </c>
      <c r="V217" s="1086">
        <f t="shared" si="43"/>
        <v>0</v>
      </c>
      <c r="W217" s="1086">
        <f t="shared" si="43"/>
        <v>0</v>
      </c>
      <c r="X217" s="1086">
        <f t="shared" si="43"/>
        <v>0</v>
      </c>
      <c r="Y217" s="1086">
        <f t="shared" si="43"/>
        <v>0</v>
      </c>
      <c r="Z217" s="1086">
        <f t="shared" si="43"/>
        <v>0</v>
      </c>
      <c r="AA217" s="1086">
        <f t="shared" si="43"/>
        <v>0</v>
      </c>
      <c r="AB217" s="1086">
        <f t="shared" si="43"/>
        <v>0</v>
      </c>
      <c r="AC217" s="1086">
        <f>SUM(AC218:AC220)</f>
        <v>0</v>
      </c>
      <c r="AD217" s="1086">
        <f>SUM(AD218:AD220)</f>
        <v>0</v>
      </c>
      <c r="AE217" s="1086"/>
      <c r="AF217" s="1086"/>
      <c r="AG217" s="1086"/>
      <c r="AH217" s="1086"/>
      <c r="AI217" s="1086"/>
      <c r="AJ217" s="1086"/>
      <c r="AK217" s="1086"/>
      <c r="AL217" s="1086"/>
      <c r="AM217" s="1086"/>
      <c r="AN217" s="1086"/>
      <c r="AO217" s="1086"/>
      <c r="AP217" s="1086"/>
      <c r="AQ217" s="1086"/>
      <c r="AR217" s="1086"/>
      <c r="AS217" s="1086"/>
      <c r="AT217" s="1086"/>
      <c r="AU217" s="1086"/>
      <c r="AV217" s="1086"/>
      <c r="AW217" s="1086"/>
      <c r="AX217" s="1086">
        <f t="shared" si="37"/>
        <v>0</v>
      </c>
    </row>
    <row r="218" spans="1:51" ht="24">
      <c r="A218" s="1086" t="s">
        <v>1514</v>
      </c>
      <c r="B218" s="1086" t="s">
        <v>1515</v>
      </c>
      <c r="C218" s="1088">
        <v>0</v>
      </c>
      <c r="D218" s="1088">
        <v>0</v>
      </c>
      <c r="E218" s="1088">
        <v>0</v>
      </c>
      <c r="F218" s="1088">
        <v>0</v>
      </c>
      <c r="G218" s="1088">
        <v>0</v>
      </c>
      <c r="H218" s="1088">
        <v>0</v>
      </c>
      <c r="I218" s="1088">
        <v>0</v>
      </c>
      <c r="J218" s="1088">
        <v>0</v>
      </c>
      <c r="K218" s="1088">
        <v>0</v>
      </c>
      <c r="L218" s="1088">
        <v>0</v>
      </c>
      <c r="M218" s="1088">
        <v>0</v>
      </c>
      <c r="N218" s="1088">
        <v>0</v>
      </c>
      <c r="O218" s="1088">
        <v>0</v>
      </c>
      <c r="P218" s="1088">
        <v>0</v>
      </c>
      <c r="Q218" s="1088">
        <v>0</v>
      </c>
      <c r="R218" s="1088">
        <v>0</v>
      </c>
      <c r="S218" s="1088">
        <v>0</v>
      </c>
      <c r="T218" s="1088">
        <v>0</v>
      </c>
      <c r="U218" s="1088">
        <v>0</v>
      </c>
      <c r="V218" s="1088">
        <v>0</v>
      </c>
      <c r="W218" s="1088">
        <v>0</v>
      </c>
      <c r="X218" s="1088">
        <v>0</v>
      </c>
      <c r="Y218" s="1088">
        <v>0</v>
      </c>
      <c r="Z218" s="1088">
        <v>0</v>
      </c>
      <c r="AA218" s="1088">
        <v>0</v>
      </c>
      <c r="AB218" s="1088">
        <v>0</v>
      </c>
      <c r="AC218" s="1088">
        <v>0</v>
      </c>
      <c r="AD218" s="1088">
        <v>0</v>
      </c>
      <c r="AE218" s="1088"/>
      <c r="AF218" s="1088"/>
      <c r="AG218" s="1088"/>
      <c r="AH218" s="1088"/>
      <c r="AI218" s="1088"/>
      <c r="AJ218" s="1088"/>
      <c r="AK218" s="1088"/>
      <c r="AL218" s="1088"/>
      <c r="AM218" s="1088"/>
      <c r="AN218" s="1088"/>
      <c r="AO218" s="1088"/>
      <c r="AP218" s="1088"/>
      <c r="AQ218" s="1088"/>
      <c r="AR218" s="1088"/>
      <c r="AS218" s="1088"/>
      <c r="AT218" s="1088"/>
      <c r="AU218" s="1088"/>
      <c r="AV218" s="1088"/>
      <c r="AW218" s="1088"/>
      <c r="AX218" s="1086">
        <f t="shared" si="37"/>
        <v>0</v>
      </c>
    </row>
    <row r="219" spans="1:51" ht="12">
      <c r="A219" s="1086" t="s">
        <v>1516</v>
      </c>
      <c r="B219" s="1086" t="s">
        <v>1517</v>
      </c>
      <c r="C219" s="1088">
        <v>0</v>
      </c>
      <c r="D219" s="1088">
        <v>0</v>
      </c>
      <c r="E219" s="1088">
        <v>0</v>
      </c>
      <c r="F219" s="1088">
        <v>0</v>
      </c>
      <c r="G219" s="1088">
        <v>0</v>
      </c>
      <c r="H219" s="1088">
        <v>0</v>
      </c>
      <c r="I219" s="1088">
        <v>0</v>
      </c>
      <c r="J219" s="1088">
        <v>0</v>
      </c>
      <c r="K219" s="1088">
        <v>0</v>
      </c>
      <c r="L219" s="1088">
        <v>0</v>
      </c>
      <c r="M219" s="1088">
        <v>0</v>
      </c>
      <c r="N219" s="1088">
        <v>0</v>
      </c>
      <c r="O219" s="1088">
        <v>0</v>
      </c>
      <c r="P219" s="1088">
        <v>0</v>
      </c>
      <c r="Q219" s="1088">
        <v>0</v>
      </c>
      <c r="R219" s="1088">
        <v>0</v>
      </c>
      <c r="S219" s="1088">
        <v>0</v>
      </c>
      <c r="T219" s="1088">
        <v>0</v>
      </c>
      <c r="U219" s="1088">
        <v>0</v>
      </c>
      <c r="V219" s="1088">
        <v>0</v>
      </c>
      <c r="W219" s="1088">
        <v>0</v>
      </c>
      <c r="X219" s="1088">
        <v>0</v>
      </c>
      <c r="Y219" s="1088">
        <v>0</v>
      </c>
      <c r="Z219" s="1088">
        <v>0</v>
      </c>
      <c r="AA219" s="1088">
        <v>0</v>
      </c>
      <c r="AB219" s="1088">
        <v>0</v>
      </c>
      <c r="AC219" s="1088">
        <v>0</v>
      </c>
      <c r="AD219" s="1088">
        <v>0</v>
      </c>
      <c r="AE219" s="1088"/>
      <c r="AF219" s="1088"/>
      <c r="AG219" s="1088"/>
      <c r="AH219" s="1088"/>
      <c r="AI219" s="1088"/>
      <c r="AJ219" s="1088"/>
      <c r="AK219" s="1088"/>
      <c r="AL219" s="1088"/>
      <c r="AM219" s="1088"/>
      <c r="AN219" s="1088"/>
      <c r="AO219" s="1088"/>
      <c r="AP219" s="1088"/>
      <c r="AQ219" s="1088"/>
      <c r="AR219" s="1088"/>
      <c r="AS219" s="1088"/>
      <c r="AT219" s="1088"/>
      <c r="AU219" s="1088"/>
      <c r="AV219" s="1088"/>
      <c r="AW219" s="1088"/>
      <c r="AX219" s="1086">
        <f t="shared" si="37"/>
        <v>0</v>
      </c>
    </row>
    <row r="220" spans="1:51" ht="12">
      <c r="A220" s="1086" t="s">
        <v>1518</v>
      </c>
      <c r="B220" s="1086" t="s">
        <v>1519</v>
      </c>
      <c r="C220" s="1088">
        <v>0</v>
      </c>
      <c r="D220" s="1088">
        <v>0</v>
      </c>
      <c r="E220" s="1088">
        <v>0</v>
      </c>
      <c r="F220" s="1088">
        <v>0</v>
      </c>
      <c r="G220" s="1088">
        <v>0</v>
      </c>
      <c r="H220" s="1088">
        <v>0</v>
      </c>
      <c r="I220" s="1088">
        <v>0</v>
      </c>
      <c r="J220" s="1088">
        <v>0</v>
      </c>
      <c r="K220" s="1088">
        <v>0</v>
      </c>
      <c r="L220" s="1088">
        <v>0</v>
      </c>
      <c r="M220" s="1088">
        <v>0</v>
      </c>
      <c r="N220" s="1088">
        <v>0</v>
      </c>
      <c r="O220" s="1088">
        <v>0</v>
      </c>
      <c r="P220" s="1088">
        <v>0</v>
      </c>
      <c r="Q220" s="1088">
        <v>0</v>
      </c>
      <c r="R220" s="1088">
        <v>0</v>
      </c>
      <c r="S220" s="1088">
        <v>0</v>
      </c>
      <c r="T220" s="1088">
        <v>0</v>
      </c>
      <c r="U220" s="1088">
        <v>0</v>
      </c>
      <c r="V220" s="1088">
        <v>0</v>
      </c>
      <c r="W220" s="1088">
        <v>0</v>
      </c>
      <c r="X220" s="1088">
        <v>0</v>
      </c>
      <c r="Y220" s="1088">
        <v>0</v>
      </c>
      <c r="Z220" s="1088">
        <v>0</v>
      </c>
      <c r="AA220" s="1088">
        <v>0</v>
      </c>
      <c r="AB220" s="1088">
        <v>0</v>
      </c>
      <c r="AC220" s="1088">
        <v>0</v>
      </c>
      <c r="AD220" s="1088">
        <v>0</v>
      </c>
      <c r="AE220" s="1088"/>
      <c r="AF220" s="1088"/>
      <c r="AG220" s="1088"/>
      <c r="AH220" s="1088"/>
      <c r="AI220" s="1088"/>
      <c r="AJ220" s="1088"/>
      <c r="AK220" s="1088"/>
      <c r="AL220" s="1088"/>
      <c r="AM220" s="1088"/>
      <c r="AN220" s="1088"/>
      <c r="AO220" s="1088"/>
      <c r="AP220" s="1088"/>
      <c r="AQ220" s="1088"/>
      <c r="AR220" s="1088"/>
      <c r="AS220" s="1088"/>
      <c r="AT220" s="1088"/>
      <c r="AU220" s="1088"/>
      <c r="AV220" s="1088"/>
      <c r="AW220" s="1088"/>
      <c r="AX220" s="1086">
        <f t="shared" si="37"/>
        <v>0</v>
      </c>
    </row>
    <row r="221" spans="1:51" ht="12">
      <c r="A221" s="1086" t="s">
        <v>1520</v>
      </c>
      <c r="B221" s="1086" t="s">
        <v>1521</v>
      </c>
      <c r="C221" s="1086">
        <f t="shared" ref="C221:AB221" si="44">C222+C224+C229</f>
        <v>0</v>
      </c>
      <c r="D221" s="1086">
        <f t="shared" si="44"/>
        <v>0</v>
      </c>
      <c r="E221" s="1086">
        <f t="shared" si="44"/>
        <v>0</v>
      </c>
      <c r="F221" s="1086">
        <f t="shared" si="44"/>
        <v>0</v>
      </c>
      <c r="G221" s="1086">
        <f t="shared" si="44"/>
        <v>0</v>
      </c>
      <c r="H221" s="1086">
        <f t="shared" si="44"/>
        <v>0</v>
      </c>
      <c r="I221" s="1086">
        <f t="shared" si="44"/>
        <v>0</v>
      </c>
      <c r="J221" s="1086">
        <f t="shared" si="44"/>
        <v>0</v>
      </c>
      <c r="K221" s="1086">
        <f t="shared" si="44"/>
        <v>0</v>
      </c>
      <c r="L221" s="1086">
        <f t="shared" si="44"/>
        <v>0</v>
      </c>
      <c r="M221" s="1086">
        <f t="shared" si="44"/>
        <v>0</v>
      </c>
      <c r="N221" s="1086">
        <f t="shared" si="44"/>
        <v>0</v>
      </c>
      <c r="O221" s="1086">
        <f t="shared" si="44"/>
        <v>0</v>
      </c>
      <c r="P221" s="1086">
        <f t="shared" si="44"/>
        <v>0</v>
      </c>
      <c r="Q221" s="1086">
        <f t="shared" si="44"/>
        <v>0</v>
      </c>
      <c r="R221" s="1086">
        <f t="shared" si="44"/>
        <v>0</v>
      </c>
      <c r="S221" s="1086">
        <f t="shared" si="44"/>
        <v>0</v>
      </c>
      <c r="T221" s="1086">
        <f t="shared" si="44"/>
        <v>0</v>
      </c>
      <c r="U221" s="1086">
        <f t="shared" si="44"/>
        <v>-5.6843418860808015E-7</v>
      </c>
      <c r="V221" s="1086">
        <f t="shared" si="44"/>
        <v>6.2527760746888816E-7</v>
      </c>
      <c r="W221" s="1086">
        <f t="shared" si="44"/>
        <v>2.8421709430404007E-8</v>
      </c>
      <c r="X221" s="1086">
        <f t="shared" si="44"/>
        <v>7374673.1563890083</v>
      </c>
      <c r="Y221" s="1086">
        <f t="shared" si="44"/>
        <v>904829334.21447277</v>
      </c>
      <c r="Z221" s="1086">
        <f t="shared" si="44"/>
        <v>749728534.64896154</v>
      </c>
      <c r="AA221" s="1086">
        <f t="shared" si="44"/>
        <v>1001477605.4488964</v>
      </c>
      <c r="AB221" s="1086">
        <f t="shared" si="44"/>
        <v>356465382.08606488</v>
      </c>
      <c r="AC221" s="1086">
        <f>AC222+AC224+AC229</f>
        <v>0</v>
      </c>
      <c r="AD221" s="1086">
        <f>AD222+AD224+AD229</f>
        <v>0</v>
      </c>
      <c r="AE221" s="1086"/>
      <c r="AF221" s="1086"/>
      <c r="AG221" s="1086"/>
      <c r="AH221" s="1086"/>
      <c r="AI221" s="1086"/>
      <c r="AJ221" s="1086"/>
      <c r="AK221" s="1086"/>
      <c r="AL221" s="1086"/>
      <c r="AM221" s="1086"/>
      <c r="AN221" s="1086"/>
      <c r="AO221" s="1086"/>
      <c r="AP221" s="1086"/>
      <c r="AQ221" s="1086"/>
      <c r="AR221" s="1086"/>
      <c r="AS221" s="1086"/>
      <c r="AT221" s="1086"/>
      <c r="AU221" s="1086"/>
      <c r="AV221" s="1086"/>
      <c r="AW221" s="1086"/>
      <c r="AX221" s="1086">
        <f t="shared" si="37"/>
        <v>3019875529.5547848</v>
      </c>
    </row>
    <row r="222" spans="1:51" ht="12">
      <c r="A222" s="1086" t="s">
        <v>1522</v>
      </c>
      <c r="B222" s="1086" t="s">
        <v>1523</v>
      </c>
      <c r="C222" s="1086">
        <f t="shared" ref="C222:AB222" si="45">SUM(C223)</f>
        <v>0</v>
      </c>
      <c r="D222" s="1086">
        <f t="shared" si="45"/>
        <v>0</v>
      </c>
      <c r="E222" s="1086">
        <f t="shared" si="45"/>
        <v>0</v>
      </c>
      <c r="F222" s="1086">
        <f t="shared" si="45"/>
        <v>0</v>
      </c>
      <c r="G222" s="1086">
        <f t="shared" si="45"/>
        <v>0</v>
      </c>
      <c r="H222" s="1086">
        <f t="shared" si="45"/>
        <v>0</v>
      </c>
      <c r="I222" s="1086">
        <f t="shared" si="45"/>
        <v>0</v>
      </c>
      <c r="J222" s="1086">
        <f t="shared" si="45"/>
        <v>0</v>
      </c>
      <c r="K222" s="1086">
        <f t="shared" si="45"/>
        <v>0</v>
      </c>
      <c r="L222" s="1086">
        <f t="shared" si="45"/>
        <v>0</v>
      </c>
      <c r="M222" s="1086">
        <f t="shared" si="45"/>
        <v>0</v>
      </c>
      <c r="N222" s="1086">
        <f t="shared" si="45"/>
        <v>0</v>
      </c>
      <c r="O222" s="1086">
        <f t="shared" si="45"/>
        <v>0</v>
      </c>
      <c r="P222" s="1086">
        <f t="shared" si="45"/>
        <v>0</v>
      </c>
      <c r="Q222" s="1086">
        <f t="shared" si="45"/>
        <v>0</v>
      </c>
      <c r="R222" s="1086">
        <f t="shared" si="45"/>
        <v>0</v>
      </c>
      <c r="S222" s="1086">
        <f t="shared" si="45"/>
        <v>0</v>
      </c>
      <c r="T222" s="1086">
        <f t="shared" si="45"/>
        <v>0</v>
      </c>
      <c r="U222" s="1086">
        <f t="shared" si="45"/>
        <v>0</v>
      </c>
      <c r="V222" s="1086">
        <f t="shared" si="45"/>
        <v>0</v>
      </c>
      <c r="W222" s="1086">
        <f t="shared" si="45"/>
        <v>0</v>
      </c>
      <c r="X222" s="1086">
        <f t="shared" si="45"/>
        <v>0</v>
      </c>
      <c r="Y222" s="1086">
        <f t="shared" si="45"/>
        <v>0</v>
      </c>
      <c r="Z222" s="1086">
        <f t="shared" si="45"/>
        <v>0</v>
      </c>
      <c r="AA222" s="1086">
        <f t="shared" si="45"/>
        <v>0</v>
      </c>
      <c r="AB222" s="1086">
        <f t="shared" si="45"/>
        <v>0</v>
      </c>
      <c r="AC222" s="1086">
        <f>SUM(AC223)</f>
        <v>0</v>
      </c>
      <c r="AD222" s="1086">
        <f>SUM(AD223)</f>
        <v>0</v>
      </c>
      <c r="AE222" s="1086"/>
      <c r="AF222" s="1086"/>
      <c r="AG222" s="1086"/>
      <c r="AH222" s="1086"/>
      <c r="AI222" s="1086"/>
      <c r="AJ222" s="1086"/>
      <c r="AK222" s="1086"/>
      <c r="AL222" s="1086"/>
      <c r="AM222" s="1086"/>
      <c r="AN222" s="1086"/>
      <c r="AO222" s="1086"/>
      <c r="AP222" s="1086"/>
      <c r="AQ222" s="1086"/>
      <c r="AR222" s="1086"/>
      <c r="AS222" s="1086"/>
      <c r="AT222" s="1086"/>
      <c r="AU222" s="1086"/>
      <c r="AV222" s="1086"/>
      <c r="AW222" s="1086"/>
      <c r="AX222" s="1086">
        <f t="shared" si="37"/>
        <v>0</v>
      </c>
    </row>
    <row r="223" spans="1:51" ht="12">
      <c r="A223" s="1086" t="s">
        <v>1524</v>
      </c>
      <c r="B223" s="1086" t="s">
        <v>1525</v>
      </c>
      <c r="C223" s="1088">
        <v>0</v>
      </c>
      <c r="D223" s="1088">
        <v>0</v>
      </c>
      <c r="E223" s="1088">
        <v>0</v>
      </c>
      <c r="F223" s="1088">
        <v>0</v>
      </c>
      <c r="G223" s="1088">
        <v>0</v>
      </c>
      <c r="H223" s="1088">
        <v>0</v>
      </c>
      <c r="I223" s="1088">
        <v>0</v>
      </c>
      <c r="J223" s="1088">
        <v>0</v>
      </c>
      <c r="K223" s="1088">
        <v>0</v>
      </c>
      <c r="L223" s="1088">
        <v>0</v>
      </c>
      <c r="M223" s="1088">
        <v>0</v>
      </c>
      <c r="N223" s="1088">
        <v>0</v>
      </c>
      <c r="O223" s="1088">
        <v>0</v>
      </c>
      <c r="P223" s="1088">
        <v>0</v>
      </c>
      <c r="Q223" s="1088">
        <v>0</v>
      </c>
      <c r="R223" s="1088">
        <v>0</v>
      </c>
      <c r="S223" s="1088">
        <v>0</v>
      </c>
      <c r="T223" s="1088">
        <v>0</v>
      </c>
      <c r="U223" s="1088">
        <v>0</v>
      </c>
      <c r="V223" s="1088">
        <v>0</v>
      </c>
      <c r="W223" s="1088">
        <v>0</v>
      </c>
      <c r="X223" s="1088">
        <v>0</v>
      </c>
      <c r="Y223" s="1088">
        <v>0</v>
      </c>
      <c r="Z223" s="1088">
        <v>0</v>
      </c>
      <c r="AA223" s="1088">
        <v>0</v>
      </c>
      <c r="AB223" s="1088">
        <v>0</v>
      </c>
      <c r="AC223" s="1088">
        <v>0</v>
      </c>
      <c r="AD223" s="1088">
        <v>0</v>
      </c>
      <c r="AE223" s="1088"/>
      <c r="AF223" s="1088"/>
      <c r="AG223" s="1088"/>
      <c r="AH223" s="1088"/>
      <c r="AI223" s="1088"/>
      <c r="AJ223" s="1088"/>
      <c r="AK223" s="1088"/>
      <c r="AL223" s="1088"/>
      <c r="AM223" s="1088"/>
      <c r="AN223" s="1088"/>
      <c r="AO223" s="1088"/>
      <c r="AP223" s="1088"/>
      <c r="AQ223" s="1088"/>
      <c r="AR223" s="1088"/>
      <c r="AS223" s="1088"/>
      <c r="AT223" s="1088"/>
      <c r="AU223" s="1088"/>
      <c r="AV223" s="1088"/>
      <c r="AW223" s="1088"/>
      <c r="AX223" s="1086">
        <f t="shared" si="37"/>
        <v>0</v>
      </c>
    </row>
    <row r="224" spans="1:51" ht="12">
      <c r="A224" s="1086" t="s">
        <v>1526</v>
      </c>
      <c r="B224" s="1086" t="s">
        <v>1527</v>
      </c>
      <c r="C224" s="1086">
        <f t="shared" ref="C224:AB224" si="46">SUM(C225:C228)</f>
        <v>0</v>
      </c>
      <c r="D224" s="1086">
        <f t="shared" si="46"/>
        <v>0</v>
      </c>
      <c r="E224" s="1086">
        <f t="shared" si="46"/>
        <v>0</v>
      </c>
      <c r="F224" s="1086">
        <f t="shared" si="46"/>
        <v>0</v>
      </c>
      <c r="G224" s="1086">
        <f t="shared" si="46"/>
        <v>0</v>
      </c>
      <c r="H224" s="1086">
        <f t="shared" si="46"/>
        <v>0</v>
      </c>
      <c r="I224" s="1086">
        <f t="shared" si="46"/>
        <v>0</v>
      </c>
      <c r="J224" s="1086">
        <f t="shared" si="46"/>
        <v>0</v>
      </c>
      <c r="K224" s="1086">
        <f t="shared" si="46"/>
        <v>0</v>
      </c>
      <c r="L224" s="1086">
        <f t="shared" si="46"/>
        <v>0</v>
      </c>
      <c r="M224" s="1086">
        <f t="shared" si="46"/>
        <v>0</v>
      </c>
      <c r="N224" s="1086">
        <f t="shared" si="46"/>
        <v>0</v>
      </c>
      <c r="O224" s="1086">
        <f t="shared" si="46"/>
        <v>0</v>
      </c>
      <c r="P224" s="1086">
        <f t="shared" si="46"/>
        <v>0</v>
      </c>
      <c r="Q224" s="1086">
        <f t="shared" si="46"/>
        <v>0</v>
      </c>
      <c r="R224" s="1086">
        <f t="shared" si="46"/>
        <v>0</v>
      </c>
      <c r="S224" s="1086">
        <f t="shared" si="46"/>
        <v>0</v>
      </c>
      <c r="T224" s="1086">
        <f t="shared" si="46"/>
        <v>0</v>
      </c>
      <c r="U224" s="1086">
        <f t="shared" si="46"/>
        <v>0</v>
      </c>
      <c r="V224" s="1086">
        <f t="shared" si="46"/>
        <v>0</v>
      </c>
      <c r="W224" s="1086">
        <f t="shared" si="46"/>
        <v>0</v>
      </c>
      <c r="X224" s="1086">
        <f t="shared" si="46"/>
        <v>7374673.1563890651</v>
      </c>
      <c r="Y224" s="1086">
        <f t="shared" si="46"/>
        <v>128678724.03438653</v>
      </c>
      <c r="Z224" s="1086">
        <f t="shared" si="46"/>
        <v>0</v>
      </c>
      <c r="AA224" s="1086">
        <f t="shared" si="46"/>
        <v>0</v>
      </c>
      <c r="AB224" s="1086">
        <f t="shared" si="46"/>
        <v>0</v>
      </c>
      <c r="AC224" s="1086">
        <f>SUM(AC225:AC228)</f>
        <v>0</v>
      </c>
      <c r="AD224" s="1086">
        <f>SUM(AD225:AD228)</f>
        <v>0</v>
      </c>
      <c r="AE224" s="1086"/>
      <c r="AF224" s="1086"/>
      <c r="AG224" s="1086"/>
      <c r="AH224" s="1086"/>
      <c r="AI224" s="1086"/>
      <c r="AJ224" s="1086"/>
      <c r="AK224" s="1086"/>
      <c r="AL224" s="1086"/>
      <c r="AM224" s="1086"/>
      <c r="AN224" s="1086"/>
      <c r="AO224" s="1086"/>
      <c r="AP224" s="1086"/>
      <c r="AQ224" s="1086"/>
      <c r="AR224" s="1086"/>
      <c r="AS224" s="1086"/>
      <c r="AT224" s="1086"/>
      <c r="AU224" s="1086"/>
      <c r="AV224" s="1086"/>
      <c r="AW224" s="1086"/>
      <c r="AX224" s="1086">
        <f t="shared" si="37"/>
        <v>136053397.1907756</v>
      </c>
    </row>
    <row r="225" spans="1:50" ht="24">
      <c r="A225" s="1086" t="s">
        <v>1528</v>
      </c>
      <c r="B225" s="1086" t="s">
        <v>1529</v>
      </c>
      <c r="C225" s="1088">
        <v>0</v>
      </c>
      <c r="D225" s="1088">
        <v>0</v>
      </c>
      <c r="E225" s="1088">
        <v>0</v>
      </c>
      <c r="F225" s="1088">
        <v>0</v>
      </c>
      <c r="G225" s="1088">
        <v>0</v>
      </c>
      <c r="H225" s="1088">
        <v>0</v>
      </c>
      <c r="I225" s="1088">
        <v>0</v>
      </c>
      <c r="J225" s="1088">
        <v>0</v>
      </c>
      <c r="K225" s="1088">
        <v>0</v>
      </c>
      <c r="L225" s="1088">
        <v>0</v>
      </c>
      <c r="M225" s="1088">
        <v>0</v>
      </c>
      <c r="N225" s="1088">
        <v>0</v>
      </c>
      <c r="O225" s="1088">
        <v>0</v>
      </c>
      <c r="P225" s="1088">
        <v>0</v>
      </c>
      <c r="Q225" s="1088">
        <v>0</v>
      </c>
      <c r="R225" s="1088">
        <v>0</v>
      </c>
      <c r="S225" s="1088">
        <v>0</v>
      </c>
      <c r="T225" s="1088">
        <v>0</v>
      </c>
      <c r="U225" s="1088">
        <v>0</v>
      </c>
      <c r="V225" s="1088">
        <v>0</v>
      </c>
      <c r="W225" s="1088">
        <v>0</v>
      </c>
      <c r="X225" s="1088">
        <v>0</v>
      </c>
      <c r="Y225" s="1088">
        <v>35084589.341721207</v>
      </c>
      <c r="Z225" s="1088">
        <v>0</v>
      </c>
      <c r="AA225" s="1088">
        <v>0</v>
      </c>
      <c r="AB225" s="1088">
        <v>0</v>
      </c>
      <c r="AC225" s="1088">
        <v>0</v>
      </c>
      <c r="AD225" s="1088">
        <v>0</v>
      </c>
      <c r="AE225" s="1088"/>
      <c r="AF225" s="1088"/>
      <c r="AG225" s="1088"/>
      <c r="AH225" s="1088"/>
      <c r="AI225" s="1088"/>
      <c r="AJ225" s="1088"/>
      <c r="AK225" s="1088"/>
      <c r="AL225" s="1088"/>
      <c r="AM225" s="1088"/>
      <c r="AN225" s="1088"/>
      <c r="AO225" s="1088"/>
      <c r="AP225" s="1088"/>
      <c r="AQ225" s="1088"/>
      <c r="AR225" s="1088"/>
      <c r="AS225" s="1088"/>
      <c r="AT225" s="1088"/>
      <c r="AU225" s="1088"/>
      <c r="AV225" s="1088"/>
      <c r="AW225" s="1088"/>
      <c r="AX225" s="1086">
        <f t="shared" si="37"/>
        <v>35084589.341721207</v>
      </c>
    </row>
    <row r="226" spans="1:50" ht="12">
      <c r="A226" s="1086" t="s">
        <v>1530</v>
      </c>
      <c r="B226" s="1086" t="s">
        <v>1531</v>
      </c>
      <c r="C226" s="1088">
        <f t="shared" ref="C226:AC226" si="47">C225/85*15</f>
        <v>0</v>
      </c>
      <c r="D226" s="1088">
        <f t="shared" si="47"/>
        <v>0</v>
      </c>
      <c r="E226" s="1088">
        <f t="shared" si="47"/>
        <v>0</v>
      </c>
      <c r="F226" s="1088">
        <f t="shared" si="47"/>
        <v>0</v>
      </c>
      <c r="G226" s="1088">
        <f t="shared" si="47"/>
        <v>0</v>
      </c>
      <c r="H226" s="1088">
        <f t="shared" si="47"/>
        <v>0</v>
      </c>
      <c r="I226" s="1088">
        <f t="shared" si="47"/>
        <v>0</v>
      </c>
      <c r="J226" s="1088">
        <f t="shared" si="47"/>
        <v>0</v>
      </c>
      <c r="K226" s="1088">
        <f t="shared" si="47"/>
        <v>0</v>
      </c>
      <c r="L226" s="1088">
        <f t="shared" si="47"/>
        <v>0</v>
      </c>
      <c r="M226" s="1088">
        <f t="shared" si="47"/>
        <v>0</v>
      </c>
      <c r="N226" s="1088">
        <f t="shared" si="47"/>
        <v>0</v>
      </c>
      <c r="O226" s="1088">
        <f t="shared" si="47"/>
        <v>0</v>
      </c>
      <c r="P226" s="1088">
        <f t="shared" si="47"/>
        <v>0</v>
      </c>
      <c r="Q226" s="1088">
        <f t="shared" si="47"/>
        <v>0</v>
      </c>
      <c r="R226" s="1088">
        <f t="shared" si="47"/>
        <v>0</v>
      </c>
      <c r="S226" s="1088">
        <f t="shared" si="47"/>
        <v>0</v>
      </c>
      <c r="T226" s="1088">
        <f t="shared" si="47"/>
        <v>0</v>
      </c>
      <c r="U226" s="1088">
        <f t="shared" si="47"/>
        <v>0</v>
      </c>
      <c r="V226" s="1088">
        <f t="shared" si="47"/>
        <v>0</v>
      </c>
      <c r="W226" s="1088">
        <f t="shared" si="47"/>
        <v>0</v>
      </c>
      <c r="X226" s="1088">
        <f t="shared" si="47"/>
        <v>0</v>
      </c>
      <c r="Y226" s="1088">
        <f t="shared" si="47"/>
        <v>6191398.1191272717</v>
      </c>
      <c r="Z226" s="1088">
        <f t="shared" si="47"/>
        <v>0</v>
      </c>
      <c r="AA226" s="1088">
        <f t="shared" si="47"/>
        <v>0</v>
      </c>
      <c r="AB226" s="1088">
        <f t="shared" si="47"/>
        <v>0</v>
      </c>
      <c r="AC226" s="1088">
        <f t="shared" si="47"/>
        <v>0</v>
      </c>
      <c r="AD226" s="1088">
        <f>AD225/85*15</f>
        <v>0</v>
      </c>
      <c r="AE226" s="1088"/>
      <c r="AF226" s="1088"/>
      <c r="AG226" s="1088"/>
      <c r="AH226" s="1088"/>
      <c r="AI226" s="1088"/>
      <c r="AJ226" s="1088"/>
      <c r="AK226" s="1088"/>
      <c r="AL226" s="1088"/>
      <c r="AM226" s="1088"/>
      <c r="AN226" s="1088"/>
      <c r="AO226" s="1088"/>
      <c r="AP226" s="1088"/>
      <c r="AQ226" s="1088"/>
      <c r="AR226" s="1088"/>
      <c r="AS226" s="1088"/>
      <c r="AT226" s="1088"/>
      <c r="AU226" s="1088"/>
      <c r="AV226" s="1088"/>
      <c r="AW226" s="1088"/>
      <c r="AX226" s="1086">
        <f t="shared" si="37"/>
        <v>6191398.1191272717</v>
      </c>
    </row>
    <row r="227" spans="1:50" ht="12">
      <c r="A227" s="1086" t="s">
        <v>1532</v>
      </c>
      <c r="B227" s="1086" t="s">
        <v>1533</v>
      </c>
      <c r="C227" s="1088">
        <v>0</v>
      </c>
      <c r="D227" s="1088">
        <v>0</v>
      </c>
      <c r="E227" s="1088">
        <v>0</v>
      </c>
      <c r="F227" s="1088">
        <v>0</v>
      </c>
      <c r="G227" s="1088">
        <v>0</v>
      </c>
      <c r="H227" s="1088">
        <v>0</v>
      </c>
      <c r="I227" s="1088">
        <v>0</v>
      </c>
      <c r="J227" s="1088">
        <v>0</v>
      </c>
      <c r="K227" s="1088">
        <v>0</v>
      </c>
      <c r="L227" s="1088">
        <v>0</v>
      </c>
      <c r="M227" s="1088">
        <v>0</v>
      </c>
      <c r="N227" s="1088">
        <v>0</v>
      </c>
      <c r="O227" s="1088">
        <v>0</v>
      </c>
      <c r="P227" s="1088">
        <v>0</v>
      </c>
      <c r="Q227" s="1088">
        <v>0</v>
      </c>
      <c r="R227" s="1088">
        <v>0</v>
      </c>
      <c r="S227" s="1088">
        <v>0</v>
      </c>
      <c r="T227" s="1088">
        <v>0</v>
      </c>
      <c r="U227" s="1088">
        <v>0</v>
      </c>
      <c r="V227" s="1088">
        <v>0</v>
      </c>
      <c r="W227" s="1088">
        <v>0</v>
      </c>
      <c r="X227" s="1088">
        <v>7374673.1563890651</v>
      </c>
      <c r="Y227" s="1088">
        <v>87402736.57353805</v>
      </c>
      <c r="Z227" s="1088">
        <v>0</v>
      </c>
      <c r="AA227" s="1088">
        <v>0</v>
      </c>
      <c r="AB227" s="1088">
        <v>0</v>
      </c>
      <c r="AC227" s="1088">
        <v>0</v>
      </c>
      <c r="AD227" s="1088">
        <v>0</v>
      </c>
      <c r="AE227" s="1088"/>
      <c r="AF227" s="1088"/>
      <c r="AG227" s="1088"/>
      <c r="AH227" s="1088"/>
      <c r="AI227" s="1088"/>
      <c r="AJ227" s="1088"/>
      <c r="AK227" s="1088"/>
      <c r="AL227" s="1088"/>
      <c r="AM227" s="1088"/>
      <c r="AN227" s="1088"/>
      <c r="AO227" s="1088"/>
      <c r="AP227" s="1088"/>
      <c r="AQ227" s="1088"/>
      <c r="AR227" s="1088"/>
      <c r="AS227" s="1088"/>
      <c r="AT227" s="1088"/>
      <c r="AU227" s="1088"/>
      <c r="AV227" s="1088"/>
      <c r="AW227" s="1088"/>
      <c r="AX227" s="1086">
        <f t="shared" si="37"/>
        <v>94777409.729927123</v>
      </c>
    </row>
    <row r="228" spans="1:50" ht="12">
      <c r="A228" s="1086" t="s">
        <v>1534</v>
      </c>
      <c r="B228" s="1086" t="s">
        <v>1535</v>
      </c>
      <c r="C228" s="1088">
        <v>0</v>
      </c>
      <c r="D228" s="1088">
        <v>0</v>
      </c>
      <c r="E228" s="1088">
        <v>0</v>
      </c>
      <c r="F228" s="1088">
        <v>0</v>
      </c>
      <c r="G228" s="1088">
        <v>0</v>
      </c>
      <c r="H228" s="1088">
        <v>0</v>
      </c>
      <c r="I228" s="1088">
        <v>0</v>
      </c>
      <c r="J228" s="1088">
        <v>0</v>
      </c>
      <c r="K228" s="1088">
        <v>0</v>
      </c>
      <c r="L228" s="1088">
        <v>0</v>
      </c>
      <c r="M228" s="1088">
        <v>0</v>
      </c>
      <c r="N228" s="1088">
        <v>0</v>
      </c>
      <c r="O228" s="1088">
        <v>0</v>
      </c>
      <c r="P228" s="1088">
        <v>0</v>
      </c>
      <c r="Q228" s="1088">
        <v>0</v>
      </c>
      <c r="R228" s="1088">
        <v>0</v>
      </c>
      <c r="S228" s="1088">
        <v>0</v>
      </c>
      <c r="T228" s="1088">
        <v>0</v>
      </c>
      <c r="U228" s="1088">
        <v>0</v>
      </c>
      <c r="V228" s="1088">
        <v>0</v>
      </c>
      <c r="W228" s="1088">
        <v>0</v>
      </c>
      <c r="X228" s="1088">
        <v>0</v>
      </c>
      <c r="Y228" s="1088">
        <v>0</v>
      </c>
      <c r="Z228" s="1088">
        <v>0</v>
      </c>
      <c r="AA228" s="1088">
        <v>0</v>
      </c>
      <c r="AB228" s="1088">
        <v>0</v>
      </c>
      <c r="AC228" s="1088">
        <v>0</v>
      </c>
      <c r="AD228" s="1088">
        <v>0</v>
      </c>
      <c r="AE228" s="1088"/>
      <c r="AF228" s="1088"/>
      <c r="AG228" s="1088"/>
      <c r="AH228" s="1088"/>
      <c r="AI228" s="1088"/>
      <c r="AJ228" s="1088"/>
      <c r="AK228" s="1088"/>
      <c r="AL228" s="1088"/>
      <c r="AM228" s="1088"/>
      <c r="AN228" s="1088"/>
      <c r="AO228" s="1088"/>
      <c r="AP228" s="1088"/>
      <c r="AQ228" s="1088"/>
      <c r="AR228" s="1088"/>
      <c r="AS228" s="1088"/>
      <c r="AT228" s="1088"/>
      <c r="AU228" s="1088"/>
      <c r="AV228" s="1088"/>
      <c r="AW228" s="1088"/>
      <c r="AX228" s="1086">
        <f t="shared" si="37"/>
        <v>0</v>
      </c>
    </row>
    <row r="229" spans="1:50" ht="12">
      <c r="A229" s="1086" t="s">
        <v>1536</v>
      </c>
      <c r="B229" s="1086" t="s">
        <v>1537</v>
      </c>
      <c r="C229" s="1086">
        <f t="shared" ref="C229:AB229" si="48">SUM(C230:C233)</f>
        <v>0</v>
      </c>
      <c r="D229" s="1086">
        <f t="shared" si="48"/>
        <v>0</v>
      </c>
      <c r="E229" s="1086">
        <f t="shared" si="48"/>
        <v>0</v>
      </c>
      <c r="F229" s="1086">
        <f t="shared" si="48"/>
        <v>0</v>
      </c>
      <c r="G229" s="1086">
        <f t="shared" si="48"/>
        <v>0</v>
      </c>
      <c r="H229" s="1086">
        <f t="shared" si="48"/>
        <v>0</v>
      </c>
      <c r="I229" s="1086">
        <f t="shared" si="48"/>
        <v>0</v>
      </c>
      <c r="J229" s="1086">
        <f t="shared" si="48"/>
        <v>0</v>
      </c>
      <c r="K229" s="1086">
        <f t="shared" si="48"/>
        <v>0</v>
      </c>
      <c r="L229" s="1086">
        <f t="shared" si="48"/>
        <v>0</v>
      </c>
      <c r="M229" s="1086">
        <f t="shared" si="48"/>
        <v>0</v>
      </c>
      <c r="N229" s="1086">
        <f t="shared" si="48"/>
        <v>0</v>
      </c>
      <c r="O229" s="1086">
        <f t="shared" si="48"/>
        <v>0</v>
      </c>
      <c r="P229" s="1086">
        <f t="shared" si="48"/>
        <v>0</v>
      </c>
      <c r="Q229" s="1086">
        <f t="shared" si="48"/>
        <v>0</v>
      </c>
      <c r="R229" s="1086">
        <f t="shared" si="48"/>
        <v>0</v>
      </c>
      <c r="S229" s="1086">
        <f t="shared" si="48"/>
        <v>0</v>
      </c>
      <c r="T229" s="1086">
        <f t="shared" si="48"/>
        <v>0</v>
      </c>
      <c r="U229" s="1086">
        <f t="shared" si="48"/>
        <v>-5.6843418860808015E-7</v>
      </c>
      <c r="V229" s="1086">
        <f t="shared" si="48"/>
        <v>6.2527760746888816E-7</v>
      </c>
      <c r="W229" s="1086">
        <f t="shared" si="48"/>
        <v>2.8421709430404007E-8</v>
      </c>
      <c r="X229" s="1086">
        <f t="shared" si="48"/>
        <v>-5.6843418860808015E-8</v>
      </c>
      <c r="Y229" s="1086">
        <f t="shared" si="48"/>
        <v>776150610.18008626</v>
      </c>
      <c r="Z229" s="1086">
        <f t="shared" si="48"/>
        <v>749728534.64896154</v>
      </c>
      <c r="AA229" s="1086">
        <f t="shared" si="48"/>
        <v>1001477605.4488964</v>
      </c>
      <c r="AB229" s="1086">
        <f t="shared" si="48"/>
        <v>356465382.08606488</v>
      </c>
      <c r="AC229" s="1086">
        <f>SUM(AC230:AC233)</f>
        <v>0</v>
      </c>
      <c r="AD229" s="1086">
        <f>SUM(AD230:AD233)</f>
        <v>0</v>
      </c>
      <c r="AE229" s="1086"/>
      <c r="AF229" s="1086"/>
      <c r="AG229" s="1086"/>
      <c r="AH229" s="1086"/>
      <c r="AI229" s="1086"/>
      <c r="AJ229" s="1086"/>
      <c r="AK229" s="1086"/>
      <c r="AL229" s="1086"/>
      <c r="AM229" s="1086"/>
      <c r="AN229" s="1086"/>
      <c r="AO229" s="1086"/>
      <c r="AP229" s="1086"/>
      <c r="AQ229" s="1086"/>
      <c r="AR229" s="1086"/>
      <c r="AS229" s="1086"/>
      <c r="AT229" s="1086"/>
      <c r="AU229" s="1086"/>
      <c r="AV229" s="1086"/>
      <c r="AW229" s="1086"/>
      <c r="AX229" s="1086">
        <f t="shared" si="37"/>
        <v>2883822132.3640089</v>
      </c>
    </row>
    <row r="230" spans="1:50" ht="12">
      <c r="A230" s="1086" t="s">
        <v>1538</v>
      </c>
      <c r="B230" s="1086" t="s">
        <v>308</v>
      </c>
      <c r="C230" s="1088">
        <v>0</v>
      </c>
      <c r="D230" s="1088">
        <v>0</v>
      </c>
      <c r="E230" s="1088">
        <v>0</v>
      </c>
      <c r="F230" s="1088">
        <v>0</v>
      </c>
      <c r="G230" s="1088">
        <v>0</v>
      </c>
      <c r="H230" s="1088">
        <v>0</v>
      </c>
      <c r="I230" s="1088">
        <v>0</v>
      </c>
      <c r="J230" s="1088">
        <v>0</v>
      </c>
      <c r="K230" s="1088">
        <v>0</v>
      </c>
      <c r="L230" s="1088">
        <v>0</v>
      </c>
      <c r="M230" s="1088">
        <v>0</v>
      </c>
      <c r="N230" s="1088">
        <v>0</v>
      </c>
      <c r="O230" s="1088">
        <v>0</v>
      </c>
      <c r="P230" s="1088">
        <v>0</v>
      </c>
      <c r="Q230" s="1088">
        <v>0</v>
      </c>
      <c r="R230" s="1088">
        <v>0</v>
      </c>
      <c r="S230" s="1088">
        <v>0</v>
      </c>
      <c r="T230" s="1088">
        <v>0</v>
      </c>
      <c r="U230" s="1088">
        <v>-8.5265128291212022E-8</v>
      </c>
      <c r="V230" s="1088">
        <v>9.3791641120333225E-8</v>
      </c>
      <c r="W230" s="1088">
        <v>4.2632564145606011E-9</v>
      </c>
      <c r="X230" s="1088">
        <v>-8.5265128291212022E-9</v>
      </c>
      <c r="Y230" s="1088">
        <v>116422591.52701293</v>
      </c>
      <c r="Z230" s="1088">
        <v>112459280.19734424</v>
      </c>
      <c r="AA230" s="1088">
        <v>150221640.81733444</v>
      </c>
      <c r="AB230" s="1088">
        <v>53469807.31290973</v>
      </c>
      <c r="AC230" s="1088">
        <v>0</v>
      </c>
      <c r="AD230" s="1088">
        <v>0</v>
      </c>
      <c r="AE230" s="1088"/>
      <c r="AF230" s="1088"/>
      <c r="AG230" s="1088"/>
      <c r="AH230" s="1088"/>
      <c r="AI230" s="1088"/>
      <c r="AJ230" s="1088"/>
      <c r="AK230" s="1088"/>
      <c r="AL230" s="1088"/>
      <c r="AM230" s="1088"/>
      <c r="AN230" s="1088"/>
      <c r="AO230" s="1088"/>
      <c r="AP230" s="1088"/>
      <c r="AQ230" s="1088"/>
      <c r="AR230" s="1088"/>
      <c r="AS230" s="1088"/>
      <c r="AT230" s="1088"/>
      <c r="AU230" s="1088"/>
      <c r="AV230" s="1088"/>
      <c r="AW230" s="1088"/>
      <c r="AX230" s="1086">
        <f t="shared" si="37"/>
        <v>432573319.85460138</v>
      </c>
    </row>
    <row r="231" spans="1:50" ht="12">
      <c r="A231" s="1086" t="s">
        <v>1539</v>
      </c>
      <c r="B231" s="1086" t="s">
        <v>307</v>
      </c>
      <c r="C231" s="1088">
        <v>0</v>
      </c>
      <c r="D231" s="1088">
        <v>0</v>
      </c>
      <c r="E231" s="1088">
        <v>0</v>
      </c>
      <c r="F231" s="1088">
        <v>0</v>
      </c>
      <c r="G231" s="1088">
        <v>0</v>
      </c>
      <c r="H231" s="1088">
        <v>0</v>
      </c>
      <c r="I231" s="1088">
        <v>0</v>
      </c>
      <c r="J231" s="1088">
        <v>0</v>
      </c>
      <c r="K231" s="1088">
        <v>0</v>
      </c>
      <c r="L231" s="1088">
        <v>0</v>
      </c>
      <c r="M231" s="1088">
        <v>0</v>
      </c>
      <c r="N231" s="1088">
        <v>0</v>
      </c>
      <c r="O231" s="1088">
        <v>0</v>
      </c>
      <c r="P231" s="1088">
        <v>0</v>
      </c>
      <c r="Q231" s="1088">
        <v>0</v>
      </c>
      <c r="R231" s="1088">
        <v>0</v>
      </c>
      <c r="S231" s="1088">
        <v>0</v>
      </c>
      <c r="T231" s="1088">
        <v>0</v>
      </c>
      <c r="U231" s="1088">
        <v>-4.8316906031686813E-7</v>
      </c>
      <c r="V231" s="1088">
        <v>5.3148596634855494E-7</v>
      </c>
      <c r="W231" s="1088">
        <v>2.4158453015843406E-8</v>
      </c>
      <c r="X231" s="1088">
        <v>-4.8316906031686813E-8</v>
      </c>
      <c r="Y231" s="1088">
        <v>659728018.65307331</v>
      </c>
      <c r="Z231" s="1088">
        <v>637269254.45161736</v>
      </c>
      <c r="AA231" s="1088">
        <v>851255964.63156199</v>
      </c>
      <c r="AB231" s="1088">
        <v>302995574.77315515</v>
      </c>
      <c r="AC231" s="1088">
        <v>0</v>
      </c>
      <c r="AD231" s="1088">
        <v>0</v>
      </c>
      <c r="AE231" s="1088"/>
      <c r="AF231" s="1088"/>
      <c r="AG231" s="1088"/>
      <c r="AH231" s="1088"/>
      <c r="AI231" s="1088"/>
      <c r="AJ231" s="1088"/>
      <c r="AK231" s="1088"/>
      <c r="AL231" s="1088"/>
      <c r="AM231" s="1088"/>
      <c r="AN231" s="1088"/>
      <c r="AO231" s="1088"/>
      <c r="AP231" s="1088"/>
      <c r="AQ231" s="1088"/>
      <c r="AR231" s="1088"/>
      <c r="AS231" s="1088"/>
      <c r="AT231" s="1088"/>
      <c r="AU231" s="1088"/>
      <c r="AV231" s="1088"/>
      <c r="AW231" s="1088"/>
      <c r="AX231" s="1086">
        <f t="shared" si="37"/>
        <v>2451248812.509408</v>
      </c>
    </row>
    <row r="232" spans="1:50" ht="24">
      <c r="A232" s="1086" t="s">
        <v>1540</v>
      </c>
      <c r="B232" s="1086" t="s">
        <v>1541</v>
      </c>
      <c r="C232" s="1088">
        <v>0</v>
      </c>
      <c r="D232" s="1088">
        <v>0</v>
      </c>
      <c r="E232" s="1088">
        <v>0</v>
      </c>
      <c r="F232" s="1088">
        <v>0</v>
      </c>
      <c r="G232" s="1088">
        <v>0</v>
      </c>
      <c r="H232" s="1088">
        <v>0</v>
      </c>
      <c r="I232" s="1088">
        <v>0</v>
      </c>
      <c r="J232" s="1088">
        <v>0</v>
      </c>
      <c r="K232" s="1088">
        <v>0</v>
      </c>
      <c r="L232" s="1088">
        <v>0</v>
      </c>
      <c r="M232" s="1088">
        <v>0</v>
      </c>
      <c r="N232" s="1088">
        <v>0</v>
      </c>
      <c r="O232" s="1088">
        <v>0</v>
      </c>
      <c r="P232" s="1088">
        <v>0</v>
      </c>
      <c r="Q232" s="1088">
        <v>0</v>
      </c>
      <c r="R232" s="1088">
        <v>0</v>
      </c>
      <c r="S232" s="1088">
        <v>0</v>
      </c>
      <c r="T232" s="1088">
        <v>0</v>
      </c>
      <c r="U232" s="1088">
        <v>0</v>
      </c>
      <c r="V232" s="1088">
        <v>0</v>
      </c>
      <c r="W232" s="1088">
        <v>0</v>
      </c>
      <c r="X232" s="1088">
        <v>0</v>
      </c>
      <c r="Y232" s="1088">
        <v>0</v>
      </c>
      <c r="Z232" s="1088">
        <v>0</v>
      </c>
      <c r="AA232" s="1088">
        <v>0</v>
      </c>
      <c r="AB232" s="1088">
        <v>0</v>
      </c>
      <c r="AC232" s="1088">
        <v>0</v>
      </c>
      <c r="AD232" s="1088">
        <v>0</v>
      </c>
      <c r="AE232" s="1088"/>
      <c r="AF232" s="1088"/>
      <c r="AG232" s="1088"/>
      <c r="AH232" s="1088"/>
      <c r="AI232" s="1088"/>
      <c r="AJ232" s="1088"/>
      <c r="AK232" s="1088"/>
      <c r="AL232" s="1088"/>
      <c r="AM232" s="1088"/>
      <c r="AN232" s="1088"/>
      <c r="AO232" s="1088"/>
      <c r="AP232" s="1088"/>
      <c r="AQ232" s="1088"/>
      <c r="AR232" s="1088"/>
      <c r="AS232" s="1088"/>
      <c r="AT232" s="1088"/>
      <c r="AU232" s="1088"/>
      <c r="AV232" s="1088"/>
      <c r="AW232" s="1088"/>
      <c r="AX232" s="1086">
        <f t="shared" si="37"/>
        <v>0</v>
      </c>
    </row>
    <row r="233" spans="1:50" ht="12">
      <c r="A233" s="1086" t="s">
        <v>1542</v>
      </c>
      <c r="B233" s="1086" t="s">
        <v>1543</v>
      </c>
      <c r="C233" s="1088">
        <v>0</v>
      </c>
      <c r="D233" s="1088">
        <v>0</v>
      </c>
      <c r="E233" s="1088">
        <v>0</v>
      </c>
      <c r="F233" s="1088">
        <v>0</v>
      </c>
      <c r="G233" s="1088">
        <v>0</v>
      </c>
      <c r="H233" s="1088">
        <v>0</v>
      </c>
      <c r="I233" s="1088">
        <v>0</v>
      </c>
      <c r="J233" s="1088">
        <v>0</v>
      </c>
      <c r="K233" s="1088">
        <v>0</v>
      </c>
      <c r="L233" s="1088">
        <v>0</v>
      </c>
      <c r="M233" s="1088">
        <v>0</v>
      </c>
      <c r="N233" s="1088">
        <v>0</v>
      </c>
      <c r="O233" s="1088">
        <v>0</v>
      </c>
      <c r="P233" s="1088">
        <v>0</v>
      </c>
      <c r="Q233" s="1088">
        <v>0</v>
      </c>
      <c r="R233" s="1088">
        <v>0</v>
      </c>
      <c r="S233" s="1088">
        <v>0</v>
      </c>
      <c r="T233" s="1088">
        <v>0</v>
      </c>
      <c r="U233" s="1088">
        <v>0</v>
      </c>
      <c r="V233" s="1088">
        <v>0</v>
      </c>
      <c r="W233" s="1088">
        <v>0</v>
      </c>
      <c r="X233" s="1088">
        <v>0</v>
      </c>
      <c r="Y233" s="1088">
        <v>0</v>
      </c>
      <c r="Z233" s="1088">
        <v>0</v>
      </c>
      <c r="AA233" s="1088">
        <v>0</v>
      </c>
      <c r="AB233" s="1088">
        <v>0</v>
      </c>
      <c r="AC233" s="1088">
        <v>0</v>
      </c>
      <c r="AD233" s="1088">
        <v>0</v>
      </c>
      <c r="AE233" s="1088"/>
      <c r="AF233" s="1088"/>
      <c r="AG233" s="1088"/>
      <c r="AH233" s="1088"/>
      <c r="AI233" s="1088"/>
      <c r="AJ233" s="1088"/>
      <c r="AK233" s="1088"/>
      <c r="AL233" s="1088"/>
      <c r="AM233" s="1088"/>
      <c r="AN233" s="1088"/>
      <c r="AO233" s="1088"/>
      <c r="AP233" s="1088"/>
      <c r="AQ233" s="1088"/>
      <c r="AR233" s="1088"/>
      <c r="AS233" s="1088"/>
      <c r="AT233" s="1088"/>
      <c r="AU233" s="1088"/>
      <c r="AV233" s="1088"/>
      <c r="AW233" s="1088"/>
      <c r="AX233" s="1086">
        <f t="shared" si="37"/>
        <v>0</v>
      </c>
    </row>
    <row r="234" spans="1:50" ht="12">
      <c r="A234" s="1086" t="s">
        <v>1544</v>
      </c>
      <c r="B234" s="1086" t="s">
        <v>1545</v>
      </c>
      <c r="C234" s="1086">
        <f t="shared" ref="C234:AA234" si="49">SUM(C235:C242)</f>
        <v>0</v>
      </c>
      <c r="D234" s="1086">
        <f t="shared" si="49"/>
        <v>0</v>
      </c>
      <c r="E234" s="1086">
        <f t="shared" si="49"/>
        <v>0</v>
      </c>
      <c r="F234" s="1086">
        <f t="shared" si="49"/>
        <v>16661930.89710043</v>
      </c>
      <c r="G234" s="1086">
        <f t="shared" si="49"/>
        <v>0</v>
      </c>
      <c r="H234" s="1086">
        <f t="shared" si="49"/>
        <v>0</v>
      </c>
      <c r="I234" s="1086">
        <f t="shared" si="49"/>
        <v>0</v>
      </c>
      <c r="J234" s="1086">
        <f t="shared" si="49"/>
        <v>0</v>
      </c>
      <c r="K234" s="1086">
        <f t="shared" si="49"/>
        <v>3813876749.1292624</v>
      </c>
      <c r="L234" s="1086">
        <f t="shared" si="49"/>
        <v>0</v>
      </c>
      <c r="M234" s="1086">
        <f t="shared" si="49"/>
        <v>0</v>
      </c>
      <c r="N234" s="1086">
        <f t="shared" si="49"/>
        <v>0</v>
      </c>
      <c r="O234" s="1086">
        <f t="shared" si="49"/>
        <v>0</v>
      </c>
      <c r="P234" s="1086">
        <f t="shared" si="49"/>
        <v>0</v>
      </c>
      <c r="Q234" s="1086">
        <f t="shared" si="49"/>
        <v>0</v>
      </c>
      <c r="R234" s="1086">
        <f t="shared" si="49"/>
        <v>0</v>
      </c>
      <c r="S234" s="1086">
        <f t="shared" si="49"/>
        <v>0</v>
      </c>
      <c r="T234" s="1086">
        <f t="shared" si="49"/>
        <v>0</v>
      </c>
      <c r="U234" s="1086">
        <f t="shared" si="49"/>
        <v>12188855680.219646</v>
      </c>
      <c r="V234" s="1086">
        <f t="shared" si="49"/>
        <v>1859098706.6951995</v>
      </c>
      <c r="W234" s="1086">
        <f t="shared" si="49"/>
        <v>1631402889.3275476</v>
      </c>
      <c r="X234" s="1086">
        <f t="shared" si="49"/>
        <v>960713924.04436648</v>
      </c>
      <c r="Y234" s="1086">
        <f t="shared" si="49"/>
        <v>0</v>
      </c>
      <c r="Z234" s="1086">
        <f t="shared" si="49"/>
        <v>0</v>
      </c>
      <c r="AA234" s="1086">
        <f t="shared" si="49"/>
        <v>0</v>
      </c>
      <c r="AB234" s="1086">
        <f>SUM(AB235:AB242)</f>
        <v>0</v>
      </c>
      <c r="AC234" s="1086">
        <f>SUM(AC235:AC242)</f>
        <v>0</v>
      </c>
      <c r="AD234" s="1086">
        <f>SUM(AD235:AD242)</f>
        <v>0</v>
      </c>
      <c r="AE234" s="1086"/>
      <c r="AF234" s="1086"/>
      <c r="AG234" s="1086"/>
      <c r="AH234" s="1086"/>
      <c r="AI234" s="1086"/>
      <c r="AJ234" s="1086"/>
      <c r="AK234" s="1086"/>
      <c r="AL234" s="1086"/>
      <c r="AM234" s="1086"/>
      <c r="AN234" s="1086"/>
      <c r="AO234" s="1086"/>
      <c r="AP234" s="1086"/>
      <c r="AQ234" s="1086"/>
      <c r="AR234" s="1086"/>
      <c r="AS234" s="1086"/>
      <c r="AT234" s="1086"/>
      <c r="AU234" s="1086"/>
      <c r="AV234" s="1086"/>
      <c r="AW234" s="1086"/>
      <c r="AX234" s="1086">
        <f t="shared" si="37"/>
        <v>20470609880.313122</v>
      </c>
    </row>
    <row r="235" spans="1:50" ht="24">
      <c r="A235" s="1086" t="s">
        <v>1546</v>
      </c>
      <c r="B235" s="1086" t="s">
        <v>1547</v>
      </c>
      <c r="C235" s="1088">
        <v>0</v>
      </c>
      <c r="D235" s="1088">
        <v>0</v>
      </c>
      <c r="E235" s="1088">
        <v>0</v>
      </c>
      <c r="F235" s="1088">
        <v>0</v>
      </c>
      <c r="G235" s="1088">
        <v>0</v>
      </c>
      <c r="H235" s="1088">
        <v>0</v>
      </c>
      <c r="I235" s="1088">
        <v>0</v>
      </c>
      <c r="J235" s="1088">
        <v>0</v>
      </c>
      <c r="K235" s="1088">
        <v>0</v>
      </c>
      <c r="L235" s="1088">
        <v>0</v>
      </c>
      <c r="M235" s="1088">
        <v>0</v>
      </c>
      <c r="N235" s="1088">
        <v>0</v>
      </c>
      <c r="O235" s="1088">
        <v>0</v>
      </c>
      <c r="P235" s="1088">
        <v>0</v>
      </c>
      <c r="Q235" s="1088">
        <v>0</v>
      </c>
      <c r="R235" s="1088">
        <v>0</v>
      </c>
      <c r="S235" s="1088">
        <v>0</v>
      </c>
      <c r="T235" s="1088">
        <v>0</v>
      </c>
      <c r="U235" s="1088">
        <v>0</v>
      </c>
      <c r="V235" s="1088">
        <v>0</v>
      </c>
      <c r="W235" s="1088">
        <v>1261541897.6335337</v>
      </c>
      <c r="X235" s="1088">
        <v>960713924.04436648</v>
      </c>
      <c r="Y235" s="1088">
        <v>0</v>
      </c>
      <c r="Z235" s="1088">
        <v>0</v>
      </c>
      <c r="AA235" s="1088">
        <v>0</v>
      </c>
      <c r="AB235" s="1088">
        <v>0</v>
      </c>
      <c r="AC235" s="1088">
        <v>0</v>
      </c>
      <c r="AD235" s="1088">
        <v>0</v>
      </c>
      <c r="AE235" s="1088"/>
      <c r="AF235" s="1088"/>
      <c r="AG235" s="1088"/>
      <c r="AH235" s="1088"/>
      <c r="AI235" s="1088"/>
      <c r="AJ235" s="1088"/>
      <c r="AK235" s="1088"/>
      <c r="AL235" s="1088"/>
      <c r="AM235" s="1088"/>
      <c r="AN235" s="1088"/>
      <c r="AO235" s="1088"/>
      <c r="AP235" s="1088"/>
      <c r="AQ235" s="1088"/>
      <c r="AR235" s="1088"/>
      <c r="AS235" s="1088"/>
      <c r="AT235" s="1088"/>
      <c r="AU235" s="1088"/>
      <c r="AV235" s="1088"/>
      <c r="AW235" s="1088"/>
      <c r="AX235" s="1086">
        <f t="shared" si="37"/>
        <v>2222255821.6779003</v>
      </c>
    </row>
    <row r="236" spans="1:50" ht="24">
      <c r="A236" s="1086" t="s">
        <v>1548</v>
      </c>
      <c r="B236" s="1086" t="s">
        <v>1549</v>
      </c>
      <c r="C236" s="1088">
        <v>0</v>
      </c>
      <c r="D236" s="1088">
        <v>0</v>
      </c>
      <c r="E236" s="1088">
        <v>0</v>
      </c>
      <c r="F236" s="1088">
        <v>0</v>
      </c>
      <c r="G236" s="1088">
        <v>0</v>
      </c>
      <c r="H236" s="1088">
        <v>0</v>
      </c>
      <c r="I236" s="1088">
        <v>0</v>
      </c>
      <c r="J236" s="1088">
        <v>0</v>
      </c>
      <c r="K236" s="1088">
        <v>70385478.832826689</v>
      </c>
      <c r="L236" s="1088">
        <v>0</v>
      </c>
      <c r="M236" s="1088">
        <v>0</v>
      </c>
      <c r="N236" s="1088">
        <v>0</v>
      </c>
      <c r="O236" s="1088">
        <v>0</v>
      </c>
      <c r="P236" s="1088">
        <v>0</v>
      </c>
      <c r="Q236" s="1088">
        <v>0</v>
      </c>
      <c r="R236" s="1088">
        <v>0</v>
      </c>
      <c r="S236" s="1088">
        <v>0</v>
      </c>
      <c r="T236" s="1088">
        <v>0</v>
      </c>
      <c r="U236" s="1088">
        <v>0</v>
      </c>
      <c r="V236" s="1088">
        <v>0</v>
      </c>
      <c r="W236" s="1088">
        <v>0</v>
      </c>
      <c r="X236" s="1088">
        <v>0</v>
      </c>
      <c r="Y236" s="1088">
        <v>0</v>
      </c>
      <c r="Z236" s="1088">
        <v>0</v>
      </c>
      <c r="AA236" s="1088">
        <v>0</v>
      </c>
      <c r="AB236" s="1088">
        <v>0</v>
      </c>
      <c r="AC236" s="1088">
        <v>0</v>
      </c>
      <c r="AD236" s="1088">
        <v>0</v>
      </c>
      <c r="AE236" s="1088"/>
      <c r="AF236" s="1088"/>
      <c r="AG236" s="1088"/>
      <c r="AH236" s="1088"/>
      <c r="AI236" s="1088"/>
      <c r="AJ236" s="1088"/>
      <c r="AK236" s="1088"/>
      <c r="AL236" s="1088"/>
      <c r="AM236" s="1088"/>
      <c r="AN236" s="1088"/>
      <c r="AO236" s="1088"/>
      <c r="AP236" s="1088"/>
      <c r="AQ236" s="1088"/>
      <c r="AR236" s="1088"/>
      <c r="AS236" s="1088"/>
      <c r="AT236" s="1088"/>
      <c r="AU236" s="1088"/>
      <c r="AV236" s="1088"/>
      <c r="AW236" s="1088"/>
      <c r="AX236" s="1086">
        <f t="shared" si="37"/>
        <v>70385478.832826689</v>
      </c>
    </row>
    <row r="237" spans="1:50" ht="24">
      <c r="A237" s="1086" t="s">
        <v>1550</v>
      </c>
      <c r="B237" s="1086" t="s">
        <v>1551</v>
      </c>
      <c r="C237" s="1088">
        <v>0</v>
      </c>
      <c r="D237" s="1088">
        <v>0</v>
      </c>
      <c r="E237" s="1088">
        <v>0</v>
      </c>
      <c r="F237" s="1088">
        <v>0</v>
      </c>
      <c r="G237" s="1088">
        <v>0</v>
      </c>
      <c r="H237" s="1088">
        <v>0</v>
      </c>
      <c r="I237" s="1088">
        <v>0</v>
      </c>
      <c r="J237" s="1088">
        <v>0</v>
      </c>
      <c r="K237" s="1088">
        <v>443227021.77345043</v>
      </c>
      <c r="L237" s="1088">
        <v>0</v>
      </c>
      <c r="M237" s="1088">
        <v>0</v>
      </c>
      <c r="N237" s="1088">
        <v>0</v>
      </c>
      <c r="O237" s="1088">
        <v>0</v>
      </c>
      <c r="P237" s="1088">
        <v>0</v>
      </c>
      <c r="Q237" s="1088">
        <v>0</v>
      </c>
      <c r="R237" s="1088">
        <v>0</v>
      </c>
      <c r="S237" s="1088">
        <v>0</v>
      </c>
      <c r="T237" s="1088">
        <v>0</v>
      </c>
      <c r="U237" s="1088">
        <v>0</v>
      </c>
      <c r="V237" s="1088">
        <v>0</v>
      </c>
      <c r="W237" s="1088">
        <v>0</v>
      </c>
      <c r="X237" s="1088">
        <v>0</v>
      </c>
      <c r="Y237" s="1088">
        <v>0</v>
      </c>
      <c r="Z237" s="1088">
        <v>0</v>
      </c>
      <c r="AA237" s="1088">
        <v>0</v>
      </c>
      <c r="AB237" s="1088">
        <v>0</v>
      </c>
      <c r="AC237" s="1088">
        <v>0</v>
      </c>
      <c r="AD237" s="1088">
        <v>0</v>
      </c>
      <c r="AE237" s="1088"/>
      <c r="AF237" s="1088"/>
      <c r="AG237" s="1088"/>
      <c r="AH237" s="1088"/>
      <c r="AI237" s="1088"/>
      <c r="AJ237" s="1088"/>
      <c r="AK237" s="1088"/>
      <c r="AL237" s="1088"/>
      <c r="AM237" s="1088"/>
      <c r="AN237" s="1088"/>
      <c r="AO237" s="1088"/>
      <c r="AP237" s="1088"/>
      <c r="AQ237" s="1088"/>
      <c r="AR237" s="1088"/>
      <c r="AS237" s="1088"/>
      <c r="AT237" s="1088"/>
      <c r="AU237" s="1088"/>
      <c r="AV237" s="1088"/>
      <c r="AW237" s="1088"/>
      <c r="AX237" s="1086">
        <f t="shared" si="37"/>
        <v>443227021.77345043</v>
      </c>
    </row>
    <row r="238" spans="1:50" ht="24">
      <c r="A238" s="1086" t="s">
        <v>1552</v>
      </c>
      <c r="B238" s="1086" t="s">
        <v>1553</v>
      </c>
      <c r="C238" s="1088">
        <v>0</v>
      </c>
      <c r="D238" s="1088">
        <v>0</v>
      </c>
      <c r="E238" s="1088">
        <v>0</v>
      </c>
      <c r="F238" s="1088">
        <v>16661930.89710043</v>
      </c>
      <c r="G238" s="1088">
        <v>0</v>
      </c>
      <c r="H238" s="1088">
        <v>0</v>
      </c>
      <c r="I238" s="1088">
        <v>0</v>
      </c>
      <c r="J238" s="1088">
        <v>0</v>
      </c>
      <c r="K238" s="1088">
        <v>0</v>
      </c>
      <c r="L238" s="1088">
        <v>0</v>
      </c>
      <c r="M238" s="1088">
        <v>0</v>
      </c>
      <c r="N238" s="1088">
        <v>0</v>
      </c>
      <c r="O238" s="1088">
        <v>0</v>
      </c>
      <c r="P238" s="1088">
        <v>0</v>
      </c>
      <c r="Q238" s="1088">
        <v>0</v>
      </c>
      <c r="R238" s="1088">
        <v>0</v>
      </c>
      <c r="S238" s="1088">
        <v>0</v>
      </c>
      <c r="T238" s="1088">
        <v>0</v>
      </c>
      <c r="U238" s="1088">
        <v>0</v>
      </c>
      <c r="V238" s="1088">
        <v>0</v>
      </c>
      <c r="W238" s="1088">
        <v>0</v>
      </c>
      <c r="X238" s="1088">
        <v>0</v>
      </c>
      <c r="Y238" s="1088">
        <v>0</v>
      </c>
      <c r="Z238" s="1088">
        <v>0</v>
      </c>
      <c r="AA238" s="1088">
        <v>0</v>
      </c>
      <c r="AB238" s="1088">
        <v>0</v>
      </c>
      <c r="AC238" s="1088">
        <v>0</v>
      </c>
      <c r="AD238" s="1088">
        <v>0</v>
      </c>
      <c r="AE238" s="1088"/>
      <c r="AF238" s="1088"/>
      <c r="AG238" s="1088"/>
      <c r="AH238" s="1088"/>
      <c r="AI238" s="1088"/>
      <c r="AJ238" s="1088"/>
      <c r="AK238" s="1088"/>
      <c r="AL238" s="1088"/>
      <c r="AM238" s="1088"/>
      <c r="AN238" s="1088"/>
      <c r="AO238" s="1088"/>
      <c r="AP238" s="1088"/>
      <c r="AQ238" s="1088"/>
      <c r="AR238" s="1088"/>
      <c r="AS238" s="1088"/>
      <c r="AT238" s="1088"/>
      <c r="AU238" s="1088"/>
      <c r="AV238" s="1088"/>
      <c r="AW238" s="1088"/>
      <c r="AX238" s="1086">
        <f t="shared" si="37"/>
        <v>16661930.89710043</v>
      </c>
    </row>
    <row r="239" spans="1:50" ht="24">
      <c r="A239" s="1086" t="s">
        <v>1554</v>
      </c>
      <c r="B239" s="1086" t="s">
        <v>1555</v>
      </c>
      <c r="C239" s="1088">
        <v>0</v>
      </c>
      <c r="D239" s="1088">
        <v>0</v>
      </c>
      <c r="E239" s="1088">
        <v>0</v>
      </c>
      <c r="F239" s="1088">
        <v>0</v>
      </c>
      <c r="G239" s="1088">
        <v>0</v>
      </c>
      <c r="H239" s="1088">
        <v>0</v>
      </c>
      <c r="I239" s="1088">
        <v>0</v>
      </c>
      <c r="J239" s="1088">
        <v>0</v>
      </c>
      <c r="K239" s="1088">
        <v>0</v>
      </c>
      <c r="L239" s="1088">
        <v>0</v>
      </c>
      <c r="M239" s="1088">
        <v>0</v>
      </c>
      <c r="N239" s="1088">
        <v>0</v>
      </c>
      <c r="O239" s="1088">
        <v>0</v>
      </c>
      <c r="P239" s="1088">
        <v>0</v>
      </c>
      <c r="Q239" s="1088">
        <v>0</v>
      </c>
      <c r="R239" s="1088">
        <v>0</v>
      </c>
      <c r="S239" s="1088">
        <v>0</v>
      </c>
      <c r="T239" s="1088">
        <v>0</v>
      </c>
      <c r="U239" s="1088">
        <v>12188855680.219646</v>
      </c>
      <c r="V239" s="1088">
        <v>1859098706.6951995</v>
      </c>
      <c r="W239" s="1088">
        <v>369860991.69401383</v>
      </c>
      <c r="X239" s="1088">
        <v>0</v>
      </c>
      <c r="Y239" s="1088">
        <v>0</v>
      </c>
      <c r="Z239" s="1088">
        <v>0</v>
      </c>
      <c r="AA239" s="1088">
        <v>0</v>
      </c>
      <c r="AB239" s="1088">
        <v>0</v>
      </c>
      <c r="AC239" s="1088">
        <v>0</v>
      </c>
      <c r="AD239" s="1088">
        <v>0</v>
      </c>
      <c r="AE239" s="1088"/>
      <c r="AF239" s="1088"/>
      <c r="AG239" s="1088"/>
      <c r="AH239" s="1088"/>
      <c r="AI239" s="1088"/>
      <c r="AJ239" s="1088"/>
      <c r="AK239" s="1088"/>
      <c r="AL239" s="1088"/>
      <c r="AM239" s="1088"/>
      <c r="AN239" s="1088"/>
      <c r="AO239" s="1088"/>
      <c r="AP239" s="1088"/>
      <c r="AQ239" s="1088"/>
      <c r="AR239" s="1088"/>
      <c r="AS239" s="1088"/>
      <c r="AT239" s="1088"/>
      <c r="AU239" s="1088"/>
      <c r="AV239" s="1088"/>
      <c r="AW239" s="1088"/>
      <c r="AX239" s="1086">
        <f t="shared" si="37"/>
        <v>14417815378.60886</v>
      </c>
    </row>
    <row r="240" spans="1:50" ht="12">
      <c r="A240" s="1086" t="s">
        <v>1556</v>
      </c>
      <c r="B240" s="1086" t="s">
        <v>1557</v>
      </c>
      <c r="C240" s="1088">
        <v>0</v>
      </c>
      <c r="D240" s="1088">
        <v>0</v>
      </c>
      <c r="E240" s="1088">
        <v>0</v>
      </c>
      <c r="F240" s="1088">
        <v>0</v>
      </c>
      <c r="G240" s="1088">
        <v>0</v>
      </c>
      <c r="H240" s="1088">
        <v>0</v>
      </c>
      <c r="I240" s="1088">
        <v>0</v>
      </c>
      <c r="J240" s="1088">
        <v>0</v>
      </c>
      <c r="K240" s="1088">
        <v>3300264248.5229855</v>
      </c>
      <c r="L240" s="1088">
        <v>0</v>
      </c>
      <c r="M240" s="1088">
        <v>0</v>
      </c>
      <c r="N240" s="1088">
        <v>0</v>
      </c>
      <c r="O240" s="1088">
        <v>0</v>
      </c>
      <c r="P240" s="1088">
        <v>0</v>
      </c>
      <c r="Q240" s="1088">
        <v>0</v>
      </c>
      <c r="R240" s="1088">
        <v>0</v>
      </c>
      <c r="S240" s="1088">
        <v>0</v>
      </c>
      <c r="T240" s="1088">
        <v>0</v>
      </c>
      <c r="U240" s="1088">
        <v>0</v>
      </c>
      <c r="V240" s="1088">
        <v>0</v>
      </c>
      <c r="W240" s="1088">
        <v>0</v>
      </c>
      <c r="X240" s="1088">
        <v>0</v>
      </c>
      <c r="Y240" s="1088">
        <v>0</v>
      </c>
      <c r="Z240" s="1088">
        <v>0</v>
      </c>
      <c r="AA240" s="1088">
        <v>0</v>
      </c>
      <c r="AB240" s="1088">
        <v>0</v>
      </c>
      <c r="AC240" s="1088">
        <v>0</v>
      </c>
      <c r="AD240" s="1088">
        <v>0</v>
      </c>
      <c r="AE240" s="1088"/>
      <c r="AF240" s="1088"/>
      <c r="AG240" s="1088"/>
      <c r="AH240" s="1088"/>
      <c r="AI240" s="1088"/>
      <c r="AJ240" s="1088"/>
      <c r="AK240" s="1088"/>
      <c r="AL240" s="1088"/>
      <c r="AM240" s="1088"/>
      <c r="AN240" s="1088"/>
      <c r="AO240" s="1088"/>
      <c r="AP240" s="1088"/>
      <c r="AQ240" s="1088"/>
      <c r="AR240" s="1088"/>
      <c r="AS240" s="1088"/>
      <c r="AT240" s="1088"/>
      <c r="AU240" s="1088"/>
      <c r="AV240" s="1088"/>
      <c r="AW240" s="1088"/>
      <c r="AX240" s="1086">
        <f t="shared" si="37"/>
        <v>3300264248.5229855</v>
      </c>
    </row>
    <row r="241" spans="1:50" ht="24">
      <c r="A241" s="1086" t="s">
        <v>1558</v>
      </c>
      <c r="B241" s="1086" t="s">
        <v>1559</v>
      </c>
      <c r="C241" s="1088">
        <v>0</v>
      </c>
      <c r="D241" s="1088">
        <v>0</v>
      </c>
      <c r="E241" s="1088">
        <v>0</v>
      </c>
      <c r="F241" s="1088">
        <v>0</v>
      </c>
      <c r="G241" s="1088">
        <v>0</v>
      </c>
      <c r="H241" s="1088">
        <v>0</v>
      </c>
      <c r="I241" s="1088">
        <v>0</v>
      </c>
      <c r="J241" s="1088">
        <v>0</v>
      </c>
      <c r="K241" s="1088">
        <v>0</v>
      </c>
      <c r="L241" s="1088">
        <v>0</v>
      </c>
      <c r="M241" s="1088">
        <v>0</v>
      </c>
      <c r="N241" s="1088">
        <v>0</v>
      </c>
      <c r="O241" s="1088">
        <v>0</v>
      </c>
      <c r="P241" s="1088">
        <v>0</v>
      </c>
      <c r="Q241" s="1088">
        <v>0</v>
      </c>
      <c r="R241" s="1088">
        <v>0</v>
      </c>
      <c r="S241" s="1088">
        <v>0</v>
      </c>
      <c r="T241" s="1088">
        <v>0</v>
      </c>
      <c r="U241" s="1088">
        <v>0</v>
      </c>
      <c r="V241" s="1088">
        <v>0</v>
      </c>
      <c r="W241" s="1088">
        <v>0</v>
      </c>
      <c r="X241" s="1088">
        <v>0</v>
      </c>
      <c r="Y241" s="1088">
        <v>0</v>
      </c>
      <c r="Z241" s="1088">
        <v>0</v>
      </c>
      <c r="AA241" s="1088">
        <v>0</v>
      </c>
      <c r="AB241" s="1088">
        <v>0</v>
      </c>
      <c r="AC241" s="1088">
        <v>0</v>
      </c>
      <c r="AD241" s="1088">
        <v>0</v>
      </c>
      <c r="AE241" s="1088"/>
      <c r="AF241" s="1088"/>
      <c r="AG241" s="1088"/>
      <c r="AH241" s="1088"/>
      <c r="AI241" s="1088"/>
      <c r="AJ241" s="1088"/>
      <c r="AK241" s="1088"/>
      <c r="AL241" s="1088"/>
      <c r="AM241" s="1088"/>
      <c r="AN241" s="1088"/>
      <c r="AO241" s="1088"/>
      <c r="AP241" s="1088"/>
      <c r="AQ241" s="1088"/>
      <c r="AR241" s="1088"/>
      <c r="AS241" s="1088"/>
      <c r="AT241" s="1088"/>
      <c r="AU241" s="1088"/>
      <c r="AV241" s="1088"/>
      <c r="AW241" s="1088"/>
      <c r="AX241" s="1086">
        <f t="shared" si="37"/>
        <v>0</v>
      </c>
    </row>
    <row r="242" spans="1:50" ht="24">
      <c r="A242" s="1086" t="s">
        <v>1560</v>
      </c>
      <c r="B242" s="1086" t="s">
        <v>1561</v>
      </c>
      <c r="C242" s="1088">
        <v>0</v>
      </c>
      <c r="D242" s="1088">
        <v>0</v>
      </c>
      <c r="E242" s="1088">
        <v>0</v>
      </c>
      <c r="F242" s="1088">
        <v>0</v>
      </c>
      <c r="G242" s="1088">
        <v>0</v>
      </c>
      <c r="H242" s="1088">
        <v>0</v>
      </c>
      <c r="I242" s="1088">
        <v>0</v>
      </c>
      <c r="J242" s="1088">
        <v>0</v>
      </c>
      <c r="K242" s="1088">
        <v>0</v>
      </c>
      <c r="L242" s="1088">
        <v>0</v>
      </c>
      <c r="M242" s="1088">
        <v>0</v>
      </c>
      <c r="N242" s="1088">
        <v>0</v>
      </c>
      <c r="O242" s="1088">
        <v>0</v>
      </c>
      <c r="P242" s="1088">
        <v>0</v>
      </c>
      <c r="Q242" s="1088">
        <v>0</v>
      </c>
      <c r="R242" s="1088">
        <v>0</v>
      </c>
      <c r="S242" s="1088">
        <v>0</v>
      </c>
      <c r="T242" s="1088">
        <v>0</v>
      </c>
      <c r="U242" s="1088">
        <v>0</v>
      </c>
      <c r="V242" s="1088">
        <v>0</v>
      </c>
      <c r="W242" s="1088">
        <v>0</v>
      </c>
      <c r="X242" s="1088">
        <v>0</v>
      </c>
      <c r="Y242" s="1088">
        <v>0</v>
      </c>
      <c r="Z242" s="1088">
        <v>0</v>
      </c>
      <c r="AA242" s="1088">
        <v>0</v>
      </c>
      <c r="AB242" s="1088">
        <v>0</v>
      </c>
      <c r="AC242" s="1088">
        <v>0</v>
      </c>
      <c r="AD242" s="1088">
        <v>0</v>
      </c>
      <c r="AE242" s="1088"/>
      <c r="AF242" s="1088"/>
      <c r="AG242" s="1088"/>
      <c r="AH242" s="1088"/>
      <c r="AI242" s="1088"/>
      <c r="AJ242" s="1088"/>
      <c r="AK242" s="1088"/>
      <c r="AL242" s="1088"/>
      <c r="AM242" s="1088"/>
      <c r="AN242" s="1088"/>
      <c r="AO242" s="1088"/>
      <c r="AP242" s="1088"/>
      <c r="AQ242" s="1088"/>
      <c r="AR242" s="1088"/>
      <c r="AS242" s="1088"/>
      <c r="AT242" s="1088"/>
      <c r="AU242" s="1088"/>
      <c r="AV242" s="1088"/>
      <c r="AW242" s="1088"/>
      <c r="AX242" s="1086">
        <f t="shared" si="37"/>
        <v>0</v>
      </c>
    </row>
    <row r="243" spans="1:50" ht="12">
      <c r="A243" s="1086" t="s">
        <v>1562</v>
      </c>
      <c r="B243" s="1086" t="s">
        <v>303</v>
      </c>
      <c r="C243" s="1086">
        <f>1*$C$247 + 1*$C$248 + 1*$C$249</f>
        <v>0</v>
      </c>
      <c r="D243" s="1086">
        <f>1*$D$247 + 1*$D$248 + 1*$D$249</f>
        <v>0</v>
      </c>
      <c r="E243" s="1086">
        <f>1*$E$247 + 1*$E$248 + 1*$E$249</f>
        <v>0</v>
      </c>
      <c r="F243" s="1086">
        <f>1*$F$247 + 1*$F$248 + 1*$F$249</f>
        <v>0</v>
      </c>
      <c r="G243" s="1086">
        <f>1*$G$247 + 1*$G$248 + 1*$G$249</f>
        <v>0</v>
      </c>
      <c r="H243" s="1086">
        <f>1*$H$247 + 1*$H$248 + 1*$H$249</f>
        <v>0</v>
      </c>
      <c r="I243" s="1086">
        <f>1*$I$247 + 1*$I$248 + 1*$I$249</f>
        <v>0</v>
      </c>
      <c r="J243" s="1086">
        <f>1*$J$247 + 1*$J$248 + 1*$J$249</f>
        <v>0</v>
      </c>
      <c r="K243" s="1086">
        <f>1*$K$247 + 1*$K$248 + 1*$K$249</f>
        <v>0</v>
      </c>
      <c r="L243" s="1086">
        <f>1*$L$247 + 1*$L$248 + 1*$L$249</f>
        <v>0</v>
      </c>
      <c r="M243" s="1086">
        <f>1*$M$247 + 1*$M$248 + 1*$M$249</f>
        <v>0</v>
      </c>
      <c r="N243" s="1086">
        <f>1*$N$247 + 1*$N$248 + 1*$N$249</f>
        <v>0</v>
      </c>
      <c r="O243" s="1086">
        <f>1*$O$247 + 1*$O$248 + 1*$O$249</f>
        <v>0</v>
      </c>
      <c r="P243" s="1086">
        <f>1*$P$247 + 1*$P$248 + 1*$P$249</f>
        <v>0</v>
      </c>
      <c r="Q243" s="1086">
        <f>1*$Q$247 + 1*$Q$248 + 1*$Q$249</f>
        <v>0</v>
      </c>
      <c r="R243" s="1086">
        <f>1*$R$247 + 1*$R$248 + 1*$R$249</f>
        <v>0</v>
      </c>
      <c r="S243" s="1086">
        <f>1*$S$247 + 1*$S$248 + 1*$S$249</f>
        <v>0</v>
      </c>
      <c r="T243" s="1086">
        <f>1*$T$247 + 1*$T$248 + 1*$T$249</f>
        <v>0</v>
      </c>
      <c r="U243" s="1086">
        <f>1*$U$247 + 1*$U$248 + 1*$U$249</f>
        <v>0</v>
      </c>
      <c r="V243" s="1086">
        <f>1*$V$247 + 1*$V$248 + 1*$V$249</f>
        <v>0</v>
      </c>
      <c r="W243" s="1086">
        <f>1*$W$247 + 1*$W$248 + 1*$W$249</f>
        <v>0</v>
      </c>
      <c r="X243" s="1086">
        <f>1*$X$247 + 1*$X$248 + 1*$X$249</f>
        <v>0</v>
      </c>
      <c r="Y243" s="1086">
        <f>1*$Y$247 + 1*$Y$248 + 1*$Y$249</f>
        <v>0</v>
      </c>
      <c r="Z243" s="1086">
        <f>1*$Z$247 + 1*$Z$248 + 1*$Z$249</f>
        <v>0</v>
      </c>
      <c r="AA243" s="1086">
        <f>1*$AA$247 + 1*$AA$248 + 1*$AA$249</f>
        <v>0</v>
      </c>
      <c r="AB243" s="1086">
        <f>1*$AB$247 + 1*$AB$248 + 1*$AB$249</f>
        <v>0</v>
      </c>
      <c r="AC243" s="1086">
        <f>1*$AC$247 + 1*$AC$248 + 1*$AC$249</f>
        <v>0</v>
      </c>
      <c r="AD243" s="1086">
        <f>1*$AC$247 + 1*$AC$248 + 1*$AC$249</f>
        <v>0</v>
      </c>
      <c r="AE243" s="1086"/>
      <c r="AF243" s="1086"/>
      <c r="AG243" s="1086"/>
      <c r="AH243" s="1086"/>
      <c r="AI243" s="1086"/>
      <c r="AJ243" s="1086"/>
      <c r="AK243" s="1086"/>
      <c r="AL243" s="1086"/>
      <c r="AM243" s="1086"/>
      <c r="AN243" s="1086"/>
      <c r="AO243" s="1086"/>
      <c r="AP243" s="1086"/>
      <c r="AQ243" s="1086"/>
      <c r="AR243" s="1086"/>
      <c r="AS243" s="1086"/>
      <c r="AT243" s="1086"/>
      <c r="AU243" s="1086"/>
      <c r="AV243" s="1086"/>
      <c r="AW243" s="1086"/>
      <c r="AX243" s="1086">
        <f t="shared" si="37"/>
        <v>0</v>
      </c>
    </row>
    <row r="244" spans="1:50" ht="12">
      <c r="A244" s="1086" t="s">
        <v>1563</v>
      </c>
      <c r="B244" s="1086" t="s">
        <v>304</v>
      </c>
      <c r="C244" s="1088">
        <v>0</v>
      </c>
      <c r="D244" s="1088">
        <v>0</v>
      </c>
      <c r="E244" s="1088">
        <v>0</v>
      </c>
      <c r="F244" s="1088">
        <v>0</v>
      </c>
      <c r="G244" s="1088">
        <v>0</v>
      </c>
      <c r="H244" s="1088">
        <v>0</v>
      </c>
      <c r="I244" s="1088">
        <v>0</v>
      </c>
      <c r="J244" s="1088">
        <v>0</v>
      </c>
      <c r="K244" s="1088">
        <v>0</v>
      </c>
      <c r="L244" s="1088">
        <v>0</v>
      </c>
      <c r="M244" s="1088">
        <v>0</v>
      </c>
      <c r="N244" s="1088">
        <v>0</v>
      </c>
      <c r="O244" s="1088">
        <v>0</v>
      </c>
      <c r="P244" s="1088">
        <v>0</v>
      </c>
      <c r="Q244" s="1088">
        <v>0</v>
      </c>
      <c r="R244" s="1088">
        <v>0</v>
      </c>
      <c r="S244" s="1088">
        <v>0</v>
      </c>
      <c r="T244" s="1088">
        <v>0</v>
      </c>
      <c r="U244" s="1088">
        <v>0</v>
      </c>
      <c r="V244" s="1088">
        <v>0</v>
      </c>
      <c r="W244" s="1088">
        <v>0</v>
      </c>
      <c r="X244" s="1088">
        <v>0</v>
      </c>
      <c r="Y244" s="1088">
        <v>0</v>
      </c>
      <c r="Z244" s="1088">
        <v>0</v>
      </c>
      <c r="AA244" s="1088">
        <v>0</v>
      </c>
      <c r="AB244" s="1088">
        <v>0</v>
      </c>
      <c r="AC244" s="1088">
        <v>0</v>
      </c>
      <c r="AD244" s="1088">
        <v>0</v>
      </c>
      <c r="AE244" s="1088"/>
      <c r="AF244" s="1088"/>
      <c r="AG244" s="1088"/>
      <c r="AH244" s="1088"/>
      <c r="AI244" s="1088"/>
      <c r="AJ244" s="1088"/>
      <c r="AK244" s="1088"/>
      <c r="AL244" s="1088"/>
      <c r="AM244" s="1088"/>
      <c r="AN244" s="1088"/>
      <c r="AO244" s="1088"/>
      <c r="AP244" s="1088"/>
      <c r="AQ244" s="1088"/>
      <c r="AR244" s="1088"/>
      <c r="AS244" s="1088"/>
      <c r="AT244" s="1088"/>
      <c r="AU244" s="1088"/>
      <c r="AV244" s="1088"/>
      <c r="AW244" s="1088"/>
      <c r="AX244" s="1086">
        <f t="shared" si="37"/>
        <v>0</v>
      </c>
    </row>
    <row r="245" spans="1:50" ht="24">
      <c r="A245" s="1086" t="s">
        <v>1564</v>
      </c>
      <c r="B245" s="1086" t="s">
        <v>1565</v>
      </c>
      <c r="C245" s="1088">
        <v>0</v>
      </c>
      <c r="D245" s="1088">
        <v>0</v>
      </c>
      <c r="E245" s="1088">
        <v>0</v>
      </c>
      <c r="F245" s="1088">
        <v>0</v>
      </c>
      <c r="G245" s="1088">
        <v>0</v>
      </c>
      <c r="H245" s="1088">
        <v>0</v>
      </c>
      <c r="I245" s="1088">
        <v>0</v>
      </c>
      <c r="J245" s="1088">
        <v>0</v>
      </c>
      <c r="K245" s="1088">
        <v>0</v>
      </c>
      <c r="L245" s="1088">
        <v>0</v>
      </c>
      <c r="M245" s="1088">
        <v>0</v>
      </c>
      <c r="N245" s="1088">
        <v>0</v>
      </c>
      <c r="O245" s="1088">
        <v>0</v>
      </c>
      <c r="P245" s="1088">
        <v>0</v>
      </c>
      <c r="Q245" s="1088">
        <v>0</v>
      </c>
      <c r="R245" s="1088">
        <v>0</v>
      </c>
      <c r="S245" s="1088">
        <v>0</v>
      </c>
      <c r="T245" s="1088">
        <v>0</v>
      </c>
      <c r="U245" s="1088">
        <v>0</v>
      </c>
      <c r="V245" s="1088">
        <v>0</v>
      </c>
      <c r="W245" s="1088">
        <v>0</v>
      </c>
      <c r="X245" s="1088">
        <v>0</v>
      </c>
      <c r="Y245" s="1088">
        <v>0</v>
      </c>
      <c r="Z245" s="1088">
        <v>0</v>
      </c>
      <c r="AA245" s="1088">
        <v>0</v>
      </c>
      <c r="AB245" s="1088">
        <v>0</v>
      </c>
      <c r="AC245" s="1088">
        <v>0</v>
      </c>
      <c r="AD245" s="1088">
        <v>0</v>
      </c>
      <c r="AE245" s="1088"/>
      <c r="AF245" s="1088"/>
      <c r="AG245" s="1088"/>
      <c r="AH245" s="1088"/>
      <c r="AI245" s="1088"/>
      <c r="AJ245" s="1088"/>
      <c r="AK245" s="1088"/>
      <c r="AL245" s="1088"/>
      <c r="AM245" s="1088"/>
      <c r="AN245" s="1088"/>
      <c r="AO245" s="1088"/>
      <c r="AP245" s="1088"/>
      <c r="AQ245" s="1088"/>
      <c r="AR245" s="1088"/>
      <c r="AS245" s="1088"/>
      <c r="AT245" s="1088"/>
      <c r="AU245" s="1088"/>
      <c r="AV245" s="1088"/>
      <c r="AW245" s="1088"/>
      <c r="AX245" s="1086">
        <f t="shared" si="37"/>
        <v>0</v>
      </c>
    </row>
    <row r="246" spans="1:50" ht="12">
      <c r="A246" s="1086" t="s">
        <v>1566</v>
      </c>
      <c r="B246" s="1086" t="s">
        <v>1567</v>
      </c>
      <c r="C246" s="1088">
        <v>0</v>
      </c>
      <c r="D246" s="1088">
        <v>0</v>
      </c>
      <c r="E246" s="1088">
        <v>0</v>
      </c>
      <c r="F246" s="1088">
        <v>0</v>
      </c>
      <c r="G246" s="1088">
        <v>0</v>
      </c>
      <c r="H246" s="1088">
        <v>0</v>
      </c>
      <c r="I246" s="1088">
        <v>0</v>
      </c>
      <c r="J246" s="1088">
        <v>0</v>
      </c>
      <c r="K246" s="1088">
        <v>0</v>
      </c>
      <c r="L246" s="1088">
        <v>0</v>
      </c>
      <c r="M246" s="1088">
        <v>0</v>
      </c>
      <c r="N246" s="1088">
        <v>0</v>
      </c>
      <c r="O246" s="1088">
        <v>0</v>
      </c>
      <c r="P246" s="1088">
        <v>0</v>
      </c>
      <c r="Q246" s="1088">
        <v>0</v>
      </c>
      <c r="R246" s="1088">
        <v>0</v>
      </c>
      <c r="S246" s="1088">
        <v>0</v>
      </c>
      <c r="T246" s="1088">
        <v>0</v>
      </c>
      <c r="U246" s="1088">
        <v>0</v>
      </c>
      <c r="V246" s="1088">
        <v>0</v>
      </c>
      <c r="W246" s="1088">
        <v>0</v>
      </c>
      <c r="X246" s="1088">
        <v>0</v>
      </c>
      <c r="Y246" s="1088">
        <v>0</v>
      </c>
      <c r="Z246" s="1088">
        <v>0</v>
      </c>
      <c r="AA246" s="1088">
        <v>0</v>
      </c>
      <c r="AB246" s="1088">
        <v>0</v>
      </c>
      <c r="AC246" s="1088">
        <v>0</v>
      </c>
      <c r="AD246" s="1088">
        <v>0</v>
      </c>
      <c r="AE246" s="1088"/>
      <c r="AF246" s="1088"/>
      <c r="AG246" s="1088"/>
      <c r="AH246" s="1088"/>
      <c r="AI246" s="1088"/>
      <c r="AJ246" s="1088"/>
      <c r="AK246" s="1088"/>
      <c r="AL246" s="1088"/>
      <c r="AM246" s="1088"/>
      <c r="AN246" s="1088"/>
      <c r="AO246" s="1088"/>
      <c r="AP246" s="1088"/>
      <c r="AQ246" s="1088"/>
      <c r="AR246" s="1088"/>
      <c r="AS246" s="1088"/>
      <c r="AT246" s="1088"/>
      <c r="AU246" s="1088"/>
      <c r="AV246" s="1088"/>
      <c r="AW246" s="1088"/>
      <c r="AX246" s="1086">
        <f t="shared" si="37"/>
        <v>0</v>
      </c>
    </row>
    <row r="247" spans="1:50" ht="12">
      <c r="A247" s="1086" t="s">
        <v>1568</v>
      </c>
      <c r="B247" s="1086" t="s">
        <v>311</v>
      </c>
      <c r="C247" s="1088">
        <v>0</v>
      </c>
      <c r="D247" s="1088">
        <v>0</v>
      </c>
      <c r="E247" s="1088">
        <v>0</v>
      </c>
      <c r="F247" s="1088">
        <v>0</v>
      </c>
      <c r="G247" s="1088">
        <v>0</v>
      </c>
      <c r="H247" s="1088">
        <v>0</v>
      </c>
      <c r="I247" s="1088">
        <v>0</v>
      </c>
      <c r="J247" s="1088">
        <v>0</v>
      </c>
      <c r="K247" s="1088">
        <v>0</v>
      </c>
      <c r="L247" s="1088">
        <v>0</v>
      </c>
      <c r="M247" s="1088">
        <v>0</v>
      </c>
      <c r="N247" s="1088">
        <v>0</v>
      </c>
      <c r="O247" s="1088">
        <v>0</v>
      </c>
      <c r="P247" s="1088">
        <v>0</v>
      </c>
      <c r="Q247" s="1088">
        <v>0</v>
      </c>
      <c r="R247" s="1088">
        <v>0</v>
      </c>
      <c r="S247" s="1088">
        <v>0</v>
      </c>
      <c r="T247" s="1088">
        <v>0</v>
      </c>
      <c r="U247" s="1088">
        <v>0</v>
      </c>
      <c r="V247" s="1088">
        <v>0</v>
      </c>
      <c r="W247" s="1088">
        <v>0</v>
      </c>
      <c r="X247" s="1088">
        <v>0</v>
      </c>
      <c r="Y247" s="1088">
        <v>0</v>
      </c>
      <c r="Z247" s="1088">
        <v>0</v>
      </c>
      <c r="AA247" s="1088">
        <v>0</v>
      </c>
      <c r="AB247" s="1088">
        <v>0</v>
      </c>
      <c r="AC247" s="1088">
        <v>0</v>
      </c>
      <c r="AD247" s="1088">
        <v>0</v>
      </c>
      <c r="AE247" s="1088"/>
      <c r="AF247" s="1088"/>
      <c r="AG247" s="1088"/>
      <c r="AH247" s="1088"/>
      <c r="AI247" s="1088"/>
      <c r="AJ247" s="1088"/>
      <c r="AK247" s="1088"/>
      <c r="AL247" s="1088"/>
      <c r="AM247" s="1088"/>
      <c r="AN247" s="1088"/>
      <c r="AO247" s="1088"/>
      <c r="AP247" s="1088"/>
      <c r="AQ247" s="1088"/>
      <c r="AR247" s="1088"/>
      <c r="AS247" s="1088"/>
      <c r="AT247" s="1088"/>
      <c r="AU247" s="1088"/>
      <c r="AV247" s="1088"/>
      <c r="AW247" s="1088"/>
      <c r="AX247" s="1086">
        <f t="shared" si="37"/>
        <v>0</v>
      </c>
    </row>
    <row r="248" spans="1:50" ht="12">
      <c r="A248" s="1086" t="s">
        <v>1569</v>
      </c>
      <c r="B248" s="1086" t="s">
        <v>1570</v>
      </c>
      <c r="C248" s="1086"/>
      <c r="D248" s="1086"/>
      <c r="E248" s="1086"/>
      <c r="F248" s="1086"/>
      <c r="G248" s="1086"/>
      <c r="H248" s="1086"/>
      <c r="I248" s="1086"/>
      <c r="J248" s="1086"/>
      <c r="K248" s="1086"/>
      <c r="L248" s="1086"/>
      <c r="M248" s="1086"/>
      <c r="N248" s="1086"/>
      <c r="O248" s="1086"/>
      <c r="P248" s="1086"/>
      <c r="Q248" s="1086"/>
      <c r="R248" s="1086"/>
      <c r="S248" s="1086"/>
      <c r="T248" s="1086"/>
      <c r="U248" s="1086"/>
      <c r="V248" s="1086"/>
      <c r="W248" s="1086"/>
      <c r="X248" s="1086"/>
      <c r="Y248" s="1086"/>
      <c r="Z248" s="1086"/>
      <c r="AA248" s="1086"/>
      <c r="AB248" s="1086"/>
      <c r="AC248" s="1086"/>
      <c r="AD248" s="1086"/>
      <c r="AE248" s="1086"/>
      <c r="AF248" s="1086"/>
      <c r="AG248" s="1086"/>
      <c r="AH248" s="1086"/>
      <c r="AI248" s="1086"/>
      <c r="AJ248" s="1086"/>
      <c r="AK248" s="1086"/>
      <c r="AL248" s="1086"/>
      <c r="AM248" s="1086"/>
      <c r="AN248" s="1086"/>
      <c r="AO248" s="1086"/>
      <c r="AP248" s="1086"/>
      <c r="AQ248" s="1086"/>
      <c r="AR248" s="1086"/>
      <c r="AS248" s="1086"/>
      <c r="AT248" s="1086"/>
      <c r="AU248" s="1086"/>
      <c r="AV248" s="1086"/>
      <c r="AW248" s="1086"/>
      <c r="AX248" s="1086">
        <f t="shared" si="37"/>
        <v>0</v>
      </c>
    </row>
    <row r="249" spans="1:50" ht="12">
      <c r="A249" s="1086" t="s">
        <v>1571</v>
      </c>
      <c r="B249" s="1086" t="s">
        <v>1572</v>
      </c>
      <c r="C249" s="1086"/>
      <c r="D249" s="1086"/>
      <c r="E249" s="1086"/>
      <c r="F249" s="1086"/>
      <c r="G249" s="1086"/>
      <c r="H249" s="1086"/>
      <c r="I249" s="1086"/>
      <c r="J249" s="1086"/>
      <c r="K249" s="1086"/>
      <c r="L249" s="1086"/>
      <c r="M249" s="1086"/>
      <c r="N249" s="1086"/>
      <c r="O249" s="1086"/>
      <c r="P249" s="1086"/>
      <c r="Q249" s="1086"/>
      <c r="R249" s="1086"/>
      <c r="S249" s="1086"/>
      <c r="T249" s="1086"/>
      <c r="U249" s="1086"/>
      <c r="V249" s="1086"/>
      <c r="W249" s="1086"/>
      <c r="X249" s="1086"/>
      <c r="Y249" s="1086"/>
      <c r="Z249" s="1086"/>
      <c r="AA249" s="1086"/>
      <c r="AB249" s="1086"/>
      <c r="AC249" s="1086"/>
      <c r="AD249" s="1086"/>
      <c r="AE249" s="1086"/>
      <c r="AF249" s="1086"/>
      <c r="AG249" s="1086"/>
      <c r="AH249" s="1086"/>
      <c r="AI249" s="1086"/>
      <c r="AJ249" s="1086"/>
      <c r="AK249" s="1086"/>
      <c r="AL249" s="1086"/>
      <c r="AM249" s="1086"/>
      <c r="AN249" s="1086"/>
      <c r="AO249" s="1086"/>
      <c r="AP249" s="1086"/>
      <c r="AQ249" s="1086"/>
      <c r="AR249" s="1086"/>
      <c r="AS249" s="1086"/>
      <c r="AT249" s="1086"/>
      <c r="AU249" s="1086"/>
      <c r="AV249" s="1086"/>
      <c r="AW249" s="1086"/>
      <c r="AX249" s="1086">
        <f t="shared" si="37"/>
        <v>0</v>
      </c>
    </row>
    <row r="250" spans="1:50" ht="12">
      <c r="A250" s="1086" t="s">
        <v>1573</v>
      </c>
      <c r="B250" s="1086" t="s">
        <v>1574</v>
      </c>
      <c r="C250" s="1088">
        <v>0</v>
      </c>
      <c r="D250" s="1088">
        <v>0</v>
      </c>
      <c r="E250" s="1088">
        <v>0</v>
      </c>
      <c r="F250" s="1088">
        <v>0</v>
      </c>
      <c r="G250" s="1088">
        <v>0</v>
      </c>
      <c r="H250" s="1088">
        <v>0</v>
      </c>
      <c r="I250" s="1088">
        <v>0</v>
      </c>
      <c r="J250" s="1088">
        <v>0</v>
      </c>
      <c r="K250" s="1088">
        <v>0</v>
      </c>
      <c r="L250" s="1088">
        <v>0</v>
      </c>
      <c r="M250" s="1088">
        <v>0</v>
      </c>
      <c r="N250" s="1088">
        <v>0</v>
      </c>
      <c r="O250" s="1088">
        <v>0</v>
      </c>
      <c r="P250" s="1088">
        <v>0</v>
      </c>
      <c r="Q250" s="1088">
        <v>0</v>
      </c>
      <c r="R250" s="1088">
        <v>0</v>
      </c>
      <c r="S250" s="1088">
        <v>0</v>
      </c>
      <c r="T250" s="1088">
        <v>0</v>
      </c>
      <c r="U250" s="1088">
        <v>0</v>
      </c>
      <c r="V250" s="1088">
        <v>0</v>
      </c>
      <c r="W250" s="1088">
        <v>0</v>
      </c>
      <c r="X250" s="1088">
        <v>0</v>
      </c>
      <c r="Y250" s="1088">
        <v>0</v>
      </c>
      <c r="Z250" s="1088">
        <v>0</v>
      </c>
      <c r="AA250" s="1088">
        <v>0</v>
      </c>
      <c r="AB250" s="1088">
        <v>0</v>
      </c>
      <c r="AC250" s="1088">
        <v>0</v>
      </c>
      <c r="AD250" s="1088">
        <v>0</v>
      </c>
      <c r="AE250" s="1088"/>
      <c r="AF250" s="1088"/>
      <c r="AG250" s="1088"/>
      <c r="AH250" s="1088"/>
      <c r="AI250" s="1088"/>
      <c r="AJ250" s="1088"/>
      <c r="AK250" s="1088"/>
      <c r="AL250" s="1088"/>
      <c r="AM250" s="1088"/>
      <c r="AN250" s="1088"/>
      <c r="AO250" s="1088"/>
      <c r="AP250" s="1088"/>
      <c r="AQ250" s="1088"/>
      <c r="AR250" s="1088"/>
      <c r="AS250" s="1088"/>
      <c r="AT250" s="1088"/>
      <c r="AU250" s="1088"/>
      <c r="AV250" s="1088"/>
      <c r="AW250" s="1088"/>
      <c r="AX250" s="1086">
        <f t="shared" si="37"/>
        <v>0</v>
      </c>
    </row>
    <row r="251" spans="1:50" ht="12">
      <c r="A251" s="1086" t="s">
        <v>1575</v>
      </c>
      <c r="B251" s="1086" t="s">
        <v>1576</v>
      </c>
      <c r="C251" s="1088">
        <v>0</v>
      </c>
      <c r="D251" s="1088">
        <v>0</v>
      </c>
      <c r="E251" s="1088">
        <v>0</v>
      </c>
      <c r="F251" s="1088">
        <v>0</v>
      </c>
      <c r="G251" s="1088">
        <v>0</v>
      </c>
      <c r="H251" s="1088">
        <v>0</v>
      </c>
      <c r="I251" s="1088">
        <v>0</v>
      </c>
      <c r="J251" s="1088">
        <v>0</v>
      </c>
      <c r="K251" s="1088">
        <v>0</v>
      </c>
      <c r="L251" s="1088">
        <v>0</v>
      </c>
      <c r="M251" s="1088">
        <v>0</v>
      </c>
      <c r="N251" s="1088">
        <v>0</v>
      </c>
      <c r="O251" s="1088">
        <v>0</v>
      </c>
      <c r="P251" s="1088">
        <v>0</v>
      </c>
      <c r="Q251" s="1088">
        <v>0</v>
      </c>
      <c r="R251" s="1088">
        <v>0</v>
      </c>
      <c r="S251" s="1088">
        <v>0</v>
      </c>
      <c r="T251" s="1088">
        <v>0</v>
      </c>
      <c r="U251" s="1088">
        <v>0</v>
      </c>
      <c r="V251" s="1088">
        <v>0</v>
      </c>
      <c r="W251" s="1088">
        <v>0</v>
      </c>
      <c r="X251" s="1088">
        <v>0</v>
      </c>
      <c r="Y251" s="1088">
        <v>0</v>
      </c>
      <c r="Z251" s="1088">
        <v>0</v>
      </c>
      <c r="AA251" s="1088">
        <v>0</v>
      </c>
      <c r="AB251" s="1088">
        <v>0</v>
      </c>
      <c r="AC251" s="1088">
        <v>0</v>
      </c>
      <c r="AD251" s="1088">
        <v>0</v>
      </c>
      <c r="AE251" s="1088"/>
      <c r="AF251" s="1088"/>
      <c r="AG251" s="1088"/>
      <c r="AH251" s="1088"/>
      <c r="AI251" s="1088"/>
      <c r="AJ251" s="1088"/>
      <c r="AK251" s="1088"/>
      <c r="AL251" s="1088"/>
      <c r="AM251" s="1088"/>
      <c r="AN251" s="1088"/>
      <c r="AO251" s="1088"/>
      <c r="AP251" s="1088"/>
      <c r="AQ251" s="1088"/>
      <c r="AR251" s="1088"/>
      <c r="AS251" s="1088"/>
      <c r="AT251" s="1088"/>
      <c r="AU251" s="1088"/>
      <c r="AV251" s="1088"/>
      <c r="AW251" s="1088"/>
      <c r="AX251" s="1086">
        <f t="shared" si="37"/>
        <v>0</v>
      </c>
    </row>
    <row r="252" spans="1:50" ht="12">
      <c r="A252" s="1086" t="s">
        <v>1577</v>
      </c>
      <c r="B252" s="1086" t="s">
        <v>1578</v>
      </c>
      <c r="C252" s="1088">
        <v>0</v>
      </c>
      <c r="D252" s="1088">
        <v>0</v>
      </c>
      <c r="E252" s="1088">
        <v>0</v>
      </c>
      <c r="F252" s="1088">
        <v>0</v>
      </c>
      <c r="G252" s="1088">
        <v>0</v>
      </c>
      <c r="H252" s="1088">
        <v>0</v>
      </c>
      <c r="I252" s="1088">
        <v>0</v>
      </c>
      <c r="J252" s="1088">
        <v>0</v>
      </c>
      <c r="K252" s="1088">
        <v>0</v>
      </c>
      <c r="L252" s="1088">
        <v>0</v>
      </c>
      <c r="M252" s="1088">
        <v>0</v>
      </c>
      <c r="N252" s="1088">
        <v>0</v>
      </c>
      <c r="O252" s="1088">
        <v>0</v>
      </c>
      <c r="P252" s="1088">
        <v>0</v>
      </c>
      <c r="Q252" s="1088">
        <v>0</v>
      </c>
      <c r="R252" s="1088">
        <v>0</v>
      </c>
      <c r="S252" s="1088">
        <v>0</v>
      </c>
      <c r="T252" s="1088">
        <v>0</v>
      </c>
      <c r="U252" s="1088">
        <v>0</v>
      </c>
      <c r="V252" s="1088">
        <v>0</v>
      </c>
      <c r="W252" s="1088">
        <v>0</v>
      </c>
      <c r="X252" s="1088">
        <v>0</v>
      </c>
      <c r="Y252" s="1088">
        <v>0</v>
      </c>
      <c r="Z252" s="1088">
        <v>0</v>
      </c>
      <c r="AA252" s="1088">
        <v>0</v>
      </c>
      <c r="AB252" s="1088">
        <v>0</v>
      </c>
      <c r="AC252" s="1088">
        <v>0</v>
      </c>
      <c r="AD252" s="1088">
        <v>0</v>
      </c>
      <c r="AE252" s="1088"/>
      <c r="AF252" s="1088"/>
      <c r="AG252" s="1088"/>
      <c r="AH252" s="1088"/>
      <c r="AI252" s="1088"/>
      <c r="AJ252" s="1088"/>
      <c r="AK252" s="1088"/>
      <c r="AL252" s="1088"/>
      <c r="AM252" s="1088"/>
      <c r="AN252" s="1088"/>
      <c r="AO252" s="1088"/>
      <c r="AP252" s="1088"/>
      <c r="AQ252" s="1088"/>
      <c r="AR252" s="1088"/>
      <c r="AS252" s="1088"/>
      <c r="AT252" s="1088"/>
      <c r="AU252" s="1088"/>
      <c r="AV252" s="1088"/>
      <c r="AW252" s="1088"/>
      <c r="AX252" s="1086">
        <f t="shared" si="37"/>
        <v>0</v>
      </c>
    </row>
    <row r="253" spans="1:50" ht="12">
      <c r="A253" s="1086" t="s">
        <v>1579</v>
      </c>
      <c r="B253" s="1086" t="s">
        <v>1580</v>
      </c>
      <c r="C253" s="1088">
        <v>0</v>
      </c>
      <c r="D253" s="1088">
        <v>0</v>
      </c>
      <c r="E253" s="1088">
        <v>0</v>
      </c>
      <c r="F253" s="1088">
        <v>0</v>
      </c>
      <c r="G253" s="1088">
        <v>0</v>
      </c>
      <c r="H253" s="1088">
        <v>0</v>
      </c>
      <c r="I253" s="1088">
        <v>0</v>
      </c>
      <c r="J253" s="1088">
        <v>0</v>
      </c>
      <c r="K253" s="1088">
        <v>0</v>
      </c>
      <c r="L253" s="1088">
        <v>0</v>
      </c>
      <c r="M253" s="1088">
        <v>0</v>
      </c>
      <c r="N253" s="1088">
        <v>0</v>
      </c>
      <c r="O253" s="1088">
        <v>0</v>
      </c>
      <c r="P253" s="1088">
        <v>0</v>
      </c>
      <c r="Q253" s="1088">
        <v>0</v>
      </c>
      <c r="R253" s="1088">
        <v>0</v>
      </c>
      <c r="S253" s="1088">
        <v>0</v>
      </c>
      <c r="T253" s="1088">
        <v>0</v>
      </c>
      <c r="U253" s="1088">
        <v>0</v>
      </c>
      <c r="V253" s="1088">
        <v>0</v>
      </c>
      <c r="W253" s="1088">
        <v>0</v>
      </c>
      <c r="X253" s="1088">
        <v>0</v>
      </c>
      <c r="Y253" s="1088">
        <v>0</v>
      </c>
      <c r="Z253" s="1088">
        <v>0</v>
      </c>
      <c r="AA253" s="1088">
        <v>0</v>
      </c>
      <c r="AB253" s="1088">
        <v>0</v>
      </c>
      <c r="AC253" s="1088">
        <v>0</v>
      </c>
      <c r="AD253" s="1088">
        <v>0</v>
      </c>
      <c r="AE253" s="1088"/>
      <c r="AF253" s="1088"/>
      <c r="AG253" s="1088"/>
      <c r="AH253" s="1088"/>
      <c r="AI253" s="1088"/>
      <c r="AJ253" s="1088"/>
      <c r="AK253" s="1088"/>
      <c r="AL253" s="1088"/>
      <c r="AM253" s="1088"/>
      <c r="AN253" s="1088"/>
      <c r="AO253" s="1088"/>
      <c r="AP253" s="1088"/>
      <c r="AQ253" s="1088"/>
      <c r="AR253" s="1088"/>
      <c r="AS253" s="1088"/>
      <c r="AT253" s="1088"/>
      <c r="AU253" s="1088"/>
      <c r="AV253" s="1088"/>
      <c r="AW253" s="1088"/>
      <c r="AX253" s="1086">
        <f t="shared" si="37"/>
        <v>0</v>
      </c>
    </row>
    <row r="254" spans="1:50" ht="12">
      <c r="A254" s="1086" t="s">
        <v>1581</v>
      </c>
      <c r="B254" s="1086" t="s">
        <v>1582</v>
      </c>
      <c r="C254" s="1088">
        <v>0</v>
      </c>
      <c r="D254" s="1088">
        <v>0</v>
      </c>
      <c r="E254" s="1088">
        <v>0</v>
      </c>
      <c r="F254" s="1088">
        <v>0</v>
      </c>
      <c r="G254" s="1088">
        <v>0</v>
      </c>
      <c r="H254" s="1088">
        <v>0</v>
      </c>
      <c r="I254" s="1088">
        <v>0</v>
      </c>
      <c r="J254" s="1088">
        <v>0</v>
      </c>
      <c r="K254" s="1088">
        <v>0</v>
      </c>
      <c r="L254" s="1088">
        <v>0</v>
      </c>
      <c r="M254" s="1088">
        <v>0</v>
      </c>
      <c r="N254" s="1088">
        <v>0</v>
      </c>
      <c r="O254" s="1088">
        <v>0</v>
      </c>
      <c r="P254" s="1088">
        <v>0</v>
      </c>
      <c r="Q254" s="1088">
        <v>0</v>
      </c>
      <c r="R254" s="1088">
        <v>0</v>
      </c>
      <c r="S254" s="1088">
        <v>0</v>
      </c>
      <c r="T254" s="1088">
        <v>0</v>
      </c>
      <c r="U254" s="1088">
        <v>0</v>
      </c>
      <c r="V254" s="1088">
        <v>0</v>
      </c>
      <c r="W254" s="1088">
        <v>0</v>
      </c>
      <c r="X254" s="1088">
        <v>0</v>
      </c>
      <c r="Y254" s="1088">
        <v>0</v>
      </c>
      <c r="Z254" s="1088">
        <v>0</v>
      </c>
      <c r="AA254" s="1088">
        <v>0</v>
      </c>
      <c r="AB254" s="1088">
        <v>0</v>
      </c>
      <c r="AC254" s="1088">
        <v>0</v>
      </c>
      <c r="AD254" s="1088">
        <v>0</v>
      </c>
      <c r="AE254" s="1088"/>
      <c r="AF254" s="1088"/>
      <c r="AG254" s="1088"/>
      <c r="AH254" s="1088"/>
      <c r="AI254" s="1088"/>
      <c r="AJ254" s="1088"/>
      <c r="AK254" s="1088"/>
      <c r="AL254" s="1088"/>
      <c r="AM254" s="1088"/>
      <c r="AN254" s="1088"/>
      <c r="AO254" s="1088"/>
      <c r="AP254" s="1088"/>
      <c r="AQ254" s="1088"/>
      <c r="AR254" s="1088"/>
      <c r="AS254" s="1088"/>
      <c r="AT254" s="1088"/>
      <c r="AU254" s="1088"/>
      <c r="AV254" s="1088"/>
      <c r="AW254" s="1088"/>
      <c r="AX254" s="1086">
        <f t="shared" si="37"/>
        <v>0</v>
      </c>
    </row>
    <row r="255" spans="1:50" ht="12">
      <c r="A255" s="1086" t="s">
        <v>1583</v>
      </c>
      <c r="B255" s="1086" t="s">
        <v>1584</v>
      </c>
      <c r="C255" s="1086"/>
      <c r="D255" s="1086"/>
      <c r="E255" s="1086"/>
      <c r="F255" s="1086"/>
      <c r="G255" s="1086"/>
      <c r="H255" s="1086"/>
      <c r="I255" s="1086"/>
      <c r="J255" s="1086"/>
      <c r="K255" s="1086"/>
      <c r="L255" s="1086"/>
      <c r="M255" s="1086"/>
      <c r="N255" s="1086"/>
      <c r="O255" s="1086"/>
      <c r="P255" s="1086"/>
      <c r="Q255" s="1086"/>
      <c r="R255" s="1086"/>
      <c r="S255" s="1086"/>
      <c r="T255" s="1086"/>
      <c r="U255" s="1086"/>
      <c r="V255" s="1086"/>
      <c r="W255" s="1086"/>
      <c r="X255" s="1086"/>
      <c r="Y255" s="1086"/>
      <c r="Z255" s="1086"/>
      <c r="AA255" s="1086"/>
      <c r="AB255" s="1086"/>
      <c r="AC255" s="1086"/>
      <c r="AD255" s="1086"/>
      <c r="AE255" s="1086"/>
      <c r="AF255" s="1086"/>
      <c r="AG255" s="1086"/>
      <c r="AH255" s="1086"/>
      <c r="AI255" s="1086"/>
      <c r="AJ255" s="1086"/>
      <c r="AK255" s="1086"/>
      <c r="AL255" s="1086"/>
      <c r="AM255" s="1086"/>
      <c r="AN255" s="1086"/>
      <c r="AO255" s="1086"/>
      <c r="AP255" s="1086"/>
      <c r="AQ255" s="1086"/>
      <c r="AR255" s="1086"/>
      <c r="AS255" s="1086"/>
      <c r="AT255" s="1086"/>
      <c r="AU255" s="1086"/>
      <c r="AV255" s="1086"/>
      <c r="AW255" s="1086"/>
      <c r="AX255" s="1086">
        <f t="shared" si="37"/>
        <v>0</v>
      </c>
    </row>
    <row r="256" spans="1:50" ht="12">
      <c r="A256" s="1086" t="s">
        <v>1585</v>
      </c>
      <c r="B256" s="1086" t="s">
        <v>1586</v>
      </c>
      <c r="C256" s="1088">
        <v>0</v>
      </c>
      <c r="D256" s="1088">
        <v>0</v>
      </c>
      <c r="E256" s="1088">
        <v>0</v>
      </c>
      <c r="F256" s="1088">
        <v>0</v>
      </c>
      <c r="G256" s="1088">
        <v>0</v>
      </c>
      <c r="H256" s="1088">
        <v>0</v>
      </c>
      <c r="I256" s="1088">
        <v>0</v>
      </c>
      <c r="J256" s="1088">
        <v>0</v>
      </c>
      <c r="K256" s="1088">
        <v>0</v>
      </c>
      <c r="L256" s="1088">
        <v>0</v>
      </c>
      <c r="M256" s="1088">
        <v>0</v>
      </c>
      <c r="N256" s="1088">
        <v>0</v>
      </c>
      <c r="O256" s="1088">
        <v>0</v>
      </c>
      <c r="P256" s="1088">
        <v>0</v>
      </c>
      <c r="Q256" s="1088">
        <v>0</v>
      </c>
      <c r="R256" s="1088">
        <v>0</v>
      </c>
      <c r="S256" s="1088">
        <v>0</v>
      </c>
      <c r="T256" s="1088">
        <v>0</v>
      </c>
      <c r="U256" s="1088">
        <v>0</v>
      </c>
      <c r="V256" s="1088">
        <v>0</v>
      </c>
      <c r="W256" s="1088">
        <v>0</v>
      </c>
      <c r="X256" s="1088">
        <v>0</v>
      </c>
      <c r="Y256" s="1088">
        <v>0</v>
      </c>
      <c r="Z256" s="1088">
        <v>0</v>
      </c>
      <c r="AA256" s="1088">
        <v>0</v>
      </c>
      <c r="AB256" s="1088">
        <v>0</v>
      </c>
      <c r="AC256" s="1088">
        <v>0</v>
      </c>
      <c r="AD256" s="1088">
        <v>0</v>
      </c>
      <c r="AE256" s="1088"/>
      <c r="AF256" s="1088"/>
      <c r="AG256" s="1088"/>
      <c r="AH256" s="1088"/>
      <c r="AI256" s="1088"/>
      <c r="AJ256" s="1088"/>
      <c r="AK256" s="1088"/>
      <c r="AL256" s="1088"/>
      <c r="AM256" s="1088"/>
      <c r="AN256" s="1088"/>
      <c r="AO256" s="1088"/>
      <c r="AP256" s="1088"/>
      <c r="AQ256" s="1088"/>
      <c r="AR256" s="1088"/>
      <c r="AS256" s="1088"/>
      <c r="AT256" s="1088"/>
      <c r="AU256" s="1088"/>
      <c r="AV256" s="1088"/>
      <c r="AW256" s="1088"/>
      <c r="AX256" s="1086">
        <f t="shared" si="37"/>
        <v>0</v>
      </c>
    </row>
    <row r="257" spans="1:50" ht="12">
      <c r="A257" s="1086" t="s">
        <v>1587</v>
      </c>
      <c r="B257" s="1086" t="s">
        <v>1588</v>
      </c>
      <c r="C257" s="1088">
        <v>0</v>
      </c>
      <c r="D257" s="1088">
        <v>0</v>
      </c>
      <c r="E257" s="1088">
        <v>0</v>
      </c>
      <c r="F257" s="1088">
        <v>0</v>
      </c>
      <c r="G257" s="1088">
        <v>0</v>
      </c>
      <c r="H257" s="1088">
        <v>0</v>
      </c>
      <c r="I257" s="1088">
        <v>0</v>
      </c>
      <c r="J257" s="1088">
        <v>0</v>
      </c>
      <c r="K257" s="1088">
        <v>0</v>
      </c>
      <c r="L257" s="1088">
        <v>0</v>
      </c>
      <c r="M257" s="1088">
        <v>0</v>
      </c>
      <c r="N257" s="1088">
        <v>0</v>
      </c>
      <c r="O257" s="1088">
        <v>0</v>
      </c>
      <c r="P257" s="1088">
        <v>0</v>
      </c>
      <c r="Q257" s="1088">
        <v>0</v>
      </c>
      <c r="R257" s="1088">
        <v>0</v>
      </c>
      <c r="S257" s="1088">
        <v>0</v>
      </c>
      <c r="T257" s="1088">
        <v>0</v>
      </c>
      <c r="U257" s="1088">
        <v>0</v>
      </c>
      <c r="V257" s="1088">
        <v>0</v>
      </c>
      <c r="W257" s="1088">
        <v>0</v>
      </c>
      <c r="X257" s="1088">
        <v>0</v>
      </c>
      <c r="Y257" s="1088">
        <v>0</v>
      </c>
      <c r="Z257" s="1088">
        <v>0</v>
      </c>
      <c r="AA257" s="1088">
        <v>0</v>
      </c>
      <c r="AB257" s="1088">
        <v>0</v>
      </c>
      <c r="AC257" s="1088">
        <v>0</v>
      </c>
      <c r="AD257" s="1088">
        <v>0</v>
      </c>
      <c r="AE257" s="1088"/>
      <c r="AF257" s="1088"/>
      <c r="AG257" s="1088"/>
      <c r="AH257" s="1088"/>
      <c r="AI257" s="1088"/>
      <c r="AJ257" s="1088"/>
      <c r="AK257" s="1088"/>
      <c r="AL257" s="1088"/>
      <c r="AM257" s="1088"/>
      <c r="AN257" s="1088"/>
      <c r="AO257" s="1088"/>
      <c r="AP257" s="1088"/>
      <c r="AQ257" s="1088"/>
      <c r="AR257" s="1088"/>
      <c r="AS257" s="1088"/>
      <c r="AT257" s="1088"/>
      <c r="AU257" s="1088"/>
      <c r="AV257" s="1088"/>
      <c r="AW257" s="1088"/>
      <c r="AX257" s="1086">
        <f t="shared" si="37"/>
        <v>0</v>
      </c>
    </row>
    <row r="258" spans="1:50" ht="12">
      <c r="A258" s="1086" t="s">
        <v>1589</v>
      </c>
      <c r="B258" s="1086" t="s">
        <v>1590</v>
      </c>
      <c r="C258" s="1088">
        <v>0</v>
      </c>
      <c r="D258" s="1088">
        <v>0</v>
      </c>
      <c r="E258" s="1088">
        <v>0</v>
      </c>
      <c r="F258" s="1088">
        <v>0</v>
      </c>
      <c r="G258" s="1088">
        <v>0</v>
      </c>
      <c r="H258" s="1088">
        <v>0</v>
      </c>
      <c r="I258" s="1088">
        <v>0</v>
      </c>
      <c r="J258" s="1088">
        <v>0</v>
      </c>
      <c r="K258" s="1088">
        <v>0</v>
      </c>
      <c r="L258" s="1088">
        <v>0</v>
      </c>
      <c r="M258" s="1088">
        <v>0</v>
      </c>
      <c r="N258" s="1088">
        <v>0</v>
      </c>
      <c r="O258" s="1088">
        <v>0</v>
      </c>
      <c r="P258" s="1088">
        <v>0</v>
      </c>
      <c r="Q258" s="1088">
        <v>0</v>
      </c>
      <c r="R258" s="1088">
        <v>0</v>
      </c>
      <c r="S258" s="1088">
        <v>0</v>
      </c>
      <c r="T258" s="1088">
        <v>0</v>
      </c>
      <c r="U258" s="1088">
        <v>0</v>
      </c>
      <c r="V258" s="1088">
        <v>0</v>
      </c>
      <c r="W258" s="1088">
        <v>0</v>
      </c>
      <c r="X258" s="1088">
        <v>0</v>
      </c>
      <c r="Y258" s="1088">
        <v>0</v>
      </c>
      <c r="Z258" s="1088">
        <v>0</v>
      </c>
      <c r="AA258" s="1088">
        <v>0</v>
      </c>
      <c r="AB258" s="1088">
        <v>0</v>
      </c>
      <c r="AC258" s="1088">
        <v>0</v>
      </c>
      <c r="AD258" s="1088">
        <v>0</v>
      </c>
      <c r="AE258" s="1088"/>
      <c r="AF258" s="1088"/>
      <c r="AG258" s="1088"/>
      <c r="AH258" s="1088"/>
      <c r="AI258" s="1088"/>
      <c r="AJ258" s="1088"/>
      <c r="AK258" s="1088"/>
      <c r="AL258" s="1088"/>
      <c r="AM258" s="1088"/>
      <c r="AN258" s="1088"/>
      <c r="AO258" s="1088"/>
      <c r="AP258" s="1088"/>
      <c r="AQ258" s="1088"/>
      <c r="AR258" s="1088"/>
      <c r="AS258" s="1088"/>
      <c r="AT258" s="1088"/>
      <c r="AU258" s="1088"/>
      <c r="AV258" s="1088"/>
      <c r="AW258" s="1088"/>
      <c r="AX258" s="1086">
        <f t="shared" si="37"/>
        <v>0</v>
      </c>
    </row>
    <row r="259" spans="1:50" ht="12">
      <c r="A259" s="1086" t="s">
        <v>1591</v>
      </c>
      <c r="B259" s="1086" t="s">
        <v>1592</v>
      </c>
      <c r="C259" s="1088">
        <v>0</v>
      </c>
      <c r="D259" s="1088">
        <v>0</v>
      </c>
      <c r="E259" s="1088">
        <v>0</v>
      </c>
      <c r="F259" s="1088">
        <v>0</v>
      </c>
      <c r="G259" s="1088">
        <v>0</v>
      </c>
      <c r="H259" s="1088">
        <v>0</v>
      </c>
      <c r="I259" s="1088">
        <v>0</v>
      </c>
      <c r="J259" s="1088">
        <v>0</v>
      </c>
      <c r="K259" s="1088">
        <v>0</v>
      </c>
      <c r="L259" s="1088">
        <v>0</v>
      </c>
      <c r="M259" s="1088">
        <v>0</v>
      </c>
      <c r="N259" s="1088">
        <v>0</v>
      </c>
      <c r="O259" s="1088">
        <v>0</v>
      </c>
      <c r="P259" s="1088">
        <v>0</v>
      </c>
      <c r="Q259" s="1088">
        <v>0</v>
      </c>
      <c r="R259" s="1088">
        <v>0</v>
      </c>
      <c r="S259" s="1088">
        <v>0</v>
      </c>
      <c r="T259" s="1088">
        <v>0</v>
      </c>
      <c r="U259" s="1088">
        <v>0</v>
      </c>
      <c r="V259" s="1088">
        <v>0</v>
      </c>
      <c r="W259" s="1088">
        <v>0</v>
      </c>
      <c r="X259" s="1088">
        <v>0</v>
      </c>
      <c r="Y259" s="1088">
        <v>0</v>
      </c>
      <c r="Z259" s="1088">
        <v>0</v>
      </c>
      <c r="AA259" s="1088">
        <v>0</v>
      </c>
      <c r="AB259" s="1088">
        <v>0</v>
      </c>
      <c r="AC259" s="1088">
        <v>0</v>
      </c>
      <c r="AD259" s="1088">
        <v>0</v>
      </c>
      <c r="AE259" s="1088"/>
      <c r="AF259" s="1088"/>
      <c r="AG259" s="1088"/>
      <c r="AH259" s="1088"/>
      <c r="AI259" s="1088"/>
      <c r="AJ259" s="1088"/>
      <c r="AK259" s="1088"/>
      <c r="AL259" s="1088"/>
      <c r="AM259" s="1088"/>
      <c r="AN259" s="1088"/>
      <c r="AO259" s="1088"/>
      <c r="AP259" s="1088"/>
      <c r="AQ259" s="1088"/>
      <c r="AR259" s="1088"/>
      <c r="AS259" s="1088"/>
      <c r="AT259" s="1088"/>
      <c r="AU259" s="1088"/>
      <c r="AV259" s="1088"/>
      <c r="AW259" s="1088"/>
      <c r="AX259" s="1086">
        <f t="shared" ref="AX259:AX313" si="50">SUM(C259:AW259)</f>
        <v>0</v>
      </c>
    </row>
    <row r="260" spans="1:50" ht="12">
      <c r="A260" s="1086" t="s">
        <v>1593</v>
      </c>
      <c r="B260" s="1086" t="s">
        <v>1594</v>
      </c>
      <c r="C260" s="1088">
        <v>0</v>
      </c>
      <c r="D260" s="1088">
        <v>0</v>
      </c>
      <c r="E260" s="1088">
        <v>0</v>
      </c>
      <c r="F260" s="1088">
        <v>0</v>
      </c>
      <c r="G260" s="1088">
        <v>0</v>
      </c>
      <c r="H260" s="1088">
        <v>0</v>
      </c>
      <c r="I260" s="1088">
        <v>0</v>
      </c>
      <c r="J260" s="1088">
        <v>0</v>
      </c>
      <c r="K260" s="1088">
        <v>0</v>
      </c>
      <c r="L260" s="1088">
        <v>0</v>
      </c>
      <c r="M260" s="1088">
        <v>0</v>
      </c>
      <c r="N260" s="1088">
        <v>0</v>
      </c>
      <c r="O260" s="1088">
        <v>0</v>
      </c>
      <c r="P260" s="1088">
        <v>0</v>
      </c>
      <c r="Q260" s="1088">
        <v>0</v>
      </c>
      <c r="R260" s="1088">
        <v>0</v>
      </c>
      <c r="S260" s="1088">
        <v>0</v>
      </c>
      <c r="T260" s="1088">
        <v>0</v>
      </c>
      <c r="U260" s="1088">
        <v>0</v>
      </c>
      <c r="V260" s="1088">
        <v>0</v>
      </c>
      <c r="W260" s="1088">
        <v>0</v>
      </c>
      <c r="X260" s="1088">
        <v>0</v>
      </c>
      <c r="Y260" s="1088">
        <v>0</v>
      </c>
      <c r="Z260" s="1088">
        <v>0</v>
      </c>
      <c r="AA260" s="1088">
        <v>0</v>
      </c>
      <c r="AB260" s="1088">
        <v>0</v>
      </c>
      <c r="AC260" s="1088">
        <v>0</v>
      </c>
      <c r="AD260" s="1088">
        <v>0</v>
      </c>
      <c r="AE260" s="1088"/>
      <c r="AF260" s="1088"/>
      <c r="AG260" s="1088"/>
      <c r="AH260" s="1088"/>
      <c r="AI260" s="1088"/>
      <c r="AJ260" s="1088"/>
      <c r="AK260" s="1088"/>
      <c r="AL260" s="1088"/>
      <c r="AM260" s="1088"/>
      <c r="AN260" s="1088"/>
      <c r="AO260" s="1088"/>
      <c r="AP260" s="1088"/>
      <c r="AQ260" s="1088"/>
      <c r="AR260" s="1088"/>
      <c r="AS260" s="1088"/>
      <c r="AT260" s="1088"/>
      <c r="AU260" s="1088"/>
      <c r="AV260" s="1088"/>
      <c r="AW260" s="1088"/>
      <c r="AX260" s="1086">
        <f t="shared" si="50"/>
        <v>0</v>
      </c>
    </row>
    <row r="261" spans="1:50" ht="12">
      <c r="A261" s="1086"/>
      <c r="B261" s="1086" t="s">
        <v>1595</v>
      </c>
      <c r="C261" s="1086">
        <f>1*$C$265</f>
        <v>0</v>
      </c>
      <c r="D261" s="1086">
        <f>1*$D$265</f>
        <v>0</v>
      </c>
      <c r="E261" s="1086">
        <f>1*$E$265</f>
        <v>0</v>
      </c>
      <c r="F261" s="1086">
        <f>1*$F$265</f>
        <v>0</v>
      </c>
      <c r="G261" s="1086">
        <f>1*$G$265</f>
        <v>0</v>
      </c>
      <c r="H261" s="1086">
        <f>1*$H$265</f>
        <v>0</v>
      </c>
      <c r="I261" s="1086">
        <f>1*$I$265</f>
        <v>0</v>
      </c>
      <c r="J261" s="1086">
        <f>1*$J$265</f>
        <v>0</v>
      </c>
      <c r="K261" s="1086">
        <f>1*$K$265</f>
        <v>0</v>
      </c>
      <c r="L261" s="1086">
        <f>1*$L$265</f>
        <v>0</v>
      </c>
      <c r="M261" s="1086">
        <f>1*$M$265</f>
        <v>0</v>
      </c>
      <c r="N261" s="1086">
        <f>1*$N$265</f>
        <v>0</v>
      </c>
      <c r="O261" s="1086">
        <f>1*$O$265</f>
        <v>0</v>
      </c>
      <c r="P261" s="1086">
        <f>1*$P$265</f>
        <v>0</v>
      </c>
      <c r="Q261" s="1086">
        <f>1*$Q$265</f>
        <v>0</v>
      </c>
      <c r="R261" s="1086">
        <f>1*$R$265</f>
        <v>0</v>
      </c>
      <c r="S261" s="1086">
        <f>1*$S$265</f>
        <v>0</v>
      </c>
      <c r="T261" s="1086">
        <f>1*$T$265</f>
        <v>0</v>
      </c>
      <c r="U261" s="1086">
        <f>1*$U$265</f>
        <v>0</v>
      </c>
      <c r="V261" s="1086">
        <f>1*$V$265</f>
        <v>0</v>
      </c>
      <c r="W261" s="1086">
        <f>1*$W$265</f>
        <v>0</v>
      </c>
      <c r="X261" s="1086">
        <f>1*$X$265</f>
        <v>0</v>
      </c>
      <c r="Y261" s="1086">
        <f>1*$Y$265</f>
        <v>0</v>
      </c>
      <c r="Z261" s="1086">
        <f>1*$Z$265</f>
        <v>0</v>
      </c>
      <c r="AA261" s="1086">
        <f>1*$AA$265</f>
        <v>0</v>
      </c>
      <c r="AB261" s="1086">
        <f>1*$AB$265</f>
        <v>0</v>
      </c>
      <c r="AC261" s="1086">
        <f>1*$AC$265</f>
        <v>0</v>
      </c>
      <c r="AD261" s="1086">
        <f>1*$AC$265</f>
        <v>0</v>
      </c>
      <c r="AE261" s="1086"/>
      <c r="AF261" s="1086"/>
      <c r="AG261" s="1086"/>
      <c r="AH261" s="1086"/>
      <c r="AI261" s="1086"/>
      <c r="AJ261" s="1086"/>
      <c r="AK261" s="1086"/>
      <c r="AL261" s="1086"/>
      <c r="AM261" s="1086"/>
      <c r="AN261" s="1086"/>
      <c r="AO261" s="1086"/>
      <c r="AP261" s="1086"/>
      <c r="AQ261" s="1086"/>
      <c r="AR261" s="1086"/>
      <c r="AS261" s="1086"/>
      <c r="AT261" s="1086"/>
      <c r="AU261" s="1086"/>
      <c r="AV261" s="1086"/>
      <c r="AW261" s="1086"/>
      <c r="AX261" s="1086">
        <f t="shared" si="50"/>
        <v>0</v>
      </c>
    </row>
    <row r="262" spans="1:50" ht="12">
      <c r="A262" s="1086"/>
      <c r="B262" s="1086" t="s">
        <v>1596</v>
      </c>
      <c r="C262" s="1086" t="e">
        <f>1*$C$266 + 1*$C$267 + 1*$C$268 + 1*$C$269 + 1*$C$270 + 1*$C$271 + 1*$C$272 + 1*$C$273 + 1*$C$274 + 1*$C$275 + 1*$C$276</f>
        <v>#VALUE!</v>
      </c>
      <c r="D262" s="1086" t="e">
        <f>1*$D$266 + 1*$D$267 + 1*$D$268 + 1*$D$269 + 1*$D$270 + 1*$D$271 + 1*$D$272 + 1*$D$273 + 1*$D$274 + 1*$D$275 + 1*$D$276</f>
        <v>#VALUE!</v>
      </c>
      <c r="E262" s="1086" t="e">
        <f>1*$E$266 + 1*$E$267 + 1*$E$268 + 1*$E$269 + 1*$E$270 + 1*$E$271 + 1*$E$272 + 1*$E$273 + 1*$E$274 + 1*$E$275 + 1*$E$276</f>
        <v>#VALUE!</v>
      </c>
      <c r="F262" s="1086" t="e">
        <f>1*$F$266 + 1*$F$267 + 1*$F$268 + 1*$F$269 + 1*$F$270 + 1*$F$271 + 1*$F$272 + 1*$F$273 + 1*$F$274 + 1*$F$275 + 1*$F$276</f>
        <v>#VALUE!</v>
      </c>
      <c r="G262" s="1086" t="e">
        <f>1*$G$266 + 1*$G$267 + 1*$G$268 + 1*$G$269 + 1*$G$270 + 1*$G$271 + 1*$G$272 + 1*$G$273 + 1*$G$274 + 1*$G$275 + 1*$G$276</f>
        <v>#VALUE!</v>
      </c>
      <c r="H262" s="1086" t="e">
        <f>1*$H$266 + 1*$H$267 + 1*$H$268 + 1*$H$269 + 1*$H$270 + 1*$H$271 + 1*$H$272 + 1*$H$273 + 1*$H$274 + 1*$H$275 + 1*$H$276</f>
        <v>#VALUE!</v>
      </c>
      <c r="I262" s="1086" t="e">
        <f>1*$I$266 + 1*$I$267 + 1*$I$268 + 1*$I$269 + 1*$I$270 + 1*$I$271 + 1*$I$272 + 1*$I$273 + 1*$I$274 + 1*$I$275 + 1*$I$276</f>
        <v>#VALUE!</v>
      </c>
      <c r="J262" s="1086" t="e">
        <f>1*$J$266 + 1*$J$267 + 1*$J$268 + 1*$J$269 + 1*$J$270 + 1*$J$271 + 1*$J$272 + 1*$J$273 + 1*$J$274 + 1*$J$275 + 1*$J$276</f>
        <v>#VALUE!</v>
      </c>
      <c r="K262" s="1086" t="e">
        <f>1*$K$266 + 1*$K$267 + 1*$K$268 + 1*$K$269 + 1*$K$270 + 1*$K$271 + 1*$K$272 + 1*$K$273 + 1*$K$274 + 1*$K$275 + 1*$K$276</f>
        <v>#VALUE!</v>
      </c>
      <c r="L262" s="1086" t="e">
        <f>1*$L$266 + 1*$L$267 + 1*$L$268 + 1*$L$269 + 1*$L$270 + 1*$L$271 + 1*$L$272 + 1*$L$273 + 1*$L$274 + 1*$L$275 + 1*$L$276</f>
        <v>#VALUE!</v>
      </c>
      <c r="M262" s="1086" t="e">
        <f>1*$M$266 + 1*$M$267 + 1*$M$268 + 1*$M$269 + 1*$M$270 + 1*$M$271 + 1*$M$272 + 1*$M$273 + 1*$M$274 + 1*$M$275 + 1*$M$276</f>
        <v>#VALUE!</v>
      </c>
      <c r="N262" s="1086" t="e">
        <f>1*$N$266 + 1*$N$267 + 1*$N$268 + 1*$N$269 + 1*$N$270 + 1*$N$271 + 1*$N$272 + 1*$N$273 + 1*$N$274 + 1*$N$275 + 1*$N$276</f>
        <v>#VALUE!</v>
      </c>
      <c r="O262" s="1086" t="e">
        <f>1*$O$266 + 1*$O$267 + 1*$O$268 + 1*$O$269 + 1*$O$270 + 1*$O$271 + 1*$O$272 + 1*$O$273 + 1*$O$274 + 1*$O$275 + 1*$O$276</f>
        <v>#VALUE!</v>
      </c>
      <c r="P262" s="1086" t="e">
        <f>1*$P$266 + 1*$P$267 + 1*$P$268 + 1*$P$269 + 1*$P$270 + 1*$P$271 + 1*$P$272 + 1*$P$273 + 1*$P$274 + 1*$P$275 + 1*$P$276</f>
        <v>#VALUE!</v>
      </c>
      <c r="Q262" s="1086" t="e">
        <f>1*$Q$266 + 1*$Q$267 + 1*$Q$268 + 1*$Q$269 + 1*$Q$270 + 1*$Q$271 + 1*$Q$272 + 1*$Q$273 + 1*$Q$274 + 1*$Q$275 + 1*$Q$276</f>
        <v>#VALUE!</v>
      </c>
      <c r="R262" s="1086" t="e">
        <f>1*$R$266 + 1*$R$267 + 1*$R$268 + 1*$R$269 + 1*$R$270 + 1*$R$271 + 1*$R$272 + 1*$R$273 + 1*$R$274 + 1*$R$275 + 1*$R$276</f>
        <v>#VALUE!</v>
      </c>
      <c r="S262" s="1086" t="e">
        <f>1*$S$266 + 1*$S$267 + 1*$S$268 + 1*$S$269 + 1*$S$270 + 1*$S$271 + 1*$S$272 + 1*$S$273 + 1*$S$274 + 1*$S$275 + 1*$S$276</f>
        <v>#VALUE!</v>
      </c>
      <c r="T262" s="1086" t="e">
        <f>1*$T$266 + 1*$T$267 + 1*$T$268 + 1*$T$269 + 1*$T$270 + 1*$T$271 + 1*$T$272 + 1*$T$273 + 1*$T$274 + 1*$T$275 + 1*$T$276</f>
        <v>#VALUE!</v>
      </c>
      <c r="U262" s="1086" t="e">
        <f>1*$U$266 + 1*$U$267 + 1*$U$268 + 1*$U$269 + 1*$U$270 + 1*$U$271 + 1*$U$272 + 1*$U$273 + 1*$U$274 + 1*$U$275 + 1*$U$276</f>
        <v>#VALUE!</v>
      </c>
      <c r="V262" s="1086" t="e">
        <f>1*$V$266 + 1*$V$267 + 1*$V$268 + 1*$V$269 + 1*$V$270 + 1*$V$271 + 1*$V$272 + 1*$V$273 + 1*$V$274 + 1*$V$275 + 1*$V$276</f>
        <v>#VALUE!</v>
      </c>
      <c r="W262" s="1086" t="e">
        <f>1*$W$266 + 1*$W$267 + 1*$W$268 + 1*$W$269 + 1*$W$270 + 1*$W$271 + 1*$W$272 + 1*$W$273 + 1*$W$274 + 1*$W$275 + 1*$W$276</f>
        <v>#VALUE!</v>
      </c>
      <c r="X262" s="1086" t="e">
        <f>1*$X$266 + 1*$X$267 + 1*$X$268 + 1*$X$269 + 1*$X$270 + 1*$X$271 + 1*$X$272 + 1*$X$273 + 1*$X$274 + 1*$X$275 + 1*$X$276</f>
        <v>#VALUE!</v>
      </c>
      <c r="Y262" s="1086" t="e">
        <f>1*$Y$266 + 1*$Y$267 + 1*$Y$268 + 1*$Y$269 + 1*$Y$270 + 1*$Y$271 + 1*$Y$272 + 1*$Y$273 + 1*$Y$274 + 1*$Y$275 + 1*$Y$276</f>
        <v>#VALUE!</v>
      </c>
      <c r="Z262" s="1086" t="e">
        <f>1*$Z$266 + 1*$Z$267 + 1*$Z$268 + 1*$Z$269 + 1*$Z$270 + 1*$Z$271 + 1*$Z$272 + 1*$Z$273 + 1*$Z$274 + 1*$Z$275 + 1*$Z$276</f>
        <v>#VALUE!</v>
      </c>
      <c r="AA262" s="1086" t="e">
        <f>1*$AA$266 + 1*$AA$267 + 1*$AA$268 + 1*$AA$269 + 1*$AA$270 + 1*$AA$271 + 1*$AA$272 + 1*$AA$273 + 1*$AA$274 + 1*$AA$275 + 1*$AA$276</f>
        <v>#VALUE!</v>
      </c>
      <c r="AB262" s="1086" t="e">
        <f>1*$AB$266 + 1*$AB$267 + 1*$AB$268 + 1*$AB$269 + 1*$AB$270 + 1*$AB$271 + 1*$AB$272 + 1*$AB$273 + 1*$AB$274 + 1*$AB$275 + 1*$AB$276</f>
        <v>#VALUE!</v>
      </c>
      <c r="AC262" s="1086" t="e">
        <f>1*$AC$266 + 1*$AC$267 + 1*$AC$268 + 1*$AC$269 + 1*$AC$270 + 1*$AC$271 + 1*$AC$272 + 1*$AC$273 + 1*$AC$274 + 1*$AC$275 + 1*$AC$276</f>
        <v>#VALUE!</v>
      </c>
      <c r="AD262" s="1086" t="e">
        <f>1*$AC$266 + 1*$AC$267 + 1*$AC$268 + 1*$AC$269 + 1*$AC$270 + 1*$AC$271 + 1*$AC$272 + 1*$AC$273 + 1*$AC$274 + 1*$AC$275 + 1*$AC$276</f>
        <v>#VALUE!</v>
      </c>
      <c r="AE262" s="1086"/>
      <c r="AF262" s="1086"/>
      <c r="AG262" s="1086"/>
      <c r="AH262" s="1086"/>
      <c r="AI262" s="1086"/>
      <c r="AJ262" s="1086"/>
      <c r="AK262" s="1086"/>
      <c r="AL262" s="1086"/>
      <c r="AM262" s="1086"/>
      <c r="AN262" s="1086"/>
      <c r="AO262" s="1086"/>
      <c r="AP262" s="1086"/>
      <c r="AQ262" s="1086"/>
      <c r="AR262" s="1086"/>
      <c r="AS262" s="1086"/>
      <c r="AT262" s="1086"/>
      <c r="AU262" s="1086"/>
      <c r="AV262" s="1086"/>
      <c r="AW262" s="1086"/>
      <c r="AX262" s="1086" t="e">
        <f t="shared" si="50"/>
        <v>#VALUE!</v>
      </c>
    </row>
    <row r="263" spans="1:50" ht="12">
      <c r="A263" s="1086"/>
      <c r="B263" s="1086" t="s">
        <v>1597</v>
      </c>
      <c r="C263" s="1088"/>
      <c r="D263" s="1088"/>
      <c r="E263" s="1088"/>
      <c r="F263" s="1088"/>
      <c r="G263" s="1088"/>
      <c r="H263" s="1088"/>
      <c r="I263" s="1088"/>
      <c r="J263" s="1088"/>
      <c r="K263" s="1088"/>
      <c r="L263" s="1088"/>
      <c r="M263" s="1088"/>
      <c r="N263" s="1088"/>
      <c r="O263" s="1088"/>
      <c r="P263" s="1088"/>
      <c r="Q263" s="1088"/>
      <c r="R263" s="1088"/>
      <c r="S263" s="1088"/>
      <c r="T263" s="1088"/>
      <c r="U263" s="1088"/>
      <c r="V263" s="1088"/>
      <c r="W263" s="1088"/>
      <c r="X263" s="1088"/>
      <c r="Y263" s="1088"/>
      <c r="Z263" s="1088"/>
      <c r="AA263" s="1088"/>
      <c r="AB263" s="1088"/>
      <c r="AC263" s="1088"/>
      <c r="AD263" s="1088"/>
      <c r="AE263" s="1088"/>
      <c r="AF263" s="1088"/>
      <c r="AG263" s="1088"/>
      <c r="AH263" s="1088"/>
      <c r="AI263" s="1088"/>
      <c r="AJ263" s="1088"/>
      <c r="AK263" s="1088"/>
      <c r="AL263" s="1088"/>
      <c r="AM263" s="1088"/>
      <c r="AN263" s="1088"/>
      <c r="AO263" s="1088"/>
      <c r="AP263" s="1088"/>
      <c r="AQ263" s="1088"/>
      <c r="AR263" s="1088"/>
      <c r="AS263" s="1088"/>
      <c r="AT263" s="1088"/>
      <c r="AU263" s="1088"/>
      <c r="AV263" s="1088"/>
      <c r="AW263" s="1088"/>
      <c r="AX263" s="1086">
        <f t="shared" si="50"/>
        <v>0</v>
      </c>
    </row>
    <row r="264" spans="1:50" ht="12">
      <c r="A264" s="1086"/>
      <c r="B264" s="1086" t="s">
        <v>1598</v>
      </c>
      <c r="C264" s="1088"/>
      <c r="D264" s="1088"/>
      <c r="E264" s="1088"/>
      <c r="F264" s="1088"/>
      <c r="G264" s="1088"/>
      <c r="H264" s="1088"/>
      <c r="I264" s="1088"/>
      <c r="J264" s="1088"/>
      <c r="K264" s="1088"/>
      <c r="L264" s="1088"/>
      <c r="M264" s="1088"/>
      <c r="N264" s="1088"/>
      <c r="O264" s="1088"/>
      <c r="P264" s="1088"/>
      <c r="Q264" s="1088"/>
      <c r="R264" s="1088"/>
      <c r="S264" s="1088"/>
      <c r="T264" s="1088"/>
      <c r="U264" s="1088"/>
      <c r="V264" s="1088"/>
      <c r="W264" s="1088"/>
      <c r="X264" s="1088"/>
      <c r="Y264" s="1088"/>
      <c r="Z264" s="1088"/>
      <c r="AA264" s="1088"/>
      <c r="AB264" s="1088"/>
      <c r="AC264" s="1088"/>
      <c r="AD264" s="1088"/>
      <c r="AE264" s="1088"/>
      <c r="AF264" s="1088"/>
      <c r="AG264" s="1088"/>
      <c r="AH264" s="1088"/>
      <c r="AI264" s="1088"/>
      <c r="AJ264" s="1088"/>
      <c r="AK264" s="1088"/>
      <c r="AL264" s="1088"/>
      <c r="AM264" s="1088"/>
      <c r="AN264" s="1088"/>
      <c r="AO264" s="1088"/>
      <c r="AP264" s="1088"/>
      <c r="AQ264" s="1088"/>
      <c r="AR264" s="1088"/>
      <c r="AS264" s="1088"/>
      <c r="AT264" s="1088"/>
      <c r="AU264" s="1088"/>
      <c r="AV264" s="1088"/>
      <c r="AW264" s="1088"/>
      <c r="AX264" s="1086">
        <f t="shared" si="50"/>
        <v>0</v>
      </c>
    </row>
    <row r="265" spans="1:50" ht="12">
      <c r="A265" s="1086"/>
      <c r="B265" s="1086" t="s">
        <v>1599</v>
      </c>
      <c r="C265" s="1088"/>
      <c r="D265" s="1088"/>
      <c r="E265" s="1088"/>
      <c r="F265" s="1088"/>
      <c r="G265" s="1088"/>
      <c r="H265" s="1088"/>
      <c r="I265" s="1088"/>
      <c r="J265" s="1088"/>
      <c r="K265" s="1088"/>
      <c r="L265" s="1088"/>
      <c r="M265" s="1088"/>
      <c r="N265" s="1088"/>
      <c r="O265" s="1088"/>
      <c r="P265" s="1088"/>
      <c r="Q265" s="1088"/>
      <c r="R265" s="1088"/>
      <c r="S265" s="1088"/>
      <c r="T265" s="1088"/>
      <c r="U265" s="1088"/>
      <c r="V265" s="1088"/>
      <c r="W265" s="1088"/>
      <c r="X265" s="1088"/>
      <c r="Y265" s="1088"/>
      <c r="Z265" s="1088"/>
      <c r="AA265" s="1088"/>
      <c r="AB265" s="1088"/>
      <c r="AC265" s="1088"/>
      <c r="AD265" s="1088"/>
      <c r="AE265" s="1088"/>
      <c r="AF265" s="1088"/>
      <c r="AG265" s="1088"/>
      <c r="AH265" s="1088"/>
      <c r="AI265" s="1088"/>
      <c r="AJ265" s="1088"/>
      <c r="AK265" s="1088"/>
      <c r="AL265" s="1088"/>
      <c r="AM265" s="1088"/>
      <c r="AN265" s="1088"/>
      <c r="AO265" s="1088"/>
      <c r="AP265" s="1088"/>
      <c r="AQ265" s="1088"/>
      <c r="AR265" s="1088"/>
      <c r="AS265" s="1088"/>
      <c r="AT265" s="1088"/>
      <c r="AU265" s="1088"/>
      <c r="AV265" s="1088"/>
      <c r="AW265" s="1088"/>
      <c r="AX265" s="1086">
        <f t="shared" si="50"/>
        <v>0</v>
      </c>
    </row>
    <row r="266" spans="1:50" ht="24">
      <c r="A266" s="1086"/>
      <c r="B266" s="1086" t="s">
        <v>1600</v>
      </c>
      <c r="C266" s="1088"/>
      <c r="D266" s="1088"/>
      <c r="E266" s="1088"/>
      <c r="F266" s="1088"/>
      <c r="G266" s="1088"/>
      <c r="H266" s="1088"/>
      <c r="I266" s="1088"/>
      <c r="J266" s="1088"/>
      <c r="K266" s="1088"/>
      <c r="L266" s="1088"/>
      <c r="M266" s="1088"/>
      <c r="N266" s="1088"/>
      <c r="O266" s="1088"/>
      <c r="P266" s="1088"/>
      <c r="Q266" s="1088"/>
      <c r="R266" s="1088"/>
      <c r="S266" s="1088"/>
      <c r="T266" s="1088"/>
      <c r="U266" s="1088"/>
      <c r="V266" s="1088"/>
      <c r="W266" s="1088"/>
      <c r="X266" s="1088"/>
      <c r="Y266" s="1088"/>
      <c r="Z266" s="1088"/>
      <c r="AA266" s="1088"/>
      <c r="AB266" s="1088"/>
      <c r="AC266" s="1088"/>
      <c r="AD266" s="1088"/>
      <c r="AE266" s="1088"/>
      <c r="AF266" s="1088"/>
      <c r="AG266" s="1088"/>
      <c r="AH266" s="1088"/>
      <c r="AI266" s="1088"/>
      <c r="AJ266" s="1088"/>
      <c r="AK266" s="1088"/>
      <c r="AL266" s="1088"/>
      <c r="AM266" s="1088"/>
      <c r="AN266" s="1088"/>
      <c r="AO266" s="1088"/>
      <c r="AP266" s="1088"/>
      <c r="AQ266" s="1088"/>
      <c r="AR266" s="1088"/>
      <c r="AS266" s="1088"/>
      <c r="AT266" s="1088"/>
      <c r="AU266" s="1088"/>
      <c r="AV266" s="1088"/>
      <c r="AW266" s="1088"/>
      <c r="AX266" s="1086">
        <f t="shared" si="50"/>
        <v>0</v>
      </c>
    </row>
    <row r="267" spans="1:50" ht="24">
      <c r="A267" s="1086"/>
      <c r="B267" s="1086" t="s">
        <v>1601</v>
      </c>
      <c r="C267" s="1088"/>
      <c r="D267" s="1088"/>
      <c r="E267" s="1088"/>
      <c r="F267" s="1088"/>
      <c r="G267" s="1088"/>
      <c r="H267" s="1088"/>
      <c r="I267" s="1088"/>
      <c r="J267" s="1088"/>
      <c r="K267" s="1088"/>
      <c r="L267" s="1088"/>
      <c r="M267" s="1088"/>
      <c r="N267" s="1088"/>
      <c r="O267" s="1088"/>
      <c r="P267" s="1088"/>
      <c r="Q267" s="1088"/>
      <c r="R267" s="1088"/>
      <c r="S267" s="1088"/>
      <c r="T267" s="1088"/>
      <c r="U267" s="1088"/>
      <c r="V267" s="1088"/>
      <c r="W267" s="1088"/>
      <c r="X267" s="1088"/>
      <c r="Y267" s="1088"/>
      <c r="Z267" s="1088"/>
      <c r="AA267" s="1088"/>
      <c r="AB267" s="1088"/>
      <c r="AC267" s="1088"/>
      <c r="AD267" s="1088"/>
      <c r="AE267" s="1088"/>
      <c r="AF267" s="1088"/>
      <c r="AG267" s="1088"/>
      <c r="AH267" s="1088"/>
      <c r="AI267" s="1088"/>
      <c r="AJ267" s="1088"/>
      <c r="AK267" s="1088"/>
      <c r="AL267" s="1088"/>
      <c r="AM267" s="1088"/>
      <c r="AN267" s="1088"/>
      <c r="AO267" s="1088"/>
      <c r="AP267" s="1088"/>
      <c r="AQ267" s="1088"/>
      <c r="AR267" s="1088"/>
      <c r="AS267" s="1088"/>
      <c r="AT267" s="1088"/>
      <c r="AU267" s="1088"/>
      <c r="AV267" s="1088"/>
      <c r="AW267" s="1088"/>
      <c r="AX267" s="1086">
        <f t="shared" si="50"/>
        <v>0</v>
      </c>
    </row>
    <row r="268" spans="1:50" ht="24">
      <c r="A268" s="1086"/>
      <c r="B268" s="1086" t="s">
        <v>1602</v>
      </c>
      <c r="C268" s="1088"/>
      <c r="D268" s="1088">
        <v>0</v>
      </c>
      <c r="E268" s="1088">
        <v>0</v>
      </c>
      <c r="F268" s="1088">
        <v>0</v>
      </c>
      <c r="G268" s="1088">
        <v>0</v>
      </c>
      <c r="H268" s="1088">
        <v>0</v>
      </c>
      <c r="I268" s="1088">
        <v>0</v>
      </c>
      <c r="J268" s="1088">
        <v>0</v>
      </c>
      <c r="K268" s="1088">
        <v>0</v>
      </c>
      <c r="L268" s="1088">
        <v>0</v>
      </c>
      <c r="M268" s="1088">
        <v>0</v>
      </c>
      <c r="N268" s="1088">
        <v>0</v>
      </c>
      <c r="O268" s="1088">
        <v>0</v>
      </c>
      <c r="P268" s="1088">
        <v>0</v>
      </c>
      <c r="Q268" s="1088">
        <v>0</v>
      </c>
      <c r="R268" s="1088">
        <v>0</v>
      </c>
      <c r="S268" s="1088">
        <v>0</v>
      </c>
      <c r="T268" s="1088">
        <v>0</v>
      </c>
      <c r="U268" s="1088">
        <v>0</v>
      </c>
      <c r="V268" s="1088">
        <v>0</v>
      </c>
      <c r="W268" s="1088">
        <v>0</v>
      </c>
      <c r="X268" s="1088">
        <v>0</v>
      </c>
      <c r="Y268" s="1088">
        <v>0</v>
      </c>
      <c r="Z268" s="1088">
        <v>0</v>
      </c>
      <c r="AA268" s="1088">
        <v>0</v>
      </c>
      <c r="AB268" s="1088">
        <v>0</v>
      </c>
      <c r="AC268" s="1088">
        <v>0</v>
      </c>
      <c r="AD268" s="1088">
        <v>0</v>
      </c>
      <c r="AE268" s="1088"/>
      <c r="AF268" s="1088"/>
      <c r="AG268" s="1088"/>
      <c r="AH268" s="1088"/>
      <c r="AI268" s="1088"/>
      <c r="AJ268" s="1088"/>
      <c r="AK268" s="1088"/>
      <c r="AL268" s="1088"/>
      <c r="AM268" s="1088"/>
      <c r="AN268" s="1088"/>
      <c r="AO268" s="1088"/>
      <c r="AP268" s="1088"/>
      <c r="AQ268" s="1088"/>
      <c r="AR268" s="1088"/>
      <c r="AS268" s="1088"/>
      <c r="AT268" s="1088"/>
      <c r="AU268" s="1088"/>
      <c r="AV268" s="1088"/>
      <c r="AW268" s="1088"/>
      <c r="AX268" s="1086">
        <f t="shared" si="50"/>
        <v>0</v>
      </c>
    </row>
    <row r="269" spans="1:50" ht="12">
      <c r="A269" s="1086"/>
      <c r="B269" s="1086" t="s">
        <v>1603</v>
      </c>
      <c r="C269" s="1088"/>
      <c r="D269" s="1088"/>
      <c r="E269" s="1088"/>
      <c r="F269" s="1088"/>
      <c r="G269" s="1088"/>
      <c r="H269" s="1088"/>
      <c r="I269" s="1088"/>
      <c r="J269" s="1088"/>
      <c r="K269" s="1088"/>
      <c r="L269" s="1088"/>
      <c r="M269" s="1088"/>
      <c r="N269" s="1088"/>
      <c r="O269" s="1088"/>
      <c r="P269" s="1088"/>
      <c r="Q269" s="1088"/>
      <c r="R269" s="1088"/>
      <c r="S269" s="1088"/>
      <c r="T269" s="1088"/>
      <c r="U269" s="1088"/>
      <c r="V269" s="1088"/>
      <c r="W269" s="1088"/>
      <c r="X269" s="1088"/>
      <c r="Y269" s="1088"/>
      <c r="Z269" s="1088"/>
      <c r="AA269" s="1088"/>
      <c r="AB269" s="1088"/>
      <c r="AC269" s="1088"/>
      <c r="AD269" s="1088"/>
      <c r="AE269" s="1088"/>
      <c r="AF269" s="1088"/>
      <c r="AG269" s="1088"/>
      <c r="AH269" s="1088"/>
      <c r="AI269" s="1088"/>
      <c r="AJ269" s="1088"/>
      <c r="AK269" s="1088"/>
      <c r="AL269" s="1088"/>
      <c r="AM269" s="1088"/>
      <c r="AN269" s="1088"/>
      <c r="AO269" s="1088"/>
      <c r="AP269" s="1088"/>
      <c r="AQ269" s="1088"/>
      <c r="AR269" s="1088"/>
      <c r="AS269" s="1088"/>
      <c r="AT269" s="1088"/>
      <c r="AU269" s="1088"/>
      <c r="AV269" s="1088"/>
      <c r="AW269" s="1088"/>
      <c r="AX269" s="1086">
        <f t="shared" si="50"/>
        <v>0</v>
      </c>
    </row>
    <row r="270" spans="1:50" ht="12">
      <c r="A270" s="1086"/>
      <c r="B270" s="1086" t="s">
        <v>1604</v>
      </c>
      <c r="C270" s="1088"/>
      <c r="D270" s="1088">
        <v>0</v>
      </c>
      <c r="E270" s="1088">
        <v>0</v>
      </c>
      <c r="F270" s="1088">
        <v>0</v>
      </c>
      <c r="G270" s="1088">
        <v>0</v>
      </c>
      <c r="H270" s="1088">
        <v>0</v>
      </c>
      <c r="I270" s="1088">
        <v>0</v>
      </c>
      <c r="J270" s="1088">
        <v>0</v>
      </c>
      <c r="K270" s="1088">
        <v>1218000000</v>
      </c>
      <c r="L270" s="1088">
        <v>1220547837.198391</v>
      </c>
      <c r="M270" s="1088">
        <v>906293844.47285151</v>
      </c>
      <c r="N270" s="1088">
        <v>1053208873.7159693</v>
      </c>
      <c r="O270" s="1088">
        <v>972043240.97776675</v>
      </c>
      <c r="P270" s="1088">
        <v>1117672117.1741755</v>
      </c>
      <c r="Q270" s="1088">
        <v>1098575992.5366738</v>
      </c>
      <c r="R270" s="1088">
        <v>1183063903.0911279</v>
      </c>
      <c r="S270" s="1088">
        <v>1065590655.8917267</v>
      </c>
      <c r="T270" s="1088">
        <v>1229217372.5197573</v>
      </c>
      <c r="U270" s="1088">
        <v>-11064213837.578442</v>
      </c>
      <c r="V270" s="1088">
        <v>0</v>
      </c>
      <c r="W270" s="1088">
        <v>0</v>
      </c>
      <c r="X270" s="1088">
        <v>0</v>
      </c>
      <c r="Y270" s="1088">
        <v>0</v>
      </c>
      <c r="Z270" s="1088">
        <v>0</v>
      </c>
      <c r="AA270" s="1088">
        <v>0</v>
      </c>
      <c r="AB270" s="1088">
        <v>0</v>
      </c>
      <c r="AC270" s="1088">
        <v>0</v>
      </c>
      <c r="AD270" s="1088">
        <v>0</v>
      </c>
      <c r="AE270" s="1088"/>
      <c r="AF270" s="1088"/>
      <c r="AG270" s="1088"/>
      <c r="AH270" s="1088"/>
      <c r="AI270" s="1088"/>
      <c r="AJ270" s="1088"/>
      <c r="AK270" s="1088"/>
      <c r="AL270" s="1088"/>
      <c r="AM270" s="1088"/>
      <c r="AN270" s="1088"/>
      <c r="AO270" s="1088"/>
      <c r="AP270" s="1088"/>
      <c r="AQ270" s="1088"/>
      <c r="AR270" s="1088"/>
      <c r="AS270" s="1088"/>
      <c r="AT270" s="1088"/>
      <c r="AU270" s="1088"/>
      <c r="AV270" s="1088"/>
      <c r="AW270" s="1088"/>
      <c r="AX270" s="1086">
        <f t="shared" si="50"/>
        <v>0</v>
      </c>
    </row>
    <row r="271" spans="1:50" ht="24">
      <c r="A271" s="1086"/>
      <c r="B271" s="1086" t="s">
        <v>1605</v>
      </c>
      <c r="C271" s="1088"/>
      <c r="D271" s="1088"/>
      <c r="E271" s="1088"/>
      <c r="F271" s="1088"/>
      <c r="G271" s="1088"/>
      <c r="H271" s="1088"/>
      <c r="I271" s="1088"/>
      <c r="J271" s="1088"/>
      <c r="K271" s="1088"/>
      <c r="L271" s="1088"/>
      <c r="M271" s="1088"/>
      <c r="N271" s="1088"/>
      <c r="O271" s="1088"/>
      <c r="P271" s="1088"/>
      <c r="Q271" s="1088"/>
      <c r="R271" s="1088"/>
      <c r="S271" s="1088"/>
      <c r="T271" s="1088"/>
      <c r="U271" s="1088"/>
      <c r="V271" s="1088"/>
      <c r="W271" s="1088"/>
      <c r="X271" s="1088"/>
      <c r="Y271" s="1088"/>
      <c r="Z271" s="1088"/>
      <c r="AA271" s="1088"/>
      <c r="AB271" s="1088"/>
      <c r="AC271" s="1088"/>
      <c r="AD271" s="1088"/>
      <c r="AE271" s="1088"/>
      <c r="AF271" s="1088"/>
      <c r="AG271" s="1088"/>
      <c r="AH271" s="1088"/>
      <c r="AI271" s="1088"/>
      <c r="AJ271" s="1088"/>
      <c r="AK271" s="1088"/>
      <c r="AL271" s="1088"/>
      <c r="AM271" s="1088"/>
      <c r="AN271" s="1088"/>
      <c r="AO271" s="1088"/>
      <c r="AP271" s="1088"/>
      <c r="AQ271" s="1088"/>
      <c r="AR271" s="1088"/>
      <c r="AS271" s="1088"/>
      <c r="AT271" s="1088"/>
      <c r="AU271" s="1088"/>
      <c r="AV271" s="1088"/>
      <c r="AW271" s="1088"/>
      <c r="AX271" s="1086">
        <f t="shared" si="50"/>
        <v>0</v>
      </c>
    </row>
    <row r="272" spans="1:50" ht="12">
      <c r="A272" s="1086"/>
      <c r="B272" s="1086" t="s">
        <v>1606</v>
      </c>
      <c r="C272" s="1088"/>
      <c r="D272" s="1088"/>
      <c r="E272" s="1088"/>
      <c r="F272" s="1088"/>
      <c r="G272" s="1088"/>
      <c r="H272" s="1088"/>
      <c r="I272" s="1088"/>
      <c r="J272" s="1088"/>
      <c r="K272" s="1088"/>
      <c r="L272" s="1088"/>
      <c r="M272" s="1088"/>
      <c r="N272" s="1088"/>
      <c r="O272" s="1088"/>
      <c r="P272" s="1088"/>
      <c r="Q272" s="1088"/>
      <c r="R272" s="1088"/>
      <c r="S272" s="1088"/>
      <c r="T272" s="1088"/>
      <c r="U272" s="1088"/>
      <c r="V272" s="1088"/>
      <c r="W272" s="1088"/>
      <c r="X272" s="1088"/>
      <c r="Y272" s="1088"/>
      <c r="Z272" s="1088"/>
      <c r="AA272" s="1088"/>
      <c r="AB272" s="1088"/>
      <c r="AC272" s="1088"/>
      <c r="AD272" s="1088"/>
      <c r="AE272" s="1088"/>
      <c r="AF272" s="1088"/>
      <c r="AG272" s="1088"/>
      <c r="AH272" s="1088"/>
      <c r="AI272" s="1088"/>
      <c r="AJ272" s="1088"/>
      <c r="AK272" s="1088"/>
      <c r="AL272" s="1088"/>
      <c r="AM272" s="1088"/>
      <c r="AN272" s="1088"/>
      <c r="AO272" s="1088"/>
      <c r="AP272" s="1088"/>
      <c r="AQ272" s="1088"/>
      <c r="AR272" s="1088"/>
      <c r="AS272" s="1088"/>
      <c r="AT272" s="1088"/>
      <c r="AU272" s="1088"/>
      <c r="AV272" s="1088"/>
      <c r="AW272" s="1088"/>
      <c r="AX272" s="1086">
        <f t="shared" si="50"/>
        <v>0</v>
      </c>
    </row>
    <row r="273" spans="1:51" ht="12">
      <c r="A273" s="1086"/>
      <c r="B273" s="1086" t="s">
        <v>1607</v>
      </c>
      <c r="C273" s="1088"/>
      <c r="D273" s="1088">
        <v>0</v>
      </c>
      <c r="E273" s="1088">
        <v>0</v>
      </c>
      <c r="F273" s="1088">
        <v>0</v>
      </c>
      <c r="G273" s="1088">
        <v>0</v>
      </c>
      <c r="H273" s="1088">
        <v>0</v>
      </c>
      <c r="I273" s="1088">
        <v>0</v>
      </c>
      <c r="J273" s="1088">
        <v>0</v>
      </c>
      <c r="K273" s="1088">
        <v>42500000</v>
      </c>
      <c r="L273" s="1088">
        <v>67500000</v>
      </c>
      <c r="M273" s="1088">
        <v>45000000</v>
      </c>
      <c r="N273" s="1088">
        <v>45000000</v>
      </c>
      <c r="O273" s="1088">
        <v>45000000</v>
      </c>
      <c r="P273" s="1088">
        <v>47500000</v>
      </c>
      <c r="Q273" s="1088">
        <v>50000000</v>
      </c>
      <c r="R273" s="1088">
        <v>47500000</v>
      </c>
      <c r="S273" s="1088">
        <v>45000000</v>
      </c>
      <c r="T273" s="1088">
        <v>47500000</v>
      </c>
      <c r="U273" s="1088">
        <v>-482500000</v>
      </c>
      <c r="V273" s="1088">
        <v>0</v>
      </c>
      <c r="W273" s="1088">
        <v>0</v>
      </c>
      <c r="X273" s="1088">
        <v>0</v>
      </c>
      <c r="Y273" s="1088">
        <v>0</v>
      </c>
      <c r="Z273" s="1088">
        <v>0</v>
      </c>
      <c r="AA273" s="1088">
        <v>0</v>
      </c>
      <c r="AB273" s="1088">
        <v>0</v>
      </c>
      <c r="AC273" s="1088">
        <v>0</v>
      </c>
      <c r="AD273" s="1088">
        <v>0</v>
      </c>
      <c r="AE273" s="1088"/>
      <c r="AF273" s="1088"/>
      <c r="AG273" s="1088"/>
      <c r="AH273" s="1088"/>
      <c r="AI273" s="1088"/>
      <c r="AJ273" s="1088"/>
      <c r="AK273" s="1088"/>
      <c r="AL273" s="1088"/>
      <c r="AM273" s="1088"/>
      <c r="AN273" s="1088"/>
      <c r="AO273" s="1088"/>
      <c r="AP273" s="1088"/>
      <c r="AQ273" s="1088"/>
      <c r="AR273" s="1088"/>
      <c r="AS273" s="1088"/>
      <c r="AT273" s="1088"/>
      <c r="AU273" s="1088"/>
      <c r="AV273" s="1088"/>
      <c r="AW273" s="1088"/>
      <c r="AX273" s="1086">
        <f t="shared" si="50"/>
        <v>0</v>
      </c>
      <c r="AY273" s="1089">
        <f>AX28+AX48-AX72-AX161-AX216</f>
        <v>-22088705255.629547</v>
      </c>
    </row>
    <row r="274" spans="1:51">
      <c r="AX274" s="1">
        <f t="shared" si="50"/>
        <v>0</v>
      </c>
    </row>
    <row r="275" spans="1:51">
      <c r="AX275" s="1">
        <f t="shared" si="50"/>
        <v>0</v>
      </c>
    </row>
    <row r="276" spans="1:51">
      <c r="C276" s="1091" t="s">
        <v>1613</v>
      </c>
      <c r="D276" s="1091" t="s">
        <v>1614</v>
      </c>
      <c r="E276" s="1091" t="s">
        <v>1615</v>
      </c>
      <c r="F276" s="1091" t="s">
        <v>1616</v>
      </c>
      <c r="G276" s="1091" t="s">
        <v>1617</v>
      </c>
      <c r="H276" s="1091" t="s">
        <v>1618</v>
      </c>
      <c r="I276" s="1091" t="s">
        <v>1619</v>
      </c>
      <c r="J276" s="1091" t="s">
        <v>1620</v>
      </c>
      <c r="K276" s="1091" t="s">
        <v>1621</v>
      </c>
      <c r="L276" s="1091" t="s">
        <v>1622</v>
      </c>
      <c r="M276" s="1091" t="s">
        <v>1623</v>
      </c>
      <c r="N276" s="1091" t="s">
        <v>1624</v>
      </c>
      <c r="O276" s="1091" t="s">
        <v>1625</v>
      </c>
      <c r="P276" s="1091" t="s">
        <v>1626</v>
      </c>
      <c r="Q276" s="1091" t="s">
        <v>1627</v>
      </c>
      <c r="R276" s="1091" t="s">
        <v>1628</v>
      </c>
      <c r="S276" s="1091" t="s">
        <v>1629</v>
      </c>
      <c r="T276" s="1091" t="s">
        <v>1630</v>
      </c>
      <c r="U276" s="1091" t="s">
        <v>1631</v>
      </c>
      <c r="V276" s="1091" t="s">
        <v>1632</v>
      </c>
      <c r="W276" s="1091" t="s">
        <v>1633</v>
      </c>
      <c r="X276" s="1091" t="s">
        <v>1634</v>
      </c>
      <c r="Y276" s="1091" t="s">
        <v>1635</v>
      </c>
      <c r="Z276" s="1091" t="s">
        <v>1636</v>
      </c>
      <c r="AA276" s="1091" t="s">
        <v>1637</v>
      </c>
      <c r="AB276" s="1091" t="s">
        <v>1638</v>
      </c>
      <c r="AC276" s="1091" t="s">
        <v>1639</v>
      </c>
      <c r="AD276" s="1091" t="s">
        <v>1640</v>
      </c>
      <c r="AE276" s="1091"/>
      <c r="AF276" s="1091"/>
      <c r="AG276" s="1091"/>
      <c r="AH276" s="1091"/>
      <c r="AI276" s="1091"/>
      <c r="AJ276" s="1091"/>
      <c r="AK276" s="1091"/>
      <c r="AL276" s="1091"/>
      <c r="AM276" s="1091"/>
      <c r="AN276" s="1091"/>
      <c r="AO276" s="1091"/>
      <c r="AP276" s="1091"/>
      <c r="AQ276" s="1091"/>
      <c r="AR276" s="1091"/>
      <c r="AS276" s="1091"/>
      <c r="AT276" s="1091"/>
      <c r="AU276" s="1091"/>
      <c r="AV276" s="1091"/>
      <c r="AW276" s="1091"/>
      <c r="AX276" s="1090">
        <f t="shared" si="50"/>
        <v>0</v>
      </c>
    </row>
    <row r="277" spans="1:51" s="1091" customFormat="1">
      <c r="C277" s="1091" t="s">
        <v>328</v>
      </c>
      <c r="D277" s="1091" t="s">
        <v>328</v>
      </c>
      <c r="E277" s="1091" t="s">
        <v>328</v>
      </c>
      <c r="F277" s="1091" t="s">
        <v>449</v>
      </c>
      <c r="G277" s="1091" t="s">
        <v>449</v>
      </c>
      <c r="H277" s="1091" t="s">
        <v>449</v>
      </c>
      <c r="I277" s="1091" t="s">
        <v>449</v>
      </c>
      <c r="J277" s="1091" t="s">
        <v>449</v>
      </c>
      <c r="K277" s="1091" t="s">
        <v>449</v>
      </c>
      <c r="L277" s="1091" t="s">
        <v>449</v>
      </c>
      <c r="M277" s="1091" t="s">
        <v>449</v>
      </c>
      <c r="N277" s="1091" t="s">
        <v>449</v>
      </c>
      <c r="O277" s="1091" t="s">
        <v>449</v>
      </c>
      <c r="P277" s="1091" t="s">
        <v>449</v>
      </c>
      <c r="Q277" s="1091" t="s">
        <v>449</v>
      </c>
      <c r="R277" s="1091" t="s">
        <v>449</v>
      </c>
      <c r="S277" s="1091" t="s">
        <v>449</v>
      </c>
      <c r="T277" s="1091" t="s">
        <v>449</v>
      </c>
      <c r="U277" s="1091" t="s">
        <v>449</v>
      </c>
      <c r="V277" s="1091" t="s">
        <v>449</v>
      </c>
      <c r="W277" s="1091" t="s">
        <v>449</v>
      </c>
      <c r="X277" s="1091" t="s">
        <v>449</v>
      </c>
      <c r="Y277" s="1091" t="s">
        <v>449</v>
      </c>
      <c r="Z277" s="1091" t="s">
        <v>449</v>
      </c>
      <c r="AA277" s="1091" t="s">
        <v>449</v>
      </c>
      <c r="AB277" s="1091" t="s">
        <v>449</v>
      </c>
      <c r="AC277" s="1091" t="s">
        <v>449</v>
      </c>
      <c r="AD277" s="1091" t="s">
        <v>449</v>
      </c>
      <c r="AX277" s="1091">
        <f t="shared" si="50"/>
        <v>0</v>
      </c>
    </row>
    <row r="278" spans="1:51" ht="12">
      <c r="A278" s="1086"/>
      <c r="B278" s="1086" t="s">
        <v>410</v>
      </c>
      <c r="C278" s="1086">
        <f>SUM(C279:C283)</f>
        <v>0</v>
      </c>
      <c r="D278" s="1086">
        <f t="shared" ref="D278:AD278" si="51">SUM(D279:D283)</f>
        <v>0</v>
      </c>
      <c r="E278" s="1086">
        <f t="shared" si="51"/>
        <v>0</v>
      </c>
      <c r="F278" s="1086">
        <f t="shared" si="51"/>
        <v>0</v>
      </c>
      <c r="G278" s="1086">
        <f t="shared" si="51"/>
        <v>0</v>
      </c>
      <c r="H278" s="1086">
        <f t="shared" si="51"/>
        <v>0</v>
      </c>
      <c r="I278" s="1086">
        <f t="shared" si="51"/>
        <v>0</v>
      </c>
      <c r="J278" s="1086">
        <f t="shared" si="51"/>
        <v>0</v>
      </c>
      <c r="K278" s="1086">
        <f t="shared" si="51"/>
        <v>0</v>
      </c>
      <c r="L278" s="1086">
        <f t="shared" si="51"/>
        <v>0</v>
      </c>
      <c r="M278" s="1086">
        <f t="shared" si="51"/>
        <v>0</v>
      </c>
      <c r="N278" s="1086">
        <f t="shared" si="51"/>
        <v>0</v>
      </c>
      <c r="O278" s="1086">
        <f t="shared" si="51"/>
        <v>0</v>
      </c>
      <c r="P278" s="1086">
        <f t="shared" si="51"/>
        <v>0</v>
      </c>
      <c r="Q278" s="1086">
        <f t="shared" si="51"/>
        <v>0</v>
      </c>
      <c r="R278" s="1086">
        <f t="shared" si="51"/>
        <v>0</v>
      </c>
      <c r="S278" s="1086">
        <f t="shared" si="51"/>
        <v>0</v>
      </c>
      <c r="T278" s="1086">
        <f t="shared" si="51"/>
        <v>0</v>
      </c>
      <c r="U278" s="1086">
        <f t="shared" si="51"/>
        <v>0</v>
      </c>
      <c r="V278" s="1086">
        <f t="shared" si="51"/>
        <v>0</v>
      </c>
      <c r="W278" s="1086">
        <f t="shared" si="51"/>
        <v>0</v>
      </c>
      <c r="X278" s="1086">
        <f t="shared" si="51"/>
        <v>0</v>
      </c>
      <c r="Y278" s="1086">
        <f t="shared" si="51"/>
        <v>0</v>
      </c>
      <c r="Z278" s="1086">
        <f t="shared" si="51"/>
        <v>0</v>
      </c>
      <c r="AA278" s="1086">
        <f t="shared" si="51"/>
        <v>0</v>
      </c>
      <c r="AB278" s="1086">
        <f t="shared" si="51"/>
        <v>0</v>
      </c>
      <c r="AC278" s="1086">
        <f t="shared" si="51"/>
        <v>0</v>
      </c>
      <c r="AD278" s="1086">
        <f t="shared" si="51"/>
        <v>0</v>
      </c>
      <c r="AE278" s="1086"/>
      <c r="AF278" s="1086"/>
      <c r="AG278" s="1086"/>
      <c r="AH278" s="1086"/>
      <c r="AI278" s="1086"/>
      <c r="AJ278" s="1086"/>
      <c r="AK278" s="1086"/>
      <c r="AL278" s="1086"/>
      <c r="AM278" s="1086"/>
      <c r="AN278" s="1086"/>
      <c r="AO278" s="1086"/>
      <c r="AP278" s="1086"/>
      <c r="AQ278" s="1086"/>
      <c r="AR278" s="1086"/>
      <c r="AS278" s="1086"/>
      <c r="AT278" s="1086"/>
      <c r="AU278" s="1086"/>
      <c r="AV278" s="1086"/>
      <c r="AW278" s="1086"/>
      <c r="AX278" s="1086">
        <f t="shared" si="50"/>
        <v>0</v>
      </c>
    </row>
    <row r="279" spans="1:51" ht="12">
      <c r="A279" s="1092">
        <v>0.05</v>
      </c>
      <c r="B279" s="1086" t="s">
        <v>1608</v>
      </c>
      <c r="C279" s="1088"/>
      <c r="D279" s="1088"/>
      <c r="E279" s="1088"/>
      <c r="F279" s="1088"/>
      <c r="G279" s="1088"/>
      <c r="H279" s="1088"/>
      <c r="I279" s="1088"/>
      <c r="J279" s="1088"/>
      <c r="K279" s="1088"/>
      <c r="L279" s="1088"/>
      <c r="M279" s="1088"/>
      <c r="N279" s="1088"/>
      <c r="O279" s="1088"/>
      <c r="P279" s="1088"/>
      <c r="Q279" s="1088"/>
      <c r="R279" s="1088"/>
      <c r="S279" s="1088"/>
      <c r="T279" s="1088"/>
      <c r="U279" s="1088"/>
      <c r="V279" s="1088"/>
      <c r="W279" s="1088"/>
      <c r="X279" s="1088"/>
      <c r="Y279" s="1088"/>
      <c r="Z279" s="1088"/>
      <c r="AA279" s="1088"/>
      <c r="AB279" s="1088"/>
      <c r="AC279" s="1088"/>
      <c r="AD279" s="1088"/>
      <c r="AE279" s="1088"/>
      <c r="AF279" s="1088"/>
      <c r="AG279" s="1088"/>
      <c r="AH279" s="1088"/>
      <c r="AI279" s="1088"/>
      <c r="AJ279" s="1088"/>
      <c r="AK279" s="1088"/>
      <c r="AL279" s="1088"/>
      <c r="AM279" s="1088"/>
      <c r="AN279" s="1088"/>
      <c r="AO279" s="1088"/>
      <c r="AP279" s="1088"/>
      <c r="AQ279" s="1088"/>
      <c r="AR279" s="1088"/>
      <c r="AS279" s="1088"/>
      <c r="AT279" s="1088"/>
      <c r="AU279" s="1088"/>
      <c r="AV279" s="1088"/>
      <c r="AW279" s="1088"/>
      <c r="AX279" s="1086">
        <f t="shared" si="50"/>
        <v>0</v>
      </c>
    </row>
    <row r="280" spans="1:51" ht="12">
      <c r="A280" s="1092">
        <v>0.22500000000000001</v>
      </c>
      <c r="B280" s="1086" t="s">
        <v>1609</v>
      </c>
      <c r="C280" s="1088"/>
      <c r="D280" s="1088"/>
      <c r="E280" s="1088"/>
      <c r="F280" s="1088"/>
      <c r="G280" s="1088"/>
      <c r="H280" s="1088"/>
      <c r="I280" s="1088"/>
      <c r="J280" s="1088"/>
      <c r="K280" s="1088"/>
      <c r="L280" s="1088"/>
      <c r="M280" s="1088"/>
      <c r="N280" s="1088"/>
      <c r="O280" s="1088"/>
      <c r="P280" s="1088"/>
      <c r="Q280" s="1088"/>
      <c r="R280" s="1088"/>
      <c r="S280" s="1088"/>
      <c r="T280" s="1088"/>
      <c r="U280" s="1088"/>
      <c r="V280" s="1088"/>
      <c r="W280" s="1088"/>
      <c r="X280" s="1088"/>
      <c r="Y280" s="1088"/>
      <c r="Z280" s="1088"/>
      <c r="AA280" s="1088"/>
      <c r="AB280" s="1088"/>
      <c r="AC280" s="1088"/>
      <c r="AD280" s="1088"/>
      <c r="AE280" s="1088"/>
      <c r="AF280" s="1088"/>
      <c r="AG280" s="1088"/>
      <c r="AH280" s="1088"/>
      <c r="AI280" s="1088"/>
      <c r="AJ280" s="1088"/>
      <c r="AK280" s="1088"/>
      <c r="AL280" s="1088"/>
      <c r="AM280" s="1088"/>
      <c r="AN280" s="1088"/>
      <c r="AO280" s="1088"/>
      <c r="AP280" s="1088"/>
      <c r="AQ280" s="1088"/>
      <c r="AR280" s="1088"/>
      <c r="AS280" s="1088"/>
      <c r="AT280" s="1088"/>
      <c r="AU280" s="1088"/>
      <c r="AV280" s="1088"/>
      <c r="AW280" s="1088"/>
      <c r="AX280" s="1086">
        <f t="shared" si="50"/>
        <v>0</v>
      </c>
    </row>
    <row r="281" spans="1:51" ht="12">
      <c r="A281" s="1092">
        <v>0.22500000000000001</v>
      </c>
      <c r="B281" s="1086" t="s">
        <v>1610</v>
      </c>
      <c r="C281" s="1088"/>
      <c r="D281" s="1088"/>
      <c r="E281" s="1088"/>
      <c r="F281" s="1088"/>
      <c r="G281" s="1088"/>
      <c r="H281" s="1088"/>
      <c r="I281" s="1088"/>
      <c r="J281" s="1088"/>
      <c r="K281" s="1088"/>
      <c r="L281" s="1088"/>
      <c r="M281" s="1088"/>
      <c r="N281" s="1088"/>
      <c r="O281" s="1088"/>
      <c r="P281" s="1088"/>
      <c r="Q281" s="1088"/>
      <c r="R281" s="1088"/>
      <c r="S281" s="1088"/>
      <c r="T281" s="1088"/>
      <c r="U281" s="1088"/>
      <c r="V281" s="1088"/>
      <c r="W281" s="1088"/>
      <c r="X281" s="1088"/>
      <c r="Y281" s="1088"/>
      <c r="Z281" s="1088"/>
      <c r="AA281" s="1088"/>
      <c r="AB281" s="1088"/>
      <c r="AC281" s="1088"/>
      <c r="AD281" s="1088"/>
      <c r="AE281" s="1088"/>
      <c r="AF281" s="1088"/>
      <c r="AG281" s="1088"/>
      <c r="AH281" s="1088"/>
      <c r="AI281" s="1088"/>
      <c r="AJ281" s="1088"/>
      <c r="AK281" s="1088"/>
      <c r="AL281" s="1088"/>
      <c r="AM281" s="1088"/>
      <c r="AN281" s="1088"/>
      <c r="AO281" s="1088"/>
      <c r="AP281" s="1088"/>
      <c r="AQ281" s="1088"/>
      <c r="AR281" s="1088"/>
      <c r="AS281" s="1088"/>
      <c r="AT281" s="1088"/>
      <c r="AU281" s="1088"/>
      <c r="AV281" s="1088"/>
      <c r="AW281" s="1088"/>
      <c r="AX281" s="1086">
        <f t="shared" si="50"/>
        <v>0</v>
      </c>
    </row>
    <row r="282" spans="1:51" ht="12">
      <c r="A282" s="1092">
        <v>0.45</v>
      </c>
      <c r="B282" s="1086" t="s">
        <v>1611</v>
      </c>
      <c r="C282" s="1088"/>
      <c r="D282" s="1088"/>
      <c r="E282" s="1088"/>
      <c r="F282" s="1088"/>
      <c r="G282" s="1088"/>
      <c r="H282" s="1088"/>
      <c r="I282" s="1088"/>
      <c r="J282" s="1088"/>
      <c r="K282" s="1088"/>
      <c r="L282" s="1088"/>
      <c r="M282" s="1088"/>
      <c r="N282" s="1088"/>
      <c r="O282" s="1088"/>
      <c r="P282" s="1088"/>
      <c r="Q282" s="1088"/>
      <c r="R282" s="1088"/>
      <c r="S282" s="1088"/>
      <c r="T282" s="1088"/>
      <c r="U282" s="1088"/>
      <c r="V282" s="1088"/>
      <c r="W282" s="1088"/>
      <c r="X282" s="1088"/>
      <c r="Y282" s="1088"/>
      <c r="Z282" s="1088"/>
      <c r="AA282" s="1088"/>
      <c r="AB282" s="1088"/>
      <c r="AC282" s="1088"/>
      <c r="AD282" s="1088"/>
      <c r="AE282" s="1088"/>
      <c r="AF282" s="1088"/>
      <c r="AG282" s="1088"/>
      <c r="AH282" s="1088"/>
      <c r="AI282" s="1088"/>
      <c r="AJ282" s="1088"/>
      <c r="AK282" s="1088"/>
      <c r="AL282" s="1088"/>
      <c r="AM282" s="1088"/>
      <c r="AN282" s="1088"/>
      <c r="AO282" s="1088"/>
      <c r="AP282" s="1088"/>
      <c r="AQ282" s="1088"/>
      <c r="AR282" s="1088"/>
      <c r="AS282" s="1088"/>
      <c r="AT282" s="1088"/>
      <c r="AU282" s="1088"/>
      <c r="AV282" s="1088"/>
      <c r="AW282" s="1088"/>
      <c r="AX282" s="1086">
        <f t="shared" si="50"/>
        <v>0</v>
      </c>
    </row>
    <row r="283" spans="1:51" ht="12">
      <c r="A283" s="1092">
        <v>0.05</v>
      </c>
      <c r="B283" s="1086" t="s">
        <v>1612</v>
      </c>
      <c r="C283" s="1088"/>
      <c r="D283" s="1088"/>
      <c r="E283" s="1088"/>
      <c r="F283" s="1088"/>
      <c r="G283" s="1088"/>
      <c r="H283" s="1088"/>
      <c r="I283" s="1088"/>
      <c r="J283" s="1088"/>
      <c r="K283" s="1088"/>
      <c r="L283" s="1088"/>
      <c r="M283" s="1088"/>
      <c r="N283" s="1088"/>
      <c r="O283" s="1088"/>
      <c r="P283" s="1088"/>
      <c r="Q283" s="1088"/>
      <c r="R283" s="1088"/>
      <c r="S283" s="1088"/>
      <c r="T283" s="1088"/>
      <c r="U283" s="1088"/>
      <c r="V283" s="1088"/>
      <c r="W283" s="1088"/>
      <c r="X283" s="1088"/>
      <c r="Y283" s="1088"/>
      <c r="Z283" s="1088"/>
      <c r="AA283" s="1088"/>
      <c r="AB283" s="1088"/>
      <c r="AC283" s="1088"/>
      <c r="AD283" s="1088"/>
      <c r="AE283" s="1088"/>
      <c r="AF283" s="1088"/>
      <c r="AG283" s="1088"/>
      <c r="AH283" s="1088"/>
      <c r="AI283" s="1088"/>
      <c r="AJ283" s="1088"/>
      <c r="AK283" s="1088"/>
      <c r="AL283" s="1088"/>
      <c r="AM283" s="1088"/>
      <c r="AN283" s="1088"/>
      <c r="AO283" s="1088"/>
      <c r="AP283" s="1088"/>
      <c r="AQ283" s="1088"/>
      <c r="AR283" s="1088"/>
      <c r="AS283" s="1088"/>
      <c r="AT283" s="1088"/>
      <c r="AU283" s="1088"/>
      <c r="AV283" s="1088"/>
      <c r="AW283" s="1088"/>
      <c r="AX283" s="1086">
        <f t="shared" si="50"/>
        <v>0</v>
      </c>
    </row>
    <row r="284" spans="1:51" ht="12">
      <c r="A284" s="1086"/>
      <c r="B284" s="1093" t="s">
        <v>1533</v>
      </c>
      <c r="C284" s="1086">
        <f>SUM(C285:C289)</f>
        <v>0</v>
      </c>
      <c r="D284" s="1086">
        <f t="shared" ref="D284:AD284" si="52">SUM(D285:D289)</f>
        <v>0</v>
      </c>
      <c r="E284" s="1086">
        <f t="shared" si="52"/>
        <v>0</v>
      </c>
      <c r="F284" s="1086">
        <f t="shared" si="52"/>
        <v>0</v>
      </c>
      <c r="G284" s="1086">
        <f t="shared" si="52"/>
        <v>0</v>
      </c>
      <c r="H284" s="1086">
        <f t="shared" si="52"/>
        <v>0</v>
      </c>
      <c r="I284" s="1086">
        <f t="shared" si="52"/>
        <v>0</v>
      </c>
      <c r="J284" s="1086">
        <f t="shared" si="52"/>
        <v>0</v>
      </c>
      <c r="K284" s="1086">
        <f t="shared" si="52"/>
        <v>0</v>
      </c>
      <c r="L284" s="1086">
        <f t="shared" si="52"/>
        <v>0</v>
      </c>
      <c r="M284" s="1086">
        <f t="shared" si="52"/>
        <v>0</v>
      </c>
      <c r="N284" s="1086">
        <f t="shared" si="52"/>
        <v>0</v>
      </c>
      <c r="O284" s="1086">
        <f t="shared" si="52"/>
        <v>0</v>
      </c>
      <c r="P284" s="1086">
        <f t="shared" si="52"/>
        <v>0</v>
      </c>
      <c r="Q284" s="1086">
        <f t="shared" si="52"/>
        <v>0</v>
      </c>
      <c r="R284" s="1086">
        <f t="shared" si="52"/>
        <v>0</v>
      </c>
      <c r="S284" s="1086">
        <f t="shared" si="52"/>
        <v>0</v>
      </c>
      <c r="T284" s="1086">
        <f t="shared" si="52"/>
        <v>0</v>
      </c>
      <c r="U284" s="1086">
        <f t="shared" si="52"/>
        <v>0</v>
      </c>
      <c r="V284" s="1086">
        <f t="shared" si="52"/>
        <v>0</v>
      </c>
      <c r="W284" s="1086">
        <f t="shared" si="52"/>
        <v>0</v>
      </c>
      <c r="X284" s="1086">
        <f t="shared" si="52"/>
        <v>0</v>
      </c>
      <c r="Y284" s="1086">
        <f t="shared" si="52"/>
        <v>0</v>
      </c>
      <c r="Z284" s="1086">
        <f t="shared" si="52"/>
        <v>0</v>
      </c>
      <c r="AA284" s="1086">
        <f t="shared" si="52"/>
        <v>0</v>
      </c>
      <c r="AB284" s="1086">
        <f t="shared" si="52"/>
        <v>0</v>
      </c>
      <c r="AC284" s="1086">
        <f t="shared" si="52"/>
        <v>0</v>
      </c>
      <c r="AD284" s="1086">
        <f t="shared" si="52"/>
        <v>0</v>
      </c>
      <c r="AE284" s="1086"/>
      <c r="AF284" s="1086"/>
      <c r="AG284" s="1086"/>
      <c r="AH284" s="1086"/>
      <c r="AI284" s="1086"/>
      <c r="AJ284" s="1086"/>
      <c r="AK284" s="1086"/>
      <c r="AL284" s="1086"/>
      <c r="AM284" s="1086"/>
      <c r="AN284" s="1086"/>
      <c r="AO284" s="1086"/>
      <c r="AP284" s="1086"/>
      <c r="AQ284" s="1086"/>
      <c r="AR284" s="1086"/>
      <c r="AS284" s="1086"/>
      <c r="AT284" s="1086"/>
      <c r="AU284" s="1086"/>
      <c r="AV284" s="1086"/>
      <c r="AW284" s="1086"/>
      <c r="AX284" s="1086">
        <f t="shared" si="50"/>
        <v>0</v>
      </c>
    </row>
    <row r="285" spans="1:51" ht="12">
      <c r="A285" s="1086"/>
      <c r="B285" s="1086" t="s">
        <v>1608</v>
      </c>
      <c r="C285" s="1088"/>
      <c r="D285" s="1088"/>
      <c r="E285" s="1088"/>
      <c r="F285" s="1088"/>
      <c r="G285" s="1088"/>
      <c r="H285" s="1088"/>
      <c r="I285" s="1088"/>
      <c r="J285" s="1088"/>
      <c r="K285" s="1088"/>
      <c r="L285" s="1088"/>
      <c r="M285" s="1088"/>
      <c r="N285" s="1088"/>
      <c r="O285" s="1088"/>
      <c r="P285" s="1088"/>
      <c r="Q285" s="1088"/>
      <c r="R285" s="1088"/>
      <c r="S285" s="1088"/>
      <c r="T285" s="1088"/>
      <c r="U285" s="1088"/>
      <c r="V285" s="1088"/>
      <c r="W285" s="1088"/>
      <c r="X285" s="1088"/>
      <c r="Y285" s="1088"/>
      <c r="Z285" s="1088"/>
      <c r="AA285" s="1088"/>
      <c r="AB285" s="1088"/>
      <c r="AC285" s="1088"/>
      <c r="AD285" s="1088"/>
      <c r="AE285" s="1088"/>
      <c r="AF285" s="1088"/>
      <c r="AG285" s="1088"/>
      <c r="AH285" s="1088"/>
      <c r="AI285" s="1088"/>
      <c r="AJ285" s="1088"/>
      <c r="AK285" s="1088"/>
      <c r="AL285" s="1088"/>
      <c r="AM285" s="1088"/>
      <c r="AN285" s="1088"/>
      <c r="AO285" s="1088"/>
      <c r="AP285" s="1088"/>
      <c r="AQ285" s="1088"/>
      <c r="AR285" s="1088"/>
      <c r="AS285" s="1088"/>
      <c r="AT285" s="1088"/>
      <c r="AU285" s="1088"/>
      <c r="AV285" s="1088"/>
      <c r="AW285" s="1088"/>
      <c r="AX285" s="1086">
        <f t="shared" si="50"/>
        <v>0</v>
      </c>
    </row>
    <row r="286" spans="1:51" ht="12">
      <c r="A286" s="1086"/>
      <c r="B286" s="1086" t="s">
        <v>1609</v>
      </c>
      <c r="C286" s="1088"/>
      <c r="D286" s="1088"/>
      <c r="E286" s="1088"/>
      <c r="F286" s="1088"/>
      <c r="G286" s="1088"/>
      <c r="H286" s="1088"/>
      <c r="I286" s="1088"/>
      <c r="J286" s="1088"/>
      <c r="K286" s="1088"/>
      <c r="L286" s="1088"/>
      <c r="M286" s="1088"/>
      <c r="N286" s="1088"/>
      <c r="O286" s="1088"/>
      <c r="P286" s="1088"/>
      <c r="Q286" s="1088"/>
      <c r="R286" s="1088"/>
      <c r="S286" s="1088"/>
      <c r="T286" s="1088"/>
      <c r="U286" s="1088"/>
      <c r="V286" s="1088"/>
      <c r="W286" s="1088"/>
      <c r="X286" s="1088"/>
      <c r="Y286" s="1088"/>
      <c r="Z286" s="1088"/>
      <c r="AA286" s="1088"/>
      <c r="AB286" s="1088"/>
      <c r="AC286" s="1088"/>
      <c r="AD286" s="1088"/>
      <c r="AE286" s="1088"/>
      <c r="AF286" s="1088"/>
      <c r="AG286" s="1088"/>
      <c r="AH286" s="1088"/>
      <c r="AI286" s="1088"/>
      <c r="AJ286" s="1088"/>
      <c r="AK286" s="1088"/>
      <c r="AL286" s="1088"/>
      <c r="AM286" s="1088"/>
      <c r="AN286" s="1088"/>
      <c r="AO286" s="1088"/>
      <c r="AP286" s="1088"/>
      <c r="AQ286" s="1088"/>
      <c r="AR286" s="1088"/>
      <c r="AS286" s="1088"/>
      <c r="AT286" s="1088"/>
      <c r="AU286" s="1088"/>
      <c r="AV286" s="1088"/>
      <c r="AW286" s="1088"/>
      <c r="AX286" s="1086">
        <f t="shared" si="50"/>
        <v>0</v>
      </c>
    </row>
    <row r="287" spans="1:51" ht="12">
      <c r="A287" s="1086"/>
      <c r="B287" s="1086" t="s">
        <v>1610</v>
      </c>
      <c r="C287" s="1088"/>
      <c r="D287" s="1088"/>
      <c r="E287" s="1088"/>
      <c r="F287" s="1088"/>
      <c r="G287" s="1088"/>
      <c r="H287" s="1088"/>
      <c r="I287" s="1088"/>
      <c r="J287" s="1088"/>
      <c r="K287" s="1088"/>
      <c r="L287" s="1088"/>
      <c r="M287" s="1088"/>
      <c r="N287" s="1088"/>
      <c r="O287" s="1088"/>
      <c r="P287" s="1088"/>
      <c r="Q287" s="1088"/>
      <c r="R287" s="1088"/>
      <c r="S287" s="1088"/>
      <c r="T287" s="1088"/>
      <c r="U287" s="1088"/>
      <c r="V287" s="1088"/>
      <c r="W287" s="1088"/>
      <c r="X287" s="1088"/>
      <c r="Y287" s="1088"/>
      <c r="Z287" s="1088"/>
      <c r="AA287" s="1088"/>
      <c r="AB287" s="1088"/>
      <c r="AC287" s="1088"/>
      <c r="AD287" s="1088"/>
      <c r="AE287" s="1088"/>
      <c r="AF287" s="1088"/>
      <c r="AG287" s="1088"/>
      <c r="AH287" s="1088"/>
      <c r="AI287" s="1088"/>
      <c r="AJ287" s="1088"/>
      <c r="AK287" s="1088"/>
      <c r="AL287" s="1088"/>
      <c r="AM287" s="1088"/>
      <c r="AN287" s="1088"/>
      <c r="AO287" s="1088"/>
      <c r="AP287" s="1088"/>
      <c r="AQ287" s="1088"/>
      <c r="AR287" s="1088"/>
      <c r="AS287" s="1088"/>
      <c r="AT287" s="1088"/>
      <c r="AU287" s="1088"/>
      <c r="AV287" s="1088"/>
      <c r="AW287" s="1088"/>
      <c r="AX287" s="1086">
        <f t="shared" si="50"/>
        <v>0</v>
      </c>
    </row>
    <row r="288" spans="1:51" ht="12">
      <c r="A288" s="1086"/>
      <c r="B288" s="1086" t="s">
        <v>1611</v>
      </c>
      <c r="C288" s="1088"/>
      <c r="D288" s="1088"/>
      <c r="E288" s="1088"/>
      <c r="F288" s="1088"/>
      <c r="G288" s="1088"/>
      <c r="H288" s="1088"/>
      <c r="I288" s="1088"/>
      <c r="J288" s="1088"/>
      <c r="K288" s="1088"/>
      <c r="L288" s="1088"/>
      <c r="M288" s="1088"/>
      <c r="N288" s="1088"/>
      <c r="O288" s="1088"/>
      <c r="P288" s="1088"/>
      <c r="Q288" s="1088"/>
      <c r="R288" s="1088"/>
      <c r="S288" s="1088"/>
      <c r="T288" s="1088"/>
      <c r="U288" s="1088"/>
      <c r="V288" s="1088"/>
      <c r="W288" s="1088"/>
      <c r="X288" s="1088"/>
      <c r="Y288" s="1088"/>
      <c r="Z288" s="1088"/>
      <c r="AA288" s="1088"/>
      <c r="AB288" s="1088"/>
      <c r="AC288" s="1088"/>
      <c r="AD288" s="1088"/>
      <c r="AE288" s="1088"/>
      <c r="AF288" s="1088"/>
      <c r="AG288" s="1088"/>
      <c r="AH288" s="1088"/>
      <c r="AI288" s="1088"/>
      <c r="AJ288" s="1088"/>
      <c r="AK288" s="1088"/>
      <c r="AL288" s="1088"/>
      <c r="AM288" s="1088"/>
      <c r="AN288" s="1088"/>
      <c r="AO288" s="1088"/>
      <c r="AP288" s="1088"/>
      <c r="AQ288" s="1088"/>
      <c r="AR288" s="1088"/>
      <c r="AS288" s="1088"/>
      <c r="AT288" s="1088"/>
      <c r="AU288" s="1088"/>
      <c r="AV288" s="1088"/>
      <c r="AW288" s="1088"/>
      <c r="AX288" s="1086">
        <f t="shared" si="50"/>
        <v>0</v>
      </c>
    </row>
    <row r="289" spans="1:50" ht="12">
      <c r="A289" s="1086"/>
      <c r="B289" s="1086" t="s">
        <v>1612</v>
      </c>
      <c r="C289" s="1088"/>
      <c r="D289" s="1088"/>
      <c r="E289" s="1088"/>
      <c r="F289" s="1088"/>
      <c r="G289" s="1088"/>
      <c r="H289" s="1088"/>
      <c r="I289" s="1088"/>
      <c r="J289" s="1088"/>
      <c r="K289" s="1088"/>
      <c r="L289" s="1088"/>
      <c r="M289" s="1088"/>
      <c r="N289" s="1088"/>
      <c r="O289" s="1088"/>
      <c r="P289" s="1088"/>
      <c r="Q289" s="1088"/>
      <c r="R289" s="1088"/>
      <c r="S289" s="1088"/>
      <c r="T289" s="1088"/>
      <c r="U289" s="1088"/>
      <c r="V289" s="1088"/>
      <c r="W289" s="1088"/>
      <c r="X289" s="1088"/>
      <c r="Y289" s="1088"/>
      <c r="Z289" s="1088"/>
      <c r="AA289" s="1088"/>
      <c r="AB289" s="1088"/>
      <c r="AC289" s="1088"/>
      <c r="AD289" s="1088"/>
      <c r="AE289" s="1088"/>
      <c r="AF289" s="1088"/>
      <c r="AG289" s="1088"/>
      <c r="AH289" s="1088"/>
      <c r="AI289" s="1088"/>
      <c r="AJ289" s="1088"/>
      <c r="AK289" s="1088"/>
      <c r="AL289" s="1088"/>
      <c r="AM289" s="1088"/>
      <c r="AN289" s="1088"/>
      <c r="AO289" s="1088"/>
      <c r="AP289" s="1088"/>
      <c r="AQ289" s="1088"/>
      <c r="AR289" s="1088"/>
      <c r="AS289" s="1088"/>
      <c r="AT289" s="1088"/>
      <c r="AU289" s="1088"/>
      <c r="AV289" s="1088"/>
      <c r="AW289" s="1088"/>
      <c r="AX289" s="1086">
        <f t="shared" si="50"/>
        <v>0</v>
      </c>
    </row>
    <row r="290" spans="1:50" ht="24">
      <c r="A290" s="1086"/>
      <c r="B290" s="1086" t="s">
        <v>1529</v>
      </c>
      <c r="C290" s="1086">
        <f>SUM(C291:C295)</f>
        <v>0</v>
      </c>
      <c r="D290" s="1086">
        <f t="shared" ref="D290:AD290" si="53">SUM(D291:D295)</f>
        <v>0</v>
      </c>
      <c r="E290" s="1086">
        <f t="shared" si="53"/>
        <v>0</v>
      </c>
      <c r="F290" s="1086">
        <f t="shared" si="53"/>
        <v>0</v>
      </c>
      <c r="G290" s="1086">
        <f t="shared" si="53"/>
        <v>0</v>
      </c>
      <c r="H290" s="1086">
        <f t="shared" si="53"/>
        <v>0</v>
      </c>
      <c r="I290" s="1086">
        <f t="shared" si="53"/>
        <v>0</v>
      </c>
      <c r="J290" s="1086">
        <f t="shared" si="53"/>
        <v>0</v>
      </c>
      <c r="K290" s="1086">
        <f t="shared" si="53"/>
        <v>0</v>
      </c>
      <c r="L290" s="1086">
        <f t="shared" si="53"/>
        <v>0</v>
      </c>
      <c r="M290" s="1086">
        <f t="shared" si="53"/>
        <v>0</v>
      </c>
      <c r="N290" s="1086">
        <f t="shared" si="53"/>
        <v>0</v>
      </c>
      <c r="O290" s="1086">
        <f t="shared" si="53"/>
        <v>0</v>
      </c>
      <c r="P290" s="1086">
        <f t="shared" si="53"/>
        <v>0</v>
      </c>
      <c r="Q290" s="1086">
        <f t="shared" si="53"/>
        <v>0</v>
      </c>
      <c r="R290" s="1086">
        <f t="shared" si="53"/>
        <v>0</v>
      </c>
      <c r="S290" s="1086">
        <f t="shared" si="53"/>
        <v>0</v>
      </c>
      <c r="T290" s="1086">
        <f t="shared" si="53"/>
        <v>0</v>
      </c>
      <c r="U290" s="1086">
        <f t="shared" si="53"/>
        <v>0</v>
      </c>
      <c r="V290" s="1086">
        <f t="shared" si="53"/>
        <v>0</v>
      </c>
      <c r="W290" s="1086">
        <f t="shared" si="53"/>
        <v>0</v>
      </c>
      <c r="X290" s="1086">
        <f t="shared" si="53"/>
        <v>0</v>
      </c>
      <c r="Y290" s="1086">
        <f t="shared" si="53"/>
        <v>0</v>
      </c>
      <c r="Z290" s="1086">
        <f t="shared" si="53"/>
        <v>0</v>
      </c>
      <c r="AA290" s="1086">
        <f t="shared" si="53"/>
        <v>0</v>
      </c>
      <c r="AB290" s="1086">
        <f t="shared" si="53"/>
        <v>0</v>
      </c>
      <c r="AC290" s="1086">
        <f t="shared" si="53"/>
        <v>0</v>
      </c>
      <c r="AD290" s="1086">
        <f t="shared" si="53"/>
        <v>0</v>
      </c>
      <c r="AE290" s="1086"/>
      <c r="AF290" s="1086"/>
      <c r="AG290" s="1086"/>
      <c r="AH290" s="1086"/>
      <c r="AI290" s="1086"/>
      <c r="AJ290" s="1086"/>
      <c r="AK290" s="1086"/>
      <c r="AL290" s="1086"/>
      <c r="AM290" s="1086"/>
      <c r="AN290" s="1086"/>
      <c r="AO290" s="1086"/>
      <c r="AP290" s="1086"/>
      <c r="AQ290" s="1086"/>
      <c r="AR290" s="1086"/>
      <c r="AS290" s="1086"/>
      <c r="AT290" s="1086"/>
      <c r="AU290" s="1086"/>
      <c r="AV290" s="1086"/>
      <c r="AW290" s="1086"/>
      <c r="AX290" s="1086">
        <f t="shared" si="50"/>
        <v>0</v>
      </c>
    </row>
    <row r="291" spans="1:50" ht="12">
      <c r="A291" s="1086"/>
      <c r="B291" s="1086" t="s">
        <v>1608</v>
      </c>
      <c r="C291" s="1088"/>
      <c r="D291" s="1088"/>
      <c r="E291" s="1088"/>
      <c r="F291" s="1088"/>
      <c r="G291" s="1088"/>
      <c r="H291" s="1088"/>
      <c r="I291" s="1088"/>
      <c r="J291" s="1088"/>
      <c r="K291" s="1088"/>
      <c r="L291" s="1088"/>
      <c r="M291" s="1088"/>
      <c r="N291" s="1088"/>
      <c r="O291" s="1088"/>
      <c r="P291" s="1088"/>
      <c r="Q291" s="1088"/>
      <c r="R291" s="1088"/>
      <c r="S291" s="1088"/>
      <c r="T291" s="1088"/>
      <c r="U291" s="1088"/>
      <c r="V291" s="1088"/>
      <c r="W291" s="1088"/>
      <c r="X291" s="1088"/>
      <c r="Y291" s="1088"/>
      <c r="Z291" s="1088"/>
      <c r="AA291" s="1088"/>
      <c r="AB291" s="1088"/>
      <c r="AC291" s="1088"/>
      <c r="AD291" s="1088"/>
      <c r="AE291" s="1088"/>
      <c r="AF291" s="1088"/>
      <c r="AG291" s="1088"/>
      <c r="AH291" s="1088"/>
      <c r="AI291" s="1088"/>
      <c r="AJ291" s="1088"/>
      <c r="AK291" s="1088"/>
      <c r="AL291" s="1088"/>
      <c r="AM291" s="1088"/>
      <c r="AN291" s="1088"/>
      <c r="AO291" s="1088"/>
      <c r="AP291" s="1088"/>
      <c r="AQ291" s="1088"/>
      <c r="AR291" s="1088"/>
      <c r="AS291" s="1088"/>
      <c r="AT291" s="1088"/>
      <c r="AU291" s="1088"/>
      <c r="AV291" s="1088"/>
      <c r="AW291" s="1088"/>
      <c r="AX291" s="1086">
        <f t="shared" si="50"/>
        <v>0</v>
      </c>
    </row>
    <row r="292" spans="1:50" ht="12">
      <c r="A292" s="1086"/>
      <c r="B292" s="1086" t="s">
        <v>1609</v>
      </c>
      <c r="C292" s="1088"/>
      <c r="D292" s="1088"/>
      <c r="E292" s="1088"/>
      <c r="F292" s="1088"/>
      <c r="G292" s="1088"/>
      <c r="H292" s="1088"/>
      <c r="I292" s="1088"/>
      <c r="J292" s="1088"/>
      <c r="K292" s="1088"/>
      <c r="L292" s="1088"/>
      <c r="M292" s="1088"/>
      <c r="N292" s="1088"/>
      <c r="O292" s="1088"/>
      <c r="P292" s="1088"/>
      <c r="Q292" s="1088"/>
      <c r="R292" s="1088"/>
      <c r="S292" s="1088"/>
      <c r="T292" s="1088"/>
      <c r="U292" s="1088"/>
      <c r="V292" s="1088"/>
      <c r="W292" s="1088"/>
      <c r="X292" s="1088"/>
      <c r="Y292" s="1088"/>
      <c r="Z292" s="1088"/>
      <c r="AA292" s="1088"/>
      <c r="AB292" s="1088"/>
      <c r="AC292" s="1088"/>
      <c r="AD292" s="1088"/>
      <c r="AE292" s="1088"/>
      <c r="AF292" s="1088"/>
      <c r="AG292" s="1088"/>
      <c r="AH292" s="1088"/>
      <c r="AI292" s="1088"/>
      <c r="AJ292" s="1088"/>
      <c r="AK292" s="1088"/>
      <c r="AL292" s="1088"/>
      <c r="AM292" s="1088"/>
      <c r="AN292" s="1088"/>
      <c r="AO292" s="1088"/>
      <c r="AP292" s="1088"/>
      <c r="AQ292" s="1088"/>
      <c r="AR292" s="1088"/>
      <c r="AS292" s="1088"/>
      <c r="AT292" s="1088"/>
      <c r="AU292" s="1088"/>
      <c r="AV292" s="1088"/>
      <c r="AW292" s="1088"/>
      <c r="AX292" s="1086">
        <f t="shared" si="50"/>
        <v>0</v>
      </c>
    </row>
    <row r="293" spans="1:50" ht="12">
      <c r="A293" s="1086"/>
      <c r="B293" s="1086" t="s">
        <v>1610</v>
      </c>
      <c r="C293" s="1088"/>
      <c r="D293" s="1088"/>
      <c r="E293" s="1088"/>
      <c r="F293" s="1088"/>
      <c r="G293" s="1088"/>
      <c r="H293" s="1088"/>
      <c r="I293" s="1088"/>
      <c r="J293" s="1088"/>
      <c r="K293" s="1088"/>
      <c r="L293" s="1088"/>
      <c r="M293" s="1088"/>
      <c r="N293" s="1088"/>
      <c r="O293" s="1088"/>
      <c r="P293" s="1088"/>
      <c r="Q293" s="1088"/>
      <c r="R293" s="1088"/>
      <c r="S293" s="1088"/>
      <c r="T293" s="1088"/>
      <c r="U293" s="1088"/>
      <c r="V293" s="1088"/>
      <c r="W293" s="1088"/>
      <c r="X293" s="1088"/>
      <c r="Y293" s="1088"/>
      <c r="Z293" s="1088"/>
      <c r="AA293" s="1088"/>
      <c r="AB293" s="1088"/>
      <c r="AC293" s="1088"/>
      <c r="AD293" s="1088"/>
      <c r="AE293" s="1088"/>
      <c r="AF293" s="1088"/>
      <c r="AG293" s="1088"/>
      <c r="AH293" s="1088"/>
      <c r="AI293" s="1088"/>
      <c r="AJ293" s="1088"/>
      <c r="AK293" s="1088"/>
      <c r="AL293" s="1088"/>
      <c r="AM293" s="1088"/>
      <c r="AN293" s="1088"/>
      <c r="AO293" s="1088"/>
      <c r="AP293" s="1088"/>
      <c r="AQ293" s="1088"/>
      <c r="AR293" s="1088"/>
      <c r="AS293" s="1088"/>
      <c r="AT293" s="1088"/>
      <c r="AU293" s="1088"/>
      <c r="AV293" s="1088"/>
      <c r="AW293" s="1088"/>
      <c r="AX293" s="1086">
        <f t="shared" si="50"/>
        <v>0</v>
      </c>
    </row>
    <row r="294" spans="1:50" ht="12">
      <c r="A294" s="1086"/>
      <c r="B294" s="1086" t="s">
        <v>1611</v>
      </c>
      <c r="C294" s="1088"/>
      <c r="D294" s="1088"/>
      <c r="E294" s="1088"/>
      <c r="F294" s="1088"/>
      <c r="G294" s="1088"/>
      <c r="H294" s="1088"/>
      <c r="I294" s="1088"/>
      <c r="J294" s="1088"/>
      <c r="K294" s="1088"/>
      <c r="L294" s="1088"/>
      <c r="M294" s="1088"/>
      <c r="N294" s="1088"/>
      <c r="O294" s="1088"/>
      <c r="P294" s="1088"/>
      <c r="Q294" s="1088"/>
      <c r="R294" s="1088"/>
      <c r="S294" s="1088"/>
      <c r="T294" s="1088"/>
      <c r="U294" s="1088"/>
      <c r="V294" s="1088"/>
      <c r="W294" s="1088"/>
      <c r="X294" s="1088"/>
      <c r="Y294" s="1088"/>
      <c r="Z294" s="1088"/>
      <c r="AA294" s="1088"/>
      <c r="AB294" s="1088"/>
      <c r="AC294" s="1088"/>
      <c r="AD294" s="1088"/>
      <c r="AE294" s="1088"/>
      <c r="AF294" s="1088"/>
      <c r="AG294" s="1088"/>
      <c r="AH294" s="1088"/>
      <c r="AI294" s="1088"/>
      <c r="AJ294" s="1088"/>
      <c r="AK294" s="1088"/>
      <c r="AL294" s="1088"/>
      <c r="AM294" s="1088"/>
      <c r="AN294" s="1088"/>
      <c r="AO294" s="1088"/>
      <c r="AP294" s="1088"/>
      <c r="AQ294" s="1088"/>
      <c r="AR294" s="1088"/>
      <c r="AS294" s="1088"/>
      <c r="AT294" s="1088"/>
      <c r="AU294" s="1088"/>
      <c r="AV294" s="1088"/>
      <c r="AW294" s="1088"/>
      <c r="AX294" s="1086">
        <f t="shared" si="50"/>
        <v>0</v>
      </c>
    </row>
    <row r="295" spans="1:50" ht="12">
      <c r="A295" s="1086"/>
      <c r="B295" s="1086" t="s">
        <v>1612</v>
      </c>
      <c r="C295" s="1088"/>
      <c r="D295" s="1088"/>
      <c r="E295" s="1088"/>
      <c r="F295" s="1088"/>
      <c r="G295" s="1088"/>
      <c r="H295" s="1088"/>
      <c r="I295" s="1088"/>
      <c r="J295" s="1088"/>
      <c r="K295" s="1088"/>
      <c r="L295" s="1088"/>
      <c r="M295" s="1088"/>
      <c r="N295" s="1088"/>
      <c r="O295" s="1088"/>
      <c r="P295" s="1088"/>
      <c r="Q295" s="1088"/>
      <c r="R295" s="1088"/>
      <c r="S295" s="1088"/>
      <c r="T295" s="1088"/>
      <c r="U295" s="1088"/>
      <c r="V295" s="1088"/>
      <c r="W295" s="1088"/>
      <c r="X295" s="1088"/>
      <c r="Y295" s="1088"/>
      <c r="Z295" s="1088"/>
      <c r="AA295" s="1088"/>
      <c r="AB295" s="1088"/>
      <c r="AC295" s="1088"/>
      <c r="AD295" s="1088"/>
      <c r="AE295" s="1088"/>
      <c r="AF295" s="1088"/>
      <c r="AG295" s="1088"/>
      <c r="AH295" s="1088"/>
      <c r="AI295" s="1088"/>
      <c r="AJ295" s="1088"/>
      <c r="AK295" s="1088"/>
      <c r="AL295" s="1088"/>
      <c r="AM295" s="1088"/>
      <c r="AN295" s="1088"/>
      <c r="AO295" s="1088"/>
      <c r="AP295" s="1088"/>
      <c r="AQ295" s="1088"/>
      <c r="AR295" s="1088"/>
      <c r="AS295" s="1088"/>
      <c r="AT295" s="1088"/>
      <c r="AU295" s="1088"/>
      <c r="AV295" s="1088"/>
      <c r="AW295" s="1088"/>
      <c r="AX295" s="1086">
        <f t="shared" si="50"/>
        <v>0</v>
      </c>
    </row>
    <row r="296" spans="1:50" ht="12">
      <c r="A296" s="1086"/>
      <c r="B296" s="1086" t="s">
        <v>1531</v>
      </c>
      <c r="C296" s="1086">
        <f>SUM(C297:C301)</f>
        <v>0</v>
      </c>
      <c r="D296" s="1086">
        <f t="shared" ref="D296:AD296" si="54">SUM(D297:D301)</f>
        <v>0</v>
      </c>
      <c r="E296" s="1086">
        <f t="shared" si="54"/>
        <v>0</v>
      </c>
      <c r="F296" s="1086">
        <f t="shared" si="54"/>
        <v>0</v>
      </c>
      <c r="G296" s="1086">
        <f t="shared" si="54"/>
        <v>0</v>
      </c>
      <c r="H296" s="1086">
        <f t="shared" si="54"/>
        <v>0</v>
      </c>
      <c r="I296" s="1086">
        <f t="shared" si="54"/>
        <v>0</v>
      </c>
      <c r="J296" s="1086">
        <f t="shared" si="54"/>
        <v>0</v>
      </c>
      <c r="K296" s="1086">
        <f t="shared" si="54"/>
        <v>0</v>
      </c>
      <c r="L296" s="1086">
        <f t="shared" si="54"/>
        <v>0</v>
      </c>
      <c r="M296" s="1086">
        <f t="shared" si="54"/>
        <v>0</v>
      </c>
      <c r="N296" s="1086">
        <f t="shared" si="54"/>
        <v>0</v>
      </c>
      <c r="O296" s="1086">
        <f t="shared" si="54"/>
        <v>0</v>
      </c>
      <c r="P296" s="1086">
        <f t="shared" si="54"/>
        <v>0</v>
      </c>
      <c r="Q296" s="1086">
        <f t="shared" si="54"/>
        <v>0</v>
      </c>
      <c r="R296" s="1086">
        <f t="shared" si="54"/>
        <v>0</v>
      </c>
      <c r="S296" s="1086">
        <f t="shared" si="54"/>
        <v>0</v>
      </c>
      <c r="T296" s="1086">
        <f t="shared" si="54"/>
        <v>0</v>
      </c>
      <c r="U296" s="1086">
        <f t="shared" si="54"/>
        <v>0</v>
      </c>
      <c r="V296" s="1086">
        <f t="shared" si="54"/>
        <v>0</v>
      </c>
      <c r="W296" s="1086">
        <f t="shared" si="54"/>
        <v>0</v>
      </c>
      <c r="X296" s="1086">
        <f t="shared" si="54"/>
        <v>0</v>
      </c>
      <c r="Y296" s="1086">
        <f t="shared" si="54"/>
        <v>0</v>
      </c>
      <c r="Z296" s="1086">
        <f t="shared" si="54"/>
        <v>0</v>
      </c>
      <c r="AA296" s="1086">
        <f t="shared" si="54"/>
        <v>0</v>
      </c>
      <c r="AB296" s="1086">
        <f t="shared" si="54"/>
        <v>0</v>
      </c>
      <c r="AC296" s="1086">
        <f t="shared" si="54"/>
        <v>0</v>
      </c>
      <c r="AD296" s="1086">
        <f t="shared" si="54"/>
        <v>0</v>
      </c>
      <c r="AE296" s="1086"/>
      <c r="AF296" s="1086"/>
      <c r="AG296" s="1086"/>
      <c r="AH296" s="1086"/>
      <c r="AI296" s="1086"/>
      <c r="AJ296" s="1086"/>
      <c r="AK296" s="1086"/>
      <c r="AL296" s="1086"/>
      <c r="AM296" s="1086"/>
      <c r="AN296" s="1086"/>
      <c r="AO296" s="1086"/>
      <c r="AP296" s="1086"/>
      <c r="AQ296" s="1086"/>
      <c r="AR296" s="1086"/>
      <c r="AS296" s="1086"/>
      <c r="AT296" s="1086"/>
      <c r="AU296" s="1086"/>
      <c r="AV296" s="1086"/>
      <c r="AW296" s="1086"/>
      <c r="AX296" s="1086">
        <f t="shared" si="50"/>
        <v>0</v>
      </c>
    </row>
    <row r="297" spans="1:50" ht="12">
      <c r="A297" s="1086"/>
      <c r="B297" s="1086" t="s">
        <v>1608</v>
      </c>
      <c r="C297" s="1088"/>
      <c r="D297" s="1088"/>
      <c r="E297" s="1088"/>
      <c r="F297" s="1088"/>
      <c r="G297" s="1088"/>
      <c r="H297" s="1088"/>
      <c r="I297" s="1088"/>
      <c r="J297" s="1088"/>
      <c r="K297" s="1088"/>
      <c r="L297" s="1088"/>
      <c r="M297" s="1088"/>
      <c r="N297" s="1088"/>
      <c r="O297" s="1088"/>
      <c r="P297" s="1088"/>
      <c r="Q297" s="1088"/>
      <c r="R297" s="1088"/>
      <c r="S297" s="1088"/>
      <c r="T297" s="1088"/>
      <c r="U297" s="1088"/>
      <c r="V297" s="1088"/>
      <c r="W297" s="1088"/>
      <c r="X297" s="1088"/>
      <c r="Y297" s="1088"/>
      <c r="Z297" s="1088"/>
      <c r="AA297" s="1088"/>
      <c r="AB297" s="1088"/>
      <c r="AC297" s="1088"/>
      <c r="AD297" s="1088"/>
      <c r="AE297" s="1088"/>
      <c r="AF297" s="1088"/>
      <c r="AG297" s="1088"/>
      <c r="AH297" s="1088"/>
      <c r="AI297" s="1088"/>
      <c r="AJ297" s="1088"/>
      <c r="AK297" s="1088"/>
      <c r="AL297" s="1088"/>
      <c r="AM297" s="1088"/>
      <c r="AN297" s="1088"/>
      <c r="AO297" s="1088"/>
      <c r="AP297" s="1088"/>
      <c r="AQ297" s="1088"/>
      <c r="AR297" s="1088"/>
      <c r="AS297" s="1088"/>
      <c r="AT297" s="1088"/>
      <c r="AU297" s="1088"/>
      <c r="AV297" s="1088"/>
      <c r="AW297" s="1088"/>
      <c r="AX297" s="1086">
        <f t="shared" si="50"/>
        <v>0</v>
      </c>
    </row>
    <row r="298" spans="1:50" ht="12">
      <c r="A298" s="1086"/>
      <c r="B298" s="1086" t="s">
        <v>1609</v>
      </c>
      <c r="C298" s="1088"/>
      <c r="D298" s="1088"/>
      <c r="E298" s="1088"/>
      <c r="F298" s="1088"/>
      <c r="G298" s="1088"/>
      <c r="H298" s="1088"/>
      <c r="I298" s="1088"/>
      <c r="J298" s="1088"/>
      <c r="K298" s="1088"/>
      <c r="L298" s="1088"/>
      <c r="M298" s="1088"/>
      <c r="N298" s="1088"/>
      <c r="O298" s="1088"/>
      <c r="P298" s="1088"/>
      <c r="Q298" s="1088"/>
      <c r="R298" s="1088"/>
      <c r="S298" s="1088"/>
      <c r="T298" s="1088"/>
      <c r="U298" s="1088"/>
      <c r="V298" s="1088"/>
      <c r="W298" s="1088"/>
      <c r="X298" s="1088"/>
      <c r="Y298" s="1088"/>
      <c r="Z298" s="1088"/>
      <c r="AA298" s="1088"/>
      <c r="AB298" s="1088"/>
      <c r="AC298" s="1088"/>
      <c r="AD298" s="1088"/>
      <c r="AE298" s="1088"/>
      <c r="AF298" s="1088"/>
      <c r="AG298" s="1088"/>
      <c r="AH298" s="1088"/>
      <c r="AI298" s="1088"/>
      <c r="AJ298" s="1088"/>
      <c r="AK298" s="1088"/>
      <c r="AL298" s="1088"/>
      <c r="AM298" s="1088"/>
      <c r="AN298" s="1088"/>
      <c r="AO298" s="1088"/>
      <c r="AP298" s="1088"/>
      <c r="AQ298" s="1088"/>
      <c r="AR298" s="1088"/>
      <c r="AS298" s="1088"/>
      <c r="AT298" s="1088"/>
      <c r="AU298" s="1088"/>
      <c r="AV298" s="1088"/>
      <c r="AW298" s="1088"/>
      <c r="AX298" s="1086">
        <f t="shared" si="50"/>
        <v>0</v>
      </c>
    </row>
    <row r="299" spans="1:50" ht="12">
      <c r="A299" s="1086"/>
      <c r="B299" s="1086" t="s">
        <v>1610</v>
      </c>
      <c r="C299" s="1088"/>
      <c r="D299" s="1088"/>
      <c r="E299" s="1088"/>
      <c r="F299" s="1088"/>
      <c r="G299" s="1088"/>
      <c r="H299" s="1088"/>
      <c r="I299" s="1088"/>
      <c r="J299" s="1088"/>
      <c r="K299" s="1088"/>
      <c r="L299" s="1088"/>
      <c r="M299" s="1088"/>
      <c r="N299" s="1088"/>
      <c r="O299" s="1088"/>
      <c r="P299" s="1088"/>
      <c r="Q299" s="1088"/>
      <c r="R299" s="1088"/>
      <c r="S299" s="1088"/>
      <c r="T299" s="1088"/>
      <c r="U299" s="1088"/>
      <c r="V299" s="1088"/>
      <c r="W299" s="1088"/>
      <c r="X299" s="1088"/>
      <c r="Y299" s="1088"/>
      <c r="Z299" s="1088"/>
      <c r="AA299" s="1088"/>
      <c r="AB299" s="1088"/>
      <c r="AC299" s="1088"/>
      <c r="AD299" s="1088"/>
      <c r="AE299" s="1088"/>
      <c r="AF299" s="1088"/>
      <c r="AG299" s="1088"/>
      <c r="AH299" s="1088"/>
      <c r="AI299" s="1088"/>
      <c r="AJ299" s="1088"/>
      <c r="AK299" s="1088"/>
      <c r="AL299" s="1088"/>
      <c r="AM299" s="1088"/>
      <c r="AN299" s="1088"/>
      <c r="AO299" s="1088"/>
      <c r="AP299" s="1088"/>
      <c r="AQ299" s="1088"/>
      <c r="AR299" s="1088"/>
      <c r="AS299" s="1088"/>
      <c r="AT299" s="1088"/>
      <c r="AU299" s="1088"/>
      <c r="AV299" s="1088"/>
      <c r="AW299" s="1088"/>
      <c r="AX299" s="1086">
        <f t="shared" si="50"/>
        <v>0</v>
      </c>
    </row>
    <row r="300" spans="1:50" ht="12">
      <c r="A300" s="1086"/>
      <c r="B300" s="1086" t="s">
        <v>1611</v>
      </c>
      <c r="C300" s="1088"/>
      <c r="D300" s="1088"/>
      <c r="E300" s="1088"/>
      <c r="F300" s="1088"/>
      <c r="G300" s="1088"/>
      <c r="H300" s="1088"/>
      <c r="I300" s="1088"/>
      <c r="J300" s="1088"/>
      <c r="K300" s="1088"/>
      <c r="L300" s="1088"/>
      <c r="M300" s="1088"/>
      <c r="N300" s="1088"/>
      <c r="O300" s="1088"/>
      <c r="P300" s="1088"/>
      <c r="Q300" s="1088"/>
      <c r="R300" s="1088"/>
      <c r="S300" s="1088"/>
      <c r="T300" s="1088"/>
      <c r="U300" s="1088"/>
      <c r="V300" s="1088"/>
      <c r="W300" s="1088"/>
      <c r="X300" s="1088"/>
      <c r="Y300" s="1088"/>
      <c r="Z300" s="1088"/>
      <c r="AA300" s="1088"/>
      <c r="AB300" s="1088"/>
      <c r="AC300" s="1088"/>
      <c r="AD300" s="1088"/>
      <c r="AE300" s="1088"/>
      <c r="AF300" s="1088"/>
      <c r="AG300" s="1088"/>
      <c r="AH300" s="1088"/>
      <c r="AI300" s="1088"/>
      <c r="AJ300" s="1088"/>
      <c r="AK300" s="1088"/>
      <c r="AL300" s="1088"/>
      <c r="AM300" s="1088"/>
      <c r="AN300" s="1088"/>
      <c r="AO300" s="1088"/>
      <c r="AP300" s="1088"/>
      <c r="AQ300" s="1088"/>
      <c r="AR300" s="1088"/>
      <c r="AS300" s="1088"/>
      <c r="AT300" s="1088"/>
      <c r="AU300" s="1088"/>
      <c r="AV300" s="1088"/>
      <c r="AW300" s="1088"/>
      <c r="AX300" s="1086">
        <f t="shared" si="50"/>
        <v>0</v>
      </c>
    </row>
    <row r="301" spans="1:50" ht="12">
      <c r="A301" s="1086"/>
      <c r="B301" s="1086" t="s">
        <v>1612</v>
      </c>
      <c r="C301" s="1088"/>
      <c r="D301" s="1088"/>
      <c r="E301" s="1088"/>
      <c r="F301" s="1088"/>
      <c r="G301" s="1088"/>
      <c r="H301" s="1088"/>
      <c r="I301" s="1088"/>
      <c r="J301" s="1088"/>
      <c r="K301" s="1088"/>
      <c r="L301" s="1088"/>
      <c r="M301" s="1088"/>
      <c r="N301" s="1088"/>
      <c r="O301" s="1088"/>
      <c r="P301" s="1088"/>
      <c r="Q301" s="1088"/>
      <c r="R301" s="1088"/>
      <c r="S301" s="1088"/>
      <c r="T301" s="1088"/>
      <c r="U301" s="1088"/>
      <c r="V301" s="1088"/>
      <c r="W301" s="1088"/>
      <c r="X301" s="1088"/>
      <c r="Y301" s="1088"/>
      <c r="Z301" s="1088"/>
      <c r="AA301" s="1088"/>
      <c r="AB301" s="1088"/>
      <c r="AC301" s="1088"/>
      <c r="AD301" s="1088"/>
      <c r="AE301" s="1088"/>
      <c r="AF301" s="1088"/>
      <c r="AG301" s="1088"/>
      <c r="AH301" s="1088"/>
      <c r="AI301" s="1088"/>
      <c r="AJ301" s="1088"/>
      <c r="AK301" s="1088"/>
      <c r="AL301" s="1088"/>
      <c r="AM301" s="1088"/>
      <c r="AN301" s="1088"/>
      <c r="AO301" s="1088"/>
      <c r="AP301" s="1088"/>
      <c r="AQ301" s="1088"/>
      <c r="AR301" s="1088"/>
      <c r="AS301" s="1088"/>
      <c r="AT301" s="1088"/>
      <c r="AU301" s="1088"/>
      <c r="AV301" s="1088"/>
      <c r="AW301" s="1088"/>
      <c r="AX301" s="1086">
        <f t="shared" si="50"/>
        <v>0</v>
      </c>
    </row>
    <row r="302" spans="1:50" ht="12">
      <c r="A302" s="1086"/>
      <c r="B302" s="1086" t="s">
        <v>308</v>
      </c>
      <c r="C302" s="1086">
        <f>SUM(C303:C307)</f>
        <v>0</v>
      </c>
      <c r="D302" s="1086">
        <f t="shared" ref="D302:AD302" si="55">SUM(D303:D307)</f>
        <v>0</v>
      </c>
      <c r="E302" s="1086">
        <f t="shared" si="55"/>
        <v>0</v>
      </c>
      <c r="F302" s="1086">
        <f t="shared" si="55"/>
        <v>0</v>
      </c>
      <c r="G302" s="1086">
        <f t="shared" si="55"/>
        <v>0</v>
      </c>
      <c r="H302" s="1086">
        <f t="shared" si="55"/>
        <v>0</v>
      </c>
      <c r="I302" s="1086">
        <f t="shared" si="55"/>
        <v>0</v>
      </c>
      <c r="J302" s="1086">
        <f t="shared" si="55"/>
        <v>0</v>
      </c>
      <c r="K302" s="1086">
        <f t="shared" si="55"/>
        <v>0</v>
      </c>
      <c r="L302" s="1086">
        <f t="shared" si="55"/>
        <v>0</v>
      </c>
      <c r="M302" s="1086">
        <f t="shared" si="55"/>
        <v>0</v>
      </c>
      <c r="N302" s="1086">
        <f t="shared" si="55"/>
        <v>0</v>
      </c>
      <c r="O302" s="1086">
        <f t="shared" si="55"/>
        <v>0</v>
      </c>
      <c r="P302" s="1086">
        <f t="shared" si="55"/>
        <v>0</v>
      </c>
      <c r="Q302" s="1086">
        <f t="shared" si="55"/>
        <v>0</v>
      </c>
      <c r="R302" s="1086">
        <f t="shared" si="55"/>
        <v>0</v>
      </c>
      <c r="S302" s="1086">
        <f t="shared" si="55"/>
        <v>0</v>
      </c>
      <c r="T302" s="1086">
        <f t="shared" si="55"/>
        <v>0</v>
      </c>
      <c r="U302" s="1086">
        <f t="shared" si="55"/>
        <v>0</v>
      </c>
      <c r="V302" s="1086">
        <f t="shared" si="55"/>
        <v>0</v>
      </c>
      <c r="W302" s="1086">
        <f t="shared" si="55"/>
        <v>0</v>
      </c>
      <c r="X302" s="1086">
        <f t="shared" si="55"/>
        <v>0</v>
      </c>
      <c r="Y302" s="1086">
        <f t="shared" si="55"/>
        <v>0</v>
      </c>
      <c r="Z302" s="1086">
        <f t="shared" si="55"/>
        <v>0</v>
      </c>
      <c r="AA302" s="1086">
        <f t="shared" si="55"/>
        <v>0</v>
      </c>
      <c r="AB302" s="1086">
        <f t="shared" si="55"/>
        <v>0</v>
      </c>
      <c r="AC302" s="1086">
        <f t="shared" si="55"/>
        <v>0</v>
      </c>
      <c r="AD302" s="1086">
        <f t="shared" si="55"/>
        <v>0</v>
      </c>
      <c r="AE302" s="1086"/>
      <c r="AF302" s="1086"/>
      <c r="AG302" s="1086"/>
      <c r="AH302" s="1086"/>
      <c r="AI302" s="1086"/>
      <c r="AJ302" s="1086"/>
      <c r="AK302" s="1086"/>
      <c r="AL302" s="1086"/>
      <c r="AM302" s="1086"/>
      <c r="AN302" s="1086"/>
      <c r="AO302" s="1086"/>
      <c r="AP302" s="1086"/>
      <c r="AQ302" s="1086"/>
      <c r="AR302" s="1086"/>
      <c r="AS302" s="1086"/>
      <c r="AT302" s="1086"/>
      <c r="AU302" s="1086"/>
      <c r="AV302" s="1086"/>
      <c r="AW302" s="1086"/>
      <c r="AX302" s="1086">
        <f t="shared" si="50"/>
        <v>0</v>
      </c>
    </row>
    <row r="303" spans="1:50" ht="12">
      <c r="A303" s="1086"/>
      <c r="B303" s="1086" t="s">
        <v>1608</v>
      </c>
      <c r="C303" s="1088"/>
      <c r="D303" s="1088"/>
      <c r="E303" s="1088"/>
      <c r="F303" s="1088"/>
      <c r="G303" s="1088"/>
      <c r="H303" s="1088"/>
      <c r="I303" s="1088"/>
      <c r="J303" s="1088"/>
      <c r="K303" s="1088"/>
      <c r="L303" s="1088"/>
      <c r="M303" s="1088"/>
      <c r="N303" s="1088"/>
      <c r="O303" s="1088"/>
      <c r="P303" s="1088"/>
      <c r="Q303" s="1088"/>
      <c r="R303" s="1088"/>
      <c r="S303" s="1088"/>
      <c r="T303" s="1088"/>
      <c r="U303" s="1088"/>
      <c r="V303" s="1088"/>
      <c r="W303" s="1088"/>
      <c r="X303" s="1088"/>
      <c r="Y303" s="1088"/>
      <c r="Z303" s="1088"/>
      <c r="AA303" s="1088"/>
      <c r="AB303" s="1088"/>
      <c r="AC303" s="1088"/>
      <c r="AD303" s="1088"/>
      <c r="AE303" s="1088"/>
      <c r="AF303" s="1088"/>
      <c r="AG303" s="1088"/>
      <c r="AH303" s="1088"/>
      <c r="AI303" s="1088"/>
      <c r="AJ303" s="1088"/>
      <c r="AK303" s="1088"/>
      <c r="AL303" s="1088"/>
      <c r="AM303" s="1088"/>
      <c r="AN303" s="1088"/>
      <c r="AO303" s="1088"/>
      <c r="AP303" s="1088"/>
      <c r="AQ303" s="1088"/>
      <c r="AR303" s="1088"/>
      <c r="AS303" s="1088"/>
      <c r="AT303" s="1088"/>
      <c r="AU303" s="1088"/>
      <c r="AV303" s="1088"/>
      <c r="AW303" s="1088"/>
      <c r="AX303" s="1086">
        <f t="shared" si="50"/>
        <v>0</v>
      </c>
    </row>
    <row r="304" spans="1:50" ht="12">
      <c r="A304" s="1086"/>
      <c r="B304" s="1086" t="s">
        <v>1609</v>
      </c>
      <c r="C304" s="1088"/>
      <c r="D304" s="1088"/>
      <c r="E304" s="1088"/>
      <c r="F304" s="1088"/>
      <c r="G304" s="1088"/>
      <c r="H304" s="1088"/>
      <c r="I304" s="1088"/>
      <c r="J304" s="1088"/>
      <c r="K304" s="1088"/>
      <c r="L304" s="1088"/>
      <c r="M304" s="1088"/>
      <c r="N304" s="1088"/>
      <c r="O304" s="1088"/>
      <c r="P304" s="1088"/>
      <c r="Q304" s="1088"/>
      <c r="R304" s="1088"/>
      <c r="S304" s="1088"/>
      <c r="T304" s="1088"/>
      <c r="U304" s="1088"/>
      <c r="V304" s="1088"/>
      <c r="W304" s="1088"/>
      <c r="X304" s="1088"/>
      <c r="Y304" s="1088"/>
      <c r="Z304" s="1088"/>
      <c r="AA304" s="1088"/>
      <c r="AB304" s="1088"/>
      <c r="AC304" s="1088"/>
      <c r="AD304" s="1088"/>
      <c r="AE304" s="1088"/>
      <c r="AF304" s="1088"/>
      <c r="AG304" s="1088"/>
      <c r="AH304" s="1088"/>
      <c r="AI304" s="1088"/>
      <c r="AJ304" s="1088"/>
      <c r="AK304" s="1088"/>
      <c r="AL304" s="1088"/>
      <c r="AM304" s="1088"/>
      <c r="AN304" s="1088"/>
      <c r="AO304" s="1088"/>
      <c r="AP304" s="1088"/>
      <c r="AQ304" s="1088"/>
      <c r="AR304" s="1088"/>
      <c r="AS304" s="1088"/>
      <c r="AT304" s="1088"/>
      <c r="AU304" s="1088"/>
      <c r="AV304" s="1088"/>
      <c r="AW304" s="1088"/>
      <c r="AX304" s="1086">
        <f t="shared" si="50"/>
        <v>0</v>
      </c>
    </row>
    <row r="305" spans="1:50" ht="12">
      <c r="A305" s="1086"/>
      <c r="B305" s="1086" t="s">
        <v>1610</v>
      </c>
      <c r="C305" s="1088"/>
      <c r="D305" s="1088"/>
      <c r="E305" s="1088"/>
      <c r="F305" s="1088"/>
      <c r="G305" s="1088"/>
      <c r="H305" s="1088"/>
      <c r="I305" s="1088"/>
      <c r="J305" s="1088"/>
      <c r="K305" s="1088"/>
      <c r="L305" s="1088"/>
      <c r="M305" s="1088"/>
      <c r="N305" s="1088"/>
      <c r="O305" s="1088"/>
      <c r="P305" s="1088"/>
      <c r="Q305" s="1088"/>
      <c r="R305" s="1088"/>
      <c r="S305" s="1088"/>
      <c r="T305" s="1088"/>
      <c r="U305" s="1088"/>
      <c r="V305" s="1088"/>
      <c r="W305" s="1088"/>
      <c r="X305" s="1088"/>
      <c r="Y305" s="1088"/>
      <c r="Z305" s="1088"/>
      <c r="AA305" s="1088"/>
      <c r="AB305" s="1088"/>
      <c r="AC305" s="1088"/>
      <c r="AD305" s="1088"/>
      <c r="AE305" s="1088"/>
      <c r="AF305" s="1088"/>
      <c r="AG305" s="1088"/>
      <c r="AH305" s="1088"/>
      <c r="AI305" s="1088"/>
      <c r="AJ305" s="1088"/>
      <c r="AK305" s="1088"/>
      <c r="AL305" s="1088"/>
      <c r="AM305" s="1088"/>
      <c r="AN305" s="1088"/>
      <c r="AO305" s="1088"/>
      <c r="AP305" s="1088"/>
      <c r="AQ305" s="1088"/>
      <c r="AR305" s="1088"/>
      <c r="AS305" s="1088"/>
      <c r="AT305" s="1088"/>
      <c r="AU305" s="1088"/>
      <c r="AV305" s="1088"/>
      <c r="AW305" s="1088"/>
      <c r="AX305" s="1086">
        <f t="shared" si="50"/>
        <v>0</v>
      </c>
    </row>
    <row r="306" spans="1:50" ht="12">
      <c r="A306" s="1086"/>
      <c r="B306" s="1086" t="s">
        <v>1611</v>
      </c>
      <c r="C306" s="1088"/>
      <c r="D306" s="1088"/>
      <c r="E306" s="1088"/>
      <c r="F306" s="1088"/>
      <c r="G306" s="1088"/>
      <c r="H306" s="1088"/>
      <c r="I306" s="1088"/>
      <c r="J306" s="1088"/>
      <c r="K306" s="1088"/>
      <c r="L306" s="1088"/>
      <c r="M306" s="1088"/>
      <c r="N306" s="1088"/>
      <c r="O306" s="1088"/>
      <c r="P306" s="1088"/>
      <c r="Q306" s="1088"/>
      <c r="R306" s="1088"/>
      <c r="S306" s="1088"/>
      <c r="T306" s="1088"/>
      <c r="U306" s="1088"/>
      <c r="V306" s="1088"/>
      <c r="W306" s="1088"/>
      <c r="X306" s="1088"/>
      <c r="Y306" s="1088"/>
      <c r="Z306" s="1088"/>
      <c r="AA306" s="1088"/>
      <c r="AB306" s="1088"/>
      <c r="AC306" s="1088"/>
      <c r="AD306" s="1088"/>
      <c r="AE306" s="1088"/>
      <c r="AF306" s="1088"/>
      <c r="AG306" s="1088"/>
      <c r="AH306" s="1088"/>
      <c r="AI306" s="1088"/>
      <c r="AJ306" s="1088"/>
      <c r="AK306" s="1088"/>
      <c r="AL306" s="1088"/>
      <c r="AM306" s="1088"/>
      <c r="AN306" s="1088"/>
      <c r="AO306" s="1088"/>
      <c r="AP306" s="1088"/>
      <c r="AQ306" s="1088"/>
      <c r="AR306" s="1088"/>
      <c r="AS306" s="1088"/>
      <c r="AT306" s="1088"/>
      <c r="AU306" s="1088"/>
      <c r="AV306" s="1088"/>
      <c r="AW306" s="1088"/>
      <c r="AX306" s="1086">
        <f t="shared" si="50"/>
        <v>0</v>
      </c>
    </row>
    <row r="307" spans="1:50" ht="12">
      <c r="A307" s="1086"/>
      <c r="B307" s="1086" t="s">
        <v>1612</v>
      </c>
      <c r="C307" s="1088"/>
      <c r="D307" s="1088"/>
      <c r="E307" s="1088"/>
      <c r="F307" s="1088"/>
      <c r="G307" s="1088"/>
      <c r="H307" s="1088"/>
      <c r="I307" s="1088"/>
      <c r="J307" s="1088"/>
      <c r="K307" s="1088"/>
      <c r="L307" s="1088"/>
      <c r="M307" s="1088"/>
      <c r="N307" s="1088"/>
      <c r="O307" s="1088"/>
      <c r="P307" s="1088"/>
      <c r="Q307" s="1088"/>
      <c r="R307" s="1088"/>
      <c r="S307" s="1088"/>
      <c r="T307" s="1088"/>
      <c r="U307" s="1088"/>
      <c r="V307" s="1088"/>
      <c r="W307" s="1088"/>
      <c r="X307" s="1088"/>
      <c r="Y307" s="1088"/>
      <c r="Z307" s="1088"/>
      <c r="AA307" s="1088"/>
      <c r="AB307" s="1088"/>
      <c r="AC307" s="1088"/>
      <c r="AD307" s="1088"/>
      <c r="AE307" s="1088"/>
      <c r="AF307" s="1088"/>
      <c r="AG307" s="1088"/>
      <c r="AH307" s="1088"/>
      <c r="AI307" s="1088"/>
      <c r="AJ307" s="1088"/>
      <c r="AK307" s="1088"/>
      <c r="AL307" s="1088"/>
      <c r="AM307" s="1088"/>
      <c r="AN307" s="1088"/>
      <c r="AO307" s="1088"/>
      <c r="AP307" s="1088"/>
      <c r="AQ307" s="1088"/>
      <c r="AR307" s="1088"/>
      <c r="AS307" s="1088"/>
      <c r="AT307" s="1088"/>
      <c r="AU307" s="1088"/>
      <c r="AV307" s="1088"/>
      <c r="AW307" s="1088"/>
      <c r="AX307" s="1086">
        <f t="shared" si="50"/>
        <v>0</v>
      </c>
    </row>
    <row r="308" spans="1:50" ht="12">
      <c r="A308" s="1086"/>
      <c r="B308" s="1086" t="s">
        <v>307</v>
      </c>
      <c r="C308" s="1086">
        <f>SUM(C309:C313)</f>
        <v>0</v>
      </c>
      <c r="D308" s="1086">
        <f t="shared" ref="D308:AD308" si="56">SUM(D309:D313)</f>
        <v>0</v>
      </c>
      <c r="E308" s="1086">
        <f t="shared" si="56"/>
        <v>0</v>
      </c>
      <c r="F308" s="1086">
        <f t="shared" si="56"/>
        <v>0</v>
      </c>
      <c r="G308" s="1086">
        <f t="shared" si="56"/>
        <v>0</v>
      </c>
      <c r="H308" s="1086">
        <f t="shared" si="56"/>
        <v>0</v>
      </c>
      <c r="I308" s="1086">
        <f t="shared" si="56"/>
        <v>0</v>
      </c>
      <c r="J308" s="1086">
        <f t="shared" si="56"/>
        <v>0</v>
      </c>
      <c r="K308" s="1086">
        <f t="shared" si="56"/>
        <v>0</v>
      </c>
      <c r="L308" s="1086">
        <f t="shared" si="56"/>
        <v>0</v>
      </c>
      <c r="M308" s="1086">
        <f t="shared" si="56"/>
        <v>0</v>
      </c>
      <c r="N308" s="1086">
        <f t="shared" si="56"/>
        <v>0</v>
      </c>
      <c r="O308" s="1086">
        <f t="shared" si="56"/>
        <v>0</v>
      </c>
      <c r="P308" s="1086">
        <f t="shared" si="56"/>
        <v>0</v>
      </c>
      <c r="Q308" s="1086">
        <f t="shared" si="56"/>
        <v>0</v>
      </c>
      <c r="R308" s="1086">
        <f t="shared" si="56"/>
        <v>0</v>
      </c>
      <c r="S308" s="1086">
        <f t="shared" si="56"/>
        <v>0</v>
      </c>
      <c r="T308" s="1086">
        <f t="shared" si="56"/>
        <v>0</v>
      </c>
      <c r="U308" s="1086">
        <f t="shared" si="56"/>
        <v>0</v>
      </c>
      <c r="V308" s="1086">
        <f t="shared" si="56"/>
        <v>0</v>
      </c>
      <c r="W308" s="1086">
        <f t="shared" si="56"/>
        <v>0</v>
      </c>
      <c r="X308" s="1086">
        <f t="shared" si="56"/>
        <v>0</v>
      </c>
      <c r="Y308" s="1086">
        <f t="shared" si="56"/>
        <v>0</v>
      </c>
      <c r="Z308" s="1086">
        <f t="shared" si="56"/>
        <v>0</v>
      </c>
      <c r="AA308" s="1086">
        <f t="shared" si="56"/>
        <v>0</v>
      </c>
      <c r="AB308" s="1086">
        <f t="shared" si="56"/>
        <v>0</v>
      </c>
      <c r="AC308" s="1086">
        <f t="shared" si="56"/>
        <v>0</v>
      </c>
      <c r="AD308" s="1086">
        <f t="shared" si="56"/>
        <v>0</v>
      </c>
      <c r="AE308" s="1086"/>
      <c r="AF308" s="1086"/>
      <c r="AG308" s="1086"/>
      <c r="AH308" s="1086"/>
      <c r="AI308" s="1086"/>
      <c r="AJ308" s="1086"/>
      <c r="AK308" s="1086"/>
      <c r="AL308" s="1086"/>
      <c r="AM308" s="1086"/>
      <c r="AN308" s="1086"/>
      <c r="AO308" s="1086"/>
      <c r="AP308" s="1086"/>
      <c r="AQ308" s="1086"/>
      <c r="AR308" s="1086"/>
      <c r="AS308" s="1086"/>
      <c r="AT308" s="1086"/>
      <c r="AU308" s="1086"/>
      <c r="AV308" s="1086"/>
      <c r="AW308" s="1086"/>
      <c r="AX308" s="1086">
        <f t="shared" si="50"/>
        <v>0</v>
      </c>
    </row>
    <row r="309" spans="1:50" ht="12">
      <c r="A309" s="1086"/>
      <c r="B309" s="1086" t="s">
        <v>1608</v>
      </c>
      <c r="C309" s="1088"/>
      <c r="D309" s="1088"/>
      <c r="E309" s="1088"/>
      <c r="F309" s="1088"/>
      <c r="G309" s="1088"/>
      <c r="H309" s="1088"/>
      <c r="I309" s="1088"/>
      <c r="J309" s="1088"/>
      <c r="K309" s="1088"/>
      <c r="L309" s="1088"/>
      <c r="M309" s="1088"/>
      <c r="N309" s="1088"/>
      <c r="O309" s="1088"/>
      <c r="P309" s="1088"/>
      <c r="Q309" s="1088"/>
      <c r="R309" s="1088"/>
      <c r="S309" s="1088"/>
      <c r="T309" s="1088"/>
      <c r="U309" s="1088"/>
      <c r="V309" s="1088"/>
      <c r="W309" s="1088"/>
      <c r="X309" s="1088"/>
      <c r="Y309" s="1088"/>
      <c r="Z309" s="1088"/>
      <c r="AA309" s="1088"/>
      <c r="AB309" s="1088"/>
      <c r="AC309" s="1088"/>
      <c r="AD309" s="1088"/>
      <c r="AE309" s="1088"/>
      <c r="AF309" s="1088"/>
      <c r="AG309" s="1088"/>
      <c r="AH309" s="1088"/>
      <c r="AI309" s="1088"/>
      <c r="AJ309" s="1088"/>
      <c r="AK309" s="1088"/>
      <c r="AL309" s="1088"/>
      <c r="AM309" s="1088"/>
      <c r="AN309" s="1088"/>
      <c r="AO309" s="1088"/>
      <c r="AP309" s="1088"/>
      <c r="AQ309" s="1088"/>
      <c r="AR309" s="1088"/>
      <c r="AS309" s="1088"/>
      <c r="AT309" s="1088"/>
      <c r="AU309" s="1088"/>
      <c r="AV309" s="1088"/>
      <c r="AW309" s="1088"/>
      <c r="AX309" s="1086">
        <f t="shared" si="50"/>
        <v>0</v>
      </c>
    </row>
    <row r="310" spans="1:50" ht="12">
      <c r="A310" s="1086"/>
      <c r="B310" s="1086" t="s">
        <v>1609</v>
      </c>
      <c r="C310" s="1088"/>
      <c r="D310" s="1088"/>
      <c r="E310" s="1088"/>
      <c r="F310" s="1088"/>
      <c r="G310" s="1088"/>
      <c r="H310" s="1088"/>
      <c r="I310" s="1088"/>
      <c r="J310" s="1088"/>
      <c r="K310" s="1088"/>
      <c r="L310" s="1088"/>
      <c r="M310" s="1088"/>
      <c r="N310" s="1088"/>
      <c r="O310" s="1088"/>
      <c r="P310" s="1088"/>
      <c r="Q310" s="1088"/>
      <c r="R310" s="1088"/>
      <c r="S310" s="1088"/>
      <c r="T310" s="1088"/>
      <c r="U310" s="1088"/>
      <c r="V310" s="1088"/>
      <c r="W310" s="1088"/>
      <c r="X310" s="1088"/>
      <c r="Y310" s="1088"/>
      <c r="Z310" s="1088"/>
      <c r="AA310" s="1088"/>
      <c r="AB310" s="1088"/>
      <c r="AC310" s="1088"/>
      <c r="AD310" s="1088"/>
      <c r="AE310" s="1088"/>
      <c r="AF310" s="1088"/>
      <c r="AG310" s="1088"/>
      <c r="AH310" s="1088"/>
      <c r="AI310" s="1088"/>
      <c r="AJ310" s="1088"/>
      <c r="AK310" s="1088"/>
      <c r="AL310" s="1088"/>
      <c r="AM310" s="1088"/>
      <c r="AN310" s="1088"/>
      <c r="AO310" s="1088"/>
      <c r="AP310" s="1088"/>
      <c r="AQ310" s="1088"/>
      <c r="AR310" s="1088"/>
      <c r="AS310" s="1088"/>
      <c r="AT310" s="1088"/>
      <c r="AU310" s="1088"/>
      <c r="AV310" s="1088"/>
      <c r="AW310" s="1088"/>
      <c r="AX310" s="1086">
        <f t="shared" si="50"/>
        <v>0</v>
      </c>
    </row>
    <row r="311" spans="1:50" ht="12">
      <c r="A311" s="1086"/>
      <c r="B311" s="1086" t="s">
        <v>1610</v>
      </c>
      <c r="C311" s="1088"/>
      <c r="D311" s="1088"/>
      <c r="E311" s="1088"/>
      <c r="F311" s="1088"/>
      <c r="G311" s="1088"/>
      <c r="H311" s="1088"/>
      <c r="I311" s="1088"/>
      <c r="J311" s="1088"/>
      <c r="K311" s="1088"/>
      <c r="L311" s="1088"/>
      <c r="M311" s="1088"/>
      <c r="N311" s="1088"/>
      <c r="O311" s="1088"/>
      <c r="P311" s="1088"/>
      <c r="Q311" s="1088"/>
      <c r="R311" s="1088"/>
      <c r="S311" s="1088"/>
      <c r="T311" s="1088"/>
      <c r="U311" s="1088"/>
      <c r="V311" s="1088"/>
      <c r="W311" s="1088"/>
      <c r="X311" s="1088"/>
      <c r="Y311" s="1088"/>
      <c r="Z311" s="1088"/>
      <c r="AA311" s="1088"/>
      <c r="AB311" s="1088"/>
      <c r="AC311" s="1088"/>
      <c r="AD311" s="1088"/>
      <c r="AE311" s="1088"/>
      <c r="AF311" s="1088"/>
      <c r="AG311" s="1088"/>
      <c r="AH311" s="1088"/>
      <c r="AI311" s="1088"/>
      <c r="AJ311" s="1088"/>
      <c r="AK311" s="1088"/>
      <c r="AL311" s="1088"/>
      <c r="AM311" s="1088"/>
      <c r="AN311" s="1088"/>
      <c r="AO311" s="1088"/>
      <c r="AP311" s="1088"/>
      <c r="AQ311" s="1088"/>
      <c r="AR311" s="1088"/>
      <c r="AS311" s="1088"/>
      <c r="AT311" s="1088"/>
      <c r="AU311" s="1088"/>
      <c r="AV311" s="1088"/>
      <c r="AW311" s="1088"/>
      <c r="AX311" s="1086">
        <f t="shared" si="50"/>
        <v>0</v>
      </c>
    </row>
    <row r="312" spans="1:50" ht="12">
      <c r="A312" s="1086"/>
      <c r="B312" s="1086" t="s">
        <v>1611</v>
      </c>
      <c r="C312" s="1088"/>
      <c r="D312" s="1088"/>
      <c r="E312" s="1088"/>
      <c r="F312" s="1088"/>
      <c r="G312" s="1088"/>
      <c r="H312" s="1088"/>
      <c r="I312" s="1088"/>
      <c r="J312" s="1088"/>
      <c r="K312" s="1088"/>
      <c r="L312" s="1088"/>
      <c r="M312" s="1088"/>
      <c r="N312" s="1088"/>
      <c r="O312" s="1088"/>
      <c r="P312" s="1088"/>
      <c r="Q312" s="1088"/>
      <c r="R312" s="1088"/>
      <c r="S312" s="1088"/>
      <c r="T312" s="1088"/>
      <c r="U312" s="1088"/>
      <c r="V312" s="1088"/>
      <c r="W312" s="1088"/>
      <c r="X312" s="1088"/>
      <c r="Y312" s="1088"/>
      <c r="Z312" s="1088"/>
      <c r="AA312" s="1088"/>
      <c r="AB312" s="1088"/>
      <c r="AC312" s="1088"/>
      <c r="AD312" s="1088"/>
      <c r="AE312" s="1088"/>
      <c r="AF312" s="1088"/>
      <c r="AG312" s="1088"/>
      <c r="AH312" s="1088"/>
      <c r="AI312" s="1088"/>
      <c r="AJ312" s="1088"/>
      <c r="AK312" s="1088"/>
      <c r="AL312" s="1088"/>
      <c r="AM312" s="1088"/>
      <c r="AN312" s="1088"/>
      <c r="AO312" s="1088"/>
      <c r="AP312" s="1088"/>
      <c r="AQ312" s="1088"/>
      <c r="AR312" s="1088"/>
      <c r="AS312" s="1088"/>
      <c r="AT312" s="1088"/>
      <c r="AU312" s="1088"/>
      <c r="AV312" s="1088"/>
      <c r="AW312" s="1088"/>
      <c r="AX312" s="1086">
        <f t="shared" si="50"/>
        <v>0</v>
      </c>
    </row>
    <row r="313" spans="1:50" ht="12">
      <c r="A313" s="1086"/>
      <c r="B313" s="1086" t="s">
        <v>1612</v>
      </c>
      <c r="C313" s="1088"/>
      <c r="D313" s="1088"/>
      <c r="E313" s="1088"/>
      <c r="F313" s="1088"/>
      <c r="G313" s="1088"/>
      <c r="H313" s="1088"/>
      <c r="I313" s="1088"/>
      <c r="J313" s="1088"/>
      <c r="K313" s="1088"/>
      <c r="L313" s="1088"/>
      <c r="M313" s="1088"/>
      <c r="N313" s="1088"/>
      <c r="O313" s="1088"/>
      <c r="P313" s="1088"/>
      <c r="Q313" s="1088"/>
      <c r="R313" s="1088"/>
      <c r="S313" s="1088"/>
      <c r="T313" s="1088"/>
      <c r="U313" s="1088"/>
      <c r="V313" s="1088"/>
      <c r="W313" s="1088"/>
      <c r="X313" s="1088"/>
      <c r="Y313" s="1088"/>
      <c r="Z313" s="1088"/>
      <c r="AA313" s="1088"/>
      <c r="AB313" s="1088"/>
      <c r="AC313" s="1088"/>
      <c r="AD313" s="1088"/>
      <c r="AE313" s="1088"/>
      <c r="AF313" s="1088"/>
      <c r="AG313" s="1088"/>
      <c r="AH313" s="1088"/>
      <c r="AI313" s="1088"/>
      <c r="AJ313" s="1088"/>
      <c r="AK313" s="1088"/>
      <c r="AL313" s="1088"/>
      <c r="AM313" s="1088"/>
      <c r="AN313" s="1088"/>
      <c r="AO313" s="1088"/>
      <c r="AP313" s="1088"/>
      <c r="AQ313" s="1088"/>
      <c r="AR313" s="1088"/>
      <c r="AS313" s="1088"/>
      <c r="AT313" s="1088"/>
      <c r="AU313" s="1088"/>
      <c r="AV313" s="1088"/>
      <c r="AW313" s="1088"/>
      <c r="AX313" s="1086">
        <f t="shared" si="50"/>
        <v>0</v>
      </c>
    </row>
  </sheetData>
  <autoFilter ref="A1:AX273" xr:uid="{2F14830E-F41A-467D-B25E-F485CEF864F5}"/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79C5-C7D8-EE49-A958-46EAC2E40556}">
  <sheetPr>
    <tabColor rgb="FFF0CCB9"/>
  </sheetPr>
  <dimension ref="B2:H34"/>
  <sheetViews>
    <sheetView showGridLines="0" topLeftCell="C1" workbookViewId="0">
      <pane ySplit="4" topLeftCell="A5" activePane="bottomLeft" state="frozen"/>
      <selection pane="bottomLeft" activeCell="F29" sqref="F29"/>
    </sheetView>
  </sheetViews>
  <sheetFormatPr baseColWidth="10" defaultColWidth="11.5" defaultRowHeight="15"/>
  <cols>
    <col min="2" max="2" width="15.83203125" customWidth="1"/>
    <col min="3" max="3" width="8.6640625" bestFit="1" customWidth="1"/>
    <col min="4" max="8" width="15.83203125" customWidth="1"/>
  </cols>
  <sheetData>
    <row r="2" spans="2:8" ht="16">
      <c r="B2" s="201" t="s">
        <v>330</v>
      </c>
    </row>
    <row r="4" spans="2:8">
      <c r="B4" s="316" t="s">
        <v>329</v>
      </c>
      <c r="C4" s="316" t="s">
        <v>111</v>
      </c>
      <c r="D4" s="316" t="s">
        <v>326</v>
      </c>
      <c r="E4" s="316" t="s">
        <v>324</v>
      </c>
      <c r="F4" s="316" t="s">
        <v>325</v>
      </c>
      <c r="G4" s="316" t="s">
        <v>27</v>
      </c>
      <c r="H4" s="316" t="s">
        <v>331</v>
      </c>
    </row>
    <row r="5" spans="2:8">
      <c r="B5" s="317"/>
      <c r="C5" s="317"/>
      <c r="D5" s="317"/>
      <c r="E5" s="317"/>
      <c r="F5" s="317"/>
      <c r="G5" s="317"/>
      <c r="H5" s="317"/>
    </row>
    <row r="6" spans="2:8">
      <c r="B6" s="317"/>
      <c r="C6" s="317"/>
      <c r="D6" s="317"/>
      <c r="E6" s="317"/>
      <c r="F6" s="317"/>
      <c r="G6" s="317"/>
      <c r="H6" s="317"/>
    </row>
    <row r="7" spans="2:8">
      <c r="B7" s="317"/>
      <c r="C7" s="317"/>
      <c r="D7" s="317"/>
      <c r="E7" s="317"/>
      <c r="F7" s="317"/>
      <c r="G7" s="317"/>
      <c r="H7" s="317"/>
    </row>
    <row r="8" spans="2:8">
      <c r="B8" s="317"/>
      <c r="C8" s="317"/>
      <c r="D8" s="317"/>
      <c r="E8" s="317"/>
      <c r="F8" s="317"/>
      <c r="G8" s="317"/>
      <c r="H8" s="317"/>
    </row>
    <row r="9" spans="2:8">
      <c r="B9" s="317"/>
      <c r="C9" s="317"/>
      <c r="D9" s="317"/>
      <c r="E9" s="317"/>
      <c r="F9" s="317"/>
      <c r="G9" s="317"/>
      <c r="H9" s="317"/>
    </row>
    <row r="10" spans="2:8">
      <c r="B10" s="317"/>
      <c r="C10" s="317"/>
      <c r="D10" s="317"/>
      <c r="E10" s="317"/>
      <c r="F10" s="317"/>
      <c r="G10" s="317"/>
      <c r="H10" s="317"/>
    </row>
    <row r="11" spans="2:8">
      <c r="B11" s="317"/>
      <c r="C11" s="317"/>
      <c r="D11" s="317"/>
      <c r="E11" s="317"/>
      <c r="F11" s="317"/>
      <c r="G11" s="317"/>
      <c r="H11" s="317"/>
    </row>
    <row r="12" spans="2:8">
      <c r="B12" s="317"/>
      <c r="C12" s="317"/>
      <c r="D12" s="317"/>
      <c r="E12" s="317"/>
      <c r="F12" s="317"/>
      <c r="G12" s="317"/>
      <c r="H12" s="317"/>
    </row>
    <row r="13" spans="2:8">
      <c r="B13" s="317"/>
      <c r="C13" s="317"/>
      <c r="D13" s="317"/>
      <c r="E13" s="317"/>
      <c r="F13" s="317"/>
      <c r="G13" s="317"/>
      <c r="H13" s="317"/>
    </row>
    <row r="14" spans="2:8">
      <c r="B14" s="317"/>
      <c r="C14" s="317"/>
      <c r="D14" s="317"/>
      <c r="E14" s="317"/>
      <c r="F14" s="317"/>
      <c r="G14" s="317"/>
      <c r="H14" s="317"/>
    </row>
    <row r="15" spans="2:8">
      <c r="B15" s="317"/>
      <c r="C15" s="317"/>
      <c r="D15" s="317"/>
      <c r="E15" s="317"/>
      <c r="F15" s="317"/>
      <c r="G15" s="317"/>
      <c r="H15" s="317"/>
    </row>
    <row r="16" spans="2:8">
      <c r="B16" s="317"/>
      <c r="C16" s="317"/>
      <c r="D16" s="317"/>
      <c r="E16" s="317"/>
      <c r="F16" s="317"/>
      <c r="G16" s="317"/>
      <c r="H16" s="317"/>
    </row>
    <row r="17" spans="2:8">
      <c r="B17" s="317"/>
      <c r="C17" s="317"/>
      <c r="D17" s="317"/>
      <c r="E17" s="317"/>
      <c r="F17" s="317"/>
      <c r="G17" s="317"/>
      <c r="H17" s="317"/>
    </row>
    <row r="18" spans="2:8">
      <c r="B18" s="317"/>
      <c r="C18" s="317"/>
      <c r="D18" s="317"/>
      <c r="E18" s="317"/>
      <c r="F18" s="317"/>
      <c r="G18" s="317"/>
      <c r="H18" s="317"/>
    </row>
    <row r="19" spans="2:8">
      <c r="B19" s="317"/>
      <c r="C19" s="317"/>
      <c r="D19" s="317"/>
      <c r="E19" s="317"/>
      <c r="F19" s="317"/>
      <c r="G19" s="317"/>
      <c r="H19" s="317"/>
    </row>
    <row r="20" spans="2:8">
      <c r="B20" s="317"/>
      <c r="C20" s="317"/>
      <c r="D20" s="317"/>
      <c r="E20" s="317"/>
      <c r="F20" s="317"/>
      <c r="G20" s="317"/>
      <c r="H20" s="317"/>
    </row>
    <row r="21" spans="2:8">
      <c r="B21" s="317"/>
      <c r="C21" s="317"/>
      <c r="D21" s="317"/>
      <c r="E21" s="317"/>
      <c r="F21" s="317"/>
      <c r="G21" s="317"/>
      <c r="H21" s="317"/>
    </row>
    <row r="22" spans="2:8">
      <c r="B22" s="317"/>
      <c r="C22" s="317"/>
      <c r="D22" s="317"/>
      <c r="E22" s="317"/>
      <c r="F22" s="317"/>
      <c r="G22" s="317"/>
      <c r="H22" s="317"/>
    </row>
    <row r="23" spans="2:8">
      <c r="B23" s="317"/>
      <c r="C23" s="317"/>
      <c r="D23" s="317"/>
      <c r="E23" s="317"/>
      <c r="F23" s="317"/>
      <c r="G23" s="317"/>
      <c r="H23" s="317"/>
    </row>
    <row r="24" spans="2:8">
      <c r="B24" s="317"/>
      <c r="C24" s="317"/>
      <c r="D24" s="317"/>
      <c r="E24" s="317"/>
      <c r="F24" s="317"/>
      <c r="G24" s="317"/>
      <c r="H24" s="317"/>
    </row>
    <row r="25" spans="2:8">
      <c r="B25" s="317"/>
      <c r="C25" s="317"/>
      <c r="D25" s="317"/>
      <c r="E25" s="317"/>
      <c r="F25" s="317"/>
      <c r="G25" s="317"/>
      <c r="H25" s="317"/>
    </row>
    <row r="26" spans="2:8">
      <c r="B26" s="317"/>
      <c r="C26" s="317"/>
      <c r="D26" s="317"/>
      <c r="E26" s="317"/>
      <c r="F26" s="317"/>
      <c r="G26" s="317"/>
      <c r="H26" s="317"/>
    </row>
    <row r="27" spans="2:8">
      <c r="B27" s="317"/>
      <c r="C27" s="317"/>
      <c r="D27" s="317"/>
      <c r="E27" s="317"/>
      <c r="F27" s="317"/>
      <c r="G27" s="317"/>
      <c r="H27" s="317"/>
    </row>
    <row r="28" spans="2:8">
      <c r="B28" s="317"/>
      <c r="C28" s="317"/>
      <c r="D28" s="317"/>
      <c r="E28" s="317"/>
      <c r="F28" s="317"/>
      <c r="G28" s="317"/>
      <c r="H28" s="317"/>
    </row>
    <row r="29" spans="2:8">
      <c r="B29" s="317"/>
      <c r="C29" s="317"/>
      <c r="D29" s="317"/>
      <c r="E29" s="317"/>
      <c r="F29" s="317"/>
      <c r="G29" s="317"/>
      <c r="H29" s="317"/>
    </row>
    <row r="30" spans="2:8">
      <c r="B30" s="317"/>
      <c r="C30" s="317"/>
      <c r="D30" s="317"/>
      <c r="E30" s="317"/>
      <c r="F30" s="317"/>
      <c r="G30" s="317"/>
      <c r="H30" s="317"/>
    </row>
    <row r="31" spans="2:8">
      <c r="B31" s="317"/>
      <c r="C31" s="317"/>
      <c r="D31" s="317"/>
      <c r="E31" s="317"/>
      <c r="F31" s="317"/>
      <c r="G31" s="317"/>
      <c r="H31" s="317"/>
    </row>
    <row r="32" spans="2:8">
      <c r="B32" s="317"/>
      <c r="C32" s="317"/>
      <c r="D32" s="317"/>
      <c r="E32" s="317"/>
      <c r="F32" s="317"/>
      <c r="G32" s="317"/>
      <c r="H32" s="317"/>
    </row>
    <row r="33" spans="2:8">
      <c r="B33" s="317"/>
      <c r="C33" s="317"/>
      <c r="D33" s="317"/>
      <c r="E33" s="317"/>
      <c r="F33" s="317"/>
      <c r="G33" s="317"/>
      <c r="H33" s="317"/>
    </row>
    <row r="34" spans="2:8">
      <c r="B34" s="317"/>
      <c r="C34" s="317"/>
      <c r="D34" s="317"/>
      <c r="E34" s="317"/>
      <c r="F34" s="317"/>
      <c r="G34" s="317"/>
      <c r="H34" s="31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74B8F-D9C4-AC4A-A3C0-58E60670661C}">
  <dimension ref="A4:BK158"/>
  <sheetViews>
    <sheetView showGridLines="0" topLeftCell="A68" zoomScale="75" zoomScaleNormal="90" workbookViewId="0">
      <selection activeCell="F146" sqref="F146:BC146"/>
    </sheetView>
  </sheetViews>
  <sheetFormatPr baseColWidth="10" defaultColWidth="9.1640625" defaultRowHeight="12" outlineLevelRow="1"/>
  <cols>
    <col min="1" max="1" width="18.33203125" style="701" customWidth="1"/>
    <col min="2" max="2" width="12.83203125" style="701" customWidth="1"/>
    <col min="3" max="3" width="14.33203125" style="701" customWidth="1"/>
    <col min="4" max="4" width="5.83203125" style="741" bestFit="1" customWidth="1"/>
    <col min="5" max="5" width="7.83203125" style="741" bestFit="1" customWidth="1"/>
    <col min="6" max="8" width="8.1640625" style="741" customWidth="1"/>
    <col min="9" max="9" width="9.83203125" style="741" bestFit="1" customWidth="1"/>
    <col min="10" max="10" width="10" style="741" bestFit="1" customWidth="1"/>
    <col min="11" max="11" width="9" style="741" customWidth="1"/>
    <col min="12" max="12" width="9.1640625" style="741" bestFit="1" customWidth="1"/>
    <col min="13" max="13" width="9" style="741" bestFit="1" customWidth="1"/>
    <col min="14" max="14" width="9.83203125" style="741" bestFit="1" customWidth="1"/>
    <col min="15" max="15" width="7.6640625" style="741" bestFit="1" customWidth="1"/>
    <col min="16" max="16" width="7.5" style="741" bestFit="1" customWidth="1"/>
    <col min="17" max="17" width="8.33203125" style="741" bestFit="1" customWidth="1"/>
    <col min="18" max="18" width="7.6640625" style="741" bestFit="1" customWidth="1"/>
    <col min="19" max="19" width="7.5" style="742" bestFit="1" customWidth="1"/>
    <col min="20" max="20" width="7.5" style="741" bestFit="1" customWidth="1"/>
    <col min="21" max="22" width="7.83203125" style="741" bestFit="1" customWidth="1"/>
    <col min="23" max="23" width="7.83203125" style="742" bestFit="1" customWidth="1"/>
    <col min="24" max="24" width="7.5" style="741" bestFit="1" customWidth="1"/>
    <col min="25" max="25" width="8.33203125" style="741" bestFit="1" customWidth="1"/>
    <col min="26" max="26" width="7.83203125" style="741" bestFit="1" customWidth="1"/>
    <col min="27" max="28" width="8.5" style="741" customWidth="1"/>
    <col min="29" max="29" width="8.5" style="741" hidden="1" customWidth="1"/>
    <col min="30" max="31" width="8.83203125" style="741" hidden="1" customWidth="1"/>
    <col min="32" max="32" width="7.5" style="741" hidden="1" customWidth="1"/>
    <col min="33" max="36" width="8.83203125" style="741" hidden="1" customWidth="1"/>
    <col min="37" max="37" width="7.6640625" style="741" hidden="1" customWidth="1"/>
    <col min="38" max="49" width="8.83203125" style="741" hidden="1" customWidth="1"/>
    <col min="50" max="55" width="9.33203125" style="741" hidden="1" customWidth="1"/>
    <col min="56" max="56" width="9.33203125" style="741" customWidth="1"/>
    <col min="57" max="16384" width="9.1640625" style="744"/>
  </cols>
  <sheetData>
    <row r="4" spans="1:59" ht="16">
      <c r="A4" s="744"/>
      <c r="B4" s="1166" t="s">
        <v>1690</v>
      </c>
      <c r="C4" s="1167"/>
      <c r="D4" s="1168"/>
      <c r="E4" s="1168"/>
    </row>
    <row r="9" spans="1:59" s="701" customFormat="1">
      <c r="A9" s="700">
        <v>0</v>
      </c>
      <c r="C9" s="702" t="s">
        <v>990</v>
      </c>
      <c r="D9" s="703"/>
      <c r="E9" s="704">
        <v>1.3</v>
      </c>
      <c r="F9" s="704">
        <v>1.3</v>
      </c>
      <c r="G9" s="704">
        <v>1.3</v>
      </c>
      <c r="H9" s="704">
        <v>1.3</v>
      </c>
      <c r="I9" s="704">
        <v>0.8</v>
      </c>
      <c r="J9" s="704">
        <v>1</v>
      </c>
      <c r="K9" s="704">
        <v>1</v>
      </c>
      <c r="L9" s="704">
        <v>1</v>
      </c>
      <c r="M9" s="704">
        <v>1</v>
      </c>
      <c r="N9" s="704">
        <v>1</v>
      </c>
      <c r="O9" s="704">
        <v>1.1000000000000001</v>
      </c>
      <c r="P9" s="704">
        <v>1.1000000000000001</v>
      </c>
      <c r="Q9" s="704">
        <v>1.1000000000000001</v>
      </c>
      <c r="R9" s="704">
        <v>1.1000000000000001</v>
      </c>
      <c r="S9" s="705">
        <v>1.1000000000000001</v>
      </c>
      <c r="T9" s="706">
        <v>1</v>
      </c>
      <c r="U9" s="706">
        <v>0.85</v>
      </c>
      <c r="V9" s="706">
        <v>0.85</v>
      </c>
      <c r="W9" s="707">
        <v>0.7</v>
      </c>
      <c r="X9" s="706">
        <v>0.7</v>
      </c>
      <c r="Y9" s="706">
        <v>0.7</v>
      </c>
      <c r="Z9" s="706">
        <v>0.7</v>
      </c>
      <c r="AA9" s="706">
        <v>0.6</v>
      </c>
      <c r="AB9" s="706"/>
      <c r="AC9" s="706"/>
      <c r="AD9" s="708"/>
      <c r="AE9" s="708"/>
      <c r="AF9" s="708"/>
      <c r="AG9" s="709"/>
      <c r="AH9" s="703"/>
      <c r="AI9" s="703"/>
      <c r="AJ9" s="703"/>
      <c r="AK9" s="703"/>
      <c r="AL9" s="703"/>
      <c r="AM9" s="703"/>
      <c r="AN9" s="703"/>
      <c r="AO9" s="703"/>
      <c r="AP9" s="703"/>
      <c r="AQ9" s="703"/>
      <c r="AR9" s="703"/>
      <c r="AS9" s="703"/>
      <c r="AT9" s="703"/>
      <c r="AU9" s="703"/>
      <c r="AV9" s="703"/>
      <c r="AW9" s="703"/>
      <c r="AX9" s="703"/>
      <c r="AY9" s="703"/>
      <c r="AZ9" s="703"/>
      <c r="BA9" s="703"/>
      <c r="BB9" s="703"/>
      <c r="BC9" s="703"/>
      <c r="BD9" s="703"/>
    </row>
    <row r="10" spans="1:59" s="711" customFormat="1">
      <c r="A10" s="710" t="s">
        <v>991</v>
      </c>
      <c r="C10" s="712" t="s">
        <v>992</v>
      </c>
      <c r="D10" s="713"/>
      <c r="E10" s="714"/>
      <c r="F10" s="714"/>
      <c r="G10" s="714"/>
      <c r="H10" s="714"/>
      <c r="I10" s="704">
        <v>1.1000000000000001</v>
      </c>
      <c r="J10" s="704">
        <v>1</v>
      </c>
      <c r="K10" s="704">
        <v>1</v>
      </c>
      <c r="L10" s="704">
        <v>1</v>
      </c>
      <c r="M10" s="704">
        <v>1</v>
      </c>
      <c r="N10" s="704">
        <v>1</v>
      </c>
      <c r="O10" s="704">
        <v>1</v>
      </c>
      <c r="P10" s="704">
        <v>1.3</v>
      </c>
      <c r="Q10" s="704">
        <v>1.3</v>
      </c>
      <c r="R10" s="704">
        <v>1.2</v>
      </c>
      <c r="S10" s="705">
        <v>1.2</v>
      </c>
      <c r="T10" s="704">
        <v>1.2</v>
      </c>
      <c r="U10" s="704">
        <v>1.2</v>
      </c>
      <c r="V10" s="704">
        <v>1.1000000000000001</v>
      </c>
      <c r="W10" s="705">
        <v>1.1000000000000001</v>
      </c>
      <c r="X10" s="706">
        <v>0.9</v>
      </c>
      <c r="Y10" s="715">
        <v>0.9</v>
      </c>
      <c r="Z10" s="715">
        <v>0.8</v>
      </c>
      <c r="AA10" s="715">
        <v>0.8</v>
      </c>
      <c r="AB10" s="715">
        <v>0.8</v>
      </c>
      <c r="AC10" s="716">
        <v>0.7</v>
      </c>
      <c r="AD10" s="708">
        <v>0.6</v>
      </c>
      <c r="AE10" s="708"/>
      <c r="AF10" s="708"/>
      <c r="AG10" s="717"/>
      <c r="AH10" s="708"/>
      <c r="AI10" s="708"/>
      <c r="AJ10" s="718"/>
      <c r="AK10" s="718"/>
      <c r="AL10" s="718"/>
      <c r="AM10" s="718"/>
      <c r="AN10" s="718"/>
      <c r="AO10" s="718"/>
      <c r="AP10" s="718"/>
      <c r="AQ10" s="718"/>
      <c r="AR10" s="718"/>
      <c r="AS10" s="718"/>
      <c r="AT10" s="718"/>
      <c r="AU10" s="718"/>
      <c r="AV10" s="718"/>
      <c r="AW10" s="718"/>
      <c r="AX10" s="718"/>
      <c r="AY10" s="718"/>
      <c r="AZ10" s="718"/>
      <c r="BA10" s="718"/>
      <c r="BB10" s="718"/>
      <c r="BC10" s="718"/>
      <c r="BD10" s="718"/>
    </row>
    <row r="11" spans="1:59" s="711" customFormat="1" ht="15" hidden="1">
      <c r="A11" s="719"/>
      <c r="C11" s="712"/>
      <c r="D11" s="718"/>
      <c r="E11" s="720"/>
      <c r="F11" s="720"/>
      <c r="G11" s="720"/>
      <c r="H11" s="720"/>
      <c r="I11" s="720"/>
      <c r="J11" s="721"/>
      <c r="K11" s="718"/>
      <c r="L11" s="718"/>
      <c r="M11" s="722"/>
      <c r="N11" s="722"/>
      <c r="O11" s="722"/>
      <c r="P11" s="722"/>
      <c r="Q11" s="722"/>
      <c r="R11" s="722"/>
      <c r="S11" s="723"/>
      <c r="T11" s="722"/>
      <c r="U11" s="722"/>
      <c r="V11" s="722"/>
      <c r="W11" s="723"/>
      <c r="X11" s="722"/>
      <c r="Y11" s="722"/>
      <c r="Z11" s="722"/>
      <c r="AA11" s="722"/>
      <c r="AB11" s="722"/>
      <c r="AC11" s="722"/>
      <c r="AD11" s="708"/>
      <c r="AE11" s="708"/>
      <c r="AF11" s="708"/>
      <c r="AG11" s="717"/>
      <c r="AH11" s="708"/>
      <c r="AI11" s="708"/>
      <c r="AJ11" s="708"/>
      <c r="AK11" s="708"/>
      <c r="AL11" s="724"/>
      <c r="AM11" s="724"/>
      <c r="AN11" s="724"/>
      <c r="AO11" s="724"/>
      <c r="AP11" s="718"/>
      <c r="AQ11" s="718"/>
      <c r="AR11" s="718"/>
      <c r="AS11" s="718"/>
      <c r="AT11" s="718"/>
      <c r="AU11" s="718"/>
      <c r="AV11" s="718"/>
      <c r="AW11" s="718"/>
      <c r="AX11" s="718"/>
      <c r="AY11" s="718"/>
      <c r="AZ11" s="718"/>
      <c r="BA11" s="718"/>
      <c r="BB11" s="718"/>
      <c r="BC11" s="718"/>
      <c r="BD11" s="718"/>
    </row>
    <row r="12" spans="1:59" s="711" customFormat="1" ht="15" hidden="1">
      <c r="A12" s="719"/>
      <c r="C12" s="712"/>
      <c r="D12" s="718"/>
      <c r="E12" s="720"/>
      <c r="F12" s="720"/>
      <c r="G12" s="720"/>
      <c r="H12" s="720"/>
      <c r="I12" s="720"/>
      <c r="J12" s="720"/>
      <c r="K12" s="720"/>
      <c r="L12" s="720"/>
      <c r="M12" s="721"/>
      <c r="N12" s="718"/>
      <c r="O12" s="718"/>
      <c r="P12" s="718"/>
      <c r="Q12" s="722"/>
      <c r="R12" s="722"/>
      <c r="S12" s="723"/>
      <c r="T12" s="722"/>
      <c r="U12" s="722"/>
      <c r="V12" s="722"/>
      <c r="W12" s="723"/>
      <c r="X12" s="722"/>
      <c r="Y12" s="722"/>
      <c r="Z12" s="722"/>
      <c r="AA12" s="722"/>
      <c r="AB12" s="722"/>
      <c r="AC12" s="722"/>
      <c r="AD12" s="722"/>
      <c r="AE12" s="722"/>
      <c r="AF12" s="722"/>
      <c r="AG12" s="717"/>
      <c r="AH12" s="708"/>
      <c r="AI12" s="708"/>
      <c r="AJ12" s="708"/>
      <c r="AK12" s="708"/>
      <c r="AL12" s="708"/>
      <c r="AM12" s="708"/>
      <c r="AN12" s="708"/>
      <c r="AO12" s="724"/>
      <c r="AP12" s="718"/>
      <c r="AQ12" s="718"/>
      <c r="AR12" s="718"/>
      <c r="AS12" s="718"/>
      <c r="AT12" s="718"/>
      <c r="AU12" s="718"/>
      <c r="AV12" s="718"/>
      <c r="AW12" s="718"/>
      <c r="AX12" s="718"/>
      <c r="AY12" s="718"/>
      <c r="AZ12" s="718"/>
      <c r="BA12" s="718"/>
      <c r="BB12" s="718"/>
      <c r="BC12" s="718"/>
      <c r="BD12" s="718"/>
    </row>
    <row r="13" spans="1:59" s="725" customFormat="1" hidden="1">
      <c r="C13" s="726" t="s">
        <v>993</v>
      </c>
      <c r="D13" s="720"/>
      <c r="E13" s="720"/>
      <c r="F13" s="720"/>
      <c r="G13" s="720"/>
      <c r="H13" s="720"/>
      <c r="I13" s="720"/>
      <c r="J13" s="721"/>
      <c r="K13" s="720">
        <v>1.2</v>
      </c>
      <c r="L13" s="720">
        <v>1.1000000000000001</v>
      </c>
      <c r="M13" s="720"/>
      <c r="N13" s="720"/>
      <c r="O13" s="720"/>
      <c r="P13" s="720"/>
      <c r="Q13" s="720"/>
      <c r="R13" s="720"/>
      <c r="S13" s="727"/>
      <c r="T13" s="720"/>
      <c r="U13" s="720"/>
      <c r="V13" s="720"/>
      <c r="W13" s="727"/>
      <c r="X13" s="720"/>
      <c r="Y13" s="720"/>
      <c r="Z13" s="720"/>
      <c r="AA13" s="724"/>
      <c r="AB13" s="724"/>
      <c r="AC13" s="724"/>
      <c r="AD13" s="724"/>
      <c r="AE13" s="724"/>
      <c r="AF13" s="724"/>
      <c r="AG13" s="728"/>
      <c r="AH13" s="724"/>
      <c r="AI13" s="724"/>
      <c r="AJ13" s="724"/>
      <c r="AK13" s="724"/>
      <c r="AL13" s="724"/>
      <c r="AM13" s="724"/>
      <c r="AN13" s="724"/>
      <c r="AO13" s="724"/>
      <c r="AP13" s="724"/>
      <c r="AQ13" s="724"/>
      <c r="AR13" s="724"/>
      <c r="AS13" s="724"/>
      <c r="AT13" s="724"/>
      <c r="AU13" s="724"/>
      <c r="AV13" s="724"/>
      <c r="AW13" s="724"/>
      <c r="AX13" s="724"/>
      <c r="AY13" s="724"/>
      <c r="AZ13" s="724"/>
      <c r="BA13" s="724"/>
      <c r="BB13" s="724"/>
      <c r="BC13" s="724"/>
      <c r="BD13" s="724"/>
      <c r="BE13" s="729"/>
      <c r="BF13" s="729"/>
      <c r="BG13" s="729"/>
    </row>
    <row r="14" spans="1:59" s="731" customFormat="1" ht="12" customHeight="1">
      <c r="A14" s="730" t="s">
        <v>274</v>
      </c>
      <c r="C14" s="726" t="s">
        <v>994</v>
      </c>
      <c r="D14" s="720"/>
      <c r="E14" s="720"/>
      <c r="F14" s="720"/>
      <c r="G14" s="720"/>
      <c r="H14" s="720"/>
      <c r="I14" s="720"/>
      <c r="J14" s="720"/>
      <c r="K14" s="720">
        <v>1.2</v>
      </c>
      <c r="L14" s="720"/>
      <c r="M14" s="721"/>
      <c r="N14" s="720"/>
      <c r="O14" s="720"/>
      <c r="P14" s="720"/>
      <c r="Q14" s="720"/>
      <c r="R14" s="720"/>
      <c r="S14" s="727"/>
      <c r="T14" s="720"/>
      <c r="U14" s="720"/>
      <c r="V14" s="720"/>
      <c r="W14" s="727"/>
      <c r="X14" s="720"/>
      <c r="Y14" s="720"/>
      <c r="Z14" s="720"/>
      <c r="AA14" s="724"/>
      <c r="AB14" s="724"/>
      <c r="AC14" s="724"/>
      <c r="AD14" s="724"/>
      <c r="AE14" s="724"/>
      <c r="AF14" s="724"/>
      <c r="AG14" s="728"/>
      <c r="AH14" s="724"/>
      <c r="AI14" s="724"/>
      <c r="AJ14" s="724"/>
      <c r="AK14" s="724"/>
      <c r="AL14" s="724"/>
      <c r="AM14" s="724"/>
      <c r="AN14" s="724"/>
      <c r="AO14" s="724"/>
      <c r="AP14" s="724"/>
      <c r="AQ14" s="724"/>
      <c r="AR14" s="724"/>
      <c r="AS14" s="724"/>
      <c r="AT14" s="724"/>
      <c r="AU14" s="724"/>
      <c r="AV14" s="724"/>
      <c r="AW14" s="724"/>
      <c r="AX14" s="724"/>
      <c r="AY14" s="724"/>
      <c r="AZ14" s="724"/>
      <c r="BA14" s="724"/>
      <c r="BB14" s="724"/>
      <c r="BC14" s="724"/>
      <c r="BD14" s="724"/>
      <c r="BE14" s="729"/>
      <c r="BF14" s="729"/>
      <c r="BG14" s="729"/>
    </row>
    <row r="15" spans="1:59" s="732" customFormat="1" hidden="1">
      <c r="C15" s="733" t="s">
        <v>995</v>
      </c>
      <c r="D15" s="724"/>
      <c r="E15" s="724"/>
      <c r="F15" s="724"/>
      <c r="G15" s="724"/>
      <c r="H15" s="724"/>
      <c r="I15" s="724"/>
      <c r="J15" s="724"/>
      <c r="K15" s="720">
        <v>1.2</v>
      </c>
      <c r="L15" s="724"/>
      <c r="M15" s="724"/>
      <c r="N15" s="724"/>
      <c r="O15" s="729"/>
      <c r="P15" s="729"/>
      <c r="Q15" s="724">
        <v>1.2</v>
      </c>
      <c r="R15" s="724">
        <v>1.1000000000000001</v>
      </c>
      <c r="S15" s="734">
        <v>1</v>
      </c>
      <c r="T15" s="724">
        <v>0.9</v>
      </c>
      <c r="U15" s="724">
        <v>1</v>
      </c>
      <c r="V15" s="724">
        <v>1</v>
      </c>
      <c r="W15" s="734">
        <v>1</v>
      </c>
      <c r="X15" s="724">
        <v>1</v>
      </c>
      <c r="Y15" s="724">
        <v>0.9</v>
      </c>
      <c r="Z15" s="724">
        <v>0.9</v>
      </c>
      <c r="AA15" s="724">
        <v>0.9</v>
      </c>
      <c r="AB15" s="724">
        <v>0.85</v>
      </c>
      <c r="AC15" s="724">
        <v>0.85</v>
      </c>
      <c r="AD15" s="724">
        <v>0.85</v>
      </c>
      <c r="AE15" s="724">
        <v>0.85</v>
      </c>
      <c r="AF15" s="724">
        <v>0.85</v>
      </c>
      <c r="AG15" s="728">
        <v>0.8</v>
      </c>
      <c r="AH15" s="724">
        <v>0.8</v>
      </c>
      <c r="AI15" s="724">
        <v>0.8</v>
      </c>
      <c r="AJ15" s="724">
        <v>0.8</v>
      </c>
      <c r="AK15" s="724">
        <v>0.7</v>
      </c>
      <c r="AL15" s="724">
        <v>0.7</v>
      </c>
      <c r="AM15" s="724">
        <v>0.7</v>
      </c>
      <c r="AN15" s="724">
        <v>0.7</v>
      </c>
      <c r="AO15" s="724">
        <v>0.6</v>
      </c>
      <c r="AP15" s="724">
        <v>0.6</v>
      </c>
      <c r="AQ15" s="724">
        <v>0.6</v>
      </c>
      <c r="AR15" s="724">
        <v>0.6</v>
      </c>
      <c r="AS15" s="724"/>
      <c r="AT15" s="724"/>
      <c r="AU15" s="724"/>
      <c r="AV15" s="724"/>
      <c r="AW15" s="724"/>
      <c r="AX15" s="724"/>
      <c r="AY15" s="724"/>
      <c r="AZ15" s="724"/>
      <c r="BA15" s="724"/>
      <c r="BB15" s="724"/>
      <c r="BC15" s="724"/>
      <c r="BD15" s="724"/>
      <c r="BE15" s="729"/>
      <c r="BF15" s="729"/>
      <c r="BG15" s="729"/>
    </row>
    <row r="16" spans="1:59" s="732" customFormat="1" hidden="1">
      <c r="C16" s="733" t="s">
        <v>996</v>
      </c>
      <c r="D16" s="724"/>
      <c r="E16" s="724"/>
      <c r="F16" s="724"/>
      <c r="G16" s="724"/>
      <c r="H16" s="724"/>
      <c r="I16" s="724"/>
      <c r="J16" s="724"/>
      <c r="K16" s="720">
        <v>1.2</v>
      </c>
      <c r="L16" s="724"/>
      <c r="M16" s="724"/>
      <c r="N16" s="724"/>
      <c r="O16" s="724"/>
      <c r="P16" s="724"/>
      <c r="Q16" s="724"/>
      <c r="R16" s="729"/>
      <c r="S16" s="734"/>
      <c r="T16" s="724">
        <v>1.2</v>
      </c>
      <c r="U16" s="724">
        <v>1.1000000000000001</v>
      </c>
      <c r="V16" s="724">
        <v>1</v>
      </c>
      <c r="W16" s="734">
        <v>0.9</v>
      </c>
      <c r="X16" s="724">
        <v>1</v>
      </c>
      <c r="Y16" s="724">
        <v>1</v>
      </c>
      <c r="Z16" s="724">
        <v>1</v>
      </c>
      <c r="AA16" s="724">
        <v>1</v>
      </c>
      <c r="AB16" s="724">
        <v>0.9</v>
      </c>
      <c r="AC16" s="724">
        <v>0.9</v>
      </c>
      <c r="AD16" s="724">
        <v>0.9</v>
      </c>
      <c r="AE16" s="724">
        <v>0.85</v>
      </c>
      <c r="AF16" s="724">
        <v>0.85</v>
      </c>
      <c r="AG16" s="728">
        <v>0.85</v>
      </c>
      <c r="AH16" s="724">
        <v>0.85</v>
      </c>
      <c r="AI16" s="724">
        <v>0.8</v>
      </c>
      <c r="AJ16" s="724">
        <v>0.8</v>
      </c>
      <c r="AK16" s="724">
        <v>0.8</v>
      </c>
      <c r="AL16" s="724">
        <v>0.8</v>
      </c>
      <c r="AM16" s="724">
        <v>0.7</v>
      </c>
      <c r="AN16" s="724">
        <v>0.7</v>
      </c>
      <c r="AO16" s="724">
        <v>0.7</v>
      </c>
      <c r="AP16" s="724">
        <v>0.7</v>
      </c>
      <c r="AQ16" s="724">
        <v>0.6</v>
      </c>
      <c r="AR16" s="724">
        <v>0.6</v>
      </c>
      <c r="AS16" s="724">
        <v>0.7</v>
      </c>
      <c r="AT16" s="724">
        <v>0.7</v>
      </c>
      <c r="AU16" s="724">
        <v>0.7</v>
      </c>
      <c r="AV16" s="724">
        <v>0.7</v>
      </c>
      <c r="AW16" s="724">
        <v>0.6</v>
      </c>
      <c r="AX16" s="724"/>
      <c r="AY16" s="724"/>
      <c r="AZ16" s="724"/>
      <c r="BA16" s="724"/>
      <c r="BB16" s="724"/>
      <c r="BC16" s="724"/>
      <c r="BD16" s="724"/>
      <c r="BE16" s="729"/>
      <c r="BF16" s="729"/>
      <c r="BG16" s="729"/>
    </row>
    <row r="17" spans="1:61" s="732" customFormat="1" hidden="1">
      <c r="C17" s="733" t="s">
        <v>997</v>
      </c>
      <c r="D17" s="724"/>
      <c r="E17" s="724"/>
      <c r="F17" s="724"/>
      <c r="G17" s="724"/>
      <c r="H17" s="724"/>
      <c r="I17" s="724"/>
      <c r="J17" s="724"/>
      <c r="K17" s="720">
        <v>1.2</v>
      </c>
      <c r="L17" s="724"/>
      <c r="M17" s="724"/>
      <c r="N17" s="724"/>
      <c r="O17" s="724"/>
      <c r="P17" s="724"/>
      <c r="Q17" s="724"/>
      <c r="R17" s="724"/>
      <c r="S17" s="735"/>
      <c r="T17" s="729"/>
      <c r="U17" s="729"/>
      <c r="V17" s="729"/>
      <c r="W17" s="734">
        <v>1.2</v>
      </c>
      <c r="X17" s="724">
        <v>1.1000000000000001</v>
      </c>
      <c r="Y17" s="724">
        <v>1.1000000000000001</v>
      </c>
      <c r="Z17" s="724">
        <v>0.9</v>
      </c>
      <c r="AA17" s="724">
        <v>1</v>
      </c>
      <c r="AB17" s="724">
        <v>1</v>
      </c>
      <c r="AC17" s="724">
        <v>1</v>
      </c>
      <c r="AD17" s="724">
        <v>1</v>
      </c>
      <c r="AE17" s="724">
        <v>0.9</v>
      </c>
      <c r="AF17" s="724">
        <v>0.9</v>
      </c>
      <c r="AG17" s="728">
        <v>0.9</v>
      </c>
      <c r="AH17" s="724">
        <v>0.85</v>
      </c>
      <c r="AI17" s="724">
        <v>0.85</v>
      </c>
      <c r="AJ17" s="724">
        <v>0.85</v>
      </c>
      <c r="AK17" s="724">
        <v>0.85</v>
      </c>
      <c r="AL17" s="724">
        <v>0.8</v>
      </c>
      <c r="AM17" s="724">
        <v>0.8</v>
      </c>
      <c r="AN17" s="724">
        <v>0.8</v>
      </c>
      <c r="AO17" s="724">
        <v>0.8</v>
      </c>
      <c r="AP17" s="724">
        <v>0.7</v>
      </c>
      <c r="AQ17" s="724">
        <v>0.7</v>
      </c>
      <c r="AR17" s="724">
        <v>0.7</v>
      </c>
      <c r="AS17" s="724">
        <v>0.7</v>
      </c>
      <c r="AT17" s="724">
        <v>0.6</v>
      </c>
      <c r="AU17" s="724">
        <v>0.6</v>
      </c>
      <c r="AV17" s="724">
        <v>0.6</v>
      </c>
      <c r="AW17" s="724">
        <v>0.6</v>
      </c>
      <c r="AX17" s="724">
        <v>0.6</v>
      </c>
      <c r="AY17" s="724"/>
      <c r="AZ17" s="724"/>
      <c r="BA17" s="724"/>
      <c r="BB17" s="724"/>
      <c r="BC17" s="724"/>
      <c r="BD17" s="724"/>
      <c r="BE17" s="729"/>
      <c r="BF17" s="729"/>
      <c r="BG17" s="729"/>
    </row>
    <row r="18" spans="1:61" s="739" customFormat="1" hidden="1">
      <c r="A18" s="732"/>
      <c r="B18" s="732"/>
      <c r="C18" s="733" t="s">
        <v>998</v>
      </c>
      <c r="D18" s="736"/>
      <c r="E18" s="736"/>
      <c r="F18" s="736"/>
      <c r="G18" s="736"/>
      <c r="H18" s="736"/>
      <c r="I18" s="736"/>
      <c r="J18" s="736"/>
      <c r="K18" s="720">
        <v>1.2</v>
      </c>
      <c r="L18" s="736"/>
      <c r="M18" s="736"/>
      <c r="N18" s="736"/>
      <c r="O18" s="736"/>
      <c r="P18" s="736"/>
      <c r="Q18" s="736"/>
      <c r="R18" s="736"/>
      <c r="S18" s="737"/>
      <c r="T18" s="736"/>
      <c r="U18" s="736"/>
      <c r="V18" s="736"/>
      <c r="W18" s="737"/>
      <c r="X18" s="736"/>
      <c r="Y18" s="736"/>
      <c r="Z18" s="724">
        <v>1.2</v>
      </c>
      <c r="AA18" s="724">
        <v>1.1000000000000001</v>
      </c>
      <c r="AB18" s="724">
        <v>1.1000000000000001</v>
      </c>
      <c r="AC18" s="724">
        <v>0.9</v>
      </c>
      <c r="AD18" s="724">
        <v>1</v>
      </c>
      <c r="AE18" s="724">
        <v>1</v>
      </c>
      <c r="AF18" s="724">
        <v>1</v>
      </c>
      <c r="AG18" s="728">
        <v>1</v>
      </c>
      <c r="AH18" s="724">
        <v>0.9</v>
      </c>
      <c r="AI18" s="724">
        <v>0.9</v>
      </c>
      <c r="AJ18" s="724">
        <v>0.9</v>
      </c>
      <c r="AK18" s="724">
        <v>0.85</v>
      </c>
      <c r="AL18" s="724">
        <v>0.85</v>
      </c>
      <c r="AM18" s="724">
        <v>0.85</v>
      </c>
      <c r="AN18" s="724">
        <v>0.85</v>
      </c>
      <c r="AO18" s="724">
        <v>0.8</v>
      </c>
      <c r="AP18" s="724">
        <v>0.8</v>
      </c>
      <c r="AQ18" s="724">
        <v>0.8</v>
      </c>
      <c r="AR18" s="724">
        <v>0.8</v>
      </c>
      <c r="AS18" s="724">
        <v>0.7</v>
      </c>
      <c r="AT18" s="724">
        <v>0.7</v>
      </c>
      <c r="AU18" s="724">
        <v>0.7</v>
      </c>
      <c r="AV18" s="724">
        <v>0.7</v>
      </c>
      <c r="AW18" s="724">
        <v>0.6</v>
      </c>
      <c r="AX18" s="724">
        <v>0.6</v>
      </c>
      <c r="AY18" s="724">
        <v>0.6</v>
      </c>
      <c r="AZ18" s="724">
        <v>0.6</v>
      </c>
      <c r="BA18" s="724">
        <v>0.6</v>
      </c>
      <c r="BB18" s="736"/>
      <c r="BC18" s="736"/>
      <c r="BD18" s="736"/>
      <c r="BE18" s="738"/>
      <c r="BF18" s="738"/>
      <c r="BG18" s="738"/>
    </row>
    <row r="19" spans="1:61" s="739" customFormat="1" hidden="1">
      <c r="A19" s="732"/>
      <c r="B19" s="732"/>
      <c r="C19" s="733" t="s">
        <v>999</v>
      </c>
      <c r="D19" s="736"/>
      <c r="E19" s="736"/>
      <c r="F19" s="736"/>
      <c r="G19" s="736"/>
      <c r="H19" s="736"/>
      <c r="I19" s="736"/>
      <c r="J19" s="736"/>
      <c r="K19" s="720">
        <v>1.2</v>
      </c>
      <c r="L19" s="736"/>
      <c r="M19" s="736"/>
      <c r="N19" s="736"/>
      <c r="O19" s="736"/>
      <c r="P19" s="736"/>
      <c r="Q19" s="736"/>
      <c r="R19" s="736"/>
      <c r="S19" s="737"/>
      <c r="T19" s="736"/>
      <c r="U19" s="736"/>
      <c r="V19" s="736"/>
      <c r="W19" s="737"/>
      <c r="X19" s="736"/>
      <c r="Y19" s="736"/>
      <c r="Z19" s="736"/>
      <c r="AA19" s="736"/>
      <c r="AB19" s="736"/>
      <c r="AC19" s="736">
        <v>1.2</v>
      </c>
      <c r="AD19" s="724">
        <v>1.1000000000000001</v>
      </c>
      <c r="AE19" s="724">
        <v>1.1000000000000001</v>
      </c>
      <c r="AF19" s="724">
        <v>0.9</v>
      </c>
      <c r="AG19" s="728">
        <v>1</v>
      </c>
      <c r="AH19" s="724">
        <v>1</v>
      </c>
      <c r="AI19" s="724">
        <v>1</v>
      </c>
      <c r="AJ19" s="724">
        <v>1</v>
      </c>
      <c r="AK19" s="724">
        <v>0.9</v>
      </c>
      <c r="AL19" s="724">
        <v>0.9</v>
      </c>
      <c r="AM19" s="724">
        <v>0.9</v>
      </c>
      <c r="AN19" s="724">
        <v>0.85</v>
      </c>
      <c r="AO19" s="724">
        <v>0.85</v>
      </c>
      <c r="AP19" s="724">
        <v>0.85</v>
      </c>
      <c r="AQ19" s="724">
        <v>0.85</v>
      </c>
      <c r="AR19" s="724">
        <v>0.8</v>
      </c>
      <c r="AS19" s="724">
        <v>0.8</v>
      </c>
      <c r="AT19" s="724">
        <v>0.8</v>
      </c>
      <c r="AU19" s="724">
        <v>0.8</v>
      </c>
      <c r="AV19" s="724">
        <v>0.7</v>
      </c>
      <c r="AW19" s="724">
        <v>0.7</v>
      </c>
      <c r="AX19" s="724">
        <v>0.7</v>
      </c>
      <c r="AY19" s="724">
        <v>0.7</v>
      </c>
      <c r="AZ19" s="724">
        <v>0.6</v>
      </c>
      <c r="BA19" s="724">
        <v>0.6</v>
      </c>
      <c r="BB19" s="724">
        <v>0.6</v>
      </c>
      <c r="BC19" s="724">
        <v>0.6</v>
      </c>
      <c r="BD19" s="724">
        <v>0.6</v>
      </c>
      <c r="BE19" s="738"/>
      <c r="BF19" s="738"/>
      <c r="BG19" s="738"/>
    </row>
    <row r="20" spans="1:61" s="739" customFormat="1" hidden="1">
      <c r="A20" s="732"/>
      <c r="B20" s="732"/>
      <c r="C20" s="733" t="s">
        <v>1000</v>
      </c>
      <c r="D20" s="736"/>
      <c r="E20" s="736"/>
      <c r="F20" s="736"/>
      <c r="G20" s="736"/>
      <c r="H20" s="736"/>
      <c r="I20" s="736"/>
      <c r="J20" s="736"/>
      <c r="K20" s="720">
        <v>1.2</v>
      </c>
      <c r="L20" s="736"/>
      <c r="M20" s="736"/>
      <c r="N20" s="736"/>
      <c r="O20" s="736"/>
      <c r="P20" s="736"/>
      <c r="Q20" s="736"/>
      <c r="R20" s="736"/>
      <c r="S20" s="737"/>
      <c r="T20" s="736"/>
      <c r="U20" s="736"/>
      <c r="V20" s="736"/>
      <c r="W20" s="737"/>
      <c r="X20" s="736"/>
      <c r="Y20" s="736"/>
      <c r="Z20" s="736"/>
      <c r="AA20" s="736"/>
      <c r="AB20" s="736"/>
      <c r="AC20" s="736"/>
      <c r="AD20" s="736"/>
      <c r="AE20" s="736"/>
      <c r="AF20" s="724">
        <v>1.2</v>
      </c>
      <c r="AG20" s="728">
        <v>1.1000000000000001</v>
      </c>
      <c r="AH20" s="724">
        <v>0.9</v>
      </c>
      <c r="AI20" s="724">
        <v>1</v>
      </c>
      <c r="AJ20" s="724">
        <v>1</v>
      </c>
      <c r="AK20" s="724">
        <v>1</v>
      </c>
      <c r="AL20" s="724">
        <v>1</v>
      </c>
      <c r="AM20" s="724">
        <v>1</v>
      </c>
      <c r="AN20" s="724">
        <v>0.9</v>
      </c>
      <c r="AO20" s="724">
        <v>0.9</v>
      </c>
      <c r="AP20" s="724">
        <v>0.9</v>
      </c>
      <c r="AQ20" s="724">
        <v>0.85</v>
      </c>
      <c r="AR20" s="724">
        <v>0.85</v>
      </c>
      <c r="AS20" s="724">
        <v>0.85</v>
      </c>
      <c r="AT20" s="724">
        <v>0.85</v>
      </c>
      <c r="AU20" s="724">
        <v>0.8</v>
      </c>
      <c r="AV20" s="724">
        <v>0.8</v>
      </c>
      <c r="AW20" s="724">
        <v>0.8</v>
      </c>
      <c r="AX20" s="724">
        <v>0.8</v>
      </c>
      <c r="AY20" s="724">
        <v>0.7</v>
      </c>
      <c r="AZ20" s="724">
        <v>0.7</v>
      </c>
      <c r="BA20" s="724">
        <v>0.7</v>
      </c>
      <c r="BB20" s="724">
        <v>0.7</v>
      </c>
      <c r="BC20" s="724">
        <v>0.6</v>
      </c>
      <c r="BD20" s="724">
        <v>0.6</v>
      </c>
      <c r="BE20" s="724">
        <v>0.6</v>
      </c>
      <c r="BF20" s="724">
        <v>0.6</v>
      </c>
      <c r="BG20" s="724">
        <v>0.6</v>
      </c>
    </row>
    <row r="21" spans="1:61" s="739" customFormat="1" hidden="1">
      <c r="A21" s="732"/>
      <c r="B21" s="732"/>
      <c r="C21" s="733" t="s">
        <v>1001</v>
      </c>
      <c r="D21" s="736"/>
      <c r="E21" s="736"/>
      <c r="F21" s="736"/>
      <c r="G21" s="736"/>
      <c r="H21" s="736"/>
      <c r="I21" s="736"/>
      <c r="J21" s="736"/>
      <c r="K21" s="720">
        <v>1.2</v>
      </c>
      <c r="L21" s="736"/>
      <c r="M21" s="736"/>
      <c r="N21" s="736"/>
      <c r="O21" s="736"/>
      <c r="P21" s="736"/>
      <c r="Q21" s="736"/>
      <c r="R21" s="736"/>
      <c r="S21" s="737"/>
      <c r="T21" s="736"/>
      <c r="U21" s="736"/>
      <c r="V21" s="736"/>
      <c r="W21" s="737"/>
      <c r="X21" s="736"/>
      <c r="Y21" s="736"/>
      <c r="Z21" s="736"/>
      <c r="AA21" s="736"/>
      <c r="AB21" s="736"/>
      <c r="AC21" s="736"/>
      <c r="AD21" s="736"/>
      <c r="AE21" s="736"/>
      <c r="AF21" s="736"/>
      <c r="AG21" s="740"/>
      <c r="AH21" s="724">
        <v>1.2</v>
      </c>
      <c r="AI21" s="724">
        <v>1.1000000000000001</v>
      </c>
      <c r="AJ21" s="724">
        <v>1.1000000000000001</v>
      </c>
      <c r="AK21" s="724">
        <v>1</v>
      </c>
      <c r="AL21" s="724">
        <v>1</v>
      </c>
      <c r="AM21" s="724">
        <v>1</v>
      </c>
      <c r="AN21" s="724">
        <v>1</v>
      </c>
      <c r="AO21" s="724">
        <v>1</v>
      </c>
      <c r="AP21" s="724">
        <v>0.9</v>
      </c>
      <c r="AQ21" s="724">
        <v>0.9</v>
      </c>
      <c r="AR21" s="724">
        <v>0.9</v>
      </c>
      <c r="AS21" s="724">
        <v>0.9</v>
      </c>
      <c r="AT21" s="724">
        <v>0.85</v>
      </c>
      <c r="AU21" s="724">
        <v>0.85</v>
      </c>
      <c r="AV21" s="724">
        <v>0.85</v>
      </c>
      <c r="AW21" s="724">
        <v>0.8</v>
      </c>
      <c r="AX21" s="724">
        <v>0.8</v>
      </c>
      <c r="AY21" s="724">
        <v>0.8</v>
      </c>
      <c r="AZ21" s="724">
        <v>0.8</v>
      </c>
      <c r="BA21" s="724">
        <v>0.7</v>
      </c>
      <c r="BB21" s="724">
        <v>0.7</v>
      </c>
      <c r="BC21" s="724">
        <v>0.7</v>
      </c>
      <c r="BD21" s="724">
        <v>0.7</v>
      </c>
      <c r="BE21" s="724">
        <v>0.6</v>
      </c>
      <c r="BF21" s="724">
        <v>0.6</v>
      </c>
      <c r="BG21" s="724">
        <v>0.6</v>
      </c>
      <c r="BH21" s="708">
        <v>0.6</v>
      </c>
      <c r="BI21" s="708">
        <v>0.6</v>
      </c>
    </row>
    <row r="22" spans="1:61" s="739" customFormat="1" hidden="1">
      <c r="A22" s="732"/>
      <c r="B22" s="732"/>
      <c r="C22" s="733" t="s">
        <v>1002</v>
      </c>
      <c r="D22" s="736"/>
      <c r="E22" s="736"/>
      <c r="F22" s="736"/>
      <c r="G22" s="736"/>
      <c r="H22" s="736"/>
      <c r="I22" s="736"/>
      <c r="J22" s="736"/>
      <c r="K22" s="736"/>
      <c r="L22" s="736"/>
      <c r="M22" s="736"/>
      <c r="N22" s="736"/>
      <c r="O22" s="736"/>
      <c r="P22" s="736"/>
      <c r="Q22" s="736"/>
      <c r="R22" s="736"/>
      <c r="S22" s="737"/>
      <c r="T22" s="736"/>
      <c r="U22" s="736"/>
      <c r="V22" s="736"/>
      <c r="W22" s="737"/>
      <c r="X22" s="736"/>
      <c r="Y22" s="736"/>
      <c r="Z22" s="736"/>
      <c r="AA22" s="736"/>
      <c r="AB22" s="736"/>
      <c r="AC22" s="736"/>
      <c r="AD22" s="736"/>
      <c r="AE22" s="736"/>
      <c r="AF22" s="736"/>
      <c r="AG22" s="740"/>
      <c r="AH22" s="736"/>
      <c r="AI22" s="736"/>
      <c r="AJ22" s="736"/>
      <c r="AK22" s="736"/>
      <c r="AL22" s="736"/>
      <c r="AM22" s="736"/>
      <c r="AN22" s="736"/>
      <c r="AO22" s="736"/>
      <c r="AP22" s="736"/>
      <c r="AQ22" s="736"/>
      <c r="AR22" s="736"/>
      <c r="AS22" s="736"/>
      <c r="AT22" s="736"/>
      <c r="AU22" s="736"/>
      <c r="AV22" s="736"/>
      <c r="AW22" s="736"/>
      <c r="AX22" s="736"/>
      <c r="AY22" s="736"/>
      <c r="AZ22" s="736"/>
      <c r="BA22" s="736"/>
      <c r="BB22" s="736"/>
      <c r="BC22" s="736"/>
      <c r="BD22" s="736"/>
      <c r="BE22" s="738"/>
      <c r="BF22" s="738"/>
      <c r="BG22" s="738"/>
    </row>
    <row r="23" spans="1:61" s="739" customFormat="1" hidden="1">
      <c r="A23" s="732"/>
      <c r="B23" s="732"/>
      <c r="C23" s="733" t="s">
        <v>1003</v>
      </c>
      <c r="D23" s="736"/>
      <c r="E23" s="736"/>
      <c r="F23" s="736"/>
      <c r="G23" s="736"/>
      <c r="H23" s="736"/>
      <c r="I23" s="736"/>
      <c r="J23" s="736"/>
      <c r="K23" s="736"/>
      <c r="L23" s="736"/>
      <c r="M23" s="736"/>
      <c r="N23" s="736"/>
      <c r="O23" s="736"/>
      <c r="P23" s="736"/>
      <c r="Q23" s="736"/>
      <c r="R23" s="736"/>
      <c r="S23" s="737"/>
      <c r="T23" s="736"/>
      <c r="U23" s="736"/>
      <c r="V23" s="736"/>
      <c r="W23" s="737"/>
      <c r="X23" s="736"/>
      <c r="Y23" s="736"/>
      <c r="Z23" s="736"/>
      <c r="AA23" s="736"/>
      <c r="AB23" s="736"/>
      <c r="AC23" s="736"/>
      <c r="AD23" s="736"/>
      <c r="AE23" s="736"/>
      <c r="AF23" s="736"/>
      <c r="AG23" s="740"/>
      <c r="AH23" s="736"/>
      <c r="AI23" s="736"/>
      <c r="AJ23" s="736"/>
      <c r="AK23" s="736"/>
      <c r="AL23" s="736"/>
      <c r="AM23" s="736"/>
      <c r="AN23" s="736"/>
      <c r="AO23" s="736"/>
      <c r="AP23" s="736"/>
      <c r="AQ23" s="736"/>
      <c r="AR23" s="736"/>
      <c r="AS23" s="736"/>
      <c r="AT23" s="736"/>
      <c r="AU23" s="736"/>
      <c r="AV23" s="736"/>
      <c r="AW23" s="736"/>
      <c r="AX23" s="736"/>
      <c r="AY23" s="736"/>
      <c r="AZ23" s="736"/>
      <c r="BA23" s="736"/>
      <c r="BB23" s="736"/>
      <c r="BC23" s="736"/>
      <c r="BD23" s="736"/>
      <c r="BE23" s="738"/>
      <c r="BF23" s="738"/>
      <c r="BG23" s="738"/>
    </row>
    <row r="24" spans="1:61" s="739" customFormat="1" hidden="1">
      <c r="A24" s="732"/>
      <c r="B24" s="732"/>
      <c r="C24" s="733" t="s">
        <v>1004</v>
      </c>
      <c r="D24" s="736"/>
      <c r="E24" s="736"/>
      <c r="F24" s="736"/>
      <c r="G24" s="736"/>
      <c r="H24" s="736"/>
      <c r="I24" s="736"/>
      <c r="J24" s="736"/>
      <c r="K24" s="736"/>
      <c r="L24" s="736"/>
      <c r="M24" s="736"/>
      <c r="N24" s="736"/>
      <c r="O24" s="736"/>
      <c r="P24" s="736"/>
      <c r="Q24" s="736"/>
      <c r="R24" s="736"/>
      <c r="S24" s="737"/>
      <c r="T24" s="736"/>
      <c r="U24" s="736"/>
      <c r="V24" s="736"/>
      <c r="W24" s="737"/>
      <c r="X24" s="736"/>
      <c r="Y24" s="736"/>
      <c r="Z24" s="736"/>
      <c r="AA24" s="736"/>
      <c r="AB24" s="736"/>
      <c r="AC24" s="736"/>
      <c r="AD24" s="736"/>
      <c r="AE24" s="736"/>
      <c r="AF24" s="736"/>
      <c r="AG24" s="740"/>
      <c r="AH24" s="736"/>
      <c r="AI24" s="736"/>
      <c r="AJ24" s="736"/>
      <c r="AK24" s="736"/>
      <c r="AL24" s="736"/>
      <c r="AM24" s="736"/>
      <c r="AN24" s="736"/>
      <c r="AO24" s="736"/>
      <c r="AP24" s="736"/>
      <c r="AQ24" s="736"/>
      <c r="AR24" s="736"/>
      <c r="AS24" s="736"/>
      <c r="AT24" s="736"/>
      <c r="AU24" s="736"/>
      <c r="AV24" s="736"/>
      <c r="AW24" s="736"/>
      <c r="AX24" s="736"/>
      <c r="AY24" s="736"/>
      <c r="AZ24" s="736"/>
      <c r="BA24" s="736"/>
      <c r="BB24" s="736"/>
      <c r="BC24" s="736"/>
      <c r="BD24" s="736"/>
      <c r="BE24" s="738"/>
      <c r="BF24" s="738"/>
      <c r="BG24" s="738"/>
    </row>
    <row r="25" spans="1:61" s="739" customFormat="1" hidden="1">
      <c r="A25" s="732"/>
      <c r="B25" s="732"/>
      <c r="C25" s="733" t="s">
        <v>1005</v>
      </c>
      <c r="D25" s="736"/>
      <c r="E25" s="736"/>
      <c r="F25" s="736"/>
      <c r="G25" s="736"/>
      <c r="H25" s="736"/>
      <c r="I25" s="736"/>
      <c r="J25" s="736"/>
      <c r="K25" s="736"/>
      <c r="L25" s="736"/>
      <c r="M25" s="736"/>
      <c r="N25" s="736"/>
      <c r="O25" s="736"/>
      <c r="P25" s="736"/>
      <c r="Q25" s="736"/>
      <c r="R25" s="736"/>
      <c r="S25" s="737"/>
      <c r="T25" s="736"/>
      <c r="U25" s="736"/>
      <c r="V25" s="736"/>
      <c r="W25" s="737"/>
      <c r="X25" s="736"/>
      <c r="Y25" s="736"/>
      <c r="Z25" s="736"/>
      <c r="AA25" s="736"/>
      <c r="AB25" s="736"/>
      <c r="AC25" s="736"/>
      <c r="AD25" s="736"/>
      <c r="AE25" s="736"/>
      <c r="AF25" s="736"/>
      <c r="AG25" s="740"/>
      <c r="AH25" s="736"/>
      <c r="AI25" s="736"/>
      <c r="AJ25" s="736"/>
      <c r="AK25" s="736"/>
      <c r="AL25" s="736"/>
      <c r="AM25" s="736"/>
      <c r="AN25" s="736"/>
      <c r="AO25" s="736"/>
      <c r="AP25" s="736"/>
      <c r="AQ25" s="736"/>
      <c r="AR25" s="736"/>
      <c r="AS25" s="736"/>
      <c r="AT25" s="736"/>
      <c r="AU25" s="736"/>
      <c r="AV25" s="736"/>
      <c r="AW25" s="736"/>
      <c r="AX25" s="736"/>
      <c r="AY25" s="736"/>
      <c r="AZ25" s="736"/>
      <c r="BA25" s="736"/>
      <c r="BB25" s="736"/>
      <c r="BC25" s="736"/>
      <c r="BD25" s="736"/>
      <c r="BE25" s="738"/>
      <c r="BF25" s="738"/>
      <c r="BG25" s="738"/>
    </row>
    <row r="26" spans="1:61" s="739" customFormat="1" hidden="1" outlineLevel="1">
      <c r="A26" s="732"/>
      <c r="B26" s="732"/>
      <c r="C26" s="729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6"/>
      <c r="R26" s="736"/>
      <c r="S26" s="737"/>
      <c r="T26" s="736"/>
      <c r="U26" s="736"/>
      <c r="V26" s="736"/>
      <c r="W26" s="737"/>
      <c r="X26" s="736"/>
      <c r="Y26" s="736"/>
      <c r="Z26" s="736"/>
      <c r="AA26" s="736"/>
      <c r="AB26" s="736"/>
      <c r="AC26" s="736"/>
      <c r="AD26" s="736"/>
      <c r="AE26" s="736"/>
      <c r="AF26" s="736"/>
      <c r="AG26" s="740"/>
      <c r="AH26" s="736"/>
      <c r="AI26" s="736"/>
      <c r="AJ26" s="736"/>
      <c r="AK26" s="736"/>
      <c r="AL26" s="736"/>
      <c r="AM26" s="736"/>
      <c r="AN26" s="736"/>
      <c r="AO26" s="736"/>
      <c r="AP26" s="736"/>
      <c r="AQ26" s="736"/>
      <c r="AR26" s="736"/>
      <c r="AS26" s="736"/>
      <c r="AT26" s="736"/>
      <c r="AU26" s="736"/>
      <c r="AV26" s="736"/>
      <c r="AW26" s="736"/>
      <c r="AX26" s="736"/>
      <c r="AY26" s="736"/>
      <c r="AZ26" s="736"/>
      <c r="BA26" s="736"/>
      <c r="BB26" s="736"/>
      <c r="BC26" s="736"/>
      <c r="BD26" s="736"/>
      <c r="BE26" s="738"/>
      <c r="BF26" s="738"/>
      <c r="BG26" s="738"/>
    </row>
    <row r="27" spans="1:61" hidden="1" outlineLevel="1">
      <c r="AG27" s="743"/>
    </row>
    <row r="28" spans="1:61" ht="15" hidden="1" outlineLevel="1">
      <c r="AF28" s="1398"/>
      <c r="AG28" s="743"/>
    </row>
    <row r="29" spans="1:61" ht="12" customHeight="1" outlineLevel="1">
      <c r="A29" s="745" t="s">
        <v>1006</v>
      </c>
      <c r="AG29" s="743"/>
    </row>
    <row r="30" spans="1:61" ht="13" outlineLevel="1">
      <c r="A30" s="745" t="s">
        <v>1007</v>
      </c>
      <c r="AG30" s="743"/>
    </row>
    <row r="31" spans="1:61" s="746" customFormat="1" hidden="1" outlineLevel="1">
      <c r="C31" s="747" t="s">
        <v>488</v>
      </c>
      <c r="D31" s="748">
        <f>A56/20</f>
        <v>2600</v>
      </c>
      <c r="E31" s="749">
        <f>$D$31*E52</f>
        <v>2210</v>
      </c>
      <c r="F31" s="749">
        <f>$D$31*F52</f>
        <v>2899</v>
      </c>
      <c r="G31" s="749">
        <f t="shared" ref="G31:AA31" si="0">$D$31*G52</f>
        <v>2586.9999999999995</v>
      </c>
      <c r="H31" s="749">
        <f t="shared" si="0"/>
        <v>2769</v>
      </c>
      <c r="I31" s="749">
        <f t="shared" si="0"/>
        <v>2210</v>
      </c>
      <c r="J31" s="749">
        <f t="shared" si="0"/>
        <v>2899</v>
      </c>
      <c r="K31" s="749">
        <f t="shared" si="0"/>
        <v>2586.9999999999995</v>
      </c>
      <c r="L31" s="749">
        <f t="shared" si="0"/>
        <v>2769</v>
      </c>
      <c r="M31" s="749">
        <f t="shared" si="0"/>
        <v>2210</v>
      </c>
      <c r="N31" s="749">
        <f t="shared" si="0"/>
        <v>2899</v>
      </c>
      <c r="O31" s="749">
        <f t="shared" si="0"/>
        <v>2586.9999999999995</v>
      </c>
      <c r="P31" s="749">
        <f t="shared" si="0"/>
        <v>2769</v>
      </c>
      <c r="Q31" s="749">
        <f t="shared" si="0"/>
        <v>2210</v>
      </c>
      <c r="R31" s="749">
        <f t="shared" si="0"/>
        <v>2899</v>
      </c>
      <c r="S31" s="750">
        <f t="shared" si="0"/>
        <v>2586.9999999999995</v>
      </c>
      <c r="T31" s="749">
        <f t="shared" si="0"/>
        <v>2769</v>
      </c>
      <c r="U31" s="749">
        <f t="shared" si="0"/>
        <v>2210</v>
      </c>
      <c r="V31" s="749">
        <f t="shared" si="0"/>
        <v>2899</v>
      </c>
      <c r="W31" s="750">
        <f>$D$31*W52</f>
        <v>2586.9999999999995</v>
      </c>
      <c r="X31" s="749">
        <f t="shared" si="0"/>
        <v>2769</v>
      </c>
      <c r="Y31" s="749">
        <f t="shared" si="0"/>
        <v>2210</v>
      </c>
      <c r="Z31" s="749">
        <f t="shared" si="0"/>
        <v>2899</v>
      </c>
      <c r="AA31" s="749">
        <f t="shared" si="0"/>
        <v>2586.9999999999995</v>
      </c>
      <c r="AB31" s="749"/>
      <c r="AC31" s="749"/>
      <c r="AD31" s="749"/>
      <c r="AE31" s="749"/>
      <c r="AF31" s="749"/>
      <c r="AG31" s="751"/>
      <c r="AH31" s="749"/>
      <c r="AI31" s="749"/>
      <c r="AJ31" s="749"/>
      <c r="AK31" s="749"/>
      <c r="AL31" s="749"/>
      <c r="AM31" s="749"/>
      <c r="AN31" s="749"/>
      <c r="AO31" s="749"/>
      <c r="AP31" s="749"/>
      <c r="AQ31" s="749"/>
      <c r="AR31" s="749"/>
      <c r="AS31" s="749"/>
      <c r="AT31" s="749"/>
      <c r="AU31" s="749"/>
      <c r="AV31" s="749"/>
      <c r="AW31" s="749"/>
      <c r="AX31" s="749"/>
      <c r="AY31" s="749"/>
      <c r="AZ31" s="749"/>
      <c r="BA31" s="749"/>
      <c r="BB31" s="749"/>
      <c r="BC31" s="749"/>
      <c r="BD31" s="749"/>
    </row>
    <row r="32" spans="1:61" s="752" customFormat="1" hidden="1" outlineLevel="1">
      <c r="C32" s="753" t="s">
        <v>489</v>
      </c>
      <c r="D32" s="748">
        <f>A57/20.5</f>
        <v>2536.5853658536585</v>
      </c>
      <c r="E32" s="754"/>
      <c r="G32" s="755"/>
      <c r="H32" s="754"/>
      <c r="I32" s="754">
        <f t="shared" ref="I32:AD32" si="1">$D$32*I52</f>
        <v>2156.0975609756097</v>
      </c>
      <c r="J32" s="754">
        <f t="shared" si="1"/>
        <v>2828.292682926829</v>
      </c>
      <c r="K32" s="754">
        <f t="shared" si="1"/>
        <v>2523.9024390243899</v>
      </c>
      <c r="L32" s="754">
        <f t="shared" si="1"/>
        <v>2701.4634146341459</v>
      </c>
      <c r="M32" s="754">
        <f t="shared" si="1"/>
        <v>2156.0975609756097</v>
      </c>
      <c r="N32" s="754">
        <f t="shared" si="1"/>
        <v>2828.292682926829</v>
      </c>
      <c r="O32" s="754">
        <f t="shared" si="1"/>
        <v>2523.9024390243899</v>
      </c>
      <c r="P32" s="754">
        <f t="shared" si="1"/>
        <v>2701.4634146341459</v>
      </c>
      <c r="Q32" s="754">
        <f t="shared" si="1"/>
        <v>2156.0975609756097</v>
      </c>
      <c r="R32" s="754">
        <f t="shared" si="1"/>
        <v>2828.292682926829</v>
      </c>
      <c r="S32" s="756">
        <f t="shared" si="1"/>
        <v>2523.9024390243899</v>
      </c>
      <c r="T32" s="754">
        <f t="shared" si="1"/>
        <v>2701.4634146341459</v>
      </c>
      <c r="U32" s="754">
        <f t="shared" si="1"/>
        <v>2156.0975609756097</v>
      </c>
      <c r="V32" s="754">
        <f t="shared" si="1"/>
        <v>2828.292682926829</v>
      </c>
      <c r="W32" s="756">
        <f t="shared" si="1"/>
        <v>2523.9024390243899</v>
      </c>
      <c r="X32" s="754">
        <f t="shared" si="1"/>
        <v>2701.4634146341459</v>
      </c>
      <c r="Y32" s="754">
        <f t="shared" si="1"/>
        <v>2156.0975609756097</v>
      </c>
      <c r="Z32" s="754">
        <f t="shared" si="1"/>
        <v>2828.292682926829</v>
      </c>
      <c r="AA32" s="754">
        <f>$D$32*AA52</f>
        <v>2523.9024390243899</v>
      </c>
      <c r="AB32" s="754">
        <f t="shared" si="1"/>
        <v>2701.4634146341459</v>
      </c>
      <c r="AC32" s="754">
        <f t="shared" si="1"/>
        <v>2156.0975609756097</v>
      </c>
      <c r="AD32" s="754">
        <f t="shared" si="1"/>
        <v>2828.292682926829</v>
      </c>
      <c r="AE32" s="754"/>
      <c r="AF32" s="754"/>
      <c r="AG32" s="757"/>
      <c r="AH32" s="754"/>
      <c r="AI32" s="754"/>
      <c r="AJ32" s="754"/>
      <c r="AK32" s="754"/>
      <c r="AL32" s="754"/>
      <c r="AM32" s="754"/>
      <c r="AN32" s="754"/>
      <c r="AO32" s="754"/>
      <c r="AP32" s="754"/>
      <c r="AQ32" s="754"/>
      <c r="AR32" s="754"/>
      <c r="AS32" s="754"/>
      <c r="AT32" s="754"/>
      <c r="AU32" s="754"/>
      <c r="AV32" s="754"/>
      <c r="AW32" s="754"/>
      <c r="AX32" s="754"/>
      <c r="AY32" s="754"/>
      <c r="AZ32" s="754"/>
      <c r="BA32" s="754"/>
      <c r="BB32" s="754"/>
      <c r="BC32" s="754"/>
      <c r="BD32" s="754"/>
    </row>
    <row r="33" spans="3:56" s="758" customFormat="1" hidden="1" outlineLevel="1">
      <c r="C33" s="759" t="s">
        <v>1008</v>
      </c>
      <c r="D33" s="748">
        <f>A58/22</f>
        <v>0</v>
      </c>
      <c r="E33" s="760"/>
      <c r="F33" s="760"/>
      <c r="G33" s="760"/>
      <c r="I33" s="760"/>
      <c r="J33" s="760"/>
      <c r="K33" s="760"/>
      <c r="L33" s="760"/>
      <c r="M33" s="761">
        <f t="shared" ref="M33:AH33" si="2">$D$33*M52</f>
        <v>0</v>
      </c>
      <c r="N33" s="761">
        <f t="shared" si="2"/>
        <v>0</v>
      </c>
      <c r="O33" s="761">
        <f t="shared" si="2"/>
        <v>0</v>
      </c>
      <c r="P33" s="761">
        <f t="shared" si="2"/>
        <v>0</v>
      </c>
      <c r="Q33" s="761">
        <f t="shared" si="2"/>
        <v>0</v>
      </c>
      <c r="R33" s="761">
        <f t="shared" si="2"/>
        <v>0</v>
      </c>
      <c r="S33" s="762">
        <f t="shared" si="2"/>
        <v>0</v>
      </c>
      <c r="T33" s="761">
        <f t="shared" si="2"/>
        <v>0</v>
      </c>
      <c r="U33" s="761">
        <f t="shared" si="2"/>
        <v>0</v>
      </c>
      <c r="V33" s="761">
        <f t="shared" si="2"/>
        <v>0</v>
      </c>
      <c r="W33" s="762">
        <f t="shared" si="2"/>
        <v>0</v>
      </c>
      <c r="X33" s="761">
        <f t="shared" si="2"/>
        <v>0</v>
      </c>
      <c r="Y33" s="761">
        <f t="shared" si="2"/>
        <v>0</v>
      </c>
      <c r="Z33" s="761">
        <f t="shared" si="2"/>
        <v>0</v>
      </c>
      <c r="AA33" s="761">
        <f t="shared" si="2"/>
        <v>0</v>
      </c>
      <c r="AB33" s="761">
        <f t="shared" si="2"/>
        <v>0</v>
      </c>
      <c r="AC33" s="761">
        <f t="shared" si="2"/>
        <v>0</v>
      </c>
      <c r="AD33" s="761">
        <f t="shared" si="2"/>
        <v>0</v>
      </c>
      <c r="AE33" s="761">
        <f t="shared" si="2"/>
        <v>0</v>
      </c>
      <c r="AF33" s="761">
        <f t="shared" si="2"/>
        <v>0</v>
      </c>
      <c r="AG33" s="763">
        <f t="shared" si="2"/>
        <v>0</v>
      </c>
      <c r="AH33" s="761">
        <f t="shared" si="2"/>
        <v>0</v>
      </c>
      <c r="AI33" s="760"/>
      <c r="AJ33" s="760"/>
      <c r="AK33" s="760"/>
      <c r="AL33" s="760"/>
      <c r="AM33" s="760"/>
      <c r="AN33" s="760"/>
      <c r="AO33" s="760"/>
      <c r="AP33" s="760"/>
      <c r="AQ33" s="760"/>
      <c r="AR33" s="760"/>
      <c r="AS33" s="760"/>
      <c r="AT33" s="760"/>
      <c r="AU33" s="760"/>
      <c r="AV33" s="760"/>
      <c r="AW33" s="760"/>
      <c r="AX33" s="760"/>
      <c r="AY33" s="760"/>
      <c r="AZ33" s="760"/>
      <c r="BA33" s="760"/>
      <c r="BB33" s="760"/>
      <c r="BC33" s="760"/>
      <c r="BD33" s="760"/>
    </row>
    <row r="34" spans="3:56" s="764" customFormat="1" hidden="1" outlineLevel="1">
      <c r="C34" s="765" t="s">
        <v>1009</v>
      </c>
      <c r="D34" s="748">
        <f>A59/24</f>
        <v>0</v>
      </c>
      <c r="E34" s="766"/>
      <c r="F34" s="766"/>
      <c r="G34" s="766"/>
      <c r="H34" s="766"/>
      <c r="I34" s="766"/>
      <c r="K34" s="766"/>
      <c r="L34" s="766"/>
      <c r="M34" s="766"/>
      <c r="N34" s="766"/>
      <c r="O34" s="766"/>
      <c r="P34" s="766"/>
      <c r="Q34" s="766">
        <f t="shared" ref="Q34:AM34" si="3">$D$34*Q52</f>
        <v>0</v>
      </c>
      <c r="R34" s="766">
        <f t="shared" si="3"/>
        <v>0</v>
      </c>
      <c r="S34" s="767">
        <f t="shared" si="3"/>
        <v>0</v>
      </c>
      <c r="T34" s="766">
        <f t="shared" si="3"/>
        <v>0</v>
      </c>
      <c r="U34" s="766">
        <f t="shared" si="3"/>
        <v>0</v>
      </c>
      <c r="V34" s="766">
        <f t="shared" si="3"/>
        <v>0</v>
      </c>
      <c r="W34" s="767">
        <f t="shared" si="3"/>
        <v>0</v>
      </c>
      <c r="X34" s="766">
        <f t="shared" si="3"/>
        <v>0</v>
      </c>
      <c r="Y34" s="766">
        <f t="shared" si="3"/>
        <v>0</v>
      </c>
      <c r="Z34" s="766">
        <f t="shared" si="3"/>
        <v>0</v>
      </c>
      <c r="AA34" s="766">
        <f t="shared" si="3"/>
        <v>0</v>
      </c>
      <c r="AB34" s="766">
        <f t="shared" si="3"/>
        <v>0</v>
      </c>
      <c r="AC34" s="766">
        <f t="shared" si="3"/>
        <v>0</v>
      </c>
      <c r="AD34" s="766">
        <f t="shared" si="3"/>
        <v>0</v>
      </c>
      <c r="AE34" s="766">
        <f t="shared" si="3"/>
        <v>0</v>
      </c>
      <c r="AF34" s="766">
        <f t="shared" si="3"/>
        <v>0</v>
      </c>
      <c r="AG34" s="768">
        <f t="shared" si="3"/>
        <v>0</v>
      </c>
      <c r="AH34" s="766">
        <f t="shared" si="3"/>
        <v>0</v>
      </c>
      <c r="AI34" s="766">
        <f t="shared" si="3"/>
        <v>0</v>
      </c>
      <c r="AJ34" s="766">
        <f t="shared" si="3"/>
        <v>0</v>
      </c>
      <c r="AK34" s="766">
        <f t="shared" si="3"/>
        <v>0</v>
      </c>
      <c r="AL34" s="766">
        <f t="shared" si="3"/>
        <v>0</v>
      </c>
      <c r="AM34" s="766">
        <f t="shared" si="3"/>
        <v>0</v>
      </c>
      <c r="AN34" s="766">
        <f>$D$34*AN52</f>
        <v>0</v>
      </c>
      <c r="AO34" s="766"/>
      <c r="AP34" s="766"/>
      <c r="AQ34" s="766"/>
      <c r="AR34" s="766"/>
      <c r="AS34" s="766"/>
      <c r="AT34" s="766"/>
      <c r="AU34" s="766"/>
      <c r="AV34" s="766"/>
      <c r="AW34" s="766"/>
      <c r="AX34" s="766"/>
      <c r="AY34" s="766"/>
      <c r="AZ34" s="766"/>
      <c r="BA34" s="766"/>
      <c r="BB34" s="766"/>
      <c r="BC34" s="766"/>
      <c r="BD34" s="766"/>
    </row>
    <row r="35" spans="3:56" s="769" customFormat="1" hidden="1" outlineLevel="1">
      <c r="C35" s="770" t="s">
        <v>1010</v>
      </c>
      <c r="D35" s="771">
        <f t="shared" ref="D35:D45" si="4">A60/17</f>
        <v>0</v>
      </c>
      <c r="E35" s="772"/>
      <c r="F35" s="772"/>
      <c r="G35" s="772"/>
      <c r="H35" s="772"/>
      <c r="I35" s="772"/>
      <c r="J35" s="772"/>
      <c r="K35" s="772"/>
      <c r="M35" s="772"/>
      <c r="N35" s="772"/>
      <c r="O35" s="772"/>
      <c r="P35" s="772"/>
      <c r="Q35" s="772">
        <f t="shared" ref="Q35:AK35" si="5">$D$35*Q52</f>
        <v>0</v>
      </c>
      <c r="R35" s="772">
        <f t="shared" si="5"/>
        <v>0</v>
      </c>
      <c r="S35" s="773">
        <f t="shared" si="5"/>
        <v>0</v>
      </c>
      <c r="T35" s="772">
        <f t="shared" si="5"/>
        <v>0</v>
      </c>
      <c r="U35" s="772">
        <f t="shared" si="5"/>
        <v>0</v>
      </c>
      <c r="V35" s="772">
        <f t="shared" si="5"/>
        <v>0</v>
      </c>
      <c r="W35" s="773">
        <f t="shared" si="5"/>
        <v>0</v>
      </c>
      <c r="X35" s="772">
        <f t="shared" si="5"/>
        <v>0</v>
      </c>
      <c r="Y35" s="772">
        <f t="shared" si="5"/>
        <v>0</v>
      </c>
      <c r="Z35" s="772">
        <f t="shared" si="5"/>
        <v>0</v>
      </c>
      <c r="AA35" s="772">
        <f t="shared" si="5"/>
        <v>0</v>
      </c>
      <c r="AB35" s="772">
        <f t="shared" si="5"/>
        <v>0</v>
      </c>
      <c r="AC35" s="772">
        <f t="shared" si="5"/>
        <v>0</v>
      </c>
      <c r="AD35" s="772">
        <f t="shared" si="5"/>
        <v>0</v>
      </c>
      <c r="AE35" s="772">
        <f t="shared" si="5"/>
        <v>0</v>
      </c>
      <c r="AF35" s="772">
        <f t="shared" si="5"/>
        <v>0</v>
      </c>
      <c r="AG35" s="774">
        <f t="shared" si="5"/>
        <v>0</v>
      </c>
      <c r="AH35" s="772">
        <f t="shared" si="5"/>
        <v>0</v>
      </c>
      <c r="AI35" s="772">
        <f t="shared" si="5"/>
        <v>0</v>
      </c>
      <c r="AJ35" s="772">
        <f t="shared" si="5"/>
        <v>0</v>
      </c>
      <c r="AK35" s="772">
        <f t="shared" si="5"/>
        <v>0</v>
      </c>
      <c r="AL35" s="772"/>
      <c r="AM35" s="772"/>
      <c r="AN35" s="772"/>
      <c r="AO35" s="772"/>
      <c r="AP35" s="772"/>
      <c r="AQ35" s="772"/>
      <c r="AR35" s="772"/>
      <c r="AS35" s="772"/>
      <c r="AT35" s="772"/>
      <c r="AU35" s="772"/>
      <c r="AV35" s="772"/>
      <c r="AW35" s="772"/>
      <c r="AX35" s="772"/>
      <c r="AY35" s="772"/>
      <c r="AZ35" s="772"/>
      <c r="BA35" s="772"/>
      <c r="BB35" s="772"/>
      <c r="BC35" s="772"/>
      <c r="BD35" s="772"/>
    </row>
    <row r="36" spans="3:56" s="769" customFormat="1" hidden="1" outlineLevel="1">
      <c r="C36" s="770" t="s">
        <v>1011</v>
      </c>
      <c r="D36" s="771">
        <f t="shared" si="4"/>
        <v>0</v>
      </c>
      <c r="E36" s="772"/>
      <c r="F36" s="772"/>
      <c r="G36" s="772"/>
      <c r="H36" s="772"/>
      <c r="I36" s="772"/>
      <c r="J36" s="772"/>
      <c r="K36" s="772"/>
      <c r="L36" s="772"/>
      <c r="M36" s="772"/>
      <c r="O36" s="772"/>
      <c r="P36" s="772"/>
      <c r="Q36" s="772"/>
      <c r="R36" s="772"/>
      <c r="S36" s="773"/>
      <c r="T36" s="772">
        <f t="shared" ref="T36:AM36" si="6">$D$36*T52</f>
        <v>0</v>
      </c>
      <c r="U36" s="772">
        <f t="shared" si="6"/>
        <v>0</v>
      </c>
      <c r="V36" s="772">
        <f t="shared" si="6"/>
        <v>0</v>
      </c>
      <c r="W36" s="773">
        <f t="shared" si="6"/>
        <v>0</v>
      </c>
      <c r="X36" s="772">
        <f t="shared" si="6"/>
        <v>0</v>
      </c>
      <c r="Y36" s="772">
        <f t="shared" si="6"/>
        <v>0</v>
      </c>
      <c r="Z36" s="772">
        <f t="shared" si="6"/>
        <v>0</v>
      </c>
      <c r="AA36" s="772">
        <f t="shared" si="6"/>
        <v>0</v>
      </c>
      <c r="AB36" s="772">
        <f t="shared" si="6"/>
        <v>0</v>
      </c>
      <c r="AC36" s="772">
        <f t="shared" si="6"/>
        <v>0</v>
      </c>
      <c r="AD36" s="772">
        <f t="shared" si="6"/>
        <v>0</v>
      </c>
      <c r="AE36" s="772">
        <f t="shared" si="6"/>
        <v>0</v>
      </c>
      <c r="AF36" s="772">
        <f t="shared" si="6"/>
        <v>0</v>
      </c>
      <c r="AG36" s="774">
        <f t="shared" si="6"/>
        <v>0</v>
      </c>
      <c r="AH36" s="772">
        <f t="shared" si="6"/>
        <v>0</v>
      </c>
      <c r="AI36" s="772">
        <f t="shared" si="6"/>
        <v>0</v>
      </c>
      <c r="AJ36" s="772">
        <f t="shared" si="6"/>
        <v>0</v>
      </c>
      <c r="AK36" s="772">
        <f t="shared" si="6"/>
        <v>0</v>
      </c>
      <c r="AL36" s="772">
        <f t="shared" si="6"/>
        <v>0</v>
      </c>
      <c r="AM36" s="772">
        <f t="shared" si="6"/>
        <v>0</v>
      </c>
      <c r="AN36" s="772"/>
      <c r="AO36" s="772"/>
      <c r="AP36" s="772"/>
      <c r="AQ36" s="772"/>
      <c r="AR36" s="772"/>
      <c r="AS36" s="772"/>
      <c r="AT36" s="772"/>
      <c r="AU36" s="772"/>
      <c r="AV36" s="772"/>
      <c r="AW36" s="772"/>
      <c r="AX36" s="772"/>
      <c r="AY36" s="772"/>
      <c r="AZ36" s="772"/>
      <c r="BA36" s="772"/>
      <c r="BB36" s="772"/>
      <c r="BC36" s="772"/>
      <c r="BD36" s="772"/>
    </row>
    <row r="37" spans="3:56" s="769" customFormat="1" hidden="1" outlineLevel="1">
      <c r="C37" s="770" t="s">
        <v>1012</v>
      </c>
      <c r="D37" s="771">
        <f t="shared" si="4"/>
        <v>0</v>
      </c>
      <c r="E37" s="772"/>
      <c r="F37" s="772"/>
      <c r="G37" s="772"/>
      <c r="H37" s="772"/>
      <c r="I37" s="772"/>
      <c r="J37" s="772"/>
      <c r="K37" s="772"/>
      <c r="L37" s="772"/>
      <c r="M37" s="772"/>
      <c r="N37" s="772"/>
      <c r="O37" s="772"/>
      <c r="Q37" s="772"/>
      <c r="R37" s="772"/>
      <c r="S37" s="773"/>
      <c r="T37" s="772"/>
      <c r="U37" s="772"/>
      <c r="V37" s="772"/>
      <c r="W37" s="773">
        <f t="shared" ref="W37:AN37" si="7">$D$37*W52</f>
        <v>0</v>
      </c>
      <c r="X37" s="772">
        <f t="shared" si="7"/>
        <v>0</v>
      </c>
      <c r="Y37" s="772">
        <f t="shared" si="7"/>
        <v>0</v>
      </c>
      <c r="Z37" s="772">
        <f t="shared" si="7"/>
        <v>0</v>
      </c>
      <c r="AA37" s="772">
        <f t="shared" si="7"/>
        <v>0</v>
      </c>
      <c r="AB37" s="772">
        <f t="shared" si="7"/>
        <v>0</v>
      </c>
      <c r="AC37" s="772">
        <f t="shared" si="7"/>
        <v>0</v>
      </c>
      <c r="AD37" s="772">
        <f t="shared" si="7"/>
        <v>0</v>
      </c>
      <c r="AE37" s="772">
        <f t="shared" si="7"/>
        <v>0</v>
      </c>
      <c r="AF37" s="772">
        <f t="shared" si="7"/>
        <v>0</v>
      </c>
      <c r="AG37" s="774">
        <f t="shared" si="7"/>
        <v>0</v>
      </c>
      <c r="AH37" s="772">
        <f t="shared" si="7"/>
        <v>0</v>
      </c>
      <c r="AI37" s="772">
        <f t="shared" si="7"/>
        <v>0</v>
      </c>
      <c r="AJ37" s="772">
        <f t="shared" si="7"/>
        <v>0</v>
      </c>
      <c r="AK37" s="772">
        <f t="shared" si="7"/>
        <v>0</v>
      </c>
      <c r="AL37" s="772">
        <f t="shared" si="7"/>
        <v>0</v>
      </c>
      <c r="AM37" s="772">
        <f t="shared" si="7"/>
        <v>0</v>
      </c>
      <c r="AN37" s="772">
        <f t="shared" si="7"/>
        <v>0</v>
      </c>
      <c r="AO37" s="772"/>
      <c r="AP37" s="772"/>
      <c r="AQ37" s="772"/>
      <c r="AR37" s="772"/>
      <c r="AS37" s="772"/>
      <c r="AT37" s="772"/>
      <c r="AU37" s="772"/>
      <c r="AV37" s="772"/>
      <c r="AW37" s="772"/>
      <c r="AX37" s="772"/>
      <c r="AY37" s="772"/>
      <c r="AZ37" s="772"/>
      <c r="BA37" s="772"/>
      <c r="BB37" s="772"/>
      <c r="BC37" s="772"/>
      <c r="BD37" s="772"/>
    </row>
    <row r="38" spans="3:56" s="769" customFormat="1" hidden="1" outlineLevel="1">
      <c r="C38" s="770" t="s">
        <v>1013</v>
      </c>
      <c r="D38" s="771">
        <f t="shared" si="4"/>
        <v>0</v>
      </c>
      <c r="E38" s="772"/>
      <c r="F38" s="772"/>
      <c r="G38" s="772"/>
      <c r="H38" s="772"/>
      <c r="I38" s="772"/>
      <c r="J38" s="772"/>
      <c r="K38" s="772"/>
      <c r="L38" s="772"/>
      <c r="M38" s="772"/>
      <c r="N38" s="772"/>
      <c r="O38" s="772"/>
      <c r="Q38" s="772"/>
      <c r="R38" s="772"/>
      <c r="S38" s="773"/>
      <c r="T38" s="772"/>
      <c r="U38" s="772"/>
      <c r="V38" s="772"/>
      <c r="W38" s="773"/>
      <c r="X38" s="772"/>
      <c r="Y38" s="772"/>
      <c r="Z38" s="772">
        <f>$D$38*Z52</f>
        <v>0</v>
      </c>
      <c r="AA38" s="772">
        <f t="shared" ref="AA38:AS38" si="8">$D$38*AA52</f>
        <v>0</v>
      </c>
      <c r="AB38" s="772">
        <f t="shared" si="8"/>
        <v>0</v>
      </c>
      <c r="AC38" s="772">
        <f t="shared" si="8"/>
        <v>0</v>
      </c>
      <c r="AD38" s="772">
        <f t="shared" si="8"/>
        <v>0</v>
      </c>
      <c r="AE38" s="772">
        <f t="shared" si="8"/>
        <v>0</v>
      </c>
      <c r="AF38" s="772">
        <f t="shared" si="8"/>
        <v>0</v>
      </c>
      <c r="AG38" s="774">
        <f t="shared" si="8"/>
        <v>0</v>
      </c>
      <c r="AH38" s="772">
        <f t="shared" si="8"/>
        <v>0</v>
      </c>
      <c r="AI38" s="772">
        <f t="shared" si="8"/>
        <v>0</v>
      </c>
      <c r="AJ38" s="772">
        <f t="shared" si="8"/>
        <v>0</v>
      </c>
      <c r="AK38" s="772">
        <f t="shared" si="8"/>
        <v>0</v>
      </c>
      <c r="AL38" s="772">
        <f t="shared" si="8"/>
        <v>0</v>
      </c>
      <c r="AM38" s="772">
        <f t="shared" si="8"/>
        <v>0</v>
      </c>
      <c r="AN38" s="772">
        <f t="shared" si="8"/>
        <v>0</v>
      </c>
      <c r="AO38" s="772">
        <f t="shared" si="8"/>
        <v>0</v>
      </c>
      <c r="AP38" s="772">
        <f t="shared" si="8"/>
        <v>0</v>
      </c>
      <c r="AQ38" s="772">
        <f t="shared" si="8"/>
        <v>0</v>
      </c>
      <c r="AR38" s="772">
        <f t="shared" si="8"/>
        <v>0</v>
      </c>
      <c r="AS38" s="772">
        <f t="shared" si="8"/>
        <v>0</v>
      </c>
      <c r="AT38" s="772"/>
      <c r="AU38" s="772"/>
      <c r="AV38" s="772"/>
      <c r="AW38" s="772"/>
      <c r="AX38" s="772"/>
      <c r="AY38" s="772"/>
      <c r="AZ38" s="772"/>
      <c r="BA38" s="772"/>
      <c r="BB38" s="772"/>
      <c r="BC38" s="772"/>
      <c r="BD38" s="772"/>
    </row>
    <row r="39" spans="3:56" s="769" customFormat="1" hidden="1" outlineLevel="1">
      <c r="C39" s="770" t="s">
        <v>1014</v>
      </c>
      <c r="D39" s="771">
        <f t="shared" si="4"/>
        <v>0</v>
      </c>
      <c r="E39" s="772"/>
      <c r="F39" s="772"/>
      <c r="G39" s="772"/>
      <c r="H39" s="772"/>
      <c r="I39" s="772"/>
      <c r="J39" s="772"/>
      <c r="K39" s="772"/>
      <c r="L39" s="772"/>
      <c r="M39" s="772"/>
      <c r="N39" s="772"/>
      <c r="O39" s="772"/>
      <c r="Q39" s="772"/>
      <c r="R39" s="772"/>
      <c r="S39" s="773"/>
      <c r="T39" s="772"/>
      <c r="U39" s="772"/>
      <c r="V39" s="772"/>
      <c r="W39" s="773"/>
      <c r="X39" s="772"/>
      <c r="Y39" s="772"/>
      <c r="Z39" s="772"/>
      <c r="AA39" s="772"/>
      <c r="AB39" s="772"/>
      <c r="AC39" s="772">
        <f>$D$39*AC52</f>
        <v>0</v>
      </c>
      <c r="AD39" s="772">
        <f t="shared" ref="AD39:AX39" si="9">$D$39*AD52</f>
        <v>0</v>
      </c>
      <c r="AE39" s="772">
        <f t="shared" si="9"/>
        <v>0</v>
      </c>
      <c r="AF39" s="772">
        <f t="shared" si="9"/>
        <v>0</v>
      </c>
      <c r="AG39" s="774">
        <f t="shared" si="9"/>
        <v>0</v>
      </c>
      <c r="AH39" s="772">
        <f t="shared" si="9"/>
        <v>0</v>
      </c>
      <c r="AI39" s="772">
        <f t="shared" si="9"/>
        <v>0</v>
      </c>
      <c r="AJ39" s="772">
        <f t="shared" si="9"/>
        <v>0</v>
      </c>
      <c r="AK39" s="772">
        <f t="shared" si="9"/>
        <v>0</v>
      </c>
      <c r="AL39" s="772">
        <f t="shared" si="9"/>
        <v>0</v>
      </c>
      <c r="AM39" s="772">
        <f t="shared" si="9"/>
        <v>0</v>
      </c>
      <c r="AN39" s="772">
        <f t="shared" si="9"/>
        <v>0</v>
      </c>
      <c r="AO39" s="772">
        <f t="shared" si="9"/>
        <v>0</v>
      </c>
      <c r="AP39" s="772">
        <f t="shared" si="9"/>
        <v>0</v>
      </c>
      <c r="AQ39" s="772">
        <f t="shared" si="9"/>
        <v>0</v>
      </c>
      <c r="AR39" s="772">
        <f t="shared" si="9"/>
        <v>0</v>
      </c>
      <c r="AS39" s="772">
        <f t="shared" si="9"/>
        <v>0</v>
      </c>
      <c r="AT39" s="772">
        <f t="shared" si="9"/>
        <v>0</v>
      </c>
      <c r="AU39" s="772">
        <f t="shared" si="9"/>
        <v>0</v>
      </c>
      <c r="AV39" s="772">
        <f t="shared" si="9"/>
        <v>0</v>
      </c>
      <c r="AW39" s="772">
        <f t="shared" si="9"/>
        <v>0</v>
      </c>
      <c r="AX39" s="772">
        <f t="shared" si="9"/>
        <v>0</v>
      </c>
      <c r="AY39" s="772"/>
      <c r="AZ39" s="772"/>
      <c r="BA39" s="772"/>
      <c r="BB39" s="772"/>
      <c r="BC39" s="772"/>
      <c r="BD39" s="772"/>
    </row>
    <row r="40" spans="3:56" s="769" customFormat="1" hidden="1" outlineLevel="1">
      <c r="C40" s="770" t="s">
        <v>1015</v>
      </c>
      <c r="D40" s="771">
        <f t="shared" si="4"/>
        <v>0</v>
      </c>
      <c r="E40" s="772"/>
      <c r="F40" s="772"/>
      <c r="G40" s="772"/>
      <c r="H40" s="772"/>
      <c r="I40" s="772"/>
      <c r="J40" s="772"/>
      <c r="K40" s="772"/>
      <c r="L40" s="772"/>
      <c r="M40" s="772"/>
      <c r="N40" s="772"/>
      <c r="O40" s="772"/>
      <c r="Q40" s="772"/>
      <c r="R40" s="772"/>
      <c r="S40" s="773"/>
      <c r="T40" s="772"/>
      <c r="U40" s="772"/>
      <c r="V40" s="772"/>
      <c r="W40" s="773"/>
      <c r="X40" s="772"/>
      <c r="Y40" s="772"/>
      <c r="Z40" s="772"/>
      <c r="AA40" s="772"/>
      <c r="AB40" s="772"/>
      <c r="AC40" s="772"/>
      <c r="AD40" s="772"/>
      <c r="AE40" s="772"/>
      <c r="AF40" s="772">
        <f>$D$40*AF52</f>
        <v>0</v>
      </c>
      <c r="AG40" s="774">
        <f t="shared" ref="AG40:BB40" si="10">$D$40*AG52</f>
        <v>0</v>
      </c>
      <c r="AH40" s="772">
        <f t="shared" si="10"/>
        <v>0</v>
      </c>
      <c r="AI40" s="772">
        <f t="shared" si="10"/>
        <v>0</v>
      </c>
      <c r="AJ40" s="772">
        <f t="shared" si="10"/>
        <v>0</v>
      </c>
      <c r="AK40" s="772">
        <f t="shared" si="10"/>
        <v>0</v>
      </c>
      <c r="AL40" s="772">
        <f t="shared" si="10"/>
        <v>0</v>
      </c>
      <c r="AM40" s="772">
        <f t="shared" si="10"/>
        <v>0</v>
      </c>
      <c r="AN40" s="772">
        <f t="shared" si="10"/>
        <v>0</v>
      </c>
      <c r="AO40" s="772">
        <f t="shared" si="10"/>
        <v>0</v>
      </c>
      <c r="AP40" s="772">
        <f t="shared" si="10"/>
        <v>0</v>
      </c>
      <c r="AQ40" s="772">
        <f t="shared" si="10"/>
        <v>0</v>
      </c>
      <c r="AR40" s="772">
        <f t="shared" si="10"/>
        <v>0</v>
      </c>
      <c r="AS40" s="772">
        <f t="shared" si="10"/>
        <v>0</v>
      </c>
      <c r="AT40" s="772">
        <f t="shared" si="10"/>
        <v>0</v>
      </c>
      <c r="AU40" s="772">
        <f t="shared" si="10"/>
        <v>0</v>
      </c>
      <c r="AV40" s="772">
        <f t="shared" si="10"/>
        <v>0</v>
      </c>
      <c r="AW40" s="772">
        <f t="shared" si="10"/>
        <v>0</v>
      </c>
      <c r="AX40" s="772">
        <f t="shared" si="10"/>
        <v>0</v>
      </c>
      <c r="AY40" s="772">
        <f t="shared" si="10"/>
        <v>0</v>
      </c>
      <c r="AZ40" s="772">
        <f t="shared" si="10"/>
        <v>0</v>
      </c>
      <c r="BA40" s="772">
        <f t="shared" si="10"/>
        <v>0</v>
      </c>
      <c r="BB40" s="772">
        <f t="shared" si="10"/>
        <v>0</v>
      </c>
      <c r="BC40" s="772"/>
      <c r="BD40" s="772"/>
    </row>
    <row r="41" spans="3:56" s="769" customFormat="1" hidden="1" outlineLevel="1">
      <c r="C41" s="770" t="s">
        <v>1016</v>
      </c>
      <c r="D41" s="771">
        <f t="shared" si="4"/>
        <v>0</v>
      </c>
      <c r="E41" s="772"/>
      <c r="F41" s="772"/>
      <c r="G41" s="772"/>
      <c r="H41" s="772"/>
      <c r="I41" s="772"/>
      <c r="J41" s="772"/>
      <c r="K41" s="772"/>
      <c r="L41" s="772"/>
      <c r="M41" s="772"/>
      <c r="N41" s="772"/>
      <c r="O41" s="772"/>
      <c r="Q41" s="772"/>
      <c r="R41" s="772"/>
      <c r="S41" s="773"/>
      <c r="T41" s="772"/>
      <c r="U41" s="772"/>
      <c r="V41" s="772"/>
      <c r="W41" s="773"/>
      <c r="X41" s="772"/>
      <c r="Y41" s="772"/>
      <c r="Z41" s="772"/>
      <c r="AA41" s="772"/>
      <c r="AB41" s="772"/>
      <c r="AC41" s="772"/>
      <c r="AD41" s="772"/>
      <c r="AE41" s="772"/>
      <c r="AF41" s="772"/>
      <c r="AG41" s="774"/>
      <c r="AH41" s="772"/>
      <c r="AI41" s="772">
        <f>$D$41*AI52</f>
        <v>0</v>
      </c>
      <c r="AJ41" s="772">
        <f t="shared" ref="AJ41:BC41" si="11">$D$41*AJ52</f>
        <v>0</v>
      </c>
      <c r="AK41" s="772">
        <f t="shared" si="11"/>
        <v>0</v>
      </c>
      <c r="AL41" s="772">
        <f t="shared" si="11"/>
        <v>0</v>
      </c>
      <c r="AM41" s="772">
        <f t="shared" si="11"/>
        <v>0</v>
      </c>
      <c r="AN41" s="772">
        <f t="shared" si="11"/>
        <v>0</v>
      </c>
      <c r="AO41" s="772">
        <f t="shared" si="11"/>
        <v>0</v>
      </c>
      <c r="AP41" s="772">
        <f t="shared" si="11"/>
        <v>0</v>
      </c>
      <c r="AQ41" s="772">
        <f t="shared" si="11"/>
        <v>0</v>
      </c>
      <c r="AR41" s="772">
        <f t="shared" si="11"/>
        <v>0</v>
      </c>
      <c r="AS41" s="772">
        <f t="shared" si="11"/>
        <v>0</v>
      </c>
      <c r="AT41" s="772">
        <f t="shared" si="11"/>
        <v>0</v>
      </c>
      <c r="AU41" s="772">
        <f t="shared" si="11"/>
        <v>0</v>
      </c>
      <c r="AV41" s="772">
        <f t="shared" si="11"/>
        <v>0</v>
      </c>
      <c r="AW41" s="772">
        <f t="shared" si="11"/>
        <v>0</v>
      </c>
      <c r="AX41" s="772">
        <f t="shared" si="11"/>
        <v>0</v>
      </c>
      <c r="AY41" s="772">
        <f t="shared" si="11"/>
        <v>0</v>
      </c>
      <c r="AZ41" s="772">
        <f t="shared" si="11"/>
        <v>0</v>
      </c>
      <c r="BA41" s="772">
        <f t="shared" si="11"/>
        <v>0</v>
      </c>
      <c r="BB41" s="772">
        <f t="shared" si="11"/>
        <v>0</v>
      </c>
      <c r="BC41" s="772">
        <f t="shared" si="11"/>
        <v>0</v>
      </c>
      <c r="BD41" s="772"/>
    </row>
    <row r="42" spans="3:56" s="769" customFormat="1" hidden="1" outlineLevel="1">
      <c r="C42" s="770" t="s">
        <v>1017</v>
      </c>
      <c r="D42" s="771">
        <f t="shared" si="4"/>
        <v>5.8823529411764705E-2</v>
      </c>
      <c r="E42" s="772"/>
      <c r="F42" s="772"/>
      <c r="G42" s="772"/>
      <c r="H42" s="772"/>
      <c r="I42" s="772"/>
      <c r="J42" s="772"/>
      <c r="K42" s="772"/>
      <c r="L42" s="772"/>
      <c r="M42" s="772"/>
      <c r="N42" s="772"/>
      <c r="O42" s="772"/>
      <c r="Q42" s="772"/>
      <c r="R42" s="772"/>
      <c r="S42" s="773"/>
      <c r="T42" s="772"/>
      <c r="U42" s="772"/>
      <c r="V42" s="772"/>
      <c r="W42" s="773"/>
      <c r="X42" s="772"/>
      <c r="Y42" s="772"/>
      <c r="Z42" s="772"/>
      <c r="AA42" s="772"/>
      <c r="AB42" s="772"/>
      <c r="AC42" s="772"/>
      <c r="AD42" s="772"/>
      <c r="AE42" s="772"/>
      <c r="AF42" s="772"/>
      <c r="AG42" s="774"/>
      <c r="AH42" s="772"/>
      <c r="AI42" s="772"/>
      <c r="AJ42" s="772"/>
      <c r="AK42" s="772"/>
      <c r="AL42" s="772"/>
      <c r="AM42" s="772"/>
      <c r="AN42" s="772"/>
      <c r="AO42" s="772"/>
      <c r="AP42" s="772"/>
      <c r="AQ42" s="772"/>
      <c r="AR42" s="772"/>
      <c r="AS42" s="772"/>
      <c r="AT42" s="772"/>
      <c r="AU42" s="772"/>
      <c r="AV42" s="772"/>
      <c r="AW42" s="772"/>
      <c r="AX42" s="772"/>
      <c r="AY42" s="772"/>
      <c r="AZ42" s="772"/>
      <c r="BA42" s="772"/>
      <c r="BB42" s="772"/>
      <c r="BC42" s="772"/>
      <c r="BD42" s="772"/>
    </row>
    <row r="43" spans="3:56" s="769" customFormat="1" hidden="1" outlineLevel="1">
      <c r="C43" s="770" t="s">
        <v>1018</v>
      </c>
      <c r="D43" s="771" t="e">
        <f t="shared" si="4"/>
        <v>#VALUE!</v>
      </c>
      <c r="E43" s="772"/>
      <c r="F43" s="772"/>
      <c r="G43" s="772"/>
      <c r="H43" s="772"/>
      <c r="I43" s="772"/>
      <c r="J43" s="772"/>
      <c r="K43" s="772"/>
      <c r="L43" s="772"/>
      <c r="M43" s="772"/>
      <c r="N43" s="772"/>
      <c r="O43" s="772"/>
      <c r="Q43" s="772"/>
      <c r="R43" s="772"/>
      <c r="S43" s="773"/>
      <c r="T43" s="772"/>
      <c r="U43" s="772"/>
      <c r="V43" s="772"/>
      <c r="W43" s="773"/>
      <c r="X43" s="772"/>
      <c r="Y43" s="772"/>
      <c r="Z43" s="772"/>
      <c r="AA43" s="772"/>
      <c r="AB43" s="772"/>
      <c r="AC43" s="772"/>
      <c r="AD43" s="772"/>
      <c r="AE43" s="772"/>
      <c r="AF43" s="772"/>
      <c r="AG43" s="774"/>
      <c r="AH43" s="772"/>
      <c r="AI43" s="772"/>
      <c r="AJ43" s="772"/>
      <c r="AK43" s="772"/>
      <c r="AL43" s="772"/>
      <c r="AM43" s="772"/>
      <c r="AN43" s="772"/>
      <c r="AO43" s="772"/>
      <c r="AP43" s="772"/>
      <c r="AQ43" s="772"/>
      <c r="AR43" s="772"/>
      <c r="AS43" s="772"/>
      <c r="AT43" s="772"/>
      <c r="AU43" s="772"/>
      <c r="AV43" s="772"/>
      <c r="AW43" s="772"/>
      <c r="AX43" s="772"/>
      <c r="AY43" s="772"/>
      <c r="AZ43" s="772"/>
      <c r="BA43" s="772"/>
      <c r="BB43" s="772"/>
      <c r="BC43" s="772"/>
      <c r="BD43" s="772"/>
    </row>
    <row r="44" spans="3:56" s="769" customFormat="1" hidden="1" outlineLevel="1">
      <c r="C44" s="770" t="s">
        <v>1019</v>
      </c>
      <c r="D44" s="771">
        <f t="shared" si="4"/>
        <v>0</v>
      </c>
      <c r="E44" s="772"/>
      <c r="F44" s="772"/>
      <c r="G44" s="772"/>
      <c r="H44" s="772"/>
      <c r="I44" s="772"/>
      <c r="J44" s="772"/>
      <c r="K44" s="772"/>
      <c r="L44" s="772"/>
      <c r="M44" s="772"/>
      <c r="N44" s="772"/>
      <c r="O44" s="772"/>
      <c r="Q44" s="772"/>
      <c r="R44" s="772"/>
      <c r="S44" s="773"/>
      <c r="T44" s="772"/>
      <c r="U44" s="772"/>
      <c r="V44" s="772"/>
      <c r="W44" s="773"/>
      <c r="X44" s="772"/>
      <c r="Y44" s="772"/>
      <c r="Z44" s="772"/>
      <c r="AA44" s="772"/>
      <c r="AB44" s="772"/>
      <c r="AC44" s="772"/>
      <c r="AD44" s="772"/>
      <c r="AE44" s="772"/>
      <c r="AF44" s="772"/>
      <c r="AG44" s="774"/>
      <c r="AH44" s="772"/>
      <c r="AI44" s="772"/>
      <c r="AJ44" s="772"/>
      <c r="AK44" s="772"/>
      <c r="AL44" s="772"/>
      <c r="AM44" s="772"/>
      <c r="AN44" s="772"/>
      <c r="AO44" s="772"/>
      <c r="AP44" s="772"/>
      <c r="AQ44" s="772"/>
      <c r="AR44" s="772"/>
      <c r="AS44" s="772"/>
      <c r="AT44" s="772"/>
      <c r="AU44" s="772"/>
      <c r="AV44" s="772"/>
      <c r="AW44" s="772"/>
      <c r="AX44" s="772"/>
      <c r="AY44" s="772"/>
      <c r="AZ44" s="772"/>
      <c r="BA44" s="772"/>
      <c r="BB44" s="772"/>
      <c r="BC44" s="772"/>
      <c r="BD44" s="772"/>
    </row>
    <row r="45" spans="3:56" s="769" customFormat="1" hidden="1" outlineLevel="1">
      <c r="C45" s="770" t="s">
        <v>1020</v>
      </c>
      <c r="D45" s="771">
        <f t="shared" si="4"/>
        <v>0</v>
      </c>
      <c r="E45" s="772"/>
      <c r="F45" s="772"/>
      <c r="G45" s="772"/>
      <c r="H45" s="772"/>
      <c r="I45" s="772"/>
      <c r="J45" s="772"/>
      <c r="K45" s="772"/>
      <c r="L45" s="772"/>
      <c r="M45" s="772"/>
      <c r="N45" s="772"/>
      <c r="O45" s="772"/>
      <c r="Q45" s="772"/>
      <c r="R45" s="772"/>
      <c r="S45" s="773"/>
      <c r="T45" s="772"/>
      <c r="U45" s="772"/>
      <c r="V45" s="772"/>
      <c r="W45" s="773"/>
      <c r="X45" s="772"/>
      <c r="Y45" s="772"/>
      <c r="Z45" s="772"/>
      <c r="AA45" s="772"/>
      <c r="AB45" s="772"/>
      <c r="AC45" s="772"/>
      <c r="AD45" s="772"/>
      <c r="AE45" s="772"/>
      <c r="AF45" s="772"/>
      <c r="AG45" s="774"/>
      <c r="AH45" s="772"/>
      <c r="AI45" s="772"/>
      <c r="AJ45" s="772"/>
      <c r="AK45" s="772"/>
      <c r="AL45" s="772"/>
      <c r="AM45" s="772"/>
      <c r="AN45" s="772"/>
      <c r="AO45" s="772"/>
      <c r="AP45" s="772"/>
      <c r="AQ45" s="772"/>
      <c r="AR45" s="772"/>
      <c r="AS45" s="772"/>
      <c r="AT45" s="772"/>
      <c r="AU45" s="772"/>
      <c r="AV45" s="772"/>
      <c r="AW45" s="772"/>
      <c r="AX45" s="772"/>
      <c r="AY45" s="772"/>
      <c r="AZ45" s="772"/>
      <c r="BA45" s="772"/>
      <c r="BB45" s="772"/>
      <c r="BC45" s="772"/>
      <c r="BD45" s="772"/>
    </row>
    <row r="46" spans="3:56" s="775" customFormat="1" hidden="1" outlineLevel="1">
      <c r="C46" s="776"/>
      <c r="D46" s="777"/>
      <c r="E46" s="777"/>
      <c r="F46" s="777"/>
      <c r="G46" s="777"/>
      <c r="H46" s="777"/>
      <c r="I46" s="777"/>
      <c r="J46" s="777"/>
      <c r="K46" s="777"/>
      <c r="L46" s="777"/>
      <c r="M46" s="777"/>
      <c r="N46" s="777"/>
      <c r="O46" s="777"/>
      <c r="Q46" s="778"/>
      <c r="R46" s="778"/>
      <c r="S46" s="779"/>
      <c r="T46" s="778"/>
      <c r="U46" s="778"/>
      <c r="V46" s="778"/>
      <c r="W46" s="779"/>
      <c r="X46" s="778"/>
      <c r="Y46" s="778"/>
      <c r="Z46" s="778"/>
      <c r="AA46" s="778"/>
      <c r="AB46" s="778"/>
      <c r="AC46" s="778"/>
      <c r="AD46" s="778"/>
      <c r="AE46" s="778"/>
      <c r="AF46" s="778"/>
      <c r="AG46" s="780"/>
      <c r="AH46" s="778"/>
      <c r="AI46" s="778"/>
      <c r="AJ46" s="778"/>
      <c r="AK46" s="778"/>
      <c r="AL46" s="778"/>
      <c r="AM46" s="778"/>
      <c r="AN46" s="778"/>
      <c r="AO46" s="777"/>
      <c r="AP46" s="777"/>
      <c r="AQ46" s="777"/>
      <c r="AR46" s="777"/>
      <c r="AS46" s="777"/>
      <c r="AT46" s="777"/>
      <c r="AU46" s="777"/>
      <c r="AV46" s="777"/>
      <c r="AW46" s="777"/>
      <c r="AX46" s="777"/>
      <c r="AY46" s="777"/>
      <c r="AZ46" s="777"/>
      <c r="BA46" s="777"/>
      <c r="BB46" s="777"/>
      <c r="BC46" s="777"/>
      <c r="BD46" s="777"/>
    </row>
    <row r="47" spans="3:56" s="775" customFormat="1" hidden="1" outlineLevel="1">
      <c r="C47" s="776"/>
      <c r="D47" s="777"/>
      <c r="E47" s="777"/>
      <c r="F47" s="777"/>
      <c r="G47" s="777"/>
      <c r="H47" s="777"/>
      <c r="I47" s="777"/>
      <c r="J47" s="777"/>
      <c r="K47" s="777"/>
      <c r="L47" s="777"/>
      <c r="M47" s="777"/>
      <c r="N47" s="777"/>
      <c r="O47" s="777"/>
      <c r="Q47" s="778"/>
      <c r="R47" s="778"/>
      <c r="S47" s="779"/>
      <c r="T47" s="778"/>
      <c r="U47" s="778"/>
      <c r="V47" s="778"/>
      <c r="W47" s="779"/>
      <c r="X47" s="778"/>
      <c r="Y47" s="778"/>
      <c r="Z47" s="778"/>
      <c r="AA47" s="778"/>
      <c r="AB47" s="778"/>
      <c r="AC47" s="778"/>
      <c r="AD47" s="778"/>
      <c r="AE47" s="778"/>
      <c r="AF47" s="778"/>
      <c r="AG47" s="780"/>
      <c r="AH47" s="778"/>
      <c r="AI47" s="778"/>
      <c r="AJ47" s="778"/>
      <c r="AK47" s="778"/>
      <c r="AL47" s="778"/>
      <c r="AM47" s="778"/>
      <c r="AN47" s="778"/>
      <c r="AO47" s="777"/>
      <c r="AP47" s="777"/>
      <c r="AQ47" s="777"/>
      <c r="AR47" s="777"/>
      <c r="AS47" s="777"/>
      <c r="AT47" s="777"/>
      <c r="AU47" s="777"/>
      <c r="AV47" s="777"/>
      <c r="AW47" s="777"/>
      <c r="AX47" s="777"/>
      <c r="AY47" s="777"/>
      <c r="AZ47" s="777"/>
      <c r="BA47" s="777"/>
      <c r="BB47" s="777"/>
      <c r="BC47" s="777"/>
      <c r="BD47" s="777"/>
    </row>
    <row r="48" spans="3:56" s="775" customFormat="1" hidden="1" outlineLevel="1">
      <c r="C48" s="776"/>
      <c r="D48" s="777"/>
      <c r="E48" s="777"/>
      <c r="F48" s="777"/>
      <c r="G48" s="777"/>
      <c r="H48" s="777"/>
      <c r="I48" s="777"/>
      <c r="J48" s="777"/>
      <c r="K48" s="777"/>
      <c r="L48" s="777"/>
      <c r="M48" s="777"/>
      <c r="N48" s="777"/>
      <c r="O48" s="777"/>
      <c r="Q48" s="778"/>
      <c r="R48" s="778"/>
      <c r="S48" s="779"/>
      <c r="T48" s="778"/>
      <c r="U48" s="778"/>
      <c r="V48" s="778"/>
      <c r="W48" s="779"/>
      <c r="X48" s="778"/>
      <c r="Y48" s="778"/>
      <c r="Z48" s="778"/>
      <c r="AA48" s="778"/>
      <c r="AB48" s="778"/>
      <c r="AC48" s="778"/>
      <c r="AD48" s="778"/>
      <c r="AE48" s="778"/>
      <c r="AF48" s="778"/>
      <c r="AG48" s="780"/>
      <c r="AH48" s="778"/>
      <c r="AI48" s="778"/>
      <c r="AJ48" s="778"/>
      <c r="AK48" s="778"/>
      <c r="AL48" s="778"/>
      <c r="AM48" s="778"/>
      <c r="AN48" s="778"/>
      <c r="AO48" s="777"/>
      <c r="AP48" s="777"/>
      <c r="AQ48" s="777"/>
      <c r="AR48" s="777"/>
      <c r="AS48" s="777"/>
      <c r="AT48" s="777"/>
      <c r="AU48" s="777"/>
      <c r="AV48" s="777"/>
      <c r="AW48" s="777"/>
      <c r="AX48" s="777"/>
      <c r="AY48" s="777"/>
      <c r="AZ48" s="777"/>
      <c r="BA48" s="777"/>
      <c r="BB48" s="777"/>
      <c r="BC48" s="777"/>
      <c r="BD48" s="777"/>
    </row>
    <row r="49" spans="1:58" s="775" customFormat="1" hidden="1" outlineLevel="1">
      <c r="C49" s="776"/>
      <c r="D49" s="777"/>
      <c r="E49" s="777"/>
      <c r="F49" s="777"/>
      <c r="G49" s="777"/>
      <c r="H49" s="777"/>
      <c r="I49" s="777"/>
      <c r="J49" s="777"/>
      <c r="K49" s="777"/>
      <c r="L49" s="777"/>
      <c r="M49" s="777"/>
      <c r="N49" s="777"/>
      <c r="O49" s="777"/>
      <c r="Q49" s="778"/>
      <c r="R49" s="778"/>
      <c r="S49" s="779"/>
      <c r="T49" s="778"/>
      <c r="U49" s="778"/>
      <c r="V49" s="778"/>
      <c r="W49" s="779"/>
      <c r="X49" s="778"/>
      <c r="Y49" s="778"/>
      <c r="Z49" s="778"/>
      <c r="AA49" s="778"/>
      <c r="AB49" s="778"/>
      <c r="AC49" s="778"/>
      <c r="AD49" s="778"/>
      <c r="AE49" s="778"/>
      <c r="AF49" s="778"/>
      <c r="AG49" s="780"/>
      <c r="AH49" s="778"/>
      <c r="AI49" s="778"/>
      <c r="AJ49" s="778"/>
      <c r="AK49" s="778"/>
      <c r="AL49" s="778"/>
      <c r="AM49" s="778"/>
      <c r="AN49" s="778"/>
      <c r="AO49" s="777"/>
      <c r="AP49" s="777"/>
      <c r="AQ49" s="777"/>
      <c r="AR49" s="777"/>
      <c r="AS49" s="777"/>
      <c r="AT49" s="777"/>
      <c r="AU49" s="777"/>
      <c r="AV49" s="777"/>
      <c r="AW49" s="777"/>
      <c r="AX49" s="777"/>
      <c r="AY49" s="777"/>
      <c r="AZ49" s="777"/>
      <c r="BA49" s="777"/>
      <c r="BB49" s="777"/>
      <c r="BC49" s="777"/>
      <c r="BD49" s="777"/>
    </row>
    <row r="50" spans="1:58" s="775" customFormat="1" ht="15" outlineLevel="1">
      <c r="C50" s="776"/>
      <c r="D50" s="777"/>
      <c r="E50" s="777"/>
      <c r="F50" s="777"/>
      <c r="G50" s="777"/>
      <c r="H50" s="777"/>
      <c r="I50" s="777"/>
      <c r="J50" s="777"/>
      <c r="K50" s="777"/>
      <c r="L50" s="777"/>
      <c r="M50" s="777"/>
      <c r="N50" s="777"/>
      <c r="O50" s="777"/>
      <c r="Q50" s="778"/>
      <c r="R50" s="778"/>
      <c r="S50" s="779"/>
      <c r="T50" s="778"/>
      <c r="U50" s="778"/>
      <c r="V50" s="778"/>
      <c r="W50" s="779"/>
      <c r="X50" s="778"/>
      <c r="Y50" s="778"/>
      <c r="Z50" s="778"/>
      <c r="AA50" s="778"/>
      <c r="AB50" s="778"/>
      <c r="AC50" s="778"/>
      <c r="AD50" s="719"/>
      <c r="AE50" s="719"/>
      <c r="AF50" s="778"/>
      <c r="AG50" s="780"/>
      <c r="AH50" s="778"/>
      <c r="AI50" s="778"/>
      <c r="AJ50" s="778"/>
      <c r="AK50" s="778"/>
      <c r="AL50" s="778"/>
      <c r="AM50" s="778"/>
      <c r="AN50" s="778"/>
      <c r="AO50" s="777"/>
      <c r="AP50" s="777"/>
      <c r="AQ50" s="777"/>
      <c r="AR50" s="777"/>
      <c r="AS50" s="777"/>
      <c r="AT50" s="777"/>
      <c r="AU50" s="777"/>
      <c r="AV50" s="777"/>
      <c r="AW50" s="777"/>
      <c r="AX50" s="777"/>
      <c r="AY50" s="777"/>
      <c r="AZ50" s="777"/>
      <c r="BA50" s="777"/>
      <c r="BB50" s="777"/>
      <c r="BC50" s="777"/>
      <c r="BD50" s="777"/>
    </row>
    <row r="51" spans="1:58" s="775" customFormat="1">
      <c r="C51" s="776"/>
      <c r="D51" s="777"/>
      <c r="E51" s="777" t="s">
        <v>1021</v>
      </c>
      <c r="F51" s="777"/>
      <c r="G51" s="777"/>
      <c r="H51" s="777"/>
      <c r="I51" s="777" t="s">
        <v>1021</v>
      </c>
      <c r="J51" s="777"/>
      <c r="K51" s="777"/>
      <c r="L51" s="777"/>
      <c r="M51" s="777"/>
      <c r="O51" s="777"/>
      <c r="P51" s="778"/>
      <c r="S51" s="781" t="s">
        <v>1022</v>
      </c>
      <c r="W51" s="781" t="s">
        <v>951</v>
      </c>
      <c r="AA51" s="778"/>
      <c r="AB51" s="778"/>
      <c r="AC51" s="778"/>
      <c r="AD51" s="778"/>
      <c r="AE51" s="778"/>
      <c r="AF51" s="778" t="s">
        <v>1023</v>
      </c>
      <c r="AG51" s="780"/>
      <c r="AH51" s="778"/>
      <c r="AI51" s="778"/>
      <c r="AJ51" s="778"/>
      <c r="AK51" s="778"/>
      <c r="AL51" s="778"/>
      <c r="AM51" s="778"/>
      <c r="AN51" s="778"/>
      <c r="AO51" s="777"/>
      <c r="AP51" s="778"/>
      <c r="AQ51" s="777"/>
      <c r="AR51" s="777"/>
      <c r="AS51" s="778"/>
      <c r="AT51" s="777"/>
      <c r="AU51" s="777"/>
      <c r="AV51" s="777"/>
      <c r="AW51" s="777"/>
      <c r="AX51" s="777"/>
      <c r="AY51" s="777"/>
      <c r="AZ51" s="777"/>
      <c r="BA51" s="777"/>
      <c r="BB51" s="777"/>
      <c r="BC51" s="777"/>
      <c r="BD51" s="777"/>
    </row>
    <row r="52" spans="1:58" s="782" customFormat="1">
      <c r="C52" s="782" t="s">
        <v>1024</v>
      </c>
      <c r="D52" s="783">
        <f t="shared" ref="D52:BC52" si="12">IF(LEFT(D54,1)="1",$B$142,IF(LEFT(D54,1)="2",$B$143,IF(LEFT(D54,1)="3",$B$144,$B$145)))</f>
        <v>1.115</v>
      </c>
      <c r="E52" s="783">
        <f t="shared" si="12"/>
        <v>0.85</v>
      </c>
      <c r="F52" s="783">
        <f t="shared" si="12"/>
        <v>1.115</v>
      </c>
      <c r="G52" s="783">
        <f t="shared" si="12"/>
        <v>0.99499999999999988</v>
      </c>
      <c r="H52" s="783">
        <f t="shared" si="12"/>
        <v>1.0649999999999999</v>
      </c>
      <c r="I52" s="783">
        <f t="shared" si="12"/>
        <v>0.85</v>
      </c>
      <c r="J52" s="783">
        <f t="shared" si="12"/>
        <v>1.115</v>
      </c>
      <c r="K52" s="783">
        <f t="shared" si="12"/>
        <v>0.99499999999999988</v>
      </c>
      <c r="L52" s="783">
        <f t="shared" si="12"/>
        <v>1.0649999999999999</v>
      </c>
      <c r="M52" s="783">
        <f t="shared" si="12"/>
        <v>0.85</v>
      </c>
      <c r="N52" s="783">
        <f t="shared" si="12"/>
        <v>1.115</v>
      </c>
      <c r="O52" s="783">
        <f t="shared" si="12"/>
        <v>0.99499999999999988</v>
      </c>
      <c r="P52" s="783">
        <f t="shared" si="12"/>
        <v>1.0649999999999999</v>
      </c>
      <c r="Q52" s="783">
        <f t="shared" si="12"/>
        <v>0.85</v>
      </c>
      <c r="R52" s="783">
        <f t="shared" si="12"/>
        <v>1.115</v>
      </c>
      <c r="S52" s="784">
        <f t="shared" si="12"/>
        <v>0.99499999999999988</v>
      </c>
      <c r="T52" s="783">
        <f t="shared" si="12"/>
        <v>1.0649999999999999</v>
      </c>
      <c r="U52" s="783">
        <f t="shared" si="12"/>
        <v>0.85</v>
      </c>
      <c r="V52" s="783">
        <f t="shared" si="12"/>
        <v>1.115</v>
      </c>
      <c r="W52" s="784">
        <f t="shared" si="12"/>
        <v>0.99499999999999988</v>
      </c>
      <c r="X52" s="783">
        <f t="shared" si="12"/>
        <v>1.0649999999999999</v>
      </c>
      <c r="Y52" s="783">
        <f t="shared" si="12"/>
        <v>0.85</v>
      </c>
      <c r="Z52" s="783">
        <f t="shared" si="12"/>
        <v>1.115</v>
      </c>
      <c r="AA52" s="783">
        <f t="shared" si="12"/>
        <v>0.99499999999999988</v>
      </c>
      <c r="AB52" s="783">
        <f t="shared" si="12"/>
        <v>1.0649999999999999</v>
      </c>
      <c r="AC52" s="783">
        <f t="shared" si="12"/>
        <v>0.85</v>
      </c>
      <c r="AD52" s="783">
        <f t="shared" si="12"/>
        <v>1.115</v>
      </c>
      <c r="AE52" s="783">
        <f t="shared" si="12"/>
        <v>0.99499999999999988</v>
      </c>
      <c r="AF52" s="783">
        <f t="shared" si="12"/>
        <v>1.0649999999999999</v>
      </c>
      <c r="AG52" s="785">
        <f t="shared" si="12"/>
        <v>0.85</v>
      </c>
      <c r="AH52" s="783">
        <f t="shared" si="12"/>
        <v>1.115</v>
      </c>
      <c r="AI52" s="783">
        <f t="shared" si="12"/>
        <v>0.99499999999999988</v>
      </c>
      <c r="AJ52" s="783">
        <f t="shared" si="12"/>
        <v>1.0649999999999999</v>
      </c>
      <c r="AK52" s="783">
        <f t="shared" si="12"/>
        <v>0.85</v>
      </c>
      <c r="AL52" s="783">
        <f t="shared" si="12"/>
        <v>1.115</v>
      </c>
      <c r="AM52" s="783">
        <f t="shared" si="12"/>
        <v>0.99499999999999988</v>
      </c>
      <c r="AN52" s="783">
        <f t="shared" si="12"/>
        <v>1.0649999999999999</v>
      </c>
      <c r="AO52" s="783">
        <f t="shared" si="12"/>
        <v>0.85</v>
      </c>
      <c r="AP52" s="783">
        <f t="shared" si="12"/>
        <v>1.115</v>
      </c>
      <c r="AQ52" s="783">
        <f t="shared" si="12"/>
        <v>0.99499999999999988</v>
      </c>
      <c r="AR52" s="783">
        <f t="shared" si="12"/>
        <v>1.0649999999999999</v>
      </c>
      <c r="AS52" s="783">
        <f t="shared" si="12"/>
        <v>0.85</v>
      </c>
      <c r="AT52" s="783">
        <f t="shared" si="12"/>
        <v>1.115</v>
      </c>
      <c r="AU52" s="783">
        <f t="shared" si="12"/>
        <v>0.99499999999999988</v>
      </c>
      <c r="AV52" s="783">
        <f t="shared" si="12"/>
        <v>1.0649999999999999</v>
      </c>
      <c r="AW52" s="783">
        <f t="shared" si="12"/>
        <v>0.85</v>
      </c>
      <c r="AX52" s="783">
        <f t="shared" si="12"/>
        <v>1.115</v>
      </c>
      <c r="AY52" s="783">
        <f t="shared" si="12"/>
        <v>0.99499999999999988</v>
      </c>
      <c r="AZ52" s="783">
        <f t="shared" si="12"/>
        <v>1.0649999999999999</v>
      </c>
      <c r="BA52" s="783">
        <f t="shared" si="12"/>
        <v>0.85</v>
      </c>
      <c r="BB52" s="783">
        <f t="shared" si="12"/>
        <v>1.115</v>
      </c>
      <c r="BC52" s="783">
        <f t="shared" si="12"/>
        <v>1.115</v>
      </c>
      <c r="BD52" s="783"/>
    </row>
    <row r="53" spans="1:58" s="790" customFormat="1">
      <c r="A53" s="786"/>
      <c r="B53" s="786"/>
      <c r="C53" s="786"/>
      <c r="D53" s="787"/>
      <c r="E53" s="787"/>
      <c r="F53" s="787"/>
      <c r="G53" s="787"/>
      <c r="H53" s="787"/>
      <c r="I53" s="787"/>
      <c r="J53" s="787"/>
      <c r="K53" s="787"/>
      <c r="L53" s="787"/>
      <c r="M53" s="787"/>
      <c r="N53" s="787"/>
      <c r="O53" s="787"/>
      <c r="P53" s="787"/>
      <c r="Q53" s="787"/>
      <c r="R53" s="787"/>
      <c r="S53" s="788"/>
      <c r="T53" s="787"/>
      <c r="U53" s="787"/>
      <c r="V53" s="787"/>
      <c r="W53" s="788"/>
      <c r="X53" s="787"/>
      <c r="Y53" s="787"/>
      <c r="Z53" s="787"/>
      <c r="AA53" s="787"/>
      <c r="AB53" s="787"/>
      <c r="AC53" s="787"/>
      <c r="AD53" s="787"/>
      <c r="AE53" s="787"/>
      <c r="AF53" s="787"/>
      <c r="AG53" s="789"/>
      <c r="AH53" s="787"/>
      <c r="AI53" s="787"/>
      <c r="AJ53" s="787"/>
      <c r="AK53" s="787"/>
      <c r="AL53" s="787"/>
      <c r="AM53" s="787"/>
      <c r="AN53" s="787"/>
      <c r="AO53" s="787"/>
      <c r="AP53" s="787"/>
      <c r="AQ53" s="787"/>
      <c r="AR53" s="787"/>
      <c r="AS53" s="787"/>
      <c r="AT53" s="787"/>
      <c r="AU53" s="787"/>
      <c r="AV53" s="787"/>
      <c r="AW53" s="787"/>
      <c r="AX53" s="787"/>
      <c r="AY53" s="787"/>
      <c r="AZ53" s="787"/>
      <c r="BA53" s="787"/>
      <c r="BB53" s="787"/>
      <c r="BC53" s="787"/>
      <c r="BD53" s="787"/>
    </row>
    <row r="54" spans="1:58" s="797" customFormat="1" ht="11">
      <c r="A54" s="791" t="s">
        <v>1025</v>
      </c>
      <c r="B54" s="702"/>
      <c r="C54" s="702"/>
      <c r="D54" s="792"/>
      <c r="E54" s="792" t="s">
        <v>1026</v>
      </c>
      <c r="F54" s="792" t="s">
        <v>1027</v>
      </c>
      <c r="G54" s="792" t="s">
        <v>1028</v>
      </c>
      <c r="H54" s="792" t="s">
        <v>1029</v>
      </c>
      <c r="I54" s="792" t="s">
        <v>1030</v>
      </c>
      <c r="J54" s="792" t="s">
        <v>1031</v>
      </c>
      <c r="K54" s="792" t="s">
        <v>1032</v>
      </c>
      <c r="L54" s="792" t="s">
        <v>1033</v>
      </c>
      <c r="M54" s="792" t="s">
        <v>1034</v>
      </c>
      <c r="N54" s="792" t="s">
        <v>1035</v>
      </c>
      <c r="O54" s="792" t="s">
        <v>1036</v>
      </c>
      <c r="P54" s="792" t="s">
        <v>1037</v>
      </c>
      <c r="Q54" s="792" t="s">
        <v>1038</v>
      </c>
      <c r="R54" s="792" t="s">
        <v>1039</v>
      </c>
      <c r="S54" s="793" t="s">
        <v>1040</v>
      </c>
      <c r="T54" s="792" t="s">
        <v>1041</v>
      </c>
      <c r="U54" s="792" t="s">
        <v>1042</v>
      </c>
      <c r="V54" s="792" t="s">
        <v>1043</v>
      </c>
      <c r="W54" s="793" t="s">
        <v>1044</v>
      </c>
      <c r="X54" s="792" t="s">
        <v>1045</v>
      </c>
      <c r="Y54" s="792" t="s">
        <v>1046</v>
      </c>
      <c r="Z54" s="792" t="s">
        <v>1047</v>
      </c>
      <c r="AA54" s="792" t="s">
        <v>1048</v>
      </c>
      <c r="AB54" s="792" t="s">
        <v>1049</v>
      </c>
      <c r="AC54" s="792" t="s">
        <v>1050</v>
      </c>
      <c r="AD54" s="792" t="s">
        <v>1051</v>
      </c>
      <c r="AE54" s="792" t="s">
        <v>1052</v>
      </c>
      <c r="AF54" s="794" t="s">
        <v>1053</v>
      </c>
      <c r="AG54" s="792" t="s">
        <v>1054</v>
      </c>
      <c r="AH54" s="792" t="s">
        <v>1055</v>
      </c>
      <c r="AI54" s="792" t="s">
        <v>1056</v>
      </c>
      <c r="AJ54" s="792" t="s">
        <v>1057</v>
      </c>
      <c r="AK54" s="792" t="s">
        <v>1058</v>
      </c>
      <c r="AL54" s="792" t="s">
        <v>1059</v>
      </c>
      <c r="AM54" s="792" t="s">
        <v>1060</v>
      </c>
      <c r="AN54" s="792" t="s">
        <v>1061</v>
      </c>
      <c r="AO54" s="792" t="s">
        <v>1062</v>
      </c>
      <c r="AP54" s="792" t="s">
        <v>1063</v>
      </c>
      <c r="AQ54" s="792" t="s">
        <v>1064</v>
      </c>
      <c r="AR54" s="792" t="s">
        <v>1065</v>
      </c>
      <c r="AS54" s="792" t="s">
        <v>1066</v>
      </c>
      <c r="AT54" s="792" t="s">
        <v>1067</v>
      </c>
      <c r="AU54" s="792" t="s">
        <v>1068</v>
      </c>
      <c r="AV54" s="792" t="s">
        <v>1069</v>
      </c>
      <c r="AW54" s="792" t="s">
        <v>1070</v>
      </c>
      <c r="AX54" s="792" t="s">
        <v>1071</v>
      </c>
      <c r="AY54" s="792" t="s">
        <v>1072</v>
      </c>
      <c r="AZ54" s="792" t="s">
        <v>1073</v>
      </c>
      <c r="BA54" s="795" t="s">
        <v>1074</v>
      </c>
      <c r="BB54" s="795" t="s">
        <v>1075</v>
      </c>
      <c r="BC54" s="795" t="s">
        <v>1075</v>
      </c>
      <c r="BD54" s="796" t="s">
        <v>972</v>
      </c>
    </row>
    <row r="55" spans="1:58" s="798" customFormat="1" ht="19.5" customHeight="1">
      <c r="C55" s="799" t="s">
        <v>1076</v>
      </c>
      <c r="D55" s="800"/>
      <c r="E55" s="801">
        <f>SUM(E56:E66)</f>
        <v>2873</v>
      </c>
      <c r="F55" s="801">
        <f t="shared" ref="F55:BC55" si="13">SUM(F56:F66)</f>
        <v>3768.7000000000003</v>
      </c>
      <c r="G55" s="801">
        <f t="shared" si="13"/>
        <v>3363.0999999999995</v>
      </c>
      <c r="H55" s="801">
        <f t="shared" si="13"/>
        <v>3599.7000000000003</v>
      </c>
      <c r="I55" s="801">
        <f t="shared" si="13"/>
        <v>4139.707317073171</v>
      </c>
      <c r="J55" s="801">
        <f t="shared" si="13"/>
        <v>5727.292682926829</v>
      </c>
      <c r="K55" s="801">
        <f t="shared" si="13"/>
        <v>5110.9024390243894</v>
      </c>
      <c r="L55" s="801">
        <f t="shared" si="13"/>
        <v>5470.4634146341459</v>
      </c>
      <c r="M55" s="801">
        <f t="shared" si="13"/>
        <v>4366.0975609756097</v>
      </c>
      <c r="N55" s="801">
        <f t="shared" si="13"/>
        <v>5727.292682926829</v>
      </c>
      <c r="O55" s="801">
        <f t="shared" si="13"/>
        <v>5369.6024390243892</v>
      </c>
      <c r="P55" s="801">
        <f t="shared" si="13"/>
        <v>6557.80243902439</v>
      </c>
      <c r="Q55" s="802">
        <f t="shared" si="13"/>
        <v>5233.9268292682927</v>
      </c>
      <c r="R55" s="802">
        <f t="shared" si="13"/>
        <v>6582.8512195121948</v>
      </c>
      <c r="S55" s="803">
        <f t="shared" si="13"/>
        <v>5874.3829268292675</v>
      </c>
      <c r="T55" s="802">
        <f t="shared" si="13"/>
        <v>6010.7560975609749</v>
      </c>
      <c r="U55" s="802">
        <f t="shared" si="13"/>
        <v>4465.8170731707314</v>
      </c>
      <c r="V55" s="802">
        <f t="shared" si="13"/>
        <v>5575.2719512195126</v>
      </c>
      <c r="W55" s="803">
        <f t="shared" si="13"/>
        <v>4570.9426829268305</v>
      </c>
      <c r="X55" s="802">
        <f t="shared" si="13"/>
        <v>2431.3170731707314</v>
      </c>
      <c r="Y55" s="802">
        <f t="shared" si="13"/>
        <v>1940.4878048780488</v>
      </c>
      <c r="Z55" s="802">
        <f t="shared" si="13"/>
        <v>2262.6341463414633</v>
      </c>
      <c r="AA55" s="802">
        <f t="shared" si="13"/>
        <v>2019.1219512195121</v>
      </c>
      <c r="AB55" s="802">
        <f t="shared" si="13"/>
        <v>958.82926829269854</v>
      </c>
      <c r="AC55" s="802">
        <f t="shared" si="13"/>
        <v>0</v>
      </c>
      <c r="AD55" s="802">
        <f t="shared" si="13"/>
        <v>0</v>
      </c>
      <c r="AE55" s="802">
        <f t="shared" si="13"/>
        <v>0</v>
      </c>
      <c r="AF55" s="802">
        <f t="shared" si="13"/>
        <v>0</v>
      </c>
      <c r="AG55" s="804">
        <f t="shared" si="13"/>
        <v>0</v>
      </c>
      <c r="AH55" s="805">
        <f t="shared" si="13"/>
        <v>0</v>
      </c>
      <c r="AI55" s="805">
        <f t="shared" si="13"/>
        <v>0</v>
      </c>
      <c r="AJ55" s="805">
        <f t="shared" si="13"/>
        <v>0</v>
      </c>
      <c r="AK55" s="805">
        <f t="shared" si="13"/>
        <v>0</v>
      </c>
      <c r="AL55" s="805">
        <f t="shared" si="13"/>
        <v>0</v>
      </c>
      <c r="AM55" s="805">
        <f t="shared" si="13"/>
        <v>0</v>
      </c>
      <c r="AN55" s="805">
        <f t="shared" si="13"/>
        <v>0</v>
      </c>
      <c r="AO55" s="805">
        <f t="shared" si="13"/>
        <v>0</v>
      </c>
      <c r="AP55" s="805">
        <f t="shared" si="13"/>
        <v>0</v>
      </c>
      <c r="AQ55" s="805">
        <f t="shared" si="13"/>
        <v>0</v>
      </c>
      <c r="AR55" s="805">
        <f t="shared" si="13"/>
        <v>0</v>
      </c>
      <c r="AS55" s="805">
        <f t="shared" si="13"/>
        <v>0</v>
      </c>
      <c r="AT55" s="805">
        <f t="shared" si="13"/>
        <v>0</v>
      </c>
      <c r="AU55" s="805">
        <f t="shared" si="13"/>
        <v>0</v>
      </c>
      <c r="AV55" s="805">
        <f t="shared" si="13"/>
        <v>0</v>
      </c>
      <c r="AW55" s="805">
        <f t="shared" si="13"/>
        <v>0</v>
      </c>
      <c r="AX55" s="805">
        <f t="shared" si="13"/>
        <v>0</v>
      </c>
      <c r="AY55" s="805">
        <f t="shared" si="13"/>
        <v>0</v>
      </c>
      <c r="AZ55" s="805">
        <f t="shared" si="13"/>
        <v>0</v>
      </c>
      <c r="BA55" s="805">
        <f t="shared" si="13"/>
        <v>0</v>
      </c>
      <c r="BB55" s="805">
        <f t="shared" si="13"/>
        <v>0</v>
      </c>
      <c r="BC55" s="805">
        <f t="shared" si="13"/>
        <v>0</v>
      </c>
      <c r="BD55" s="806">
        <f>SUM(D55:BC55)</f>
        <v>104000.00000000001</v>
      </c>
    </row>
    <row r="56" spans="1:58" s="817" customFormat="1" ht="15" customHeight="1">
      <c r="A56" s="807">
        <v>52000</v>
      </c>
      <c r="B56" s="808" t="b">
        <f>A56=BD56</f>
        <v>1</v>
      </c>
      <c r="C56" s="809" t="s">
        <v>488</v>
      </c>
      <c r="D56" s="810"/>
      <c r="E56" s="811">
        <f t="shared" ref="E56:V59" si="14">E31*E9</f>
        <v>2873</v>
      </c>
      <c r="F56" s="811">
        <f t="shared" si="14"/>
        <v>3768.7000000000003</v>
      </c>
      <c r="G56" s="811">
        <f t="shared" si="14"/>
        <v>3363.0999999999995</v>
      </c>
      <c r="H56" s="811">
        <f t="shared" si="14"/>
        <v>3599.7000000000003</v>
      </c>
      <c r="I56" s="811">
        <f t="shared" si="14"/>
        <v>1768</v>
      </c>
      <c r="J56" s="811">
        <f t="shared" si="14"/>
        <v>2899</v>
      </c>
      <c r="K56" s="811">
        <f t="shared" si="14"/>
        <v>2586.9999999999995</v>
      </c>
      <c r="L56" s="811">
        <f t="shared" si="14"/>
        <v>2769</v>
      </c>
      <c r="M56" s="811">
        <f t="shared" si="14"/>
        <v>2210</v>
      </c>
      <c r="N56" s="811">
        <f t="shared" si="14"/>
        <v>2899</v>
      </c>
      <c r="O56" s="811">
        <f t="shared" si="14"/>
        <v>2845.7</v>
      </c>
      <c r="P56" s="811">
        <f t="shared" si="14"/>
        <v>3045.9</v>
      </c>
      <c r="Q56" s="812">
        <f t="shared" si="14"/>
        <v>2431</v>
      </c>
      <c r="R56" s="812">
        <f t="shared" si="14"/>
        <v>3188.9</v>
      </c>
      <c r="S56" s="813">
        <f t="shared" si="14"/>
        <v>2845.7</v>
      </c>
      <c r="T56" s="812">
        <f t="shared" si="14"/>
        <v>2769</v>
      </c>
      <c r="U56" s="812">
        <f t="shared" si="14"/>
        <v>1878.5</v>
      </c>
      <c r="V56" s="812">
        <f t="shared" si="14"/>
        <v>2464.15</v>
      </c>
      <c r="W56" s="813">
        <f>A56-SUM(E56:V56)</f>
        <v>1794.6500000000015</v>
      </c>
      <c r="X56" s="812"/>
      <c r="Y56" s="812"/>
      <c r="Z56" s="814"/>
      <c r="AA56" s="814"/>
      <c r="AB56" s="814"/>
      <c r="AC56" s="814"/>
      <c r="AD56" s="814"/>
      <c r="AE56" s="814"/>
      <c r="AF56" s="814"/>
      <c r="AG56" s="815"/>
      <c r="AH56" s="814"/>
      <c r="AI56" s="814"/>
      <c r="AJ56" s="814"/>
      <c r="AK56" s="814"/>
      <c r="AL56" s="814"/>
      <c r="AM56" s="814"/>
      <c r="AN56" s="814"/>
      <c r="AO56" s="814"/>
      <c r="AP56" s="814"/>
      <c r="AQ56" s="814"/>
      <c r="AR56" s="814"/>
      <c r="AS56" s="814"/>
      <c r="AT56" s="814"/>
      <c r="AU56" s="814"/>
      <c r="AV56" s="814"/>
      <c r="AW56" s="814"/>
      <c r="AX56" s="814"/>
      <c r="AY56" s="814"/>
      <c r="AZ56" s="814"/>
      <c r="BA56" s="814"/>
      <c r="BB56" s="814"/>
      <c r="BC56" s="814"/>
      <c r="BD56" s="816">
        <f>SUM(D56:BC56)</f>
        <v>52000</v>
      </c>
      <c r="BF56" s="817">
        <f>SUMPRODUCT(A56:A59,BE56:BE59)/SUM(A56:A59)</f>
        <v>0</v>
      </c>
    </row>
    <row r="57" spans="1:58" s="817" customFormat="1" ht="15" customHeight="1">
      <c r="A57" s="807">
        <v>52000</v>
      </c>
      <c r="B57" s="808" t="b">
        <f t="shared" ref="B57:B66" si="15">A57=BD57</f>
        <v>1</v>
      </c>
      <c r="C57" s="809" t="s">
        <v>489</v>
      </c>
      <c r="D57" s="810"/>
      <c r="E57" s="814"/>
      <c r="F57" s="814"/>
      <c r="G57" s="814"/>
      <c r="H57" s="814"/>
      <c r="I57" s="818">
        <f t="shared" si="14"/>
        <v>2371.707317073171</v>
      </c>
      <c r="J57" s="812">
        <f t="shared" si="14"/>
        <v>2828.292682926829</v>
      </c>
      <c r="K57" s="812">
        <f t="shared" si="14"/>
        <v>2523.9024390243899</v>
      </c>
      <c r="L57" s="812">
        <f t="shared" si="14"/>
        <v>2701.4634146341459</v>
      </c>
      <c r="M57" s="812">
        <f t="shared" si="14"/>
        <v>2156.0975609756097</v>
      </c>
      <c r="N57" s="812">
        <f t="shared" si="14"/>
        <v>2828.292682926829</v>
      </c>
      <c r="O57" s="812">
        <f t="shared" si="14"/>
        <v>2523.9024390243899</v>
      </c>
      <c r="P57" s="812">
        <f t="shared" si="14"/>
        <v>3511.9024390243899</v>
      </c>
      <c r="Q57" s="812">
        <f t="shared" si="14"/>
        <v>2802.9268292682927</v>
      </c>
      <c r="R57" s="812">
        <f t="shared" si="14"/>
        <v>3393.9512195121947</v>
      </c>
      <c r="S57" s="813">
        <f t="shared" si="14"/>
        <v>3028.6829268292677</v>
      </c>
      <c r="T57" s="812">
        <f t="shared" si="14"/>
        <v>3241.7560975609749</v>
      </c>
      <c r="U57" s="812">
        <f t="shared" si="14"/>
        <v>2587.3170731707314</v>
      </c>
      <c r="V57" s="812">
        <f t="shared" si="14"/>
        <v>3111.1219512195121</v>
      </c>
      <c r="W57" s="813">
        <f t="shared" ref="W57:AM59" si="16">W32*W10</f>
        <v>2776.292682926829</v>
      </c>
      <c r="X57" s="812">
        <f t="shared" si="16"/>
        <v>2431.3170731707314</v>
      </c>
      <c r="Y57" s="812">
        <f t="shared" si="16"/>
        <v>1940.4878048780488</v>
      </c>
      <c r="Z57" s="814">
        <f t="shared" si="16"/>
        <v>2262.6341463414633</v>
      </c>
      <c r="AA57" s="814">
        <f t="shared" si="16"/>
        <v>2019.1219512195121</v>
      </c>
      <c r="AB57" s="814">
        <f>A57-SUM(I57:AA57)</f>
        <v>958.82926829269854</v>
      </c>
      <c r="AC57" s="814"/>
      <c r="AD57" s="819"/>
      <c r="AE57" s="814"/>
      <c r="AF57" s="814"/>
      <c r="AG57" s="815"/>
      <c r="AH57" s="814"/>
      <c r="AI57" s="814"/>
      <c r="AJ57" s="814"/>
      <c r="AK57" s="814"/>
      <c r="AL57" s="814"/>
      <c r="AM57" s="814"/>
      <c r="AN57" s="814"/>
      <c r="AO57" s="814"/>
      <c r="AP57" s="814"/>
      <c r="AQ57" s="814"/>
      <c r="AR57" s="814"/>
      <c r="AS57" s="814"/>
      <c r="AT57" s="814"/>
      <c r="AU57" s="814"/>
      <c r="AV57" s="814"/>
      <c r="AW57" s="814"/>
      <c r="AX57" s="814"/>
      <c r="AY57" s="814"/>
      <c r="AZ57" s="814"/>
      <c r="BA57" s="814"/>
      <c r="BB57" s="814"/>
      <c r="BC57" s="814"/>
      <c r="BD57" s="816">
        <f t="shared" ref="BD57:BD66" si="17">SUM(D57:BC57)</f>
        <v>52000</v>
      </c>
    </row>
    <row r="58" spans="1:58" s="826" customFormat="1" ht="15" hidden="1" customHeight="1">
      <c r="A58" s="820"/>
      <c r="B58" s="808" t="b">
        <f>A58=BD58</f>
        <v>1</v>
      </c>
      <c r="C58" s="809" t="s">
        <v>1008</v>
      </c>
      <c r="D58" s="821"/>
      <c r="E58" s="822"/>
      <c r="F58" s="822"/>
      <c r="G58" s="822"/>
      <c r="H58" s="822"/>
      <c r="I58" s="822"/>
      <c r="J58" s="822"/>
      <c r="K58" s="822"/>
      <c r="L58" s="822"/>
      <c r="M58" s="823">
        <f t="shared" si="14"/>
        <v>0</v>
      </c>
      <c r="N58" s="822">
        <f t="shared" si="14"/>
        <v>0</v>
      </c>
      <c r="O58" s="822">
        <f t="shared" si="14"/>
        <v>0</v>
      </c>
      <c r="P58" s="822">
        <f t="shared" si="14"/>
        <v>0</v>
      </c>
      <c r="Q58" s="822">
        <f t="shared" si="14"/>
        <v>0</v>
      </c>
      <c r="R58" s="822">
        <f t="shared" si="14"/>
        <v>0</v>
      </c>
      <c r="S58" s="824">
        <f t="shared" si="14"/>
        <v>0</v>
      </c>
      <c r="T58" s="822">
        <f t="shared" si="14"/>
        <v>0</v>
      </c>
      <c r="U58" s="822">
        <f t="shared" si="14"/>
        <v>0</v>
      </c>
      <c r="V58" s="822">
        <f t="shared" si="14"/>
        <v>0</v>
      </c>
      <c r="W58" s="824">
        <f t="shared" si="16"/>
        <v>0</v>
      </c>
      <c r="X58" s="822">
        <f t="shared" si="16"/>
        <v>0</v>
      </c>
      <c r="Y58" s="822">
        <f t="shared" si="16"/>
        <v>0</v>
      </c>
      <c r="Z58" s="822">
        <f t="shared" si="16"/>
        <v>0</v>
      </c>
      <c r="AA58" s="822">
        <f t="shared" si="16"/>
        <v>0</v>
      </c>
      <c r="AB58" s="822">
        <f t="shared" si="16"/>
        <v>0</v>
      </c>
      <c r="AC58" s="822">
        <f t="shared" si="16"/>
        <v>0</v>
      </c>
      <c r="AD58" s="819">
        <f t="shared" si="16"/>
        <v>0</v>
      </c>
      <c r="AE58" s="819">
        <f t="shared" si="16"/>
        <v>0</v>
      </c>
      <c r="AF58" s="819">
        <f t="shared" si="16"/>
        <v>0</v>
      </c>
      <c r="AG58" s="825">
        <f t="shared" si="16"/>
        <v>0</v>
      </c>
      <c r="AH58" s="819">
        <f>$A$58-SUM($E$58:AG58)</f>
        <v>0</v>
      </c>
      <c r="AI58" s="822"/>
      <c r="AJ58" s="822"/>
      <c r="AK58" s="822"/>
      <c r="AL58" s="822"/>
      <c r="AM58" s="822"/>
      <c r="AN58" s="822"/>
      <c r="AO58" s="822"/>
      <c r="AP58" s="822"/>
      <c r="AQ58" s="822"/>
      <c r="AR58" s="822"/>
      <c r="AS58" s="822"/>
      <c r="AT58" s="822"/>
      <c r="AU58" s="822"/>
      <c r="AV58" s="822"/>
      <c r="AW58" s="822"/>
      <c r="AX58" s="822"/>
      <c r="AY58" s="822"/>
      <c r="AZ58" s="822"/>
      <c r="BA58" s="822"/>
      <c r="BB58" s="822"/>
      <c r="BC58" s="822"/>
      <c r="BD58" s="749">
        <f t="shared" si="17"/>
        <v>0</v>
      </c>
    </row>
    <row r="59" spans="1:58" s="826" customFormat="1" ht="15" hidden="1" customHeight="1">
      <c r="A59" s="820"/>
      <c r="B59" s="808" t="b">
        <f t="shared" si="15"/>
        <v>1</v>
      </c>
      <c r="C59" s="827" t="s">
        <v>1009</v>
      </c>
      <c r="D59" s="821"/>
      <c r="E59" s="822"/>
      <c r="F59" s="822"/>
      <c r="G59" s="822"/>
      <c r="H59" s="822"/>
      <c r="I59" s="822"/>
      <c r="J59" s="822"/>
      <c r="K59" s="822"/>
      <c r="L59" s="822"/>
      <c r="M59" s="822"/>
      <c r="N59" s="822"/>
      <c r="O59" s="822"/>
      <c r="P59" s="822"/>
      <c r="Q59" s="823">
        <f t="shared" si="14"/>
        <v>0</v>
      </c>
      <c r="R59" s="823">
        <f t="shared" si="14"/>
        <v>0</v>
      </c>
      <c r="S59" s="823">
        <f t="shared" si="14"/>
        <v>0</v>
      </c>
      <c r="T59" s="828">
        <f t="shared" si="14"/>
        <v>0</v>
      </c>
      <c r="U59" s="823">
        <f t="shared" si="14"/>
        <v>0</v>
      </c>
      <c r="V59" s="823">
        <f t="shared" si="14"/>
        <v>0</v>
      </c>
      <c r="W59" s="823">
        <f t="shared" si="16"/>
        <v>0</v>
      </c>
      <c r="X59" s="828">
        <f t="shared" si="16"/>
        <v>0</v>
      </c>
      <c r="Y59" s="823">
        <f t="shared" si="16"/>
        <v>0</v>
      </c>
      <c r="Z59" s="822">
        <f t="shared" si="16"/>
        <v>0</v>
      </c>
      <c r="AA59" s="822">
        <f t="shared" si="16"/>
        <v>0</v>
      </c>
      <c r="AB59" s="822">
        <f t="shared" si="16"/>
        <v>0</v>
      </c>
      <c r="AC59" s="822">
        <f t="shared" si="16"/>
        <v>0</v>
      </c>
      <c r="AD59" s="822">
        <f t="shared" si="16"/>
        <v>0</v>
      </c>
      <c r="AE59" s="822">
        <f t="shared" si="16"/>
        <v>0</v>
      </c>
      <c r="AF59" s="814">
        <f t="shared" si="16"/>
        <v>0</v>
      </c>
      <c r="AG59" s="825">
        <f t="shared" si="16"/>
        <v>0</v>
      </c>
      <c r="AH59" s="819">
        <f t="shared" si="16"/>
        <v>0</v>
      </c>
      <c r="AI59" s="819">
        <f t="shared" si="16"/>
        <v>0</v>
      </c>
      <c r="AJ59" s="819">
        <f t="shared" si="16"/>
        <v>0</v>
      </c>
      <c r="AK59" s="819">
        <f t="shared" si="16"/>
        <v>0</v>
      </c>
      <c r="AL59" s="819">
        <f t="shared" si="16"/>
        <v>0</v>
      </c>
      <c r="AM59" s="819">
        <f t="shared" si="16"/>
        <v>0</v>
      </c>
      <c r="AN59" s="819">
        <f>$A$59-SUM($E$59:AM59)</f>
        <v>0</v>
      </c>
      <c r="AO59" s="822"/>
      <c r="AP59" s="822"/>
      <c r="AQ59" s="822"/>
      <c r="AR59" s="822"/>
      <c r="AS59" s="822"/>
      <c r="AT59" s="822"/>
      <c r="AU59" s="822"/>
      <c r="AV59" s="822"/>
      <c r="AW59" s="822"/>
      <c r="AX59" s="822"/>
      <c r="AY59" s="822"/>
      <c r="AZ59" s="822"/>
      <c r="BA59" s="822"/>
      <c r="BB59" s="822"/>
      <c r="BC59" s="822"/>
      <c r="BD59" s="749">
        <f>SUM(D59:BC59)</f>
        <v>0</v>
      </c>
    </row>
    <row r="60" spans="1:58" s="836" customFormat="1" hidden="1">
      <c r="A60" s="772"/>
      <c r="B60" s="772" t="b">
        <f t="shared" si="15"/>
        <v>1</v>
      </c>
      <c r="C60" s="769" t="s">
        <v>1010</v>
      </c>
      <c r="D60" s="829"/>
      <c r="E60" s="830"/>
      <c r="F60" s="830"/>
      <c r="G60" s="830"/>
      <c r="H60" s="830"/>
      <c r="I60" s="830"/>
      <c r="J60" s="830"/>
      <c r="K60" s="830"/>
      <c r="L60" s="830"/>
      <c r="M60" s="830"/>
      <c r="N60" s="830"/>
      <c r="O60" s="830"/>
      <c r="P60" s="830"/>
      <c r="Q60" s="831">
        <f t="shared" ref="Q60:AH65" si="18">Q35*Q15</f>
        <v>0</v>
      </c>
      <c r="R60" s="831">
        <f t="shared" si="18"/>
        <v>0</v>
      </c>
      <c r="S60" s="832">
        <f t="shared" si="18"/>
        <v>0</v>
      </c>
      <c r="T60" s="833">
        <f t="shared" si="18"/>
        <v>0</v>
      </c>
      <c r="U60" s="831">
        <f t="shared" si="18"/>
        <v>0</v>
      </c>
      <c r="V60" s="831">
        <f t="shared" si="18"/>
        <v>0</v>
      </c>
      <c r="W60" s="832">
        <f t="shared" si="18"/>
        <v>0</v>
      </c>
      <c r="X60" s="833">
        <f t="shared" si="18"/>
        <v>0</v>
      </c>
      <c r="Y60" s="831">
        <f t="shared" si="18"/>
        <v>0</v>
      </c>
      <c r="Z60" s="834">
        <f t="shared" si="18"/>
        <v>0</v>
      </c>
      <c r="AA60" s="834">
        <f t="shared" si="18"/>
        <v>0</v>
      </c>
      <c r="AB60" s="834">
        <f t="shared" si="18"/>
        <v>0</v>
      </c>
      <c r="AC60" s="834">
        <f t="shared" si="18"/>
        <v>0</v>
      </c>
      <c r="AD60" s="835">
        <f t="shared" si="18"/>
        <v>0</v>
      </c>
      <c r="AE60" s="835">
        <f t="shared" si="18"/>
        <v>0</v>
      </c>
      <c r="AF60" s="835">
        <f t="shared" si="18"/>
        <v>0</v>
      </c>
      <c r="AG60" s="835">
        <f t="shared" si="18"/>
        <v>0</v>
      </c>
      <c r="AH60" s="835">
        <f t="shared" si="18"/>
        <v>0</v>
      </c>
      <c r="AI60" s="835">
        <f>$A$60-SUM($E$60:AH60)</f>
        <v>0</v>
      </c>
      <c r="AJ60" s="830"/>
      <c r="AK60" s="830"/>
      <c r="AL60" s="830"/>
      <c r="AM60" s="830"/>
      <c r="AN60" s="830"/>
      <c r="AO60" s="830"/>
      <c r="AP60" s="830"/>
      <c r="AQ60" s="830"/>
      <c r="AR60" s="830"/>
      <c r="AS60" s="830"/>
      <c r="AT60" s="830"/>
      <c r="AU60" s="830"/>
      <c r="AV60" s="830"/>
      <c r="AW60" s="830"/>
      <c r="AX60" s="830"/>
      <c r="AY60" s="830"/>
      <c r="AZ60" s="830"/>
      <c r="BA60" s="830"/>
      <c r="BB60" s="830"/>
      <c r="BC60" s="830"/>
      <c r="BD60" s="772">
        <f t="shared" si="17"/>
        <v>0</v>
      </c>
    </row>
    <row r="61" spans="1:58" s="769" customFormat="1" hidden="1">
      <c r="A61" s="772"/>
      <c r="B61" s="772" t="b">
        <f t="shared" si="15"/>
        <v>1</v>
      </c>
      <c r="C61" s="769" t="s">
        <v>1011</v>
      </c>
      <c r="D61" s="837"/>
      <c r="E61" s="772"/>
      <c r="F61" s="772"/>
      <c r="G61" s="772"/>
      <c r="H61" s="772"/>
      <c r="I61" s="772"/>
      <c r="J61" s="772"/>
      <c r="K61" s="772"/>
      <c r="L61" s="772"/>
      <c r="M61" s="772"/>
      <c r="N61" s="772"/>
      <c r="O61" s="772"/>
      <c r="P61" s="772"/>
      <c r="Q61" s="772"/>
      <c r="R61" s="772"/>
      <c r="S61" s="773"/>
      <c r="T61" s="772">
        <f t="shared" si="18"/>
        <v>0</v>
      </c>
      <c r="U61" s="772">
        <f t="shared" si="18"/>
        <v>0</v>
      </c>
      <c r="V61" s="772">
        <f t="shared" si="18"/>
        <v>0</v>
      </c>
      <c r="W61" s="773">
        <f t="shared" si="18"/>
        <v>0</v>
      </c>
      <c r="X61" s="772">
        <f t="shared" si="18"/>
        <v>0</v>
      </c>
      <c r="Y61" s="772">
        <f t="shared" si="18"/>
        <v>0</v>
      </c>
      <c r="Z61" s="830">
        <f t="shared" si="18"/>
        <v>0</v>
      </c>
      <c r="AA61" s="830">
        <f t="shared" si="18"/>
        <v>0</v>
      </c>
      <c r="AB61" s="830">
        <f t="shared" si="18"/>
        <v>0</v>
      </c>
      <c r="AC61" s="830">
        <f t="shared" si="18"/>
        <v>0</v>
      </c>
      <c r="AD61" s="834">
        <f t="shared" si="18"/>
        <v>0</v>
      </c>
      <c r="AE61" s="835">
        <f t="shared" si="18"/>
        <v>0</v>
      </c>
      <c r="AF61" s="835">
        <f t="shared" si="18"/>
        <v>0</v>
      </c>
      <c r="AG61" s="835">
        <f t="shared" si="18"/>
        <v>0</v>
      </c>
      <c r="AH61" s="835">
        <f t="shared" si="18"/>
        <v>0</v>
      </c>
      <c r="AI61" s="835">
        <f t="shared" ref="AI61:AZ66" si="19">AI36*AI16</f>
        <v>0</v>
      </c>
      <c r="AJ61" s="835">
        <f t="shared" si="19"/>
        <v>0</v>
      </c>
      <c r="AK61" s="835">
        <f t="shared" si="19"/>
        <v>0</v>
      </c>
      <c r="AL61" s="835">
        <f>$A$61-SUM($E$61:AK61)</f>
        <v>0</v>
      </c>
      <c r="AM61" s="830"/>
      <c r="AN61" s="830"/>
      <c r="AO61" s="830"/>
      <c r="AP61" s="830"/>
      <c r="AQ61" s="830"/>
      <c r="AR61" s="830"/>
      <c r="AS61" s="772"/>
      <c r="AT61" s="772"/>
      <c r="AU61" s="772"/>
      <c r="AV61" s="772"/>
      <c r="AW61" s="772"/>
      <c r="AX61" s="772"/>
      <c r="AY61" s="772"/>
      <c r="AZ61" s="772"/>
      <c r="BA61" s="772"/>
      <c r="BB61" s="772"/>
      <c r="BC61" s="772"/>
      <c r="BD61" s="772">
        <f t="shared" si="17"/>
        <v>0</v>
      </c>
    </row>
    <row r="62" spans="1:58" s="769" customFormat="1" hidden="1">
      <c r="A62" s="772"/>
      <c r="B62" s="772" t="b">
        <f t="shared" si="15"/>
        <v>1</v>
      </c>
      <c r="C62" s="769" t="s">
        <v>1012</v>
      </c>
      <c r="D62" s="837"/>
      <c r="E62" s="772"/>
      <c r="F62" s="772"/>
      <c r="G62" s="772"/>
      <c r="H62" s="772"/>
      <c r="I62" s="772"/>
      <c r="J62" s="772"/>
      <c r="K62" s="772"/>
      <c r="L62" s="772"/>
      <c r="M62" s="772"/>
      <c r="N62" s="772"/>
      <c r="O62" s="772"/>
      <c r="P62" s="772"/>
      <c r="Q62" s="772"/>
      <c r="R62" s="772"/>
      <c r="S62" s="773"/>
      <c r="T62" s="772"/>
      <c r="U62" s="772"/>
      <c r="V62" s="772"/>
      <c r="W62" s="773">
        <f t="shared" si="18"/>
        <v>0</v>
      </c>
      <c r="X62" s="772">
        <f t="shared" si="18"/>
        <v>0</v>
      </c>
      <c r="Y62" s="772">
        <f t="shared" si="18"/>
        <v>0</v>
      </c>
      <c r="Z62" s="834">
        <f t="shared" si="18"/>
        <v>0</v>
      </c>
      <c r="AA62" s="830">
        <f t="shared" si="18"/>
        <v>0</v>
      </c>
      <c r="AB62" s="830">
        <f t="shared" si="18"/>
        <v>0</v>
      </c>
      <c r="AC62" s="830">
        <f t="shared" si="18"/>
        <v>0</v>
      </c>
      <c r="AD62" s="830">
        <f t="shared" si="18"/>
        <v>0</v>
      </c>
      <c r="AE62" s="834">
        <f t="shared" si="18"/>
        <v>0</v>
      </c>
      <c r="AF62" s="834">
        <f t="shared" si="18"/>
        <v>0</v>
      </c>
      <c r="AG62" s="834">
        <f t="shared" si="18"/>
        <v>0</v>
      </c>
      <c r="AH62" s="835">
        <f t="shared" si="18"/>
        <v>0</v>
      </c>
      <c r="AI62" s="835">
        <f t="shared" si="19"/>
        <v>0</v>
      </c>
      <c r="AJ62" s="835">
        <f t="shared" si="19"/>
        <v>0</v>
      </c>
      <c r="AK62" s="835">
        <f t="shared" si="19"/>
        <v>0</v>
      </c>
      <c r="AL62" s="835">
        <f t="shared" si="19"/>
        <v>0</v>
      </c>
      <c r="AM62" s="835">
        <f t="shared" si="19"/>
        <v>0</v>
      </c>
      <c r="AN62" s="835">
        <f t="shared" si="19"/>
        <v>0</v>
      </c>
      <c r="AO62" s="835">
        <f>$A$62-SUM($E$62:AN62)</f>
        <v>0</v>
      </c>
      <c r="AP62" s="830"/>
      <c r="AQ62" s="830"/>
      <c r="AR62" s="830"/>
      <c r="AS62" s="772"/>
      <c r="AT62" s="772"/>
      <c r="AU62" s="772"/>
      <c r="AV62" s="772"/>
      <c r="AW62" s="772"/>
      <c r="AX62" s="772"/>
      <c r="AY62" s="772"/>
      <c r="AZ62" s="772"/>
      <c r="BA62" s="772"/>
      <c r="BB62" s="772"/>
      <c r="BC62" s="772"/>
      <c r="BD62" s="772">
        <f t="shared" si="17"/>
        <v>0</v>
      </c>
    </row>
    <row r="63" spans="1:58" s="769" customFormat="1" hidden="1">
      <c r="A63" s="772"/>
      <c r="B63" s="772" t="b">
        <f t="shared" si="15"/>
        <v>1</v>
      </c>
      <c r="C63" s="769" t="s">
        <v>1013</v>
      </c>
      <c r="D63" s="837"/>
      <c r="E63" s="772"/>
      <c r="F63" s="772"/>
      <c r="G63" s="772"/>
      <c r="H63" s="772"/>
      <c r="I63" s="772"/>
      <c r="J63" s="772"/>
      <c r="K63" s="772"/>
      <c r="L63" s="772"/>
      <c r="M63" s="772"/>
      <c r="N63" s="772"/>
      <c r="O63" s="772"/>
      <c r="P63" s="772"/>
      <c r="Q63" s="772"/>
      <c r="R63" s="772"/>
      <c r="S63" s="773"/>
      <c r="T63" s="772"/>
      <c r="U63" s="772"/>
      <c r="V63" s="772"/>
      <c r="W63" s="773"/>
      <c r="X63" s="772"/>
      <c r="Y63" s="772"/>
      <c r="Z63" s="834">
        <f t="shared" si="18"/>
        <v>0</v>
      </c>
      <c r="AA63" s="834">
        <f t="shared" si="18"/>
        <v>0</v>
      </c>
      <c r="AB63" s="834">
        <f t="shared" si="18"/>
        <v>0</v>
      </c>
      <c r="AC63" s="834">
        <f t="shared" si="18"/>
        <v>0</v>
      </c>
      <c r="AD63" s="830">
        <f t="shared" si="18"/>
        <v>0</v>
      </c>
      <c r="AE63" s="830">
        <f t="shared" si="18"/>
        <v>0</v>
      </c>
      <c r="AF63" s="830">
        <f t="shared" si="18"/>
        <v>0</v>
      </c>
      <c r="AG63" s="830">
        <f t="shared" si="18"/>
        <v>0</v>
      </c>
      <c r="AH63" s="834">
        <f t="shared" si="18"/>
        <v>0</v>
      </c>
      <c r="AI63" s="834">
        <f t="shared" si="19"/>
        <v>0</v>
      </c>
      <c r="AJ63" s="834">
        <f t="shared" si="19"/>
        <v>0</v>
      </c>
      <c r="AK63" s="835">
        <f t="shared" si="19"/>
        <v>0</v>
      </c>
      <c r="AL63" s="835">
        <f t="shared" si="19"/>
        <v>0</v>
      </c>
      <c r="AM63" s="835">
        <f t="shared" si="19"/>
        <v>0</v>
      </c>
      <c r="AN63" s="835">
        <f t="shared" si="19"/>
        <v>0</v>
      </c>
      <c r="AO63" s="835">
        <f t="shared" si="19"/>
        <v>0</v>
      </c>
      <c r="AP63" s="835">
        <f t="shared" si="19"/>
        <v>0</v>
      </c>
      <c r="AQ63" s="835">
        <f t="shared" si="19"/>
        <v>0</v>
      </c>
      <c r="AR63" s="835">
        <f>$A$63-SUM($E$63:AQ63)</f>
        <v>0</v>
      </c>
      <c r="AS63" s="772"/>
      <c r="AT63" s="772"/>
      <c r="AU63" s="772"/>
      <c r="AV63" s="772"/>
      <c r="AW63" s="772"/>
      <c r="AX63" s="772"/>
      <c r="AY63" s="772"/>
      <c r="AZ63" s="772"/>
      <c r="BA63" s="772"/>
      <c r="BB63" s="772"/>
      <c r="BC63" s="772"/>
      <c r="BD63" s="772">
        <f t="shared" si="17"/>
        <v>0</v>
      </c>
    </row>
    <row r="64" spans="1:58" s="769" customFormat="1" hidden="1">
      <c r="A64" s="772"/>
      <c r="B64" s="772" t="b">
        <f t="shared" si="15"/>
        <v>1</v>
      </c>
      <c r="C64" s="769" t="s">
        <v>1014</v>
      </c>
      <c r="D64" s="837"/>
      <c r="E64" s="772"/>
      <c r="F64" s="772"/>
      <c r="G64" s="772"/>
      <c r="H64" s="772"/>
      <c r="I64" s="772"/>
      <c r="J64" s="772"/>
      <c r="K64" s="772"/>
      <c r="L64" s="772"/>
      <c r="M64" s="772"/>
      <c r="N64" s="772"/>
      <c r="O64" s="772"/>
      <c r="P64" s="772"/>
      <c r="Q64" s="772"/>
      <c r="R64" s="772"/>
      <c r="S64" s="773"/>
      <c r="T64" s="772"/>
      <c r="U64" s="772"/>
      <c r="V64" s="772"/>
      <c r="W64" s="773"/>
      <c r="X64" s="772"/>
      <c r="Y64" s="772"/>
      <c r="Z64" s="772"/>
      <c r="AA64" s="772"/>
      <c r="AB64" s="772"/>
      <c r="AC64" s="772">
        <f t="shared" si="18"/>
        <v>0</v>
      </c>
      <c r="AD64" s="834">
        <f t="shared" si="18"/>
        <v>0</v>
      </c>
      <c r="AE64" s="834">
        <f t="shared" si="18"/>
        <v>0</v>
      </c>
      <c r="AF64" s="834">
        <f t="shared" si="18"/>
        <v>0</v>
      </c>
      <c r="AG64" s="830">
        <f t="shared" si="18"/>
        <v>0</v>
      </c>
      <c r="AH64" s="830">
        <f t="shared" si="18"/>
        <v>0</v>
      </c>
      <c r="AI64" s="830">
        <f t="shared" si="19"/>
        <v>0</v>
      </c>
      <c r="AJ64" s="830">
        <f t="shared" si="19"/>
        <v>0</v>
      </c>
      <c r="AK64" s="834">
        <f t="shared" si="19"/>
        <v>0</v>
      </c>
      <c r="AL64" s="834">
        <f t="shared" si="19"/>
        <v>0</v>
      </c>
      <c r="AM64" s="834">
        <f t="shared" si="19"/>
        <v>0</v>
      </c>
      <c r="AN64" s="835">
        <f t="shared" si="19"/>
        <v>0</v>
      </c>
      <c r="AO64" s="835">
        <f t="shared" si="19"/>
        <v>0</v>
      </c>
      <c r="AP64" s="835">
        <f t="shared" si="19"/>
        <v>0</v>
      </c>
      <c r="AQ64" s="835">
        <f t="shared" si="19"/>
        <v>0</v>
      </c>
      <c r="AR64" s="835">
        <f t="shared" si="19"/>
        <v>0</v>
      </c>
      <c r="AS64" s="835">
        <f t="shared" si="19"/>
        <v>0</v>
      </c>
      <c r="AT64" s="835">
        <f>$A$64-SUM($E$64:AS64)</f>
        <v>0</v>
      </c>
      <c r="AU64" s="830"/>
      <c r="AV64" s="830"/>
      <c r="AW64" s="772"/>
      <c r="AX64" s="772"/>
      <c r="AY64" s="772"/>
      <c r="AZ64" s="772"/>
      <c r="BA64" s="772"/>
      <c r="BB64" s="772"/>
      <c r="BC64" s="772"/>
      <c r="BD64" s="772">
        <f t="shared" si="17"/>
        <v>0</v>
      </c>
    </row>
    <row r="65" spans="1:56" s="836" customFormat="1" hidden="1">
      <c r="A65" s="772"/>
      <c r="B65" s="772" t="b">
        <f t="shared" si="15"/>
        <v>1</v>
      </c>
      <c r="C65" s="769" t="s">
        <v>1015</v>
      </c>
      <c r="D65" s="829"/>
      <c r="E65" s="830"/>
      <c r="F65" s="830"/>
      <c r="G65" s="830"/>
      <c r="H65" s="830"/>
      <c r="I65" s="830"/>
      <c r="J65" s="830"/>
      <c r="K65" s="830"/>
      <c r="L65" s="830"/>
      <c r="M65" s="830"/>
      <c r="N65" s="830"/>
      <c r="O65" s="830"/>
      <c r="P65" s="830"/>
      <c r="Q65" s="830"/>
      <c r="R65" s="830"/>
      <c r="S65" s="838"/>
      <c r="T65" s="830"/>
      <c r="U65" s="830"/>
      <c r="V65" s="830"/>
      <c r="W65" s="838"/>
      <c r="X65" s="830"/>
      <c r="Y65" s="830"/>
      <c r="Z65" s="830"/>
      <c r="AA65" s="830"/>
      <c r="AB65" s="830"/>
      <c r="AC65" s="830"/>
      <c r="AD65" s="830"/>
      <c r="AE65" s="830"/>
      <c r="AF65" s="834">
        <f t="shared" si="18"/>
        <v>0</v>
      </c>
      <c r="AG65" s="834">
        <f t="shared" si="18"/>
        <v>0</v>
      </c>
      <c r="AH65" s="834">
        <f t="shared" si="18"/>
        <v>0</v>
      </c>
      <c r="AI65" s="834">
        <f t="shared" si="19"/>
        <v>0</v>
      </c>
      <c r="AJ65" s="830">
        <f t="shared" si="19"/>
        <v>0</v>
      </c>
      <c r="AK65" s="830">
        <f t="shared" si="19"/>
        <v>0</v>
      </c>
      <c r="AL65" s="830">
        <f t="shared" si="19"/>
        <v>0</v>
      </c>
      <c r="AM65" s="830">
        <f t="shared" si="19"/>
        <v>0</v>
      </c>
      <c r="AN65" s="834">
        <f t="shared" si="19"/>
        <v>0</v>
      </c>
      <c r="AO65" s="834">
        <f t="shared" si="19"/>
        <v>0</v>
      </c>
      <c r="AP65" s="834">
        <f t="shared" si="19"/>
        <v>0</v>
      </c>
      <c r="AQ65" s="835">
        <f t="shared" si="19"/>
        <v>0</v>
      </c>
      <c r="AR65" s="835">
        <f t="shared" si="19"/>
        <v>0</v>
      </c>
      <c r="AS65" s="835">
        <f t="shared" si="19"/>
        <v>0</v>
      </c>
      <c r="AT65" s="835">
        <f t="shared" si="19"/>
        <v>0</v>
      </c>
      <c r="AU65" s="835">
        <f t="shared" si="19"/>
        <v>0</v>
      </c>
      <c r="AV65" s="835">
        <f t="shared" si="19"/>
        <v>0</v>
      </c>
      <c r="AW65" s="835">
        <f t="shared" si="19"/>
        <v>0</v>
      </c>
      <c r="AX65" s="835">
        <f>$A$65-SUM($E$65:AW65)</f>
        <v>0</v>
      </c>
      <c r="AY65" s="830"/>
      <c r="AZ65" s="830"/>
      <c r="BA65" s="830"/>
      <c r="BB65" s="830"/>
      <c r="BC65" s="830"/>
      <c r="BD65" s="772">
        <f t="shared" si="17"/>
        <v>0</v>
      </c>
    </row>
    <row r="66" spans="1:56" s="836" customFormat="1" hidden="1">
      <c r="A66" s="772"/>
      <c r="B66" s="772" t="b">
        <f t="shared" si="15"/>
        <v>1</v>
      </c>
      <c r="C66" s="769" t="s">
        <v>1016</v>
      </c>
      <c r="D66" s="829"/>
      <c r="E66" s="830"/>
      <c r="F66" s="830"/>
      <c r="G66" s="830"/>
      <c r="H66" s="830"/>
      <c r="I66" s="830"/>
      <c r="J66" s="830"/>
      <c r="K66" s="830"/>
      <c r="L66" s="830"/>
      <c r="M66" s="830"/>
      <c r="N66" s="830"/>
      <c r="O66" s="830"/>
      <c r="P66" s="830"/>
      <c r="Q66" s="830"/>
      <c r="R66" s="830"/>
      <c r="S66" s="838"/>
      <c r="T66" s="830"/>
      <c r="U66" s="830"/>
      <c r="V66" s="830"/>
      <c r="W66" s="838"/>
      <c r="X66" s="830"/>
      <c r="Y66" s="830"/>
      <c r="Z66" s="830"/>
      <c r="AA66" s="830"/>
      <c r="AB66" s="830"/>
      <c r="AC66" s="830"/>
      <c r="AD66" s="830"/>
      <c r="AE66" s="830"/>
      <c r="AF66" s="830"/>
      <c r="AG66" s="830"/>
      <c r="AH66" s="830"/>
      <c r="AI66" s="832">
        <f t="shared" si="19"/>
        <v>0</v>
      </c>
      <c r="AJ66" s="834">
        <f t="shared" si="19"/>
        <v>0</v>
      </c>
      <c r="AK66" s="834">
        <f t="shared" si="19"/>
        <v>0</v>
      </c>
      <c r="AL66" s="834">
        <f t="shared" si="19"/>
        <v>0</v>
      </c>
      <c r="AM66" s="830">
        <f t="shared" si="19"/>
        <v>0</v>
      </c>
      <c r="AN66" s="830">
        <f t="shared" si="19"/>
        <v>0</v>
      </c>
      <c r="AO66" s="830">
        <f t="shared" si="19"/>
        <v>0</v>
      </c>
      <c r="AP66" s="830">
        <f t="shared" si="19"/>
        <v>0</v>
      </c>
      <c r="AQ66" s="834">
        <f t="shared" si="19"/>
        <v>0</v>
      </c>
      <c r="AR66" s="834">
        <f t="shared" si="19"/>
        <v>0</v>
      </c>
      <c r="AS66" s="834">
        <f t="shared" si="19"/>
        <v>0</v>
      </c>
      <c r="AT66" s="835">
        <f t="shared" si="19"/>
        <v>0</v>
      </c>
      <c r="AU66" s="835">
        <f t="shared" si="19"/>
        <v>0</v>
      </c>
      <c r="AV66" s="835">
        <f t="shared" si="19"/>
        <v>0</v>
      </c>
      <c r="AW66" s="835">
        <f t="shared" si="19"/>
        <v>0</v>
      </c>
      <c r="AX66" s="835">
        <f t="shared" si="19"/>
        <v>0</v>
      </c>
      <c r="AY66" s="835">
        <f t="shared" si="19"/>
        <v>0</v>
      </c>
      <c r="AZ66" s="835">
        <f t="shared" si="19"/>
        <v>0</v>
      </c>
      <c r="BA66" s="835">
        <f>$A$66-SUM($E$66:AZ66)</f>
        <v>0</v>
      </c>
      <c r="BB66" s="830"/>
      <c r="BC66" s="830"/>
      <c r="BD66" s="772">
        <f t="shared" si="17"/>
        <v>0</v>
      </c>
    </row>
    <row r="67" spans="1:56" s="826" customFormat="1" ht="13.5" customHeight="1">
      <c r="A67" s="839" t="b">
        <f>SUM(A56:A57)=SUM(E55:AF55)</f>
        <v>1</v>
      </c>
      <c r="B67" s="749"/>
      <c r="C67" s="746"/>
      <c r="D67" s="822"/>
      <c r="E67" s="822"/>
      <c r="F67" s="822"/>
      <c r="G67" s="822"/>
      <c r="H67" s="822"/>
      <c r="I67" s="822"/>
      <c r="J67" s="822"/>
      <c r="K67" s="822"/>
      <c r="L67" s="822"/>
      <c r="M67" s="822"/>
      <c r="N67" s="822"/>
      <c r="O67" s="822"/>
      <c r="P67" s="822"/>
      <c r="Q67" s="822"/>
      <c r="R67" s="822"/>
      <c r="S67" s="824"/>
      <c r="T67" s="822"/>
      <c r="U67" s="822"/>
      <c r="V67" s="822"/>
      <c r="W67" s="824"/>
      <c r="X67" s="822"/>
      <c r="Y67" s="822"/>
      <c r="Z67" s="822"/>
      <c r="AA67" s="822"/>
      <c r="AB67" s="822"/>
      <c r="AC67" s="822"/>
      <c r="AD67" s="822"/>
      <c r="AE67" s="822"/>
      <c r="AF67" s="822"/>
      <c r="AG67" s="822"/>
      <c r="AH67" s="822"/>
      <c r="AI67" s="822"/>
      <c r="AJ67" s="822"/>
      <c r="AK67" s="822"/>
      <c r="AL67" s="822"/>
      <c r="AM67" s="822"/>
      <c r="AN67" s="822"/>
      <c r="AO67" s="822"/>
      <c r="AP67" s="822"/>
      <c r="AQ67" s="822"/>
      <c r="AR67" s="822"/>
      <c r="AS67" s="822"/>
      <c r="AT67" s="822"/>
      <c r="AU67" s="822"/>
      <c r="AV67" s="822"/>
      <c r="AW67" s="822"/>
      <c r="AX67" s="822"/>
      <c r="AY67" s="822"/>
      <c r="AZ67" s="822"/>
      <c r="BA67" s="822"/>
      <c r="BB67" s="822"/>
      <c r="BC67" s="822"/>
      <c r="BD67" s="749"/>
    </row>
    <row r="68" spans="1:56" s="826" customFormat="1" ht="21" customHeight="1">
      <c r="A68" s="840" t="s">
        <v>1077</v>
      </c>
      <c r="B68" s="841"/>
      <c r="C68" s="842"/>
      <c r="D68" s="843"/>
      <c r="E68" s="844">
        <v>2700</v>
      </c>
      <c r="F68" s="844">
        <v>2850</v>
      </c>
      <c r="G68" s="844">
        <v>2416.8000000000002</v>
      </c>
      <c r="H68" s="844">
        <v>2700</v>
      </c>
      <c r="I68" s="844">
        <v>2700</v>
      </c>
      <c r="J68" s="844">
        <v>2830</v>
      </c>
      <c r="K68" s="844">
        <v>2600</v>
      </c>
      <c r="L68" s="844">
        <v>2750</v>
      </c>
      <c r="M68" s="844">
        <v>2800</v>
      </c>
      <c r="N68" s="844">
        <v>3083.3600000000006</v>
      </c>
      <c r="O68" s="845"/>
      <c r="P68" s="845"/>
      <c r="Q68" s="845"/>
      <c r="R68" s="845"/>
      <c r="S68" s="846"/>
      <c r="T68" s="845"/>
      <c r="U68" s="845"/>
      <c r="V68" s="845"/>
      <c r="W68" s="846"/>
      <c r="X68" s="845"/>
      <c r="Y68" s="845"/>
      <c r="Z68" s="845"/>
      <c r="AA68" s="845"/>
      <c r="AB68" s="845"/>
      <c r="AC68" s="822"/>
      <c r="AD68" s="822"/>
      <c r="AE68" s="822"/>
      <c r="AF68" s="822"/>
      <c r="AG68" s="822"/>
      <c r="AH68" s="822"/>
      <c r="AI68" s="822"/>
      <c r="AJ68" s="822"/>
      <c r="AK68" s="822"/>
      <c r="AL68" s="822"/>
      <c r="AM68" s="822"/>
      <c r="AN68" s="822"/>
      <c r="AO68" s="822"/>
      <c r="AP68" s="822"/>
      <c r="AQ68" s="822"/>
      <c r="AR68" s="822"/>
      <c r="AS68" s="822"/>
      <c r="AT68" s="822"/>
      <c r="AU68" s="822"/>
      <c r="AV68" s="822"/>
      <c r="AW68" s="822"/>
      <c r="AX68" s="822"/>
      <c r="AY68" s="822"/>
      <c r="AZ68" s="822"/>
      <c r="BA68" s="822"/>
      <c r="BB68" s="822"/>
      <c r="BC68" s="822"/>
      <c r="BD68" s="749"/>
    </row>
    <row r="69" spans="1:56" s="826" customFormat="1" ht="19.5" customHeight="1">
      <c r="A69" s="749"/>
      <c r="B69" s="749"/>
      <c r="C69" s="746"/>
      <c r="D69" s="822"/>
      <c r="E69" s="822"/>
      <c r="F69" s="822"/>
      <c r="G69" s="822"/>
      <c r="H69" s="822"/>
      <c r="I69" s="822"/>
      <c r="J69" s="822"/>
      <c r="K69" s="822"/>
      <c r="L69" s="822"/>
      <c r="M69" s="822"/>
      <c r="N69" s="822"/>
      <c r="O69" s="822"/>
      <c r="P69" s="822"/>
      <c r="Q69" s="822"/>
      <c r="R69" s="822"/>
      <c r="S69" s="824"/>
      <c r="T69" s="822"/>
      <c r="U69" s="822"/>
      <c r="V69" s="822"/>
      <c r="W69" s="824"/>
      <c r="X69" s="822"/>
      <c r="Y69" s="822"/>
      <c r="Z69" s="822"/>
      <c r="AA69" s="822"/>
      <c r="AB69" s="822"/>
      <c r="AC69" s="822"/>
      <c r="AD69" s="822"/>
      <c r="AE69" s="822"/>
      <c r="AF69" s="822"/>
      <c r="AG69" s="822"/>
      <c r="AH69" s="822"/>
      <c r="AI69" s="822"/>
      <c r="AJ69" s="822"/>
      <c r="AK69" s="822"/>
      <c r="AL69" s="822"/>
      <c r="AM69" s="822"/>
      <c r="AN69" s="822"/>
      <c r="AO69" s="822"/>
      <c r="AP69" s="822"/>
      <c r="AQ69" s="822"/>
      <c r="AR69" s="822"/>
      <c r="AS69" s="822"/>
      <c r="AT69" s="822"/>
      <c r="AU69" s="822"/>
      <c r="AV69" s="822"/>
      <c r="AW69" s="822"/>
      <c r="AX69" s="822"/>
      <c r="AY69" s="822"/>
      <c r="AZ69" s="822"/>
      <c r="BA69" s="822"/>
      <c r="BB69" s="822"/>
      <c r="BC69" s="822"/>
      <c r="BD69" s="749"/>
    </row>
    <row r="70" spans="1:56" s="826" customFormat="1" ht="19.5" customHeight="1">
      <c r="A70" s="749"/>
      <c r="B70" s="749"/>
      <c r="C70" s="746"/>
      <c r="D70" s="822"/>
      <c r="E70" s="822"/>
      <c r="F70" s="822"/>
      <c r="G70" s="822"/>
      <c r="H70" s="822"/>
      <c r="I70" s="822"/>
      <c r="J70" s="822"/>
      <c r="K70" s="822"/>
      <c r="L70" s="822"/>
      <c r="M70" s="822"/>
      <c r="N70" s="822"/>
      <c r="O70" s="822"/>
      <c r="P70" s="822"/>
      <c r="Q70" s="822"/>
      <c r="R70" s="822"/>
      <c r="S70" s="824"/>
      <c r="T70" s="822"/>
      <c r="U70" s="822"/>
      <c r="V70" s="822"/>
      <c r="W70" s="824"/>
      <c r="X70" s="822"/>
      <c r="Y70" s="822"/>
      <c r="Z70" s="822"/>
      <c r="AA70" s="822"/>
      <c r="AB70" s="822"/>
      <c r="AC70" s="822"/>
      <c r="AD70" s="822"/>
      <c r="AE70" s="822"/>
      <c r="AF70" s="822"/>
      <c r="AG70" s="822"/>
      <c r="AH70" s="822"/>
      <c r="AI70" s="822"/>
      <c r="AJ70" s="822"/>
      <c r="AK70" s="822"/>
      <c r="AL70" s="822"/>
      <c r="AM70" s="822"/>
      <c r="AN70" s="822"/>
      <c r="AO70" s="822"/>
      <c r="AP70" s="822"/>
      <c r="AQ70" s="822"/>
      <c r="AR70" s="822"/>
      <c r="AS70" s="822"/>
      <c r="AT70" s="822"/>
      <c r="AU70" s="822"/>
      <c r="AV70" s="822"/>
      <c r="AW70" s="822"/>
      <c r="AX70" s="822"/>
      <c r="AY70" s="822"/>
      <c r="AZ70" s="822"/>
      <c r="BA70" s="822"/>
      <c r="BB70" s="822"/>
      <c r="BC70" s="822"/>
      <c r="BD70" s="749"/>
    </row>
    <row r="71" spans="1:56" s="826" customFormat="1" ht="19.5" customHeight="1">
      <c r="A71" s="749"/>
      <c r="B71" s="749"/>
      <c r="C71" s="746"/>
      <c r="D71" s="822"/>
      <c r="E71" s="822"/>
      <c r="F71" s="822"/>
      <c r="G71" s="822"/>
      <c r="H71" s="822"/>
      <c r="I71" s="822"/>
      <c r="J71" s="822"/>
      <c r="K71" s="822"/>
      <c r="L71" s="822"/>
      <c r="M71" s="822"/>
      <c r="N71" s="822"/>
      <c r="O71" s="822"/>
      <c r="P71" s="822"/>
      <c r="Q71" s="822"/>
      <c r="R71" s="822"/>
      <c r="S71" s="824"/>
      <c r="T71" s="822"/>
      <c r="U71" s="822"/>
      <c r="V71" s="822"/>
      <c r="W71" s="824"/>
      <c r="X71" s="822"/>
      <c r="Y71" s="822"/>
      <c r="Z71" s="822"/>
      <c r="AA71" s="822"/>
      <c r="AB71" s="822"/>
      <c r="AC71" s="822"/>
      <c r="AD71" s="822"/>
      <c r="AE71" s="822"/>
      <c r="AF71" s="822"/>
      <c r="AG71" s="822"/>
      <c r="AH71" s="822"/>
      <c r="AI71" s="822"/>
      <c r="AJ71" s="822"/>
      <c r="AK71" s="822"/>
      <c r="AL71" s="822"/>
      <c r="AM71" s="822"/>
      <c r="AN71" s="822"/>
      <c r="AO71" s="822"/>
      <c r="AP71" s="822"/>
      <c r="AQ71" s="822"/>
      <c r="AR71" s="822"/>
      <c r="AS71" s="822"/>
      <c r="AT71" s="822"/>
      <c r="AU71" s="822"/>
      <c r="AV71" s="822"/>
      <c r="AW71" s="822"/>
      <c r="AX71" s="822"/>
      <c r="AY71" s="822"/>
      <c r="AZ71" s="822"/>
      <c r="BA71" s="822"/>
      <c r="BB71" s="822"/>
      <c r="BC71" s="822"/>
      <c r="BD71" s="749"/>
    </row>
    <row r="72" spans="1:56" s="826" customFormat="1" ht="19.5" customHeight="1">
      <c r="A72" s="749"/>
      <c r="B72" s="847"/>
      <c r="C72" s="746"/>
      <c r="D72" s="822"/>
      <c r="E72" s="822"/>
      <c r="F72" s="822"/>
      <c r="G72" s="822"/>
      <c r="H72" s="822"/>
      <c r="I72" s="822"/>
      <c r="J72" s="822"/>
      <c r="K72" s="822"/>
      <c r="L72" s="822"/>
      <c r="M72" s="822"/>
      <c r="N72" s="822"/>
      <c r="O72" s="822"/>
      <c r="P72" s="822"/>
      <c r="Q72" s="822"/>
      <c r="R72" s="822"/>
      <c r="S72" s="824"/>
      <c r="T72" s="822"/>
      <c r="U72" s="822"/>
      <c r="V72" s="822"/>
      <c r="W72" s="824"/>
      <c r="X72" s="822"/>
      <c r="Y72" s="822"/>
      <c r="Z72" s="822"/>
      <c r="AA72" s="822"/>
      <c r="AB72" s="822"/>
      <c r="AC72" s="822"/>
      <c r="AD72" s="822"/>
      <c r="AE72" s="822"/>
      <c r="AF72" s="822"/>
      <c r="AG72" s="822"/>
      <c r="AH72" s="822"/>
      <c r="AI72" s="822"/>
      <c r="AJ72" s="822"/>
      <c r="AK72" s="822"/>
      <c r="AL72" s="822"/>
      <c r="AM72" s="822"/>
      <c r="AN72" s="822"/>
      <c r="AO72" s="822"/>
      <c r="AP72" s="822"/>
      <c r="AQ72" s="822"/>
      <c r="AR72" s="822"/>
      <c r="AS72" s="822"/>
      <c r="AT72" s="822"/>
      <c r="AU72" s="822"/>
      <c r="AV72" s="822"/>
      <c r="AW72" s="822"/>
      <c r="AX72" s="822"/>
      <c r="AY72" s="822"/>
      <c r="AZ72" s="822"/>
      <c r="BA72" s="822"/>
      <c r="BB72" s="822"/>
      <c r="BC72" s="822"/>
      <c r="BD72" s="749"/>
    </row>
    <row r="73" spans="1:56" s="826" customFormat="1">
      <c r="A73" s="848" t="s">
        <v>1078</v>
      </c>
      <c r="B73" s="849">
        <f>AVERAGEIF(E55:BC55,"&gt;0")</f>
        <v>4333.3333333333339</v>
      </c>
      <c r="C73" s="746"/>
      <c r="D73" s="822"/>
      <c r="E73" s="822"/>
      <c r="F73" s="822"/>
      <c r="G73" s="822"/>
      <c r="H73" s="822"/>
      <c r="I73" s="822"/>
      <c r="J73" s="822"/>
      <c r="K73" s="822"/>
      <c r="L73" s="822"/>
      <c r="M73" s="822"/>
      <c r="N73" s="822"/>
      <c r="O73" s="822"/>
      <c r="P73" s="822"/>
      <c r="Q73" s="822"/>
      <c r="R73" s="822"/>
      <c r="S73" s="824"/>
      <c r="T73" s="822"/>
      <c r="U73" s="822"/>
      <c r="V73" s="822"/>
      <c r="W73" s="824"/>
      <c r="X73" s="822"/>
      <c r="Y73" s="822"/>
      <c r="Z73" s="822"/>
      <c r="AA73" s="822"/>
      <c r="AB73" s="822"/>
      <c r="AC73" s="822"/>
      <c r="AD73" s="822"/>
      <c r="AE73" s="822"/>
      <c r="AF73" s="822"/>
      <c r="AG73" s="822"/>
      <c r="AH73" s="822"/>
      <c r="AI73" s="822"/>
      <c r="AJ73" s="822"/>
      <c r="AK73" s="822"/>
      <c r="AL73" s="822"/>
      <c r="AM73" s="822"/>
      <c r="AN73" s="822"/>
      <c r="AO73" s="822"/>
      <c r="AP73" s="822"/>
      <c r="AQ73" s="822"/>
      <c r="AR73" s="822"/>
      <c r="AS73" s="822"/>
      <c r="AT73" s="822"/>
      <c r="AU73" s="822"/>
      <c r="AV73" s="822"/>
      <c r="AW73" s="822"/>
      <c r="AX73" s="822"/>
      <c r="AY73" s="822"/>
      <c r="AZ73" s="822"/>
      <c r="BA73" s="822"/>
      <c r="BB73" s="822"/>
      <c r="BC73" s="822"/>
      <c r="BD73" s="749"/>
    </row>
    <row r="74" spans="1:56">
      <c r="A74" s="1421" t="str">
        <f>CONCATENATE(ROUND(COUNTIF(E55:BC55,"&gt;0")/4,1)," лет (",COUNTIF(E55:BC55,"&gt;0")," кв.)")</f>
        <v>6 лет (24 кв.)</v>
      </c>
      <c r="B74" s="1421"/>
      <c r="E74" s="850"/>
      <c r="F74" s="850"/>
      <c r="G74" s="850"/>
      <c r="H74" s="850"/>
      <c r="I74" s="850"/>
      <c r="J74" s="850"/>
      <c r="K74" s="850"/>
      <c r="L74" s="850"/>
      <c r="M74" s="850"/>
      <c r="N74" s="850"/>
      <c r="O74" s="850"/>
      <c r="P74" s="850"/>
      <c r="Q74" s="850"/>
      <c r="R74" s="850"/>
      <c r="S74" s="851"/>
      <c r="T74" s="850"/>
      <c r="U74" s="850"/>
      <c r="V74" s="850"/>
      <c r="W74" s="851"/>
      <c r="X74" s="850"/>
      <c r="Y74" s="850"/>
      <c r="Z74" s="850"/>
      <c r="AA74" s="850"/>
      <c r="AB74" s="850"/>
      <c r="AC74" s="850"/>
      <c r="AD74" s="850"/>
      <c r="AE74" s="850"/>
      <c r="AF74" s="850"/>
      <c r="AG74" s="850"/>
      <c r="AH74" s="850"/>
      <c r="AI74" s="850"/>
      <c r="AJ74" s="850"/>
      <c r="AK74" s="850"/>
      <c r="AL74" s="850"/>
      <c r="AM74" s="850"/>
      <c r="AN74" s="850"/>
      <c r="AO74" s="850"/>
      <c r="AP74" s="850"/>
      <c r="AQ74" s="850"/>
      <c r="AR74" s="850"/>
      <c r="AS74" s="850"/>
      <c r="AT74" s="850"/>
      <c r="AU74" s="850"/>
      <c r="AV74" s="850"/>
      <c r="AW74" s="850"/>
      <c r="AX74" s="850"/>
      <c r="AY74" s="850"/>
      <c r="AZ74" s="850"/>
      <c r="BA74" s="850"/>
      <c r="BB74" s="850"/>
      <c r="BC74" s="850"/>
      <c r="BD74" s="850"/>
    </row>
    <row r="75" spans="1:56">
      <c r="A75" s="852"/>
    </row>
    <row r="76" spans="1:56">
      <c r="A76" s="701" t="str">
        <f>CONCATENATE(ROUND(COUNTIF(E55:BC55,"&gt;0")/4,1)," лет (",COUNTIF(E55:BC55,"&gt;0")," кв.)")</f>
        <v>6 лет (24 кв.)</v>
      </c>
    </row>
    <row r="79" spans="1:56">
      <c r="A79" s="853"/>
    </row>
    <row r="80" spans="1:56">
      <c r="A80" s="854"/>
      <c r="B80" s="855"/>
      <c r="C80" s="855"/>
    </row>
    <row r="81" spans="2:3">
      <c r="B81" s="853"/>
    </row>
    <row r="82" spans="2:3">
      <c r="B82" s="853"/>
    </row>
    <row r="83" spans="2:3">
      <c r="B83" s="856">
        <f>4333/3</f>
        <v>1444.3333333333333</v>
      </c>
    </row>
    <row r="84" spans="2:3">
      <c r="B84" s="853"/>
    </row>
    <row r="85" spans="2:3">
      <c r="B85" s="857"/>
    </row>
    <row r="88" spans="2:3">
      <c r="B88" s="853"/>
      <c r="C88" s="858"/>
    </row>
    <row r="89" spans="2:3">
      <c r="B89" s="853"/>
      <c r="C89" s="858"/>
    </row>
    <row r="90" spans="2:3">
      <c r="B90" s="853"/>
      <c r="C90" s="858"/>
    </row>
    <row r="92" spans="2:3" hidden="1">
      <c r="B92" s="858"/>
    </row>
    <row r="93" spans="2:3" hidden="1"/>
    <row r="94" spans="2:3" hidden="1"/>
    <row r="95" spans="2:3" hidden="1"/>
    <row r="96" spans="2:3" hidden="1"/>
    <row r="97" spans="1:56" hidden="1"/>
    <row r="98" spans="1:56" hidden="1"/>
    <row r="99" spans="1:56" hidden="1"/>
    <row r="100" spans="1:56" hidden="1"/>
    <row r="101" spans="1:56" hidden="1"/>
    <row r="102" spans="1:56" hidden="1"/>
    <row r="103" spans="1:56" hidden="1"/>
    <row r="104" spans="1:56" hidden="1"/>
    <row r="105" spans="1:56" hidden="1"/>
    <row r="106" spans="1:56" hidden="1"/>
    <row r="107" spans="1:56" hidden="1"/>
    <row r="108" spans="1:56" hidden="1"/>
    <row r="109" spans="1:56" hidden="1">
      <c r="C109" s="859"/>
    </row>
    <row r="110" spans="1:56" hidden="1">
      <c r="C110" s="860"/>
      <c r="D110" s="861"/>
      <c r="E110" s="861"/>
      <c r="F110" s="861"/>
      <c r="G110" s="861"/>
      <c r="H110" s="861"/>
      <c r="I110" s="861"/>
      <c r="J110" s="861"/>
      <c r="K110" s="861"/>
      <c r="L110" s="861"/>
      <c r="M110" s="861"/>
      <c r="N110" s="861"/>
      <c r="O110" s="861"/>
      <c r="P110" s="861"/>
      <c r="Q110" s="861"/>
      <c r="R110" s="861"/>
      <c r="S110" s="862"/>
      <c r="T110" s="861"/>
      <c r="U110" s="861"/>
      <c r="V110" s="861"/>
      <c r="W110" s="862"/>
      <c r="X110" s="861"/>
      <c r="Y110" s="861"/>
      <c r="Z110" s="861"/>
      <c r="AA110" s="861"/>
      <c r="AB110" s="861"/>
      <c r="AC110" s="861"/>
      <c r="AD110" s="861"/>
      <c r="AE110" s="861"/>
      <c r="AF110" s="861"/>
      <c r="AG110" s="861"/>
      <c r="AH110" s="861"/>
      <c r="AI110" s="861"/>
      <c r="AJ110" s="863"/>
      <c r="AK110" s="863"/>
      <c r="AL110" s="863"/>
      <c r="AM110" s="863"/>
      <c r="AN110" s="863"/>
      <c r="AO110" s="863"/>
      <c r="AP110" s="863"/>
      <c r="AQ110" s="863"/>
      <c r="AR110" s="863"/>
      <c r="AS110" s="863"/>
      <c r="AT110" s="863"/>
      <c r="AU110" s="863"/>
      <c r="AV110" s="863"/>
      <c r="AW110" s="863"/>
      <c r="AX110" s="863"/>
      <c r="AY110" s="863"/>
      <c r="AZ110" s="863"/>
      <c r="BA110" s="863"/>
      <c r="BB110" s="863"/>
      <c r="BC110" s="863"/>
    </row>
    <row r="111" spans="1:56" s="790" customFormat="1" hidden="1">
      <c r="A111" s="786"/>
      <c r="B111" s="786"/>
      <c r="C111" s="786"/>
      <c r="D111" s="787" t="s">
        <v>257</v>
      </c>
      <c r="E111" s="787" t="s">
        <v>257</v>
      </c>
      <c r="F111" s="787" t="s">
        <v>257</v>
      </c>
      <c r="G111" s="787" t="s">
        <v>257</v>
      </c>
      <c r="H111" s="787" t="s">
        <v>257</v>
      </c>
      <c r="I111" s="787" t="s">
        <v>257</v>
      </c>
      <c r="J111" s="787" t="s">
        <v>257</v>
      </c>
      <c r="K111" s="787" t="s">
        <v>257</v>
      </c>
      <c r="L111" s="787" t="s">
        <v>257</v>
      </c>
      <c r="M111" s="787" t="s">
        <v>257</v>
      </c>
      <c r="N111" s="787" t="s">
        <v>257</v>
      </c>
      <c r="O111" s="787" t="s">
        <v>257</v>
      </c>
      <c r="P111" s="787" t="s">
        <v>257</v>
      </c>
      <c r="Q111" s="787" t="s">
        <v>257</v>
      </c>
      <c r="R111" s="787" t="s">
        <v>257</v>
      </c>
      <c r="S111" s="788" t="s">
        <v>257</v>
      </c>
      <c r="T111" s="787" t="s">
        <v>257</v>
      </c>
      <c r="U111" s="787" t="s">
        <v>257</v>
      </c>
      <c r="V111" s="787" t="s">
        <v>257</v>
      </c>
      <c r="W111" s="788" t="s">
        <v>257</v>
      </c>
      <c r="X111" s="787" t="s">
        <v>257</v>
      </c>
      <c r="Y111" s="787" t="s">
        <v>257</v>
      </c>
      <c r="Z111" s="787" t="s">
        <v>257</v>
      </c>
      <c r="AA111" s="787" t="s">
        <v>257</v>
      </c>
      <c r="AB111" s="787" t="s">
        <v>257</v>
      </c>
      <c r="AC111" s="787" t="s">
        <v>257</v>
      </c>
      <c r="AD111" s="787" t="s">
        <v>257</v>
      </c>
      <c r="AE111" s="787" t="s">
        <v>257</v>
      </c>
      <c r="AF111" s="787" t="s">
        <v>257</v>
      </c>
      <c r="AG111" s="787" t="s">
        <v>257</v>
      </c>
      <c r="AH111" s="787" t="s">
        <v>257</v>
      </c>
      <c r="AI111" s="787" t="s">
        <v>257</v>
      </c>
      <c r="AJ111" s="787" t="s">
        <v>257</v>
      </c>
      <c r="AK111" s="787" t="s">
        <v>257</v>
      </c>
      <c r="AL111" s="787" t="s">
        <v>257</v>
      </c>
      <c r="AM111" s="787" t="s">
        <v>257</v>
      </c>
      <c r="AN111" s="787" t="s">
        <v>257</v>
      </c>
      <c r="AO111" s="787" t="s">
        <v>257</v>
      </c>
      <c r="AP111" s="787" t="s">
        <v>257</v>
      </c>
      <c r="AQ111" s="787" t="s">
        <v>257</v>
      </c>
      <c r="AR111" s="787" t="s">
        <v>257</v>
      </c>
      <c r="AS111" s="787" t="s">
        <v>257</v>
      </c>
      <c r="AT111" s="787" t="s">
        <v>257</v>
      </c>
      <c r="AU111" s="787" t="s">
        <v>257</v>
      </c>
      <c r="AV111" s="787" t="s">
        <v>257</v>
      </c>
      <c r="AW111" s="787" t="s">
        <v>257</v>
      </c>
      <c r="AX111" s="787" t="s">
        <v>257</v>
      </c>
      <c r="AY111" s="787" t="s">
        <v>257</v>
      </c>
      <c r="AZ111" s="787" t="s">
        <v>257</v>
      </c>
      <c r="BA111" s="787" t="s">
        <v>257</v>
      </c>
      <c r="BB111" s="787" t="s">
        <v>257</v>
      </c>
      <c r="BC111" s="787" t="s">
        <v>257</v>
      </c>
      <c r="BD111" s="787"/>
    </row>
    <row r="112" spans="1:56">
      <c r="A112" s="864"/>
      <c r="B112" s="730" t="s">
        <v>1079</v>
      </c>
      <c r="D112" s="865"/>
      <c r="E112" s="792" t="str">
        <f>E54</f>
        <v>3Q 26</v>
      </c>
      <c r="F112" s="792" t="str">
        <f t="shared" ref="F112:AB112" si="20">F54</f>
        <v>4Q 26</v>
      </c>
      <c r="G112" s="792" t="str">
        <f t="shared" si="20"/>
        <v>1Q 27</v>
      </c>
      <c r="H112" s="792" t="str">
        <f t="shared" si="20"/>
        <v>2Q 27</v>
      </c>
      <c r="I112" s="792" t="str">
        <f t="shared" si="20"/>
        <v>3Q 27</v>
      </c>
      <c r="J112" s="792" t="str">
        <f t="shared" si="20"/>
        <v>4Q 27</v>
      </c>
      <c r="K112" s="792" t="str">
        <f t="shared" si="20"/>
        <v>1Q 28</v>
      </c>
      <c r="L112" s="792" t="str">
        <f t="shared" si="20"/>
        <v>2Q 28</v>
      </c>
      <c r="M112" s="792" t="str">
        <f t="shared" si="20"/>
        <v>3Q 28</v>
      </c>
      <c r="N112" s="792" t="str">
        <f t="shared" si="20"/>
        <v>4Q 28</v>
      </c>
      <c r="O112" s="792" t="str">
        <f t="shared" si="20"/>
        <v>1Q 29</v>
      </c>
      <c r="P112" s="792" t="str">
        <f t="shared" si="20"/>
        <v>2Q 29</v>
      </c>
      <c r="Q112" s="792" t="str">
        <f t="shared" si="20"/>
        <v>3Q 29</v>
      </c>
      <c r="R112" s="792" t="str">
        <f t="shared" si="20"/>
        <v>4Q 29</v>
      </c>
      <c r="S112" s="793" t="str">
        <f t="shared" si="20"/>
        <v>1Q 30</v>
      </c>
      <c r="T112" s="792" t="str">
        <f t="shared" si="20"/>
        <v>2Q 30</v>
      </c>
      <c r="U112" s="794" t="str">
        <f t="shared" si="20"/>
        <v>3Q 30</v>
      </c>
      <c r="V112" s="792" t="str">
        <f t="shared" si="20"/>
        <v>4Q 30</v>
      </c>
      <c r="W112" s="793" t="str">
        <f t="shared" si="20"/>
        <v>1Q 31</v>
      </c>
      <c r="X112" s="792" t="str">
        <f t="shared" si="20"/>
        <v>2Q 31</v>
      </c>
      <c r="Y112" s="794" t="str">
        <f t="shared" si="20"/>
        <v>3Q 31</v>
      </c>
      <c r="Z112" s="792" t="str">
        <f t="shared" si="20"/>
        <v>4Q 31</v>
      </c>
      <c r="AA112" s="792" t="str">
        <f t="shared" si="20"/>
        <v>1Q 32</v>
      </c>
      <c r="AB112" s="792" t="str">
        <f t="shared" si="20"/>
        <v>2Q 32</v>
      </c>
      <c r="AC112" s="792" t="s">
        <v>469</v>
      </c>
      <c r="AD112" s="792" t="s">
        <v>470</v>
      </c>
      <c r="AE112" s="792" t="s">
        <v>471</v>
      </c>
      <c r="AF112" s="792" t="s">
        <v>472</v>
      </c>
      <c r="AG112" s="794" t="s">
        <v>473</v>
      </c>
      <c r="AH112" s="792" t="s">
        <v>474</v>
      </c>
      <c r="AI112" s="792" t="s">
        <v>475</v>
      </c>
      <c r="AJ112" s="792" t="s">
        <v>476</v>
      </c>
      <c r="AK112" s="792" t="s">
        <v>477</v>
      </c>
      <c r="AL112" s="792" t="s">
        <v>478</v>
      </c>
      <c r="AM112" s="792" t="s">
        <v>479</v>
      </c>
      <c r="AN112" s="792" t="s">
        <v>480</v>
      </c>
      <c r="AO112" s="865" t="str">
        <f t="shared" ref="AO112:BC112" si="21">AO54</f>
        <v>3Q 35</v>
      </c>
      <c r="AP112" s="865" t="str">
        <f t="shared" si="21"/>
        <v>4Q 35</v>
      </c>
      <c r="AQ112" s="865" t="str">
        <f t="shared" si="21"/>
        <v>1Q 36</v>
      </c>
      <c r="AR112" s="865" t="str">
        <f t="shared" si="21"/>
        <v>2Q 36</v>
      </c>
      <c r="AS112" s="865" t="str">
        <f t="shared" si="21"/>
        <v>3Q 36</v>
      </c>
      <c r="AT112" s="865" t="str">
        <f t="shared" si="21"/>
        <v>4Q 36</v>
      </c>
      <c r="AU112" s="865" t="str">
        <f t="shared" si="21"/>
        <v>1Q 37</v>
      </c>
      <c r="AV112" s="865" t="str">
        <f t="shared" si="21"/>
        <v>2Q 37</v>
      </c>
      <c r="AW112" s="865" t="str">
        <f t="shared" si="21"/>
        <v>3Q 37</v>
      </c>
      <c r="AX112" s="865" t="str">
        <f t="shared" si="21"/>
        <v>4Q 37</v>
      </c>
      <c r="AY112" s="865" t="str">
        <f t="shared" si="21"/>
        <v>1Q 38</v>
      </c>
      <c r="AZ112" s="865" t="str">
        <f t="shared" si="21"/>
        <v>2Q 38</v>
      </c>
      <c r="BA112" s="865" t="str">
        <f t="shared" si="21"/>
        <v>3Q 38</v>
      </c>
      <c r="BB112" s="865" t="str">
        <f t="shared" si="21"/>
        <v>4Q 38</v>
      </c>
      <c r="BC112" s="865" t="str">
        <f t="shared" si="21"/>
        <v>4Q 38</v>
      </c>
    </row>
    <row r="113" spans="1:56" s="872" customFormat="1" ht="18.75" customHeight="1">
      <c r="A113" s="1422" t="s">
        <v>1080</v>
      </c>
      <c r="B113" s="866">
        <f>SUMPRODUCT(E113:W113,E56:W56)/A56</f>
        <v>609.33658949948472</v>
      </c>
      <c r="C113" s="867" t="str">
        <f>C31</f>
        <v>1 оч</v>
      </c>
      <c r="D113" s="868"/>
      <c r="E113" s="868">
        <v>500</v>
      </c>
      <c r="F113" s="868">
        <f>E113*(1+F114+$A$9/4)</f>
        <v>513.5</v>
      </c>
      <c r="G113" s="868">
        <f t="shared" ref="G113:W113" si="22">F113*(1+G114+$A$9/4)</f>
        <v>526.33749999999998</v>
      </c>
      <c r="H113" s="868">
        <f t="shared" si="22"/>
        <v>539.49593749999997</v>
      </c>
      <c r="I113" s="868">
        <f t="shared" si="22"/>
        <v>552.98333593749987</v>
      </c>
      <c r="J113" s="868">
        <f t="shared" si="22"/>
        <v>565.70195266406233</v>
      </c>
      <c r="K113" s="868">
        <f t="shared" si="22"/>
        <v>578.71309757533572</v>
      </c>
      <c r="L113" s="868">
        <f t="shared" si="22"/>
        <v>592.02349881956843</v>
      </c>
      <c r="M113" s="868">
        <f t="shared" si="22"/>
        <v>605.64003929241846</v>
      </c>
      <c r="N113" s="868">
        <f t="shared" si="22"/>
        <v>619.56976019614399</v>
      </c>
      <c r="O113" s="868">
        <f t="shared" si="22"/>
        <v>633.8198646806552</v>
      </c>
      <c r="P113" s="868">
        <f t="shared" si="22"/>
        <v>648.3977215683102</v>
      </c>
      <c r="Q113" s="868">
        <f t="shared" si="22"/>
        <v>663.3108691643813</v>
      </c>
      <c r="R113" s="868">
        <f t="shared" si="22"/>
        <v>678.56701915516203</v>
      </c>
      <c r="S113" s="869">
        <f t="shared" si="22"/>
        <v>694.17406059573068</v>
      </c>
      <c r="T113" s="868">
        <f t="shared" si="22"/>
        <v>694.17406059573068</v>
      </c>
      <c r="U113" s="868">
        <f t="shared" si="22"/>
        <v>694.17406059573068</v>
      </c>
      <c r="V113" s="868">
        <f t="shared" si="22"/>
        <v>694.17406059573068</v>
      </c>
      <c r="W113" s="869">
        <f t="shared" si="22"/>
        <v>694.17406059573068</v>
      </c>
      <c r="X113" s="868"/>
      <c r="Y113" s="868"/>
      <c r="Z113" s="868"/>
      <c r="AA113" s="868"/>
      <c r="AB113" s="868"/>
      <c r="AC113" s="868"/>
      <c r="AD113" s="870"/>
      <c r="AE113" s="870"/>
      <c r="AF113" s="870"/>
      <c r="AG113" s="870"/>
      <c r="AH113" s="870"/>
      <c r="AI113" s="870"/>
      <c r="AJ113" s="870"/>
      <c r="AK113" s="870"/>
      <c r="AL113" s="870"/>
      <c r="AM113" s="870"/>
      <c r="AN113" s="870"/>
      <c r="AO113" s="870"/>
      <c r="AP113" s="870"/>
      <c r="AQ113" s="870"/>
      <c r="AR113" s="870"/>
      <c r="AS113" s="870"/>
      <c r="AT113" s="870"/>
      <c r="AU113" s="870"/>
      <c r="AV113" s="870"/>
      <c r="AW113" s="870"/>
      <c r="AX113" s="870"/>
      <c r="AY113" s="870"/>
      <c r="AZ113" s="870"/>
      <c r="BA113" s="870"/>
      <c r="BB113" s="870"/>
      <c r="BC113" s="870"/>
      <c r="BD113" s="871"/>
    </row>
    <row r="114" spans="1:56" ht="11" customHeight="1">
      <c r="A114" s="1423"/>
      <c r="B114" s="873"/>
      <c r="C114" s="874"/>
      <c r="D114" s="875"/>
      <c r="E114" s="876"/>
      <c r="F114" s="877">
        <v>2.7E-2</v>
      </c>
      <c r="G114" s="877">
        <v>2.5000000000000001E-2</v>
      </c>
      <c r="H114" s="877">
        <v>2.5000000000000001E-2</v>
      </c>
      <c r="I114" s="877">
        <v>2.5000000000000001E-2</v>
      </c>
      <c r="J114" s="877">
        <v>2.3E-2</v>
      </c>
      <c r="K114" s="877">
        <v>2.3E-2</v>
      </c>
      <c r="L114" s="877">
        <v>2.3E-2</v>
      </c>
      <c r="M114" s="877">
        <v>2.3E-2</v>
      </c>
      <c r="N114" s="877">
        <v>2.3E-2</v>
      </c>
      <c r="O114" s="877">
        <v>2.3E-2</v>
      </c>
      <c r="P114" s="877">
        <v>2.3E-2</v>
      </c>
      <c r="Q114" s="877">
        <v>2.3E-2</v>
      </c>
      <c r="R114" s="877">
        <v>2.3E-2</v>
      </c>
      <c r="S114" s="878">
        <v>2.3E-2</v>
      </c>
      <c r="T114" s="877">
        <v>0</v>
      </c>
      <c r="U114" s="877">
        <v>0</v>
      </c>
      <c r="V114" s="877">
        <v>0</v>
      </c>
      <c r="W114" s="878">
        <v>0</v>
      </c>
      <c r="X114" s="877">
        <v>0</v>
      </c>
      <c r="Y114" s="877">
        <v>0</v>
      </c>
      <c r="Z114" s="877">
        <v>0</v>
      </c>
      <c r="AA114" s="877">
        <v>0</v>
      </c>
      <c r="AB114" s="877">
        <v>0</v>
      </c>
      <c r="AC114" s="877">
        <v>0</v>
      </c>
      <c r="AD114" s="879">
        <v>0</v>
      </c>
      <c r="AE114" s="879">
        <v>0</v>
      </c>
      <c r="AF114" s="879">
        <v>0</v>
      </c>
      <c r="AG114" s="879">
        <v>0</v>
      </c>
      <c r="AH114" s="879">
        <v>0</v>
      </c>
      <c r="AI114" s="879">
        <v>0</v>
      </c>
      <c r="AJ114" s="879">
        <v>0</v>
      </c>
      <c r="AK114" s="879">
        <v>0</v>
      </c>
      <c r="AL114" s="879">
        <v>0</v>
      </c>
      <c r="AM114" s="879">
        <v>0</v>
      </c>
      <c r="AN114" s="879">
        <v>0</v>
      </c>
      <c r="AO114" s="879">
        <v>0</v>
      </c>
      <c r="AP114" s="879">
        <v>0</v>
      </c>
      <c r="AQ114" s="879">
        <v>0</v>
      </c>
      <c r="AR114" s="879">
        <v>0</v>
      </c>
      <c r="AS114" s="879">
        <v>0</v>
      </c>
      <c r="AT114" s="879">
        <v>0</v>
      </c>
      <c r="AU114" s="879">
        <v>0</v>
      </c>
      <c r="AV114" s="879">
        <v>0</v>
      </c>
      <c r="AW114" s="879">
        <v>0</v>
      </c>
      <c r="AX114" s="879">
        <v>0</v>
      </c>
      <c r="AY114" s="879">
        <v>0</v>
      </c>
      <c r="AZ114" s="879">
        <v>0</v>
      </c>
      <c r="BA114" s="879">
        <v>0</v>
      </c>
      <c r="BB114" s="879">
        <v>0</v>
      </c>
      <c r="BC114" s="879">
        <v>0</v>
      </c>
    </row>
    <row r="115" spans="1:56" s="872" customFormat="1" ht="18.75" customHeight="1">
      <c r="A115" s="1423"/>
      <c r="B115" s="866">
        <f>SUMPRODUCT(I115:AD115,I57:AD57)/A57</f>
        <v>611.19061981563289</v>
      </c>
      <c r="C115" s="867" t="str">
        <f>C32</f>
        <v>2 оч</v>
      </c>
      <c r="D115" s="880"/>
      <c r="E115" s="881"/>
      <c r="F115" s="881"/>
      <c r="G115" s="881"/>
      <c r="H115" s="881"/>
      <c r="I115" s="882">
        <f>E113</f>
        <v>500</v>
      </c>
      <c r="J115" s="868">
        <f t="shared" ref="J115:AA115" si="23">I115*(1+J116+$A$9/4)</f>
        <v>512.5</v>
      </c>
      <c r="K115" s="868">
        <f t="shared" si="23"/>
        <v>524.28749999999991</v>
      </c>
      <c r="L115" s="868">
        <f t="shared" si="23"/>
        <v>536.34611249999989</v>
      </c>
      <c r="M115" s="868">
        <f t="shared" si="23"/>
        <v>548.68207308749982</v>
      </c>
      <c r="N115" s="868">
        <f t="shared" si="23"/>
        <v>561.30176076851228</v>
      </c>
      <c r="O115" s="868">
        <f t="shared" si="23"/>
        <v>574.21170126618802</v>
      </c>
      <c r="P115" s="868">
        <f t="shared" si="23"/>
        <v>587.41857039531033</v>
      </c>
      <c r="Q115" s="868">
        <f t="shared" si="23"/>
        <v>600.9291975144024</v>
      </c>
      <c r="R115" s="868">
        <f t="shared" si="23"/>
        <v>614.75056905723363</v>
      </c>
      <c r="S115" s="869">
        <f t="shared" si="23"/>
        <v>628.88983214554992</v>
      </c>
      <c r="T115" s="868">
        <f t="shared" si="23"/>
        <v>643.35429828489748</v>
      </c>
      <c r="U115" s="868">
        <f t="shared" si="23"/>
        <v>658.15144714545011</v>
      </c>
      <c r="V115" s="868">
        <f t="shared" si="23"/>
        <v>673.28893042979541</v>
      </c>
      <c r="W115" s="869">
        <f t="shared" si="23"/>
        <v>688.77457582968066</v>
      </c>
      <c r="X115" s="868">
        <f t="shared" si="23"/>
        <v>688.77457582968066</v>
      </c>
      <c r="Y115" s="868">
        <f t="shared" si="23"/>
        <v>688.77457582968066</v>
      </c>
      <c r="Z115" s="868">
        <f t="shared" si="23"/>
        <v>688.77457582968066</v>
      </c>
      <c r="AA115" s="868">
        <f t="shared" si="23"/>
        <v>688.77457582968066</v>
      </c>
      <c r="AB115" s="868">
        <f>AA115*(1+AB116+$A$9/4)</f>
        <v>688.77457582968066</v>
      </c>
      <c r="AC115" s="868">
        <f t="shared" ref="AC115" si="24">AB115*(1+AC116+$A$9/4)</f>
        <v>688.77457582968066</v>
      </c>
      <c r="AD115" s="868">
        <f>AC115*(1+AD116+$A$9/4)</f>
        <v>688.77457582968066</v>
      </c>
      <c r="AE115" s="870">
        <f t="shared" ref="AE115:AF115" si="25">AD115*(1+AE116)</f>
        <v>688.77457582968066</v>
      </c>
      <c r="AF115" s="870">
        <f t="shared" si="25"/>
        <v>688.77457582968066</v>
      </c>
      <c r="AG115" s="883"/>
      <c r="AH115" s="883"/>
      <c r="AI115" s="883"/>
      <c r="AJ115" s="883"/>
      <c r="AK115" s="883"/>
      <c r="AL115" s="883"/>
      <c r="AM115" s="883"/>
      <c r="AN115" s="883"/>
      <c r="AO115" s="883"/>
      <c r="AP115" s="884"/>
      <c r="AQ115" s="884"/>
      <c r="AR115" s="884"/>
      <c r="AS115" s="884"/>
      <c r="AT115" s="884"/>
      <c r="AU115" s="884"/>
      <c r="AV115" s="884"/>
      <c r="AW115" s="884"/>
      <c r="AX115" s="884"/>
      <c r="AY115" s="884"/>
      <c r="AZ115" s="884"/>
      <c r="BA115" s="884"/>
      <c r="BB115" s="884"/>
      <c r="BC115" s="884"/>
      <c r="BD115" s="885"/>
    </row>
    <row r="116" spans="1:56" ht="11" customHeight="1">
      <c r="A116" s="1423"/>
      <c r="B116" s="873"/>
      <c r="C116" s="855"/>
      <c r="D116" s="850"/>
      <c r="E116" s="876"/>
      <c r="F116" s="876"/>
      <c r="G116" s="876"/>
      <c r="H116" s="876"/>
      <c r="I116" s="877"/>
      <c r="J116" s="877">
        <v>2.5000000000000001E-2</v>
      </c>
      <c r="K116" s="877">
        <v>2.3E-2</v>
      </c>
      <c r="L116" s="877">
        <v>2.3E-2</v>
      </c>
      <c r="M116" s="877">
        <v>2.3E-2</v>
      </c>
      <c r="N116" s="877">
        <v>2.3E-2</v>
      </c>
      <c r="O116" s="877">
        <v>2.3E-2</v>
      </c>
      <c r="P116" s="877">
        <v>2.3E-2</v>
      </c>
      <c r="Q116" s="877">
        <v>2.3E-2</v>
      </c>
      <c r="R116" s="877">
        <v>2.3E-2</v>
      </c>
      <c r="S116" s="878">
        <v>2.3E-2</v>
      </c>
      <c r="T116" s="877">
        <v>2.3E-2</v>
      </c>
      <c r="U116" s="877">
        <v>2.3E-2</v>
      </c>
      <c r="V116" s="877">
        <v>2.3E-2</v>
      </c>
      <c r="W116" s="878">
        <v>2.3E-2</v>
      </c>
      <c r="X116" s="877">
        <v>0</v>
      </c>
      <c r="Y116" s="877">
        <v>0</v>
      </c>
      <c r="Z116" s="877">
        <v>0</v>
      </c>
      <c r="AA116" s="877">
        <v>0</v>
      </c>
      <c r="AB116" s="877">
        <v>0</v>
      </c>
      <c r="AC116" s="877">
        <v>0</v>
      </c>
      <c r="AD116" s="877">
        <v>0</v>
      </c>
      <c r="AE116" s="879">
        <v>0</v>
      </c>
      <c r="AF116" s="879">
        <v>0</v>
      </c>
      <c r="AG116" s="886"/>
      <c r="AH116" s="886"/>
      <c r="AI116" s="886"/>
      <c r="AJ116" s="886"/>
      <c r="AK116" s="886"/>
      <c r="AL116" s="886"/>
      <c r="AM116" s="886"/>
      <c r="AN116" s="886"/>
      <c r="AO116" s="886"/>
      <c r="AP116" s="850"/>
      <c r="AQ116" s="850"/>
      <c r="AR116" s="850"/>
      <c r="AS116" s="850"/>
      <c r="AT116" s="850"/>
      <c r="AU116" s="850"/>
      <c r="AV116" s="850"/>
      <c r="AW116" s="850"/>
      <c r="AX116" s="850"/>
      <c r="AY116" s="850"/>
      <c r="AZ116" s="850"/>
      <c r="BA116" s="850"/>
      <c r="BB116" s="850"/>
      <c r="BC116" s="850"/>
    </row>
    <row r="117" spans="1:56" ht="11" hidden="1" customHeight="1">
      <c r="A117" s="720"/>
      <c r="B117" s="887" t="e">
        <f>SUMPRODUCT(M117:AH117,M58:AH58)/A58</f>
        <v>#DIV/0!</v>
      </c>
      <c r="C117" s="888" t="str">
        <f>C33</f>
        <v>3 оч</v>
      </c>
      <c r="D117" s="889"/>
      <c r="E117" s="890"/>
      <c r="F117" s="890"/>
      <c r="G117" s="890"/>
      <c r="H117" s="890"/>
      <c r="I117" s="890"/>
      <c r="J117" s="890"/>
      <c r="K117" s="890"/>
      <c r="L117" s="891"/>
      <c r="M117" s="882"/>
      <c r="N117" s="891"/>
      <c r="O117" s="891"/>
      <c r="P117" s="891"/>
      <c r="Q117" s="891"/>
      <c r="R117" s="891"/>
      <c r="S117" s="892"/>
      <c r="T117" s="891"/>
      <c r="U117" s="891"/>
      <c r="V117" s="891"/>
      <c r="W117" s="892"/>
      <c r="X117" s="891"/>
      <c r="Y117" s="891"/>
      <c r="Z117" s="891"/>
      <c r="AA117" s="891"/>
      <c r="AB117" s="891"/>
      <c r="AC117" s="891"/>
      <c r="AD117" s="891"/>
      <c r="AE117" s="891"/>
      <c r="AF117" s="891"/>
      <c r="AG117" s="891"/>
      <c r="AH117" s="891"/>
      <c r="AI117" s="893"/>
      <c r="AJ117" s="893"/>
      <c r="AK117" s="894"/>
      <c r="AL117" s="894"/>
      <c r="AM117" s="894"/>
      <c r="AN117" s="894"/>
      <c r="AO117" s="894"/>
      <c r="AP117" s="895"/>
      <c r="AQ117" s="895"/>
      <c r="AR117" s="850"/>
      <c r="AS117" s="850"/>
      <c r="AT117" s="850"/>
      <c r="AU117" s="850"/>
      <c r="AV117" s="850"/>
      <c r="AW117" s="850"/>
      <c r="AX117" s="850"/>
      <c r="AY117" s="850"/>
      <c r="AZ117" s="850"/>
      <c r="BA117" s="850"/>
      <c r="BB117" s="850"/>
      <c r="BC117" s="850"/>
    </row>
    <row r="118" spans="1:56" ht="11" hidden="1" customHeight="1">
      <c r="A118" s="720"/>
      <c r="B118" s="873"/>
      <c r="C118" s="855"/>
      <c r="D118" s="850"/>
      <c r="E118" s="876"/>
      <c r="F118" s="876"/>
      <c r="G118" s="876"/>
      <c r="H118" s="876"/>
      <c r="I118" s="876"/>
      <c r="J118" s="876"/>
      <c r="K118" s="876"/>
      <c r="L118" s="877"/>
      <c r="M118" s="877"/>
      <c r="N118" s="877"/>
      <c r="O118" s="877"/>
      <c r="P118" s="877"/>
      <c r="Q118" s="877"/>
      <c r="R118" s="877"/>
      <c r="S118" s="878"/>
      <c r="T118" s="877"/>
      <c r="U118" s="877"/>
      <c r="V118" s="877"/>
      <c r="W118" s="878"/>
      <c r="X118" s="877"/>
      <c r="Y118" s="877"/>
      <c r="Z118" s="877"/>
      <c r="AA118" s="877"/>
      <c r="AB118" s="877"/>
      <c r="AC118" s="877"/>
      <c r="AD118" s="877"/>
      <c r="AE118" s="877"/>
      <c r="AF118" s="877"/>
      <c r="AG118" s="877"/>
      <c r="AH118" s="877"/>
      <c r="AI118" s="879"/>
      <c r="AJ118" s="879"/>
      <c r="AK118" s="886"/>
      <c r="AL118" s="886"/>
      <c r="AM118" s="886"/>
      <c r="AN118" s="886"/>
      <c r="AO118" s="886"/>
      <c r="AP118" s="895"/>
      <c r="AQ118" s="895"/>
      <c r="AR118" s="850"/>
      <c r="AS118" s="850"/>
      <c r="AT118" s="850"/>
      <c r="AU118" s="850"/>
      <c r="AV118" s="850"/>
      <c r="AW118" s="850"/>
      <c r="AX118" s="850"/>
      <c r="AY118" s="850"/>
      <c r="AZ118" s="850"/>
      <c r="BA118" s="850"/>
      <c r="BB118" s="850"/>
      <c r="BC118" s="850"/>
    </row>
    <row r="119" spans="1:56" ht="11" hidden="1" customHeight="1">
      <c r="A119" s="720"/>
      <c r="B119" s="887" t="e">
        <f>SUMPRODUCT(Q119:AN119,Q59:AN59)/A59</f>
        <v>#DIV/0!</v>
      </c>
      <c r="C119" s="888" t="str">
        <f>C34</f>
        <v>4 оч</v>
      </c>
      <c r="D119" s="889"/>
      <c r="E119" s="890"/>
      <c r="F119" s="890"/>
      <c r="G119" s="890"/>
      <c r="H119" s="890"/>
      <c r="I119" s="890"/>
      <c r="J119" s="890"/>
      <c r="K119" s="890"/>
      <c r="L119" s="890"/>
      <c r="M119" s="890"/>
      <c r="N119" s="890"/>
      <c r="O119" s="891"/>
      <c r="P119" s="891"/>
      <c r="Q119" s="882"/>
      <c r="R119" s="891"/>
      <c r="S119" s="892"/>
      <c r="T119" s="891"/>
      <c r="U119" s="891"/>
      <c r="V119" s="891"/>
      <c r="W119" s="892"/>
      <c r="X119" s="891"/>
      <c r="Y119" s="891"/>
      <c r="Z119" s="891"/>
      <c r="AA119" s="891"/>
      <c r="AB119" s="891"/>
      <c r="AC119" s="891"/>
      <c r="AD119" s="891"/>
      <c r="AE119" s="891"/>
      <c r="AF119" s="891"/>
      <c r="AG119" s="891"/>
      <c r="AH119" s="891"/>
      <c r="AI119" s="891"/>
      <c r="AJ119" s="891"/>
      <c r="AK119" s="891"/>
      <c r="AL119" s="891"/>
      <c r="AM119" s="891"/>
      <c r="AN119" s="891"/>
      <c r="AO119" s="896"/>
      <c r="AP119" s="895"/>
      <c r="AQ119" s="895"/>
      <c r="AR119" s="850"/>
      <c r="AS119" s="850"/>
      <c r="AT119" s="850"/>
      <c r="AU119" s="850"/>
      <c r="AV119" s="850"/>
      <c r="AW119" s="850"/>
      <c r="AX119" s="850"/>
      <c r="AY119" s="850"/>
      <c r="AZ119" s="850"/>
      <c r="BA119" s="850"/>
      <c r="BB119" s="850"/>
      <c r="BC119" s="850"/>
    </row>
    <row r="120" spans="1:56" ht="11" hidden="1" customHeight="1">
      <c r="A120" s="720"/>
      <c r="B120" s="873"/>
      <c r="C120" s="855"/>
      <c r="D120" s="850"/>
      <c r="E120" s="876"/>
      <c r="F120" s="876"/>
      <c r="G120" s="876"/>
      <c r="H120" s="876"/>
      <c r="I120" s="876"/>
      <c r="J120" s="876"/>
      <c r="K120" s="876"/>
      <c r="L120" s="876"/>
      <c r="M120" s="876"/>
      <c r="N120" s="876"/>
      <c r="O120" s="877"/>
      <c r="P120" s="877"/>
      <c r="Q120" s="877"/>
      <c r="R120" s="877"/>
      <c r="S120" s="878"/>
      <c r="T120" s="877"/>
      <c r="U120" s="877"/>
      <c r="V120" s="877"/>
      <c r="W120" s="878"/>
      <c r="X120" s="877"/>
      <c r="Y120" s="877"/>
      <c r="Z120" s="877"/>
      <c r="AA120" s="877"/>
      <c r="AB120" s="877"/>
      <c r="AC120" s="877"/>
      <c r="AD120" s="877"/>
      <c r="AE120" s="877"/>
      <c r="AF120" s="877"/>
      <c r="AG120" s="877"/>
      <c r="AH120" s="877"/>
      <c r="AI120" s="877"/>
      <c r="AJ120" s="877"/>
      <c r="AK120" s="877"/>
      <c r="AL120" s="877"/>
      <c r="AM120" s="877"/>
      <c r="AN120" s="877"/>
      <c r="AO120" s="896"/>
      <c r="AP120" s="895"/>
      <c r="AQ120" s="895"/>
      <c r="AR120" s="850"/>
      <c r="AS120" s="850"/>
      <c r="AT120" s="850"/>
      <c r="AU120" s="850"/>
      <c r="AV120" s="850"/>
      <c r="AW120" s="850"/>
      <c r="AX120" s="850"/>
      <c r="AY120" s="850"/>
      <c r="AZ120" s="850"/>
      <c r="BA120" s="850"/>
      <c r="BB120" s="850"/>
      <c r="BC120" s="850"/>
    </row>
    <row r="121" spans="1:56" ht="11" hidden="1" customHeight="1">
      <c r="A121" s="720"/>
      <c r="B121" s="887" t="e">
        <f>SUMPRODUCT(Q121:AI121,Q60:AI60)/A60</f>
        <v>#DIV/0!</v>
      </c>
      <c r="C121" s="888" t="str">
        <f>C35</f>
        <v>5 оч</v>
      </c>
      <c r="D121" s="889"/>
      <c r="E121" s="890"/>
      <c r="F121" s="890"/>
      <c r="G121" s="890"/>
      <c r="H121" s="890"/>
      <c r="I121" s="890"/>
      <c r="J121" s="890"/>
      <c r="K121" s="890"/>
      <c r="L121" s="890"/>
      <c r="M121" s="890"/>
      <c r="N121" s="890"/>
      <c r="O121" s="890"/>
      <c r="P121" s="890"/>
      <c r="Q121" s="897">
        <f>Q119*$C$110</f>
        <v>0</v>
      </c>
      <c r="R121" s="891">
        <f t="shared" ref="R121:AL121" si="26">Q121*(1+R122)</f>
        <v>0</v>
      </c>
      <c r="S121" s="892">
        <f t="shared" si="26"/>
        <v>0</v>
      </c>
      <c r="T121" s="891">
        <f t="shared" si="26"/>
        <v>0</v>
      </c>
      <c r="U121" s="891">
        <f t="shared" si="26"/>
        <v>0</v>
      </c>
      <c r="V121" s="891">
        <f t="shared" si="26"/>
        <v>0</v>
      </c>
      <c r="W121" s="892">
        <f t="shared" si="26"/>
        <v>0</v>
      </c>
      <c r="X121" s="891">
        <f t="shared" si="26"/>
        <v>0</v>
      </c>
      <c r="Y121" s="891">
        <f t="shared" si="26"/>
        <v>0</v>
      </c>
      <c r="Z121" s="891">
        <f t="shared" si="26"/>
        <v>0</v>
      </c>
      <c r="AA121" s="891">
        <f t="shared" si="26"/>
        <v>0</v>
      </c>
      <c r="AB121" s="891">
        <f t="shared" si="26"/>
        <v>0</v>
      </c>
      <c r="AC121" s="891">
        <f t="shared" si="26"/>
        <v>0</v>
      </c>
      <c r="AD121" s="898">
        <f t="shared" si="26"/>
        <v>0</v>
      </c>
      <c r="AE121" s="898">
        <f t="shared" si="26"/>
        <v>0</v>
      </c>
      <c r="AF121" s="898">
        <f t="shared" si="26"/>
        <v>0</v>
      </c>
      <c r="AG121" s="898">
        <f t="shared" si="26"/>
        <v>0</v>
      </c>
      <c r="AH121" s="898">
        <f t="shared" si="26"/>
        <v>0</v>
      </c>
      <c r="AI121" s="898">
        <f t="shared" si="26"/>
        <v>0</v>
      </c>
      <c r="AJ121" s="893">
        <f t="shared" si="26"/>
        <v>0</v>
      </c>
      <c r="AK121" s="893">
        <f t="shared" si="26"/>
        <v>0</v>
      </c>
      <c r="AL121" s="893">
        <f t="shared" si="26"/>
        <v>0</v>
      </c>
      <c r="AM121" s="899"/>
      <c r="AN121" s="896"/>
      <c r="AO121" s="896"/>
      <c r="AP121" s="895"/>
      <c r="AQ121" s="895"/>
      <c r="AR121" s="850"/>
      <c r="AS121" s="850"/>
      <c r="AT121" s="850"/>
      <c r="AU121" s="850"/>
      <c r="AV121" s="850"/>
      <c r="AW121" s="850"/>
      <c r="AX121" s="850"/>
      <c r="AY121" s="850"/>
      <c r="AZ121" s="850"/>
      <c r="BA121" s="850"/>
      <c r="BB121" s="850"/>
      <c r="BC121" s="850"/>
    </row>
    <row r="122" spans="1:56" ht="11" hidden="1" customHeight="1">
      <c r="A122" s="720"/>
      <c r="B122" s="900"/>
      <c r="C122" s="901"/>
      <c r="D122" s="850"/>
      <c r="E122" s="876"/>
      <c r="F122" s="876"/>
      <c r="G122" s="876"/>
      <c r="H122" s="876"/>
      <c r="I122" s="876"/>
      <c r="J122" s="876"/>
      <c r="K122" s="876"/>
      <c r="L122" s="876"/>
      <c r="M122" s="876"/>
      <c r="N122" s="876"/>
      <c r="O122" s="876"/>
      <c r="P122" s="876"/>
      <c r="Q122" s="876"/>
      <c r="R122" s="877">
        <v>1.7999999999999999E-2</v>
      </c>
      <c r="S122" s="878">
        <f t="shared" ref="S122:AA122" si="27">$C$109</f>
        <v>0</v>
      </c>
      <c r="T122" s="877">
        <f t="shared" si="27"/>
        <v>0</v>
      </c>
      <c r="U122" s="877">
        <f t="shared" si="27"/>
        <v>0</v>
      </c>
      <c r="V122" s="877">
        <f t="shared" si="27"/>
        <v>0</v>
      </c>
      <c r="W122" s="878">
        <f t="shared" si="27"/>
        <v>0</v>
      </c>
      <c r="X122" s="877">
        <f t="shared" si="27"/>
        <v>0</v>
      </c>
      <c r="Y122" s="877">
        <f t="shared" si="27"/>
        <v>0</v>
      </c>
      <c r="Z122" s="877">
        <f t="shared" si="27"/>
        <v>0</v>
      </c>
      <c r="AA122" s="877">
        <f t="shared" si="27"/>
        <v>0</v>
      </c>
      <c r="AB122" s="877">
        <v>0</v>
      </c>
      <c r="AC122" s="877">
        <v>0</v>
      </c>
      <c r="AD122" s="877">
        <v>0</v>
      </c>
      <c r="AE122" s="877">
        <v>0</v>
      </c>
      <c r="AF122" s="877">
        <v>0</v>
      </c>
      <c r="AG122" s="877">
        <v>0</v>
      </c>
      <c r="AH122" s="877">
        <v>0</v>
      </c>
      <c r="AI122" s="877">
        <v>0</v>
      </c>
      <c r="AJ122" s="879">
        <v>0</v>
      </c>
      <c r="AK122" s="879">
        <v>0</v>
      </c>
      <c r="AL122" s="879">
        <v>0</v>
      </c>
      <c r="AM122" s="899"/>
      <c r="AN122" s="896"/>
      <c r="AO122" s="896"/>
      <c r="AP122" s="895"/>
      <c r="AQ122" s="895"/>
      <c r="AR122" s="850"/>
      <c r="AS122" s="850"/>
      <c r="AT122" s="850"/>
      <c r="AU122" s="850"/>
      <c r="AV122" s="850"/>
      <c r="AW122" s="850"/>
      <c r="AX122" s="850"/>
      <c r="AY122" s="850"/>
      <c r="AZ122" s="850"/>
      <c r="BA122" s="850"/>
      <c r="BB122" s="850"/>
      <c r="BC122" s="850"/>
    </row>
    <row r="123" spans="1:56" ht="11" hidden="1" customHeight="1">
      <c r="A123" s="720"/>
      <c r="B123" s="887" t="e">
        <f>SUMPRODUCT(T123:AL123,T61:AL61)/A61</f>
        <v>#DIV/0!</v>
      </c>
      <c r="C123" s="888" t="str">
        <f>C36</f>
        <v>6 оч</v>
      </c>
      <c r="D123" s="902"/>
      <c r="E123" s="903"/>
      <c r="F123" s="903"/>
      <c r="G123" s="903"/>
      <c r="H123" s="903"/>
      <c r="I123" s="903"/>
      <c r="J123" s="903"/>
      <c r="K123" s="903"/>
      <c r="L123" s="903"/>
      <c r="M123" s="903"/>
      <c r="N123" s="903"/>
      <c r="O123" s="903"/>
      <c r="P123" s="903"/>
      <c r="Q123" s="903"/>
      <c r="R123" s="903"/>
      <c r="S123" s="904"/>
      <c r="T123" s="897">
        <f>T121*$C$110</f>
        <v>0</v>
      </c>
      <c r="U123" s="891">
        <f t="shared" ref="U123:AN123" si="28">T123*(1+U124)</f>
        <v>0</v>
      </c>
      <c r="V123" s="891">
        <f t="shared" si="28"/>
        <v>0</v>
      </c>
      <c r="W123" s="892">
        <f t="shared" si="28"/>
        <v>0</v>
      </c>
      <c r="X123" s="891">
        <f t="shared" si="28"/>
        <v>0</v>
      </c>
      <c r="Y123" s="891">
        <f t="shared" si="28"/>
        <v>0</v>
      </c>
      <c r="Z123" s="891">
        <f t="shared" si="28"/>
        <v>0</v>
      </c>
      <c r="AA123" s="891">
        <f t="shared" si="28"/>
        <v>0</v>
      </c>
      <c r="AB123" s="891">
        <f t="shared" si="28"/>
        <v>0</v>
      </c>
      <c r="AC123" s="891">
        <f t="shared" si="28"/>
        <v>0</v>
      </c>
      <c r="AD123" s="891">
        <f t="shared" si="28"/>
        <v>0</v>
      </c>
      <c r="AE123" s="898">
        <f t="shared" si="28"/>
        <v>0</v>
      </c>
      <c r="AF123" s="898">
        <f t="shared" si="28"/>
        <v>0</v>
      </c>
      <c r="AG123" s="898">
        <f t="shared" si="28"/>
        <v>0</v>
      </c>
      <c r="AH123" s="905">
        <f t="shared" si="28"/>
        <v>0</v>
      </c>
      <c r="AI123" s="905">
        <f t="shared" si="28"/>
        <v>0</v>
      </c>
      <c r="AJ123" s="905">
        <f t="shared" si="28"/>
        <v>0</v>
      </c>
      <c r="AK123" s="905">
        <f t="shared" si="28"/>
        <v>0</v>
      </c>
      <c r="AL123" s="905">
        <f t="shared" si="28"/>
        <v>0</v>
      </c>
      <c r="AM123" s="906">
        <f t="shared" si="28"/>
        <v>0</v>
      </c>
      <c r="AN123" s="906">
        <f t="shared" si="28"/>
        <v>0</v>
      </c>
      <c r="AO123" s="907"/>
      <c r="AP123" s="908"/>
      <c r="AQ123" s="908"/>
      <c r="AR123" s="909"/>
      <c r="AS123" s="909"/>
      <c r="AT123" s="909"/>
      <c r="AU123" s="909"/>
      <c r="AV123" s="909"/>
      <c r="AW123" s="909"/>
      <c r="AX123" s="909"/>
      <c r="AY123" s="909"/>
      <c r="AZ123" s="909"/>
      <c r="BA123" s="909"/>
      <c r="BB123" s="909"/>
      <c r="BC123" s="909"/>
    </row>
    <row r="124" spans="1:56" ht="11" hidden="1" customHeight="1">
      <c r="A124" s="910">
        <f>AE113/E113-1</f>
        <v>-1</v>
      </c>
      <c r="B124" s="873"/>
      <c r="C124" s="855"/>
      <c r="H124" s="876"/>
      <c r="I124" s="876"/>
      <c r="J124" s="876"/>
      <c r="K124" s="876"/>
      <c r="L124" s="876"/>
      <c r="M124" s="876"/>
      <c r="N124" s="876"/>
      <c r="O124" s="876"/>
      <c r="P124" s="876"/>
      <c r="Q124" s="876"/>
      <c r="R124" s="876"/>
      <c r="S124" s="911"/>
      <c r="T124" s="876"/>
      <c r="U124" s="877">
        <v>1.7999999999999999E-2</v>
      </c>
      <c r="V124" s="877">
        <f t="shared" ref="V124:AD124" si="29">$C$109</f>
        <v>0</v>
      </c>
      <c r="W124" s="878">
        <f t="shared" si="29"/>
        <v>0</v>
      </c>
      <c r="X124" s="877">
        <f t="shared" si="29"/>
        <v>0</v>
      </c>
      <c r="Y124" s="877">
        <f t="shared" si="29"/>
        <v>0</v>
      </c>
      <c r="Z124" s="877">
        <f t="shared" si="29"/>
        <v>0</v>
      </c>
      <c r="AA124" s="877">
        <f t="shared" si="29"/>
        <v>0</v>
      </c>
      <c r="AB124" s="877">
        <f t="shared" si="29"/>
        <v>0</v>
      </c>
      <c r="AC124" s="877">
        <f t="shared" si="29"/>
        <v>0</v>
      </c>
      <c r="AD124" s="877">
        <f t="shared" si="29"/>
        <v>0</v>
      </c>
      <c r="AE124" s="877">
        <v>0</v>
      </c>
      <c r="AF124" s="877">
        <v>0</v>
      </c>
      <c r="AG124" s="877">
        <v>0</v>
      </c>
      <c r="AH124" s="877">
        <v>0</v>
      </c>
      <c r="AI124" s="877">
        <v>0</v>
      </c>
      <c r="AJ124" s="877">
        <v>0</v>
      </c>
      <c r="AK124" s="877">
        <v>0</v>
      </c>
      <c r="AL124" s="877">
        <v>0</v>
      </c>
      <c r="AM124" s="879">
        <v>0</v>
      </c>
      <c r="AN124" s="879">
        <v>0</v>
      </c>
      <c r="AO124" s="896"/>
      <c r="AP124" s="895"/>
      <c r="AQ124" s="895"/>
    </row>
    <row r="125" spans="1:56" ht="11" hidden="1" customHeight="1">
      <c r="A125" s="910"/>
      <c r="B125" s="887" t="e">
        <f>SUMPRODUCT(W125:AO125,W62:AO62)/A62</f>
        <v>#DIV/0!</v>
      </c>
      <c r="C125" s="888" t="str">
        <f>C37</f>
        <v>7 оч</v>
      </c>
      <c r="D125" s="912"/>
      <c r="E125" s="912"/>
      <c r="F125" s="912"/>
      <c r="G125" s="912"/>
      <c r="H125" s="890"/>
      <c r="I125" s="890"/>
      <c r="J125" s="890"/>
      <c r="K125" s="890"/>
      <c r="L125" s="890"/>
      <c r="M125" s="890"/>
      <c r="N125" s="890"/>
      <c r="O125" s="890"/>
      <c r="P125" s="913"/>
      <c r="Q125" s="890"/>
      <c r="R125" s="890"/>
      <c r="S125" s="914"/>
      <c r="T125" s="890"/>
      <c r="U125" s="890"/>
      <c r="V125" s="890"/>
      <c r="W125" s="904">
        <f>W123*$C$110</f>
        <v>0</v>
      </c>
      <c r="X125" s="891">
        <f t="shared" ref="X125:AO125" si="30">W125*(1+X126)</f>
        <v>0</v>
      </c>
      <c r="Y125" s="891">
        <f t="shared" si="30"/>
        <v>0</v>
      </c>
      <c r="Z125" s="891">
        <f t="shared" si="30"/>
        <v>0</v>
      </c>
      <c r="AA125" s="891">
        <f t="shared" si="30"/>
        <v>0</v>
      </c>
      <c r="AB125" s="891">
        <f t="shared" si="30"/>
        <v>0</v>
      </c>
      <c r="AC125" s="891">
        <f t="shared" si="30"/>
        <v>0</v>
      </c>
      <c r="AD125" s="891">
        <f t="shared" si="30"/>
        <v>0</v>
      </c>
      <c r="AE125" s="891">
        <f t="shared" si="30"/>
        <v>0</v>
      </c>
      <c r="AF125" s="891">
        <f t="shared" si="30"/>
        <v>0</v>
      </c>
      <c r="AG125" s="891">
        <f t="shared" si="30"/>
        <v>0</v>
      </c>
      <c r="AH125" s="898">
        <f t="shared" si="30"/>
        <v>0</v>
      </c>
      <c r="AI125" s="898">
        <f t="shared" si="30"/>
        <v>0</v>
      </c>
      <c r="AJ125" s="898">
        <f t="shared" si="30"/>
        <v>0</v>
      </c>
      <c r="AK125" s="898">
        <f t="shared" si="30"/>
        <v>0</v>
      </c>
      <c r="AL125" s="898">
        <f t="shared" si="30"/>
        <v>0</v>
      </c>
      <c r="AM125" s="898">
        <f t="shared" si="30"/>
        <v>0</v>
      </c>
      <c r="AN125" s="898">
        <f t="shared" si="30"/>
        <v>0</v>
      </c>
      <c r="AO125" s="898">
        <f t="shared" si="30"/>
        <v>0</v>
      </c>
      <c r="AP125" s="895"/>
      <c r="AQ125" s="895"/>
    </row>
    <row r="126" spans="1:56" ht="11" hidden="1" customHeight="1">
      <c r="A126" s="910"/>
      <c r="B126" s="873"/>
      <c r="C126" s="855"/>
      <c r="H126" s="876"/>
      <c r="I126" s="876"/>
      <c r="J126" s="876"/>
      <c r="K126" s="876"/>
      <c r="L126" s="876"/>
      <c r="M126" s="876"/>
      <c r="N126" s="876"/>
      <c r="O126" s="876"/>
      <c r="P126" s="915"/>
      <c r="Q126" s="876"/>
      <c r="R126" s="876"/>
      <c r="S126" s="911"/>
      <c r="T126" s="876"/>
      <c r="U126" s="876"/>
      <c r="V126" s="876"/>
      <c r="W126" s="911"/>
      <c r="X126" s="877">
        <v>1.7999999999999999E-2</v>
      </c>
      <c r="Y126" s="877">
        <f t="shared" ref="Y126:AG126" si="31">$C$109</f>
        <v>0</v>
      </c>
      <c r="Z126" s="877">
        <f t="shared" si="31"/>
        <v>0</v>
      </c>
      <c r="AA126" s="877">
        <f t="shared" si="31"/>
        <v>0</v>
      </c>
      <c r="AB126" s="877">
        <f t="shared" si="31"/>
        <v>0</v>
      </c>
      <c r="AC126" s="877">
        <f t="shared" si="31"/>
        <v>0</v>
      </c>
      <c r="AD126" s="877">
        <f t="shared" si="31"/>
        <v>0</v>
      </c>
      <c r="AE126" s="877">
        <f t="shared" si="31"/>
        <v>0</v>
      </c>
      <c r="AF126" s="877">
        <f t="shared" si="31"/>
        <v>0</v>
      </c>
      <c r="AG126" s="877">
        <f t="shared" si="31"/>
        <v>0</v>
      </c>
      <c r="AH126" s="877">
        <v>0</v>
      </c>
      <c r="AI126" s="877">
        <v>0</v>
      </c>
      <c r="AJ126" s="877">
        <v>0</v>
      </c>
      <c r="AK126" s="877">
        <v>0</v>
      </c>
      <c r="AL126" s="877">
        <v>0</v>
      </c>
      <c r="AM126" s="877">
        <v>0</v>
      </c>
      <c r="AN126" s="877">
        <v>0</v>
      </c>
      <c r="AO126" s="877">
        <v>0</v>
      </c>
      <c r="AP126" s="895"/>
      <c r="AQ126" s="895"/>
    </row>
    <row r="127" spans="1:56" ht="11" hidden="1" customHeight="1">
      <c r="A127" s="910"/>
      <c r="B127" s="887" t="e">
        <f>SUMPRODUCT(Z127:AR127,Z63:AR63)/A63</f>
        <v>#DIV/0!</v>
      </c>
      <c r="C127" s="888" t="str">
        <f>C38</f>
        <v>8 оч</v>
      </c>
      <c r="D127" s="912"/>
      <c r="E127" s="912"/>
      <c r="F127" s="912"/>
      <c r="G127" s="912"/>
      <c r="H127" s="890"/>
      <c r="I127" s="890"/>
      <c r="J127" s="890"/>
      <c r="K127" s="890"/>
      <c r="L127" s="890"/>
      <c r="M127" s="890"/>
      <c r="N127" s="890"/>
      <c r="O127" s="890"/>
      <c r="P127" s="913"/>
      <c r="Q127" s="890"/>
      <c r="R127" s="890"/>
      <c r="S127" s="914"/>
      <c r="T127" s="890"/>
      <c r="U127" s="890"/>
      <c r="V127" s="890"/>
      <c r="W127" s="914"/>
      <c r="X127" s="890"/>
      <c r="Y127" s="890"/>
      <c r="Z127" s="897">
        <f>Z125*$C$110</f>
        <v>0</v>
      </c>
      <c r="AA127" s="891">
        <f t="shared" ref="AA127:AR127" si="32">Z127*(1+AA128)</f>
        <v>0</v>
      </c>
      <c r="AB127" s="891">
        <f t="shared" si="32"/>
        <v>0</v>
      </c>
      <c r="AC127" s="891">
        <f t="shared" si="32"/>
        <v>0</v>
      </c>
      <c r="AD127" s="891">
        <f t="shared" si="32"/>
        <v>0</v>
      </c>
      <c r="AE127" s="891">
        <f t="shared" si="32"/>
        <v>0</v>
      </c>
      <c r="AF127" s="891">
        <f t="shared" si="32"/>
        <v>0</v>
      </c>
      <c r="AG127" s="891">
        <f t="shared" si="32"/>
        <v>0</v>
      </c>
      <c r="AH127" s="891">
        <f t="shared" si="32"/>
        <v>0</v>
      </c>
      <c r="AI127" s="891">
        <f t="shared" si="32"/>
        <v>0</v>
      </c>
      <c r="AJ127" s="891">
        <f t="shared" si="32"/>
        <v>0</v>
      </c>
      <c r="AK127" s="898">
        <f t="shared" si="32"/>
        <v>0</v>
      </c>
      <c r="AL127" s="898">
        <f t="shared" si="32"/>
        <v>0</v>
      </c>
      <c r="AM127" s="898">
        <f t="shared" si="32"/>
        <v>0</v>
      </c>
      <c r="AN127" s="898">
        <f t="shared" si="32"/>
        <v>0</v>
      </c>
      <c r="AO127" s="898">
        <f t="shared" si="32"/>
        <v>0</v>
      </c>
      <c r="AP127" s="898">
        <f t="shared" si="32"/>
        <v>0</v>
      </c>
      <c r="AQ127" s="898">
        <f t="shared" si="32"/>
        <v>0</v>
      </c>
      <c r="AR127" s="898">
        <f t="shared" si="32"/>
        <v>0</v>
      </c>
    </row>
    <row r="128" spans="1:56" ht="11" hidden="1" customHeight="1">
      <c r="A128" s="910"/>
      <c r="B128" s="873"/>
      <c r="C128" s="855"/>
      <c r="H128" s="876"/>
      <c r="I128" s="876"/>
      <c r="J128" s="876"/>
      <c r="K128" s="876"/>
      <c r="L128" s="876"/>
      <c r="M128" s="876"/>
      <c r="N128" s="876"/>
      <c r="O128" s="876"/>
      <c r="P128" s="915"/>
      <c r="Q128" s="876"/>
      <c r="R128" s="876"/>
      <c r="S128" s="911"/>
      <c r="T128" s="876"/>
      <c r="U128" s="876"/>
      <c r="V128" s="876"/>
      <c r="W128" s="911"/>
      <c r="X128" s="876"/>
      <c r="Y128" s="876"/>
      <c r="Z128" s="876"/>
      <c r="AA128" s="877">
        <v>1.7999999999999999E-2</v>
      </c>
      <c r="AB128" s="877">
        <f t="shared" ref="AB128:AJ128" si="33">$C$109</f>
        <v>0</v>
      </c>
      <c r="AC128" s="877">
        <f t="shared" si="33"/>
        <v>0</v>
      </c>
      <c r="AD128" s="877">
        <f t="shared" si="33"/>
        <v>0</v>
      </c>
      <c r="AE128" s="877">
        <f t="shared" si="33"/>
        <v>0</v>
      </c>
      <c r="AF128" s="877">
        <f t="shared" si="33"/>
        <v>0</v>
      </c>
      <c r="AG128" s="877">
        <f t="shared" si="33"/>
        <v>0</v>
      </c>
      <c r="AH128" s="877">
        <f t="shared" si="33"/>
        <v>0</v>
      </c>
      <c r="AI128" s="877">
        <f t="shared" si="33"/>
        <v>0</v>
      </c>
      <c r="AJ128" s="877">
        <f t="shared" si="33"/>
        <v>0</v>
      </c>
      <c r="AK128" s="877">
        <v>0</v>
      </c>
      <c r="AL128" s="877">
        <v>0</v>
      </c>
      <c r="AM128" s="877">
        <v>0</v>
      </c>
      <c r="AN128" s="877">
        <v>0</v>
      </c>
      <c r="AO128" s="877">
        <v>0</v>
      </c>
      <c r="AP128" s="877">
        <v>0</v>
      </c>
      <c r="AQ128" s="877">
        <v>0</v>
      </c>
      <c r="AR128" s="877">
        <v>0</v>
      </c>
    </row>
    <row r="129" spans="1:56" ht="11" hidden="1" customHeight="1">
      <c r="A129" s="910"/>
      <c r="B129" s="887" t="e">
        <f>SUMPRODUCT(AC129:AT129,AC64:AT64)/A64</f>
        <v>#DIV/0!</v>
      </c>
      <c r="C129" s="888" t="str">
        <f>C39</f>
        <v>9 оч</v>
      </c>
      <c r="D129" s="912"/>
      <c r="E129" s="912"/>
      <c r="F129" s="912"/>
      <c r="G129" s="912"/>
      <c r="H129" s="890"/>
      <c r="I129" s="890"/>
      <c r="J129" s="890"/>
      <c r="K129" s="890"/>
      <c r="L129" s="890"/>
      <c r="M129" s="890"/>
      <c r="N129" s="890"/>
      <c r="O129" s="890"/>
      <c r="P129" s="913"/>
      <c r="Q129" s="890"/>
      <c r="R129" s="890"/>
      <c r="S129" s="914"/>
      <c r="T129" s="890"/>
      <c r="U129" s="890"/>
      <c r="V129" s="890"/>
      <c r="W129" s="914"/>
      <c r="X129" s="890"/>
      <c r="Y129" s="890"/>
      <c r="Z129" s="890"/>
      <c r="AA129" s="890"/>
      <c r="AB129" s="890"/>
      <c r="AC129" s="890">
        <f>AC127*$C$110</f>
        <v>0</v>
      </c>
      <c r="AD129" s="891">
        <f t="shared" ref="AD129:AT129" si="34">AC129*(1+AD130)</f>
        <v>0</v>
      </c>
      <c r="AE129" s="891">
        <f t="shared" si="34"/>
        <v>0</v>
      </c>
      <c r="AF129" s="891">
        <f t="shared" si="34"/>
        <v>0</v>
      </c>
      <c r="AG129" s="891">
        <f t="shared" si="34"/>
        <v>0</v>
      </c>
      <c r="AH129" s="891">
        <f t="shared" si="34"/>
        <v>0</v>
      </c>
      <c r="AI129" s="891">
        <f t="shared" si="34"/>
        <v>0</v>
      </c>
      <c r="AJ129" s="891">
        <f t="shared" si="34"/>
        <v>0</v>
      </c>
      <c r="AK129" s="891">
        <f t="shared" si="34"/>
        <v>0</v>
      </c>
      <c r="AL129" s="891">
        <f t="shared" si="34"/>
        <v>0</v>
      </c>
      <c r="AM129" s="891">
        <f t="shared" si="34"/>
        <v>0</v>
      </c>
      <c r="AN129" s="898">
        <f t="shared" si="34"/>
        <v>0</v>
      </c>
      <c r="AO129" s="898">
        <f t="shared" si="34"/>
        <v>0</v>
      </c>
      <c r="AP129" s="898">
        <f t="shared" si="34"/>
        <v>0</v>
      </c>
      <c r="AQ129" s="898">
        <f t="shared" si="34"/>
        <v>0</v>
      </c>
      <c r="AR129" s="898">
        <f t="shared" si="34"/>
        <v>0</v>
      </c>
      <c r="AS129" s="898">
        <f t="shared" si="34"/>
        <v>0</v>
      </c>
      <c r="AT129" s="898">
        <f t="shared" si="34"/>
        <v>0</v>
      </c>
      <c r="AU129" s="916"/>
    </row>
    <row r="130" spans="1:56" ht="11" hidden="1" customHeight="1">
      <c r="A130" s="910"/>
      <c r="B130" s="873"/>
      <c r="C130" s="855"/>
      <c r="D130" s="917"/>
      <c r="E130" s="917"/>
      <c r="F130" s="917"/>
      <c r="G130" s="917"/>
      <c r="H130" s="918"/>
      <c r="I130" s="918"/>
      <c r="J130" s="918"/>
      <c r="K130" s="918"/>
      <c r="L130" s="918"/>
      <c r="M130" s="918"/>
      <c r="N130" s="918"/>
      <c r="O130" s="918"/>
      <c r="P130" s="919"/>
      <c r="Q130" s="918"/>
      <c r="R130" s="918"/>
      <c r="S130" s="911"/>
      <c r="T130" s="876"/>
      <c r="U130" s="876"/>
      <c r="V130" s="876"/>
      <c r="W130" s="911"/>
      <c r="X130" s="876"/>
      <c r="Y130" s="876"/>
      <c r="Z130" s="876"/>
      <c r="AA130" s="876"/>
      <c r="AB130" s="876"/>
      <c r="AC130" s="876"/>
      <c r="AD130" s="877">
        <v>1.7999999999999999E-2</v>
      </c>
      <c r="AE130" s="877">
        <f t="shared" ref="AE130:AM130" si="35">$C$109</f>
        <v>0</v>
      </c>
      <c r="AF130" s="877">
        <f t="shared" si="35"/>
        <v>0</v>
      </c>
      <c r="AG130" s="877">
        <f t="shared" si="35"/>
        <v>0</v>
      </c>
      <c r="AH130" s="920">
        <f t="shared" si="35"/>
        <v>0</v>
      </c>
      <c r="AI130" s="920">
        <f t="shared" si="35"/>
        <v>0</v>
      </c>
      <c r="AJ130" s="920">
        <f t="shared" si="35"/>
        <v>0</v>
      </c>
      <c r="AK130" s="920">
        <f t="shared" si="35"/>
        <v>0</v>
      </c>
      <c r="AL130" s="920">
        <f t="shared" si="35"/>
        <v>0</v>
      </c>
      <c r="AM130" s="920">
        <f t="shared" si="35"/>
        <v>0</v>
      </c>
      <c r="AN130" s="920">
        <v>0</v>
      </c>
      <c r="AO130" s="920">
        <v>0</v>
      </c>
      <c r="AP130" s="920">
        <v>0</v>
      </c>
      <c r="AQ130" s="920">
        <v>0</v>
      </c>
      <c r="AR130" s="920">
        <v>0</v>
      </c>
      <c r="AS130" s="920">
        <v>0</v>
      </c>
      <c r="AT130" s="920">
        <v>0</v>
      </c>
      <c r="AU130" s="919"/>
      <c r="AV130" s="917"/>
      <c r="AW130" s="917"/>
      <c r="AX130" s="917"/>
      <c r="AY130" s="917"/>
      <c r="AZ130" s="917"/>
      <c r="BA130" s="917"/>
      <c r="BB130" s="917"/>
      <c r="BC130" s="917"/>
    </row>
    <row r="131" spans="1:56" hidden="1">
      <c r="A131" s="910"/>
      <c r="B131" s="887" t="e">
        <f>SUMPRODUCT(AF131:AX131,AF65:AX65)/A65</f>
        <v>#DIV/0!</v>
      </c>
      <c r="C131" s="888" t="str">
        <f>C40</f>
        <v>10 оч</v>
      </c>
      <c r="D131" s="912"/>
      <c r="E131" s="912"/>
      <c r="F131" s="912"/>
      <c r="G131" s="912"/>
      <c r="H131" s="890"/>
      <c r="I131" s="890"/>
      <c r="J131" s="890"/>
      <c r="K131" s="890"/>
      <c r="L131" s="890"/>
      <c r="M131" s="890"/>
      <c r="N131" s="890"/>
      <c r="O131" s="890"/>
      <c r="P131" s="913"/>
      <c r="Q131" s="890"/>
      <c r="R131" s="890"/>
      <c r="S131" s="914"/>
      <c r="T131" s="890"/>
      <c r="U131" s="890"/>
      <c r="V131" s="890"/>
      <c r="W131" s="914"/>
      <c r="X131" s="890"/>
      <c r="Y131" s="890"/>
      <c r="Z131" s="890"/>
      <c r="AA131" s="890"/>
      <c r="AB131" s="890"/>
      <c r="AC131" s="890"/>
      <c r="AD131" s="890"/>
      <c r="AE131" s="890"/>
      <c r="AF131" s="897">
        <f>AF129*0.98</f>
        <v>0</v>
      </c>
      <c r="AG131" s="891">
        <f t="shared" ref="AG131:AX131" si="36">AF131*(1+AG132)</f>
        <v>0</v>
      </c>
      <c r="AH131" s="891">
        <f t="shared" si="36"/>
        <v>0</v>
      </c>
      <c r="AI131" s="891">
        <f t="shared" si="36"/>
        <v>0</v>
      </c>
      <c r="AJ131" s="891">
        <f t="shared" si="36"/>
        <v>0</v>
      </c>
      <c r="AK131" s="891">
        <f t="shared" si="36"/>
        <v>0</v>
      </c>
      <c r="AL131" s="891">
        <f t="shared" si="36"/>
        <v>0</v>
      </c>
      <c r="AM131" s="891">
        <f t="shared" si="36"/>
        <v>0</v>
      </c>
      <c r="AN131" s="891">
        <f t="shared" si="36"/>
        <v>0</v>
      </c>
      <c r="AO131" s="891">
        <f t="shared" si="36"/>
        <v>0</v>
      </c>
      <c r="AP131" s="891">
        <f t="shared" si="36"/>
        <v>0</v>
      </c>
      <c r="AQ131" s="898">
        <f t="shared" si="36"/>
        <v>0</v>
      </c>
      <c r="AR131" s="898">
        <f t="shared" si="36"/>
        <v>0</v>
      </c>
      <c r="AS131" s="898">
        <f t="shared" si="36"/>
        <v>0</v>
      </c>
      <c r="AT131" s="898">
        <f t="shared" si="36"/>
        <v>0</v>
      </c>
      <c r="AU131" s="898">
        <f t="shared" si="36"/>
        <v>0</v>
      </c>
      <c r="AV131" s="898">
        <f t="shared" si="36"/>
        <v>0</v>
      </c>
      <c r="AW131" s="898">
        <f t="shared" si="36"/>
        <v>0</v>
      </c>
      <c r="AX131" s="898">
        <f t="shared" si="36"/>
        <v>0</v>
      </c>
    </row>
    <row r="132" spans="1:56" hidden="1">
      <c r="A132" s="910"/>
      <c r="B132" s="873"/>
      <c r="C132" s="855"/>
      <c r="H132" s="876"/>
      <c r="I132" s="876"/>
      <c r="J132" s="876"/>
      <c r="K132" s="876"/>
      <c r="L132" s="876"/>
      <c r="M132" s="876"/>
      <c r="N132" s="876"/>
      <c r="O132" s="876"/>
      <c r="P132" s="915"/>
      <c r="Q132" s="876"/>
      <c r="R132" s="876"/>
      <c r="S132" s="911"/>
      <c r="T132" s="876"/>
      <c r="U132" s="876"/>
      <c r="V132" s="876"/>
      <c r="W132" s="911"/>
      <c r="X132" s="876"/>
      <c r="Y132" s="876"/>
      <c r="Z132" s="876"/>
      <c r="AA132" s="876"/>
      <c r="AB132" s="876"/>
      <c r="AC132" s="876"/>
      <c r="AD132" s="876"/>
      <c r="AE132" s="876"/>
      <c r="AF132" s="876"/>
      <c r="AG132" s="877">
        <v>1.7999999999999999E-2</v>
      </c>
      <c r="AH132" s="877">
        <f t="shared" ref="AH132:AP132" si="37">$C$109</f>
        <v>0</v>
      </c>
      <c r="AI132" s="877">
        <f t="shared" si="37"/>
        <v>0</v>
      </c>
      <c r="AJ132" s="877">
        <f t="shared" si="37"/>
        <v>0</v>
      </c>
      <c r="AK132" s="877">
        <f t="shared" si="37"/>
        <v>0</v>
      </c>
      <c r="AL132" s="877">
        <f t="shared" si="37"/>
        <v>0</v>
      </c>
      <c r="AM132" s="877">
        <f t="shared" si="37"/>
        <v>0</v>
      </c>
      <c r="AN132" s="877">
        <f t="shared" si="37"/>
        <v>0</v>
      </c>
      <c r="AO132" s="877">
        <f t="shared" si="37"/>
        <v>0</v>
      </c>
      <c r="AP132" s="877">
        <f t="shared" si="37"/>
        <v>0</v>
      </c>
      <c r="AQ132" s="877">
        <v>0</v>
      </c>
      <c r="AR132" s="877">
        <v>0</v>
      </c>
      <c r="AS132" s="877">
        <v>0</v>
      </c>
      <c r="AT132" s="877">
        <v>0</v>
      </c>
      <c r="AU132" s="877">
        <v>0</v>
      </c>
      <c r="AV132" s="877">
        <v>0</v>
      </c>
      <c r="AW132" s="877">
        <v>0</v>
      </c>
      <c r="AX132" s="877">
        <v>0</v>
      </c>
    </row>
    <row r="133" spans="1:56" hidden="1">
      <c r="A133" s="910"/>
      <c r="B133" s="887" t="e">
        <f>SUMPRODUCT(AI133:BA133,AI66:BA66)/A66</f>
        <v>#DIV/0!</v>
      </c>
      <c r="C133" s="888" t="str">
        <f>C41</f>
        <v>11 оч</v>
      </c>
      <c r="D133" s="912"/>
      <c r="E133" s="912"/>
      <c r="F133" s="912"/>
      <c r="G133" s="912"/>
      <c r="H133" s="890"/>
      <c r="I133" s="890"/>
      <c r="J133" s="890"/>
      <c r="K133" s="890"/>
      <c r="L133" s="890"/>
      <c r="M133" s="890"/>
      <c r="N133" s="890"/>
      <c r="O133" s="890"/>
      <c r="P133" s="913"/>
      <c r="Q133" s="890"/>
      <c r="R133" s="890"/>
      <c r="S133" s="914"/>
      <c r="T133" s="890"/>
      <c r="U133" s="890"/>
      <c r="V133" s="890"/>
      <c r="W133" s="914"/>
      <c r="X133" s="890"/>
      <c r="Y133" s="890"/>
      <c r="Z133" s="890"/>
      <c r="AA133" s="890"/>
      <c r="AB133" s="890"/>
      <c r="AC133" s="890"/>
      <c r="AD133" s="890"/>
      <c r="AE133" s="890"/>
      <c r="AF133" s="890"/>
      <c r="AG133" s="890"/>
      <c r="AH133" s="890"/>
      <c r="AI133" s="897">
        <f>AI131*0.98</f>
        <v>0</v>
      </c>
      <c r="AJ133" s="891">
        <f t="shared" ref="AJ133:BA133" si="38">AI133*(1+AJ134)</f>
        <v>0</v>
      </c>
      <c r="AK133" s="891">
        <f t="shared" si="38"/>
        <v>0</v>
      </c>
      <c r="AL133" s="891">
        <f t="shared" si="38"/>
        <v>0</v>
      </c>
      <c r="AM133" s="891">
        <f t="shared" si="38"/>
        <v>0</v>
      </c>
      <c r="AN133" s="891">
        <f t="shared" si="38"/>
        <v>0</v>
      </c>
      <c r="AO133" s="891">
        <f t="shared" si="38"/>
        <v>0</v>
      </c>
      <c r="AP133" s="891">
        <f t="shared" si="38"/>
        <v>0</v>
      </c>
      <c r="AQ133" s="891">
        <f t="shared" si="38"/>
        <v>0</v>
      </c>
      <c r="AR133" s="891">
        <f t="shared" si="38"/>
        <v>0</v>
      </c>
      <c r="AS133" s="891">
        <f t="shared" si="38"/>
        <v>0</v>
      </c>
      <c r="AT133" s="898">
        <f t="shared" si="38"/>
        <v>0</v>
      </c>
      <c r="AU133" s="898">
        <f t="shared" si="38"/>
        <v>0</v>
      </c>
      <c r="AV133" s="898">
        <f t="shared" si="38"/>
        <v>0</v>
      </c>
      <c r="AW133" s="898">
        <f t="shared" si="38"/>
        <v>0</v>
      </c>
      <c r="AX133" s="898">
        <f t="shared" si="38"/>
        <v>0</v>
      </c>
      <c r="AY133" s="898">
        <f t="shared" si="38"/>
        <v>0</v>
      </c>
      <c r="AZ133" s="898">
        <f t="shared" si="38"/>
        <v>0</v>
      </c>
      <c r="BA133" s="898">
        <f t="shared" si="38"/>
        <v>0</v>
      </c>
    </row>
    <row r="134" spans="1:56" hidden="1">
      <c r="A134" s="910"/>
      <c r="B134" s="921"/>
      <c r="C134" s="855"/>
      <c r="H134" s="876"/>
      <c r="I134" s="876"/>
      <c r="J134" s="876"/>
      <c r="K134" s="876"/>
      <c r="L134" s="876"/>
      <c r="M134" s="876"/>
      <c r="N134" s="876"/>
      <c r="O134" s="876"/>
      <c r="P134" s="915"/>
      <c r="Q134" s="876"/>
      <c r="R134" s="876"/>
      <c r="S134" s="911"/>
      <c r="T134" s="876"/>
      <c r="U134" s="876"/>
      <c r="V134" s="876"/>
      <c r="W134" s="911"/>
      <c r="X134" s="876"/>
      <c r="Y134" s="876"/>
      <c r="Z134" s="876"/>
      <c r="AA134" s="876"/>
      <c r="AB134" s="876"/>
      <c r="AC134" s="876"/>
      <c r="AD134" s="876"/>
      <c r="AE134" s="876"/>
      <c r="AF134" s="876"/>
      <c r="AG134" s="876"/>
      <c r="AH134" s="876"/>
      <c r="AI134" s="876"/>
      <c r="AJ134" s="877">
        <v>1.7999999999999999E-2</v>
      </c>
      <c r="AK134" s="877">
        <f t="shared" ref="AK134:AS134" si="39">$C$109</f>
        <v>0</v>
      </c>
      <c r="AL134" s="877">
        <f t="shared" si="39"/>
        <v>0</v>
      </c>
      <c r="AM134" s="877">
        <f t="shared" si="39"/>
        <v>0</v>
      </c>
      <c r="AN134" s="877">
        <f t="shared" si="39"/>
        <v>0</v>
      </c>
      <c r="AO134" s="877">
        <f t="shared" si="39"/>
        <v>0</v>
      </c>
      <c r="AP134" s="877">
        <f t="shared" si="39"/>
        <v>0</v>
      </c>
      <c r="AQ134" s="877">
        <f t="shared" si="39"/>
        <v>0</v>
      </c>
      <c r="AR134" s="877">
        <f t="shared" si="39"/>
        <v>0</v>
      </c>
      <c r="AS134" s="877">
        <f t="shared" si="39"/>
        <v>0</v>
      </c>
      <c r="AT134" s="877">
        <v>0</v>
      </c>
      <c r="AU134" s="877">
        <v>0</v>
      </c>
      <c r="AV134" s="877">
        <v>0</v>
      </c>
      <c r="AW134" s="877">
        <v>0</v>
      </c>
      <c r="AX134" s="877">
        <v>0</v>
      </c>
      <c r="AY134" s="877">
        <v>0</v>
      </c>
      <c r="AZ134" s="877">
        <v>0</v>
      </c>
      <c r="BA134" s="877">
        <v>0</v>
      </c>
    </row>
    <row r="135" spans="1:56" hidden="1">
      <c r="A135" s="910"/>
      <c r="B135" s="921"/>
      <c r="C135" s="855"/>
      <c r="H135" s="876"/>
      <c r="I135" s="876"/>
      <c r="J135" s="876"/>
      <c r="K135" s="876"/>
      <c r="L135" s="876"/>
      <c r="M135" s="876"/>
      <c r="N135" s="876"/>
      <c r="O135" s="876"/>
      <c r="P135" s="915"/>
      <c r="Q135" s="876"/>
      <c r="R135" s="876"/>
      <c r="S135" s="911"/>
      <c r="T135" s="876"/>
      <c r="U135" s="876"/>
      <c r="V135" s="876"/>
      <c r="W135" s="911"/>
      <c r="X135" s="876"/>
      <c r="Y135" s="876"/>
      <c r="Z135" s="876"/>
      <c r="AA135" s="876"/>
      <c r="AB135" s="876"/>
      <c r="AC135" s="876"/>
      <c r="AD135" s="876"/>
      <c r="AE135" s="876"/>
      <c r="AF135" s="876"/>
      <c r="AG135" s="876"/>
      <c r="AH135" s="876"/>
      <c r="AI135" s="876"/>
      <c r="AJ135" s="876"/>
      <c r="AK135" s="876"/>
      <c r="AL135" s="876"/>
      <c r="AM135" s="876"/>
      <c r="AN135" s="876"/>
      <c r="AO135" s="876"/>
      <c r="AP135" s="895"/>
      <c r="AQ135" s="895"/>
    </row>
    <row r="136" spans="1:56" ht="17.25" customHeight="1">
      <c r="A136" s="922" t="s">
        <v>1081</v>
      </c>
      <c r="B136" s="923"/>
      <c r="C136" s="924"/>
      <c r="D136" s="925"/>
      <c r="E136" s="844">
        <v>640.93647769300992</v>
      </c>
      <c r="F136" s="844">
        <v>656.95988963533512</v>
      </c>
      <c r="G136" s="844">
        <v>673.38388687621841</v>
      </c>
      <c r="H136" s="844">
        <v>690.21848404812386</v>
      </c>
      <c r="I136" s="844">
        <v>707.47394614932693</v>
      </c>
      <c r="J136" s="844">
        <v>728.69816453380679</v>
      </c>
      <c r="K136" s="844">
        <v>753.78724233870571</v>
      </c>
      <c r="L136" s="844">
        <v>761.32511476209277</v>
      </c>
      <c r="M136" s="844">
        <v>765.13174033590315</v>
      </c>
      <c r="N136" s="844">
        <v>768.9573990375826</v>
      </c>
      <c r="O136" s="926"/>
      <c r="P136" s="927"/>
      <c r="Q136" s="926"/>
      <c r="R136" s="926"/>
      <c r="S136" s="928"/>
      <c r="T136" s="926"/>
      <c r="U136" s="926"/>
      <c r="V136" s="926"/>
      <c r="W136" s="928"/>
      <c r="X136" s="926"/>
      <c r="Y136" s="926"/>
      <c r="Z136" s="926"/>
      <c r="AA136" s="926"/>
      <c r="AB136" s="926"/>
      <c r="AC136" s="876"/>
      <c r="AD136" s="876"/>
      <c r="AE136" s="876"/>
      <c r="AF136" s="876"/>
      <c r="AG136" s="876"/>
      <c r="AH136" s="876"/>
      <c r="AI136" s="876"/>
      <c r="AJ136" s="876"/>
      <c r="AK136" s="876"/>
      <c r="AL136" s="876"/>
      <c r="AM136" s="876"/>
      <c r="AN136" s="876"/>
      <c r="AO136" s="876"/>
      <c r="AP136" s="895"/>
      <c r="AQ136" s="895"/>
    </row>
    <row r="137" spans="1:56" ht="6.75" customHeight="1">
      <c r="A137" s="910"/>
      <c r="B137" s="921"/>
      <c r="C137" s="855"/>
      <c r="H137" s="876"/>
      <c r="I137" s="876"/>
      <c r="J137" s="876"/>
      <c r="K137" s="876"/>
      <c r="L137" s="876"/>
      <c r="M137" s="876"/>
      <c r="N137" s="876"/>
      <c r="O137" s="876"/>
      <c r="P137" s="915"/>
      <c r="Q137" s="876"/>
      <c r="R137" s="876"/>
      <c r="S137" s="911"/>
      <c r="T137" s="876"/>
      <c r="U137" s="876"/>
      <c r="V137" s="876"/>
      <c r="W137" s="911"/>
      <c r="X137" s="876"/>
      <c r="Y137" s="876"/>
      <c r="Z137" s="876"/>
      <c r="AA137" s="876"/>
      <c r="AB137" s="876"/>
      <c r="AC137" s="876"/>
      <c r="AD137" s="876"/>
      <c r="AE137" s="876"/>
      <c r="AF137" s="876"/>
      <c r="AG137" s="876"/>
      <c r="AH137" s="876"/>
      <c r="AI137" s="876"/>
      <c r="AJ137" s="876"/>
      <c r="AK137" s="876"/>
      <c r="AL137" s="876"/>
      <c r="AM137" s="876"/>
      <c r="AN137" s="876"/>
      <c r="AO137" s="876"/>
      <c r="AP137" s="895"/>
      <c r="AQ137" s="895"/>
    </row>
    <row r="138" spans="1:56" ht="6.75" customHeight="1">
      <c r="A138" s="910"/>
      <c r="B138" s="921"/>
      <c r="C138" s="855"/>
      <c r="H138" s="876"/>
      <c r="I138" s="876"/>
      <c r="J138" s="876"/>
      <c r="K138" s="876"/>
      <c r="L138" s="876"/>
      <c r="M138" s="876"/>
      <c r="N138" s="876"/>
      <c r="O138" s="876"/>
      <c r="P138" s="915"/>
      <c r="Q138" s="876"/>
      <c r="R138" s="876"/>
      <c r="S138" s="911"/>
      <c r="T138" s="876"/>
      <c r="U138" s="876"/>
      <c r="V138" s="876"/>
      <c r="W138" s="911"/>
      <c r="X138" s="876"/>
      <c r="Y138" s="876"/>
      <c r="Z138" s="876"/>
      <c r="AA138" s="876"/>
      <c r="AB138" s="876"/>
      <c r="AC138" s="876"/>
      <c r="AD138" s="876"/>
      <c r="AE138" s="876"/>
      <c r="AF138" s="876"/>
      <c r="AG138" s="876"/>
      <c r="AH138" s="876"/>
      <c r="AI138" s="876"/>
      <c r="AJ138" s="876"/>
      <c r="AK138" s="876"/>
      <c r="AL138" s="876"/>
      <c r="AM138" s="876"/>
      <c r="AN138" s="876"/>
      <c r="AO138" s="876"/>
      <c r="AP138" s="895"/>
      <c r="AQ138" s="895"/>
    </row>
    <row r="139" spans="1:56" s="872" customFormat="1" ht="21" customHeight="1">
      <c r="A139" s="839">
        <f>AH113</f>
        <v>0</v>
      </c>
      <c r="B139" s="929">
        <f>SUMPRODUCT(E55:AB55,E139:AB139)/SUM(A56:A57)</f>
        <v>610.26360465755874</v>
      </c>
      <c r="C139" s="930" t="s">
        <v>1079</v>
      </c>
      <c r="D139" s="885"/>
      <c r="E139" s="931">
        <f t="shared" ref="E139:BA139" si="40">(E113*E56+E115*E57+E117*E58+E119*E59+E121*E60+E123*E61+E125*E62+E63*E127+E64*E129+E65*E131+E66*E133)/E55</f>
        <v>500</v>
      </c>
      <c r="F139" s="931">
        <f t="shared" si="40"/>
        <v>513.5</v>
      </c>
      <c r="G139" s="931">
        <f t="shared" si="40"/>
        <v>526.33749999999998</v>
      </c>
      <c r="H139" s="931">
        <f t="shared" si="40"/>
        <v>539.49593749999997</v>
      </c>
      <c r="I139" s="931">
        <f t="shared" si="40"/>
        <v>522.62829972330735</v>
      </c>
      <c r="J139" s="931">
        <f t="shared" si="40"/>
        <v>539.42938344724143</v>
      </c>
      <c r="K139" s="931">
        <f t="shared" si="40"/>
        <v>551.83625926652792</v>
      </c>
      <c r="L139" s="931">
        <f t="shared" si="40"/>
        <v>564.52849322965812</v>
      </c>
      <c r="M139" s="931">
        <f t="shared" si="40"/>
        <v>577.51264857394017</v>
      </c>
      <c r="N139" s="931">
        <f t="shared" si="40"/>
        <v>590.79543949114077</v>
      </c>
      <c r="O139" s="931">
        <f t="shared" si="40"/>
        <v>605.80192653049437</v>
      </c>
      <c r="P139" s="931">
        <f t="shared" si="40"/>
        <v>615.74153350449978</v>
      </c>
      <c r="Q139" s="931">
        <f t="shared" si="40"/>
        <v>629.90358877510312</v>
      </c>
      <c r="R139" s="931">
        <f t="shared" si="40"/>
        <v>645.66487517341591</v>
      </c>
      <c r="S139" s="932">
        <f t="shared" si="40"/>
        <v>660.51516730240428</v>
      </c>
      <c r="T139" s="931">
        <f t="shared" si="40"/>
        <v>666.76564946179815</v>
      </c>
      <c r="U139" s="931">
        <f t="shared" si="40"/>
        <v>673.30398883214025</v>
      </c>
      <c r="V139" s="931">
        <f t="shared" si="40"/>
        <v>682.51970768132162</v>
      </c>
      <c r="W139" s="932">
        <f t="shared" si="40"/>
        <v>690.8945291976338</v>
      </c>
      <c r="X139" s="931">
        <f t="shared" si="40"/>
        <v>688.77457582968066</v>
      </c>
      <c r="Y139" s="931">
        <f t="shared" si="40"/>
        <v>688.77457582968066</v>
      </c>
      <c r="Z139" s="931">
        <f t="shared" si="40"/>
        <v>688.77457582968066</v>
      </c>
      <c r="AA139" s="933">
        <f t="shared" si="40"/>
        <v>688.77457582968066</v>
      </c>
      <c r="AB139" s="933">
        <f t="shared" si="40"/>
        <v>688.77457582968066</v>
      </c>
      <c r="AC139" s="933" t="e">
        <f t="shared" si="40"/>
        <v>#DIV/0!</v>
      </c>
      <c r="AD139" s="933" t="e">
        <f t="shared" si="40"/>
        <v>#DIV/0!</v>
      </c>
      <c r="AE139" s="933" t="e">
        <f t="shared" si="40"/>
        <v>#DIV/0!</v>
      </c>
      <c r="AF139" s="933" t="e">
        <f t="shared" si="40"/>
        <v>#DIV/0!</v>
      </c>
      <c r="AG139" s="933" t="e">
        <f t="shared" si="40"/>
        <v>#DIV/0!</v>
      </c>
      <c r="AH139" s="933" t="e">
        <f t="shared" si="40"/>
        <v>#DIV/0!</v>
      </c>
      <c r="AI139" s="933" t="e">
        <f t="shared" si="40"/>
        <v>#DIV/0!</v>
      </c>
      <c r="AJ139" s="933" t="e">
        <f t="shared" si="40"/>
        <v>#DIV/0!</v>
      </c>
      <c r="AK139" s="933" t="e">
        <f t="shared" si="40"/>
        <v>#DIV/0!</v>
      </c>
      <c r="AL139" s="933" t="e">
        <f t="shared" si="40"/>
        <v>#DIV/0!</v>
      </c>
      <c r="AM139" s="933" t="e">
        <f t="shared" si="40"/>
        <v>#DIV/0!</v>
      </c>
      <c r="AN139" s="933" t="e">
        <f t="shared" si="40"/>
        <v>#DIV/0!</v>
      </c>
      <c r="AO139" s="933" t="e">
        <f t="shared" si="40"/>
        <v>#DIV/0!</v>
      </c>
      <c r="AP139" s="933" t="e">
        <f t="shared" si="40"/>
        <v>#DIV/0!</v>
      </c>
      <c r="AQ139" s="933" t="e">
        <f t="shared" si="40"/>
        <v>#DIV/0!</v>
      </c>
      <c r="AR139" s="933" t="e">
        <f t="shared" si="40"/>
        <v>#DIV/0!</v>
      </c>
      <c r="AS139" s="933" t="e">
        <f t="shared" si="40"/>
        <v>#DIV/0!</v>
      </c>
      <c r="AT139" s="933" t="e">
        <f t="shared" si="40"/>
        <v>#DIV/0!</v>
      </c>
      <c r="AU139" s="933" t="e">
        <f t="shared" si="40"/>
        <v>#DIV/0!</v>
      </c>
      <c r="AV139" s="933" t="e">
        <f t="shared" si="40"/>
        <v>#DIV/0!</v>
      </c>
      <c r="AW139" s="933" t="e">
        <f t="shared" si="40"/>
        <v>#DIV/0!</v>
      </c>
      <c r="AX139" s="933" t="e">
        <f t="shared" si="40"/>
        <v>#DIV/0!</v>
      </c>
      <c r="AY139" s="933" t="e">
        <f t="shared" si="40"/>
        <v>#DIV/0!</v>
      </c>
      <c r="AZ139" s="933" t="e">
        <f t="shared" si="40"/>
        <v>#DIV/0!</v>
      </c>
      <c r="BA139" s="933" t="e">
        <f t="shared" si="40"/>
        <v>#DIV/0!</v>
      </c>
      <c r="BB139" s="885"/>
      <c r="BC139" s="885"/>
      <c r="BD139" s="885"/>
    </row>
    <row r="140" spans="1:56" ht="15">
      <c r="F140" s="1404">
        <f>CF!T24</f>
        <v>522.9</v>
      </c>
      <c r="G140" s="1404">
        <f>CF!U24</f>
        <v>534.28376397020361</v>
      </c>
      <c r="H140" s="1404">
        <f>CF!V24</f>
        <v>545.66752794040724</v>
      </c>
      <c r="I140" s="1404">
        <f>CF!W24</f>
        <v>557.05129191061087</v>
      </c>
      <c r="J140" s="1404">
        <f>CF!X24</f>
        <v>545.66752794040724</v>
      </c>
      <c r="K140" s="1404">
        <f>CF!Y24</f>
        <v>558.06933652020211</v>
      </c>
      <c r="L140" s="1404">
        <f>CF!Z24</f>
        <v>570.47114509999699</v>
      </c>
      <c r="M140" s="1404">
        <f>CF!AA24</f>
        <v>582.87295367979175</v>
      </c>
      <c r="N140" s="1404">
        <f>CF!AB24</f>
        <v>595.27476225958651</v>
      </c>
      <c r="O140" s="1404">
        <f>CF!AC24</f>
        <v>607.67657083938127</v>
      </c>
      <c r="P140" s="1404">
        <f>CF!AD24</f>
        <v>620.07837941917614</v>
      </c>
      <c r="Q140" s="1404">
        <f>CF!AE24</f>
        <v>632.48018799897091</v>
      </c>
      <c r="R140" s="1404">
        <f>CF!AF24</f>
        <v>664.31489624878145</v>
      </c>
      <c r="S140" s="1404">
        <f>CF!AG24</f>
        <v>671.02482284347457</v>
      </c>
      <c r="T140" s="1404">
        <f>CF!AH24</f>
        <v>677.73474943816746</v>
      </c>
      <c r="U140" s="1404">
        <f>CF!AI24</f>
        <v>684.44467603286046</v>
      </c>
      <c r="V140" s="1404">
        <f>CF!AJ24</f>
        <v>704.46381480094306</v>
      </c>
      <c r="W140" s="1404">
        <f>CF!AK24</f>
        <v>704.46381480094306</v>
      </c>
      <c r="X140" s="1404">
        <f>CF!AL24</f>
        <v>704.46381480094306</v>
      </c>
      <c r="Y140" s="1404">
        <f>CF!AM24</f>
        <v>705.10914939776637</v>
      </c>
      <c r="Z140" s="1404">
        <f>CF!AN24</f>
        <v>710.5566626194111</v>
      </c>
      <c r="AA140" s="1404">
        <f>CF!AO24</f>
        <v>0</v>
      </c>
      <c r="AB140" s="1404">
        <f>CF!AP24</f>
        <v>0</v>
      </c>
      <c r="AC140" s="1404">
        <f>CF!AQ24</f>
        <v>0</v>
      </c>
      <c r="AD140" s="1404">
        <f>CF!AR24</f>
        <v>0</v>
      </c>
      <c r="AE140" s="1404">
        <f>CF!AS24</f>
        <v>0</v>
      </c>
      <c r="AF140" s="1404">
        <f>CF!AT24</f>
        <v>0</v>
      </c>
      <c r="AG140" s="1404">
        <f>CF!AU24</f>
        <v>0</v>
      </c>
      <c r="AH140" s="1404">
        <f>CF!AV24</f>
        <v>0</v>
      </c>
      <c r="AI140" s="1404">
        <f>CF!AW24</f>
        <v>0</v>
      </c>
      <c r="AJ140" s="1404">
        <f>CF!AX24</f>
        <v>0</v>
      </c>
      <c r="AK140" s="1404">
        <f>CF!AY24</f>
        <v>0</v>
      </c>
      <c r="AL140" s="1404">
        <f>CF!AZ24</f>
        <v>0</v>
      </c>
      <c r="AM140" s="1404">
        <f>CF!BA24</f>
        <v>0</v>
      </c>
      <c r="AN140" s="1404">
        <f>CF!BB24</f>
        <v>0</v>
      </c>
      <c r="AO140" s="1404">
        <f>CF!BC24</f>
        <v>0</v>
      </c>
      <c r="AP140" s="1404">
        <f>CF!BD24</f>
        <v>0</v>
      </c>
      <c r="AQ140" s="1404">
        <f>CF!BE24</f>
        <v>0</v>
      </c>
      <c r="AR140" s="1404">
        <f>CF!BF24</f>
        <v>0</v>
      </c>
      <c r="AS140" s="1404">
        <f>CF!BG24</f>
        <v>0</v>
      </c>
      <c r="AT140" s="1404">
        <f>CF!BH24</f>
        <v>0</v>
      </c>
      <c r="AU140" s="1404">
        <f>CF!BI24</f>
        <v>0</v>
      </c>
      <c r="AV140" s="1404">
        <f>CF!BJ24</f>
        <v>0</v>
      </c>
      <c r="AW140" s="1404">
        <f>CF!BK24</f>
        <v>0</v>
      </c>
      <c r="AX140" s="1404">
        <f>CF!BL24</f>
        <v>0</v>
      </c>
      <c r="AY140" s="1404">
        <f>CF!BM24</f>
        <v>0</v>
      </c>
      <c r="AZ140" s="1404">
        <f>CF!BN24</f>
        <v>0</v>
      </c>
      <c r="BA140" s="1404">
        <f>CF!BO24</f>
        <v>0</v>
      </c>
      <c r="BB140" s="1404">
        <f>CF!BP24</f>
        <v>0</v>
      </c>
      <c r="BC140" s="1404">
        <f>CF!BQ24</f>
        <v>0</v>
      </c>
      <c r="BD140" s="885"/>
    </row>
    <row r="141" spans="1:56" hidden="1">
      <c r="A141" s="744" t="s">
        <v>1082</v>
      </c>
      <c r="B141" s="744"/>
      <c r="I141" s="916"/>
      <c r="J141" s="916"/>
      <c r="K141" s="916"/>
      <c r="L141" s="916"/>
      <c r="M141" s="916"/>
      <c r="N141" s="916"/>
      <c r="O141" s="916"/>
      <c r="P141" s="916"/>
      <c r="Q141" s="916"/>
      <c r="R141" s="916"/>
      <c r="S141" s="934"/>
      <c r="T141" s="916"/>
      <c r="U141" s="916"/>
      <c r="V141" s="916"/>
      <c r="W141" s="934"/>
      <c r="X141" s="916"/>
      <c r="Y141" s="916"/>
      <c r="Z141" s="916"/>
      <c r="AA141" s="916"/>
      <c r="AB141" s="916"/>
      <c r="AC141" s="916"/>
      <c r="AD141" s="916"/>
      <c r="AE141" s="916"/>
      <c r="AF141" s="916"/>
      <c r="AG141" s="916"/>
      <c r="AH141" s="916"/>
      <c r="AI141" s="916"/>
      <c r="AJ141" s="935"/>
      <c r="AK141" s="895"/>
      <c r="AL141" s="895"/>
      <c r="AM141" s="895"/>
      <c r="AN141" s="895"/>
      <c r="AO141" s="895"/>
      <c r="AP141" s="895"/>
      <c r="AQ141" s="895"/>
      <c r="BD141" s="885"/>
    </row>
    <row r="142" spans="1:56" hidden="1">
      <c r="A142" s="744" t="s">
        <v>1083</v>
      </c>
      <c r="B142" s="936">
        <v>0.99499999999999988</v>
      </c>
      <c r="I142" s="916"/>
      <c r="J142" s="916"/>
      <c r="K142" s="916"/>
      <c r="L142" s="916"/>
      <c r="M142" s="916"/>
      <c r="N142" s="916"/>
      <c r="O142" s="916"/>
      <c r="P142" s="916"/>
      <c r="Q142" s="916"/>
      <c r="R142" s="916"/>
      <c r="S142" s="934"/>
      <c r="T142" s="916"/>
      <c r="U142" s="916"/>
      <c r="V142" s="916"/>
      <c r="W142" s="934"/>
      <c r="X142" s="916"/>
      <c r="Y142" s="916"/>
      <c r="Z142" s="916"/>
      <c r="AA142" s="916"/>
      <c r="AB142" s="916"/>
      <c r="AC142" s="916"/>
      <c r="AD142" s="916"/>
      <c r="AE142" s="916"/>
      <c r="AF142" s="916"/>
      <c r="AG142" s="916"/>
      <c r="AH142" s="916"/>
      <c r="AI142" s="916"/>
      <c r="AJ142" s="935"/>
      <c r="AK142" s="895"/>
      <c r="AL142" s="895"/>
      <c r="AM142" s="895"/>
      <c r="AN142" s="895"/>
      <c r="AO142" s="895"/>
      <c r="AP142" s="895"/>
      <c r="AQ142" s="895"/>
      <c r="BD142" s="885"/>
    </row>
    <row r="143" spans="1:56" hidden="1">
      <c r="A143" s="744" t="s">
        <v>1084</v>
      </c>
      <c r="B143" s="936">
        <v>1.0649999999999999</v>
      </c>
      <c r="C143" s="937"/>
      <c r="I143" s="916"/>
      <c r="J143" s="916"/>
      <c r="K143" s="916"/>
      <c r="L143" s="916"/>
      <c r="M143" s="916"/>
      <c r="N143" s="916"/>
      <c r="O143" s="916"/>
      <c r="P143" s="916"/>
      <c r="Q143" s="916"/>
      <c r="R143" s="916"/>
      <c r="S143" s="934"/>
      <c r="T143" s="916"/>
      <c r="U143" s="916"/>
      <c r="V143" s="916"/>
      <c r="W143" s="934"/>
      <c r="X143" s="916"/>
      <c r="Y143" s="916"/>
      <c r="Z143" s="916"/>
      <c r="AA143" s="916"/>
      <c r="AB143" s="916"/>
      <c r="AC143" s="916"/>
      <c r="AD143" s="916"/>
      <c r="AE143" s="916"/>
      <c r="AF143" s="916"/>
      <c r="AG143" s="916"/>
      <c r="AH143" s="916"/>
      <c r="AI143" s="916"/>
      <c r="AJ143" s="935"/>
      <c r="AK143" s="895"/>
      <c r="AL143" s="895"/>
      <c r="AM143" s="895"/>
      <c r="AN143" s="895"/>
      <c r="AO143" s="895"/>
      <c r="AP143" s="895"/>
      <c r="AQ143" s="895"/>
      <c r="BD143" s="885"/>
    </row>
    <row r="144" spans="1:56" hidden="1">
      <c r="A144" s="744" t="s">
        <v>1085</v>
      </c>
      <c r="B144" s="936">
        <v>0.85</v>
      </c>
      <c r="I144" s="916"/>
      <c r="J144" s="916"/>
      <c r="K144" s="916"/>
      <c r="L144" s="916"/>
      <c r="M144" s="916"/>
      <c r="N144" s="916"/>
      <c r="O144" s="916"/>
      <c r="P144" s="916"/>
      <c r="Q144" s="916"/>
      <c r="R144" s="916"/>
      <c r="S144" s="934"/>
      <c r="T144" s="916"/>
      <c r="U144" s="916"/>
      <c r="V144" s="916"/>
      <c r="W144" s="934"/>
      <c r="X144" s="916"/>
      <c r="Y144" s="916"/>
      <c r="Z144" s="916"/>
      <c r="AA144" s="916"/>
      <c r="AB144" s="916"/>
      <c r="AC144" s="916"/>
      <c r="AD144" s="916"/>
      <c r="AE144" s="916"/>
      <c r="AF144" s="916"/>
      <c r="AG144" s="916"/>
      <c r="AH144" s="916"/>
      <c r="AI144" s="916"/>
      <c r="AJ144" s="935"/>
      <c r="AK144" s="895"/>
      <c r="AL144" s="895"/>
      <c r="AM144" s="895"/>
      <c r="AN144" s="895"/>
      <c r="AO144" s="895"/>
      <c r="AP144" s="895"/>
      <c r="AQ144" s="895"/>
      <c r="BD144" s="885"/>
    </row>
    <row r="145" spans="1:63" hidden="1">
      <c r="A145" s="744" t="s">
        <v>1086</v>
      </c>
      <c r="B145" s="936">
        <v>1.115</v>
      </c>
      <c r="I145" s="916"/>
      <c r="J145" s="916"/>
      <c r="K145" s="916"/>
      <c r="L145" s="916"/>
      <c r="M145" s="916"/>
      <c r="N145" s="916"/>
      <c r="O145" s="916"/>
      <c r="P145" s="916"/>
      <c r="Q145" s="916"/>
      <c r="R145" s="916"/>
      <c r="S145" s="934"/>
      <c r="T145" s="916"/>
      <c r="U145" s="916"/>
      <c r="V145" s="916"/>
      <c r="W145" s="934"/>
      <c r="X145" s="916"/>
      <c r="Y145" s="916"/>
      <c r="Z145" s="916"/>
      <c r="AA145" s="916"/>
      <c r="AB145" s="916"/>
      <c r="AC145" s="916"/>
      <c r="AD145" s="916"/>
      <c r="AE145" s="916"/>
      <c r="AF145" s="916"/>
      <c r="AG145" s="916"/>
      <c r="AH145" s="916"/>
      <c r="AI145" s="916"/>
      <c r="AJ145" s="916"/>
      <c r="BD145" s="885"/>
    </row>
    <row r="146" spans="1:63">
      <c r="F146" s="916"/>
      <c r="G146" s="916"/>
      <c r="H146" s="916"/>
      <c r="I146" s="916"/>
      <c r="J146" s="916"/>
      <c r="K146" s="916"/>
      <c r="L146" s="916"/>
      <c r="M146" s="916"/>
      <c r="N146" s="916"/>
      <c r="O146" s="916"/>
      <c r="P146" s="916"/>
      <c r="Q146" s="916"/>
      <c r="R146" s="916"/>
      <c r="S146" s="916"/>
      <c r="T146" s="916"/>
      <c r="U146" s="916"/>
      <c r="V146" s="916"/>
      <c r="W146" s="916"/>
      <c r="X146" s="916"/>
      <c r="Y146" s="916"/>
      <c r="Z146" s="916"/>
      <c r="AA146" s="916"/>
      <c r="AB146" s="916"/>
      <c r="AC146" s="916"/>
      <c r="AD146" s="916"/>
      <c r="AE146" s="916"/>
      <c r="AF146" s="916"/>
      <c r="AG146" s="916"/>
      <c r="AH146" s="916"/>
      <c r="AI146" s="916"/>
      <c r="AJ146" s="916"/>
      <c r="AK146" s="916"/>
      <c r="AL146" s="916"/>
      <c r="AM146" s="916"/>
      <c r="AN146" s="916"/>
      <c r="AO146" s="916"/>
      <c r="AP146" s="916"/>
      <c r="AQ146" s="916"/>
      <c r="AR146" s="916"/>
      <c r="AS146" s="916"/>
      <c r="AT146" s="916"/>
      <c r="AU146" s="916"/>
      <c r="AV146" s="916"/>
      <c r="AW146" s="916"/>
      <c r="AX146" s="916"/>
      <c r="AY146" s="916"/>
      <c r="AZ146" s="916"/>
      <c r="BA146" s="916"/>
      <c r="BB146" s="916"/>
      <c r="BC146" s="916"/>
      <c r="BD146" s="885"/>
    </row>
    <row r="147" spans="1:63" hidden="1">
      <c r="BD147" s="885"/>
    </row>
    <row r="148" spans="1:63" s="741" customFormat="1" hidden="1">
      <c r="A148" s="938" t="s">
        <v>1087</v>
      </c>
      <c r="B148" s="938"/>
      <c r="C148" s="938"/>
      <c r="S148" s="742"/>
      <c r="W148" s="742"/>
      <c r="BD148" s="885"/>
      <c r="BE148" s="744"/>
      <c r="BF148" s="744"/>
      <c r="BG148" s="744"/>
      <c r="BH148" s="744"/>
      <c r="BI148" s="744"/>
      <c r="BJ148" s="744"/>
      <c r="BK148" s="744"/>
    </row>
    <row r="149" spans="1:63" s="741" customFormat="1" hidden="1">
      <c r="A149" s="701"/>
      <c r="B149" s="702" t="s">
        <v>1088</v>
      </c>
      <c r="C149" s="939">
        <f>AVERAGE(E55:AN55)</f>
        <v>2888.8888888888891</v>
      </c>
      <c r="S149" s="742"/>
      <c r="W149" s="742"/>
      <c r="BD149" s="885"/>
      <c r="BE149" s="744"/>
      <c r="BF149" s="744"/>
      <c r="BG149" s="744"/>
      <c r="BH149" s="744"/>
      <c r="BI149" s="744"/>
      <c r="BJ149" s="744"/>
      <c r="BK149" s="744"/>
    </row>
    <row r="150" spans="1:63" s="741" customFormat="1" ht="25" hidden="1">
      <c r="A150" s="701"/>
      <c r="B150" s="940" t="s">
        <v>1089</v>
      </c>
      <c r="C150" s="941">
        <v>462</v>
      </c>
      <c r="S150" s="742"/>
      <c r="W150" s="742"/>
      <c r="BD150" s="885"/>
      <c r="BE150" s="744"/>
      <c r="BF150" s="744"/>
      <c r="BG150" s="744"/>
      <c r="BH150" s="744"/>
      <c r="BI150" s="744"/>
      <c r="BJ150" s="744"/>
      <c r="BK150" s="744"/>
    </row>
    <row r="151" spans="1:63" s="741" customFormat="1" hidden="1">
      <c r="A151" s="701"/>
      <c r="B151" s="702" t="s">
        <v>1090</v>
      </c>
      <c r="C151" s="942" t="e">
        <f>AC139/E139-1</f>
        <v>#DIV/0!</v>
      </c>
      <c r="S151" s="742"/>
      <c r="W151" s="742"/>
      <c r="BD151" s="885"/>
      <c r="BE151" s="744"/>
      <c r="BF151" s="744"/>
      <c r="BG151" s="744"/>
      <c r="BH151" s="744"/>
      <c r="BI151" s="744"/>
      <c r="BJ151" s="744"/>
      <c r="BK151" s="744"/>
    </row>
    <row r="152" spans="1:63" s="741" customFormat="1" hidden="1">
      <c r="A152" s="701"/>
      <c r="B152" s="702" t="s">
        <v>1091</v>
      </c>
      <c r="C152" s="939">
        <f>E113</f>
        <v>500</v>
      </c>
      <c r="S152" s="742"/>
      <c r="W152" s="742"/>
      <c r="BD152" s="885"/>
      <c r="BE152" s="744"/>
      <c r="BF152" s="744"/>
      <c r="BG152" s="744"/>
      <c r="BH152" s="744"/>
      <c r="BI152" s="744"/>
      <c r="BJ152" s="744"/>
      <c r="BK152" s="744"/>
    </row>
    <row r="153" spans="1:63" s="741" customFormat="1" hidden="1">
      <c r="A153" s="701"/>
      <c r="B153" s="702" t="s">
        <v>1092</v>
      </c>
      <c r="C153" s="939" t="e">
        <f>AC139</f>
        <v>#DIV/0!</v>
      </c>
      <c r="S153" s="742"/>
      <c r="W153" s="742"/>
      <c r="BD153" s="885"/>
      <c r="BE153" s="744"/>
      <c r="BF153" s="744"/>
      <c r="BG153" s="744"/>
      <c r="BH153" s="744"/>
      <c r="BI153" s="744"/>
      <c r="BJ153" s="744"/>
      <c r="BK153" s="744"/>
    </row>
    <row r="154" spans="1:63" s="741" customFormat="1" hidden="1">
      <c r="A154" s="701"/>
      <c r="B154" s="702" t="s">
        <v>1093</v>
      </c>
      <c r="C154" s="943">
        <v>0</v>
      </c>
      <c r="S154" s="742"/>
      <c r="W154" s="742"/>
      <c r="BD154" s="885"/>
      <c r="BE154" s="744"/>
      <c r="BF154" s="744"/>
      <c r="BG154" s="744"/>
      <c r="BH154" s="744"/>
      <c r="BI154" s="744"/>
      <c r="BJ154" s="744"/>
      <c r="BK154" s="744"/>
    </row>
    <row r="155" spans="1:63" s="741" customFormat="1" hidden="1">
      <c r="A155" s="701"/>
      <c r="B155" s="701" t="s">
        <v>1094</v>
      </c>
      <c r="C155" s="944">
        <f>SUM(A56:A67)</f>
        <v>104000</v>
      </c>
      <c r="S155" s="742"/>
      <c r="W155" s="742"/>
      <c r="BD155" s="885"/>
      <c r="BE155" s="744"/>
      <c r="BF155" s="744"/>
      <c r="BG155" s="744"/>
      <c r="BH155" s="744"/>
      <c r="BI155" s="744"/>
      <c r="BJ155" s="744"/>
      <c r="BK155" s="744"/>
    </row>
    <row r="156" spans="1:63" s="741" customFormat="1" hidden="1">
      <c r="A156" s="701"/>
      <c r="B156" s="701"/>
      <c r="C156" s="945"/>
      <c r="S156" s="742"/>
      <c r="W156" s="742"/>
      <c r="BD156" s="885"/>
      <c r="BE156" s="744"/>
      <c r="BF156" s="744"/>
      <c r="BG156" s="744"/>
      <c r="BH156" s="744"/>
      <c r="BI156" s="744"/>
      <c r="BJ156" s="744"/>
      <c r="BK156" s="744"/>
    </row>
    <row r="157" spans="1:63" hidden="1">
      <c r="B157" s="946" t="s">
        <v>1095</v>
      </c>
      <c r="C157" s="947">
        <f>MAX(E139:X139)/MIN(E139:X139)-1</f>
        <v>0.38178905839526767</v>
      </c>
      <c r="BD157" s="885"/>
    </row>
    <row r="158" spans="1:63">
      <c r="BD158" s="885"/>
    </row>
  </sheetData>
  <mergeCells count="2">
    <mergeCell ref="A74:B74"/>
    <mergeCell ref="A113:A116"/>
  </mergeCells>
  <conditionalFormatting sqref="B56:B73">
    <cfRule type="cellIs" dxfId="2" priority="3" operator="lessThan">
      <formula>0</formula>
    </cfRule>
  </conditionalFormatting>
  <conditionalFormatting sqref="B139">
    <cfRule type="cellIs" dxfId="1" priority="2" operator="lessThan">
      <formula>0</formula>
    </cfRule>
  </conditionalFormatting>
  <conditionalFormatting sqref="E55:BC5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58D4-B7D3-7E41-BD1E-8560D83C58FD}">
  <dimension ref="A1:AF242"/>
  <sheetViews>
    <sheetView showGridLines="0" topLeftCell="A2" zoomScale="111" zoomScaleNormal="170" workbookViewId="0">
      <selection activeCell="F29" sqref="F29"/>
    </sheetView>
  </sheetViews>
  <sheetFormatPr baseColWidth="10" defaultColWidth="8.83203125" defaultRowHeight="16"/>
  <cols>
    <col min="1" max="1" width="4.5" style="1119" customWidth="1"/>
    <col min="2" max="2" width="20.83203125" style="1121" customWidth="1"/>
    <col min="3" max="3" width="17.83203125" style="1121" customWidth="1"/>
    <col min="4" max="4" width="16.33203125" style="1121" customWidth="1"/>
    <col min="5" max="5" width="19.83203125" style="1121" customWidth="1"/>
    <col min="6" max="6" width="17.83203125" style="1121" customWidth="1"/>
    <col min="7" max="7" width="14.1640625" style="1121" customWidth="1"/>
    <col min="8" max="8" width="2.33203125" style="1121" bestFit="1" customWidth="1"/>
    <col min="9" max="9" width="20.83203125" style="1121" customWidth="1"/>
    <col min="10" max="10" width="14.83203125" style="1121" customWidth="1"/>
    <col min="11" max="11" width="14" style="1121" customWidth="1"/>
    <col min="12" max="12" width="19.83203125" style="1121" customWidth="1"/>
    <col min="13" max="14" width="14" style="1121" customWidth="1"/>
    <col min="15" max="15" width="2.33203125" style="1121" bestFit="1" customWidth="1"/>
    <col min="16" max="16" width="20.83203125" style="1121" customWidth="1"/>
    <col min="17" max="18" width="14" style="1121" customWidth="1"/>
    <col min="19" max="19" width="19.83203125" style="1121" customWidth="1"/>
    <col min="20" max="21" width="14" style="1121" customWidth="1"/>
    <col min="22" max="22" width="12.5" style="1121" customWidth="1"/>
    <col min="23" max="32" width="8.83203125" style="1121"/>
    <col min="33" max="33" width="11.5" style="1121" customWidth="1"/>
    <col min="34" max="16384" width="8.83203125" style="1121"/>
  </cols>
  <sheetData>
    <row r="1" spans="1:22" ht="15.75" customHeight="1">
      <c r="B1" s="1120"/>
      <c r="C1" s="1120"/>
      <c r="D1" s="676"/>
      <c r="F1" s="1120"/>
      <c r="G1" s="1120"/>
      <c r="H1" s="1120"/>
      <c r="I1" s="1120"/>
      <c r="J1" s="1120"/>
      <c r="K1" s="1120"/>
      <c r="L1" s="1120"/>
      <c r="M1" s="1120"/>
      <c r="N1" s="1120"/>
      <c r="O1" s="1120"/>
      <c r="P1" s="1120"/>
      <c r="Q1" s="1120"/>
      <c r="R1" s="1120"/>
      <c r="S1" s="1120"/>
      <c r="T1" s="1120"/>
      <c r="U1" s="1120"/>
      <c r="V1" s="1120"/>
    </row>
    <row r="2" spans="1:22" ht="15.75" customHeight="1">
      <c r="B2" s="1123" t="s">
        <v>1678</v>
      </c>
      <c r="C2" s="1120"/>
      <c r="D2" s="676"/>
      <c r="F2" s="1120"/>
      <c r="G2" s="1120"/>
      <c r="H2" s="1120"/>
      <c r="I2" s="1120"/>
      <c r="J2" s="1120"/>
      <c r="K2" s="1120"/>
      <c r="L2" s="1120"/>
      <c r="M2" s="1120"/>
      <c r="N2" s="1120"/>
      <c r="O2" s="1120"/>
      <c r="P2" s="1120"/>
      <c r="Q2" s="1120"/>
      <c r="R2" s="1120"/>
      <c r="S2" s="1120"/>
      <c r="T2" s="1120"/>
      <c r="U2" s="1120"/>
      <c r="V2" s="1120"/>
    </row>
    <row r="3" spans="1:22" ht="15.75" customHeight="1">
      <c r="B3" s="1120"/>
      <c r="C3" s="1120"/>
      <c r="D3" s="676"/>
      <c r="F3" s="1120"/>
      <c r="G3" s="1120"/>
      <c r="H3" s="1120"/>
      <c r="I3" s="1120"/>
      <c r="J3" s="1120"/>
      <c r="K3" s="1120"/>
      <c r="L3" s="1120"/>
      <c r="M3" s="1120"/>
      <c r="N3" s="1120"/>
      <c r="O3" s="1120"/>
      <c r="P3" s="1120"/>
      <c r="Q3" s="1120"/>
      <c r="R3" s="1120"/>
      <c r="S3" s="1120"/>
      <c r="T3" s="1120"/>
      <c r="U3" s="1120"/>
      <c r="V3" s="1120"/>
    </row>
    <row r="4" spans="1:22" ht="15.75" customHeight="1">
      <c r="B4" s="1120"/>
      <c r="C4" s="1120"/>
      <c r="D4" s="676"/>
      <c r="F4" s="1120"/>
      <c r="G4" s="1120"/>
      <c r="H4" s="1120"/>
      <c r="I4" s="1120"/>
      <c r="J4" s="1120"/>
      <c r="K4" s="1120"/>
      <c r="L4" s="1120"/>
      <c r="M4" s="1120"/>
      <c r="N4" s="1120"/>
      <c r="O4" s="1120"/>
      <c r="P4" s="1120"/>
      <c r="Q4" s="1120"/>
      <c r="R4" s="1120"/>
      <c r="S4" s="1120"/>
      <c r="T4" s="1120"/>
      <c r="U4" s="1120"/>
      <c r="V4" s="1120"/>
    </row>
    <row r="5" spans="1:22" ht="15.75" customHeight="1">
      <c r="B5" s="1123" t="s">
        <v>1666</v>
      </c>
      <c r="C5" s="1120"/>
      <c r="D5" s="1120"/>
      <c r="H5" s="1120"/>
      <c r="N5" s="1120"/>
      <c r="O5" s="1120"/>
      <c r="P5" s="1120"/>
      <c r="Q5" s="1120"/>
      <c r="R5" s="1120"/>
      <c r="S5" s="1120"/>
      <c r="T5" s="1120"/>
      <c r="U5" s="1120"/>
      <c r="V5" s="1120"/>
    </row>
    <row r="6" spans="1:22" ht="15.75" customHeight="1">
      <c r="B6" s="673" t="s">
        <v>1645</v>
      </c>
      <c r="C6" s="673" t="s">
        <v>1646</v>
      </c>
      <c r="D6" s="673" t="s">
        <v>1671</v>
      </c>
      <c r="E6" s="673" t="s">
        <v>972</v>
      </c>
      <c r="H6" s="1120"/>
      <c r="O6" s="1120"/>
      <c r="P6" s="1120"/>
      <c r="Q6" s="1120"/>
      <c r="R6" s="1120"/>
      <c r="S6" s="1120"/>
      <c r="T6" s="1120"/>
      <c r="U6" s="1120"/>
      <c r="V6" s="1120"/>
    </row>
    <row r="7" spans="1:22" ht="15.75" customHeight="1">
      <c r="A7" s="1119">
        <v>1</v>
      </c>
      <c r="B7" s="1124" t="s">
        <v>462</v>
      </c>
      <c r="C7" s="674">
        <v>1000</v>
      </c>
      <c r="D7" s="675">
        <v>5500000</v>
      </c>
      <c r="E7" s="1125">
        <f>C7*D7</f>
        <v>5500000000</v>
      </c>
      <c r="H7" s="1120"/>
      <c r="O7" s="1120"/>
      <c r="P7" s="1120"/>
      <c r="Q7" s="1120"/>
      <c r="R7" s="1120"/>
      <c r="S7" s="1120"/>
      <c r="T7" s="1120"/>
      <c r="U7" s="1120"/>
      <c r="V7" s="1120"/>
    </row>
    <row r="8" spans="1:22" ht="15.75" customHeight="1">
      <c r="A8" s="1119">
        <v>2</v>
      </c>
      <c r="B8" s="1124" t="s">
        <v>1681</v>
      </c>
      <c r="C8" s="674">
        <f>-C40</f>
        <v>-394</v>
      </c>
      <c r="D8" s="675"/>
      <c r="E8" s="675"/>
      <c r="H8" s="1120"/>
      <c r="O8" s="1120"/>
      <c r="P8" s="1120"/>
      <c r="Q8" s="1120"/>
      <c r="R8" s="1120"/>
      <c r="S8" s="1120"/>
      <c r="T8" s="1120"/>
      <c r="U8" s="1120"/>
      <c r="V8" s="1120"/>
    </row>
    <row r="9" spans="1:22" ht="15.75" customHeight="1">
      <c r="A9" s="1119">
        <v>3</v>
      </c>
      <c r="B9" s="1126" t="s">
        <v>1661</v>
      </c>
      <c r="C9" s="674">
        <f>C7+C8</f>
        <v>606</v>
      </c>
      <c r="D9" s="675"/>
      <c r="E9" s="1125">
        <f>C9*D40+C9*C50*C46</f>
        <v>3303512464.1999998</v>
      </c>
      <c r="H9" s="1120"/>
      <c r="M9" s="1120"/>
      <c r="N9" s="1120"/>
      <c r="O9" s="1120"/>
      <c r="P9" s="1120"/>
      <c r="Q9" s="1120"/>
      <c r="R9" s="1120"/>
      <c r="S9" s="1120"/>
      <c r="T9" s="1120"/>
      <c r="U9" s="1120"/>
      <c r="V9" s="1120"/>
    </row>
    <row r="10" spans="1:22" ht="15.75" customHeight="1">
      <c r="A10" s="1119">
        <v>4</v>
      </c>
      <c r="B10" s="1124" t="s">
        <v>1680</v>
      </c>
      <c r="C10" s="674">
        <f>СОЦИАЛКА!J40</f>
        <v>178</v>
      </c>
      <c r="D10" s="675"/>
      <c r="E10" s="675">
        <f>-СОЦИАЛКА!L57</f>
        <v>-970338644.60000002</v>
      </c>
      <c r="H10" s="1120"/>
      <c r="M10" s="1120"/>
      <c r="N10" s="1120"/>
      <c r="O10" s="1120"/>
      <c r="P10" s="1120"/>
      <c r="Q10" s="1120"/>
      <c r="R10" s="1120"/>
      <c r="S10" s="1120"/>
      <c r="T10" s="1120"/>
      <c r="U10" s="1120"/>
      <c r="V10" s="1120"/>
    </row>
    <row r="11" spans="1:22" ht="15.75" customHeight="1">
      <c r="A11" s="1119">
        <v>5</v>
      </c>
      <c r="B11" s="1124" t="s">
        <v>1679</v>
      </c>
      <c r="C11" s="674">
        <f>СОЦИАЛКА!Q40</f>
        <v>92</v>
      </c>
      <c r="D11" s="675"/>
      <c r="E11" s="675">
        <f>-СОЦИАЛКА!S57</f>
        <v>-501523344.39999998</v>
      </c>
      <c r="H11" s="1120"/>
      <c r="I11" s="1120"/>
      <c r="J11" s="1120"/>
      <c r="K11" s="1120"/>
      <c r="L11" s="1120"/>
      <c r="M11" s="1120"/>
      <c r="N11" s="1120"/>
      <c r="O11" s="1120"/>
      <c r="P11" s="1120"/>
      <c r="Q11" s="1120"/>
      <c r="R11" s="1120"/>
      <c r="S11" s="1120"/>
      <c r="T11" s="1120"/>
      <c r="U11" s="1120"/>
      <c r="V11" s="1120"/>
    </row>
    <row r="12" spans="1:22" ht="15.75" customHeight="1">
      <c r="A12" s="1119">
        <v>6</v>
      </c>
      <c r="B12" s="1126" t="s">
        <v>1661</v>
      </c>
      <c r="C12" s="674"/>
      <c r="D12" s="675"/>
      <c r="E12" s="1125">
        <f>SUM(E9:E11)</f>
        <v>1831650475.1999998</v>
      </c>
      <c r="H12" s="1120"/>
      <c r="I12" s="1120"/>
      <c r="J12" s="1120"/>
      <c r="K12" s="1120"/>
      <c r="L12" s="1120"/>
      <c r="M12" s="1120"/>
      <c r="N12" s="1120"/>
      <c r="O12" s="1120"/>
      <c r="P12" s="1120"/>
      <c r="Q12" s="1120"/>
      <c r="R12" s="1120"/>
      <c r="S12" s="1120"/>
      <c r="T12" s="1120"/>
      <c r="U12" s="1120"/>
      <c r="V12" s="1120"/>
    </row>
    <row r="13" spans="1:22" ht="15.75" customHeight="1">
      <c r="A13" s="1119">
        <v>7</v>
      </c>
      <c r="B13" s="1124" t="s">
        <v>1682</v>
      </c>
      <c r="C13" s="674"/>
      <c r="D13" s="675"/>
      <c r="E13" s="675">
        <f>-E56-E58</f>
        <v>-2060200548.8</v>
      </c>
      <c r="H13" s="1120"/>
      <c r="I13" s="1120"/>
      <c r="J13" s="1120"/>
      <c r="K13" s="1120"/>
      <c r="L13" s="1120"/>
      <c r="M13" s="1120"/>
      <c r="N13" s="1120"/>
      <c r="O13" s="1120"/>
      <c r="P13" s="1120"/>
      <c r="Q13" s="1120"/>
      <c r="R13" s="1120"/>
      <c r="S13" s="1120"/>
      <c r="T13" s="1120"/>
      <c r="U13" s="1120"/>
      <c r="V13" s="1120"/>
    </row>
    <row r="14" spans="1:22" ht="15.75" customHeight="1">
      <c r="A14" s="1119">
        <v>8</v>
      </c>
      <c r="B14" s="1126" t="s">
        <v>1699</v>
      </c>
      <c r="C14" s="674"/>
      <c r="D14" s="675"/>
      <c r="E14" s="1138">
        <f>E12+E13</f>
        <v>-228550073.60000014</v>
      </c>
      <c r="F14" s="1151"/>
      <c r="H14" s="1120"/>
      <c r="I14" s="1120"/>
      <c r="J14" s="1120"/>
      <c r="K14" s="1120"/>
      <c r="L14" s="1120"/>
      <c r="M14" s="1120"/>
      <c r="N14" s="1120"/>
      <c r="O14" s="1120"/>
      <c r="P14" s="1120"/>
      <c r="Q14" s="1120"/>
      <c r="R14" s="1120"/>
      <c r="S14" s="1120"/>
      <c r="T14" s="1120"/>
      <c r="U14" s="1120"/>
      <c r="V14" s="1120"/>
    </row>
    <row r="15" spans="1:22" ht="15.75" customHeight="1">
      <c r="A15" s="1119">
        <v>9</v>
      </c>
      <c r="B15" s="1126" t="s">
        <v>1700</v>
      </c>
      <c r="C15" s="674"/>
      <c r="D15" s="675"/>
      <c r="E15" s="1138">
        <f>E14*1.05</f>
        <v>-239977577.28000015</v>
      </c>
      <c r="F15" s="1151"/>
      <c r="H15" s="1120"/>
      <c r="I15" s="1120"/>
      <c r="J15" s="1120"/>
      <c r="K15" s="1120"/>
      <c r="L15" s="1120"/>
      <c r="M15" s="1120"/>
      <c r="N15" s="1120"/>
      <c r="O15" s="1120"/>
      <c r="P15" s="1120"/>
      <c r="Q15" s="1120"/>
      <c r="R15" s="1120"/>
      <c r="S15" s="1120"/>
      <c r="T15" s="1120"/>
      <c r="U15" s="1120"/>
      <c r="V15" s="1120"/>
    </row>
    <row r="16" spans="1:22" ht="15.75" customHeight="1">
      <c r="H16" s="1120"/>
      <c r="I16" s="1120"/>
      <c r="J16" s="1120"/>
      <c r="K16" s="1120"/>
      <c r="L16" s="1120"/>
      <c r="M16" s="1120"/>
      <c r="N16" s="1120"/>
      <c r="O16" s="1120"/>
      <c r="P16" s="1120"/>
      <c r="Q16" s="1120"/>
      <c r="R16" s="1120"/>
      <c r="S16" s="1120"/>
      <c r="T16" s="1120"/>
      <c r="U16" s="1120"/>
      <c r="V16" s="1120"/>
    </row>
    <row r="17" spans="1:32" ht="15.75" customHeight="1">
      <c r="H17" s="1120"/>
      <c r="I17" s="1120"/>
      <c r="J17" s="1120"/>
      <c r="K17" s="1120"/>
      <c r="L17" s="1120"/>
      <c r="M17" s="1120"/>
      <c r="N17" s="1120"/>
      <c r="O17" s="1120"/>
      <c r="P17" s="1120"/>
      <c r="Q17" s="1120"/>
      <c r="R17" s="1120"/>
      <c r="S17" s="1120"/>
      <c r="T17" s="1120"/>
      <c r="U17" s="1120"/>
      <c r="V17" s="1120"/>
    </row>
    <row r="18" spans="1:32" ht="15.75" customHeight="1">
      <c r="B18" s="673" t="s">
        <v>1667</v>
      </c>
      <c r="C18" s="673" t="s">
        <v>1668</v>
      </c>
      <c r="D18" s="673" t="s">
        <v>1669</v>
      </c>
      <c r="E18" s="673" t="s">
        <v>56</v>
      </c>
      <c r="H18" s="1120"/>
      <c r="I18" s="1120"/>
      <c r="J18" s="1120"/>
      <c r="K18" s="1120"/>
      <c r="L18" s="1120"/>
      <c r="M18" s="1120"/>
      <c r="N18" s="1120"/>
      <c r="O18" s="1120"/>
      <c r="P18" s="1120"/>
      <c r="Q18" s="1120"/>
      <c r="R18" s="1120"/>
      <c r="S18" s="1120"/>
      <c r="T18" s="1120"/>
      <c r="U18" s="1120"/>
      <c r="V18" s="1120"/>
    </row>
    <row r="19" spans="1:32" ht="15.75" customHeight="1">
      <c r="B19" s="1124" t="s">
        <v>1654</v>
      </c>
      <c r="C19" s="1143">
        <f>SUM(E56:E58)</f>
        <v>4208028784.6000004</v>
      </c>
      <c r="D19" s="1127">
        <f>C19/SUM($C$22)</f>
        <v>0.74086438495592555</v>
      </c>
      <c r="E19" s="1138">
        <f>$E$7*D19</f>
        <v>4074754117.2575903</v>
      </c>
      <c r="F19" s="1151"/>
      <c r="H19" s="1120"/>
      <c r="I19" s="1120"/>
      <c r="J19" s="1120"/>
      <c r="K19" s="1120"/>
      <c r="L19" s="1120"/>
      <c r="M19" s="1120"/>
      <c r="N19" s="1120"/>
      <c r="O19" s="1120"/>
      <c r="P19" s="1120"/>
      <c r="Q19" s="1120"/>
      <c r="R19" s="1120"/>
      <c r="S19" s="1120"/>
      <c r="T19" s="1120"/>
      <c r="U19" s="1120"/>
      <c r="V19" s="1120"/>
    </row>
    <row r="20" spans="1:32" ht="15.75" customHeight="1">
      <c r="B20" s="1124" t="s">
        <v>1104</v>
      </c>
      <c r="C20" s="1143">
        <f>-E10</f>
        <v>970338644.60000002</v>
      </c>
      <c r="D20" s="1127">
        <f>C20/SUM($C$22)</f>
        <v>0.1708375536216491</v>
      </c>
      <c r="E20" s="675">
        <f>$E$7*D20</f>
        <v>939606544.91907001</v>
      </c>
      <c r="H20" s="1120"/>
      <c r="I20" s="1120"/>
      <c r="J20" s="1120"/>
      <c r="K20" s="1120"/>
      <c r="L20" s="1120"/>
      <c r="M20" s="1120"/>
      <c r="N20" s="1120"/>
      <c r="O20" s="1120"/>
      <c r="P20" s="1120"/>
      <c r="Q20" s="1120"/>
      <c r="R20" s="1120"/>
      <c r="S20" s="1120"/>
      <c r="T20" s="1120"/>
      <c r="U20" s="1120"/>
      <c r="V20" s="1120"/>
    </row>
    <row r="21" spans="1:32" ht="15.75" customHeight="1">
      <c r="B21" s="1124" t="s">
        <v>1662</v>
      </c>
      <c r="C21" s="1143">
        <f>-E11</f>
        <v>501523344.39999998</v>
      </c>
      <c r="D21" s="1127">
        <f>C21/SUM($C$22)</f>
        <v>8.829806142242537E-2</v>
      </c>
      <c r="E21" s="675">
        <f>$E$7*D21</f>
        <v>485639337.82333952</v>
      </c>
      <c r="H21" s="1120"/>
      <c r="I21" s="1120"/>
      <c r="J21" s="1120"/>
      <c r="K21" s="1120"/>
      <c r="L21" s="1120"/>
      <c r="M21" s="1120"/>
      <c r="N21" s="1120"/>
      <c r="O21" s="1120"/>
      <c r="P21" s="1120"/>
      <c r="Q21" s="1120"/>
      <c r="R21" s="1120"/>
      <c r="S21" s="1120"/>
      <c r="T21" s="1120"/>
      <c r="U21" s="1120"/>
      <c r="V21" s="1120"/>
    </row>
    <row r="22" spans="1:32" ht="15.75" customHeight="1">
      <c r="B22" s="1120"/>
      <c r="C22" s="1156">
        <f>SUM(C19:C21)</f>
        <v>5679890773.6000004</v>
      </c>
      <c r="D22" s="1120"/>
      <c r="E22" s="1128">
        <f>SUM(E19:E21)</f>
        <v>5500000000</v>
      </c>
      <c r="H22" s="1120"/>
      <c r="I22" s="1120"/>
      <c r="J22" s="1120"/>
      <c r="K22" s="1120"/>
      <c r="L22" s="1120"/>
      <c r="M22" s="1120"/>
      <c r="N22" s="1120"/>
      <c r="O22" s="1120"/>
      <c r="P22" s="1120"/>
      <c r="Q22" s="1120"/>
      <c r="R22" s="1120"/>
      <c r="S22" s="1120"/>
      <c r="T22" s="1120"/>
      <c r="U22" s="1120"/>
      <c r="V22" s="1120"/>
    </row>
    <row r="23" spans="1:32" ht="15.75" customHeight="1">
      <c r="B23" s="1120"/>
      <c r="C23" s="1120"/>
      <c r="D23" s="676"/>
      <c r="F23" s="1120"/>
      <c r="G23" s="1120"/>
      <c r="H23" s="1120"/>
      <c r="I23" s="1120"/>
      <c r="J23" s="1120"/>
      <c r="K23" s="1120"/>
      <c r="L23" s="1120"/>
      <c r="M23" s="1120"/>
      <c r="N23" s="1120"/>
      <c r="O23" s="1120"/>
      <c r="P23" s="1120"/>
      <c r="Q23" s="1120"/>
      <c r="R23" s="1120"/>
      <c r="S23" s="1120"/>
      <c r="T23" s="1120"/>
      <c r="U23" s="1120"/>
      <c r="V23" s="1120"/>
    </row>
    <row r="24" spans="1:32" ht="15.75" customHeight="1">
      <c r="B24" s="1120"/>
      <c r="C24" s="1120"/>
      <c r="D24" s="676"/>
      <c r="F24" s="1120"/>
      <c r="G24" s="1120"/>
      <c r="H24" s="1120"/>
      <c r="I24" s="1120"/>
      <c r="J24" s="1120"/>
      <c r="K24" s="1120"/>
      <c r="L24" s="1120"/>
      <c r="M24" s="1120"/>
      <c r="N24" s="1120"/>
      <c r="O24" s="1120"/>
      <c r="P24" s="1120"/>
      <c r="Q24" s="1120"/>
      <c r="R24" s="1120"/>
      <c r="S24" s="1120"/>
      <c r="T24" s="1120"/>
      <c r="U24" s="1120"/>
      <c r="V24" s="1120"/>
    </row>
    <row r="25" spans="1:32" ht="15.75" customHeight="1">
      <c r="B25" s="1123" t="s">
        <v>1683</v>
      </c>
      <c r="C25" s="676"/>
      <c r="D25" s="676"/>
      <c r="E25" s="676"/>
      <c r="F25" s="1120"/>
      <c r="G25" s="1120"/>
      <c r="H25" s="1120"/>
      <c r="I25" s="1120"/>
      <c r="J25" s="1120"/>
      <c r="K25" s="1120"/>
      <c r="L25" s="1120"/>
      <c r="M25" s="1120"/>
      <c r="N25" s="1120"/>
      <c r="O25" s="1120"/>
      <c r="P25" s="1120"/>
      <c r="Q25" s="1120"/>
      <c r="R25" s="1120"/>
      <c r="S25" s="1120"/>
      <c r="T25" s="1120"/>
      <c r="U25" s="1120"/>
      <c r="V25" s="1120"/>
    </row>
    <row r="26" spans="1:32" ht="15.75" customHeight="1">
      <c r="A26" s="1121"/>
      <c r="B26" s="673" t="s">
        <v>1645</v>
      </c>
      <c r="C26" s="673" t="s">
        <v>1670</v>
      </c>
      <c r="D26" s="673" t="s">
        <v>1674</v>
      </c>
      <c r="E26" s="673" t="s">
        <v>1676</v>
      </c>
      <c r="F26" s="673" t="s">
        <v>1675</v>
      </c>
      <c r="G26" s="1120"/>
      <c r="H26" s="1120"/>
      <c r="I26" s="1120"/>
      <c r="J26" s="1120"/>
      <c r="K26" s="1120"/>
      <c r="L26" s="1120"/>
      <c r="M26" s="1120"/>
      <c r="N26" s="1120"/>
      <c r="O26" s="1120"/>
      <c r="P26" s="1120"/>
      <c r="Q26" s="1120"/>
      <c r="R26" s="1120"/>
      <c r="S26" s="1120"/>
      <c r="T26" s="1120"/>
      <c r="U26" s="1120"/>
      <c r="V26" s="1120"/>
    </row>
    <row r="27" spans="1:32" ht="15.75" customHeight="1">
      <c r="A27" s="1121"/>
      <c r="B27" s="1140" t="s">
        <v>462</v>
      </c>
      <c r="C27" s="675">
        <f>484500000</f>
        <v>484500000</v>
      </c>
      <c r="D27" s="1149">
        <v>2.5000000000000001E-2</v>
      </c>
      <c r="E27" s="1150">
        <f>18*3</f>
        <v>54</v>
      </c>
      <c r="F27" s="1138">
        <f>(C27*D27)/12*E27</f>
        <v>54506250</v>
      </c>
      <c r="G27" s="1120"/>
      <c r="H27" s="1120"/>
      <c r="I27" s="1120"/>
      <c r="J27" s="1120"/>
      <c r="K27" s="1120"/>
      <c r="L27" s="1120"/>
      <c r="M27" s="1120"/>
      <c r="N27" s="1120"/>
      <c r="O27" s="1120"/>
      <c r="P27" s="1120"/>
      <c r="Q27" s="1120"/>
      <c r="R27" s="1120"/>
      <c r="S27" s="1120"/>
      <c r="T27" s="1120"/>
      <c r="U27" s="1120"/>
      <c r="V27" s="1120"/>
    </row>
    <row r="28" spans="1:32" ht="15.75" customHeight="1">
      <c r="A28" s="1120"/>
      <c r="F28" s="1122"/>
      <c r="G28" s="1122"/>
      <c r="H28" s="1122"/>
      <c r="I28" s="1122"/>
      <c r="J28" s="1120"/>
      <c r="K28" s="1120"/>
      <c r="L28" s="1120"/>
      <c r="M28" s="1120"/>
      <c r="N28" s="1120"/>
      <c r="O28" s="1120"/>
      <c r="P28" s="1120"/>
      <c r="Q28" s="1120"/>
      <c r="R28" s="1120"/>
      <c r="S28" s="1120"/>
      <c r="T28" s="1120"/>
      <c r="U28" s="1120"/>
      <c r="V28" s="1120"/>
    </row>
    <row r="29" spans="1:32" s="1133" customFormat="1" ht="15.75" customHeight="1">
      <c r="A29" s="1119"/>
      <c r="B29" s="1152" t="s">
        <v>1677</v>
      </c>
      <c r="C29" s="1152"/>
      <c r="D29" s="1153"/>
      <c r="E29" s="1154"/>
      <c r="F29" s="1152">
        <f>E19+F27-E15</f>
        <v>4369237944.53759</v>
      </c>
      <c r="G29" s="1155"/>
      <c r="H29" s="1155"/>
      <c r="I29" s="1155"/>
      <c r="J29" s="1155"/>
      <c r="K29" s="1155"/>
      <c r="L29" s="1155"/>
      <c r="M29" s="1155"/>
      <c r="N29" s="1155"/>
      <c r="O29" s="1155"/>
      <c r="P29" s="1155"/>
      <c r="Q29" s="1155"/>
      <c r="R29" s="1155"/>
      <c r="S29" s="1155"/>
      <c r="T29" s="1155"/>
      <c r="U29" s="1155"/>
      <c r="V29" s="1155"/>
      <c r="AF29" s="1397"/>
    </row>
    <row r="30" spans="1:32" ht="15.75" customHeight="1">
      <c r="B30" s="1120"/>
      <c r="C30" s="1120"/>
      <c r="D30" s="676"/>
      <c r="F30" s="1120"/>
      <c r="G30" s="1120"/>
      <c r="H30" s="1120"/>
      <c r="I30" s="1120"/>
      <c r="J30" s="1120"/>
      <c r="K30" s="1120"/>
      <c r="L30" s="1120"/>
      <c r="M30" s="1120"/>
      <c r="N30" s="1120"/>
      <c r="O30" s="1120"/>
      <c r="P30" s="1120"/>
      <c r="Q30" s="1120"/>
      <c r="R30" s="1120"/>
      <c r="S30" s="1120"/>
      <c r="T30" s="1120"/>
      <c r="U30" s="1120"/>
      <c r="V30" s="1120"/>
    </row>
    <row r="31" spans="1:32" ht="15.75" customHeight="1">
      <c r="B31" s="1120"/>
      <c r="C31" s="1120"/>
      <c r="D31" s="676"/>
      <c r="F31" s="1120"/>
      <c r="G31" s="1120"/>
      <c r="H31" s="1120"/>
      <c r="I31" s="1120"/>
      <c r="J31" s="1120"/>
      <c r="K31" s="1120"/>
      <c r="L31" s="1120"/>
      <c r="M31" s="1120"/>
      <c r="N31" s="1120"/>
      <c r="O31" s="1120"/>
      <c r="P31" s="1120"/>
      <c r="Q31" s="1120"/>
      <c r="R31" s="1120"/>
      <c r="S31" s="1120"/>
      <c r="T31" s="1120"/>
      <c r="U31" s="1120"/>
      <c r="V31" s="1120"/>
    </row>
    <row r="32" spans="1:32" s="1133" customFormat="1" ht="15.75" customHeight="1">
      <c r="A32" s="1119"/>
      <c r="B32" s="1129" t="s">
        <v>1665</v>
      </c>
      <c r="C32" s="1129"/>
      <c r="D32" s="1130"/>
      <c r="E32" s="1131"/>
      <c r="F32" s="1120"/>
      <c r="G32" s="1132"/>
      <c r="H32" s="1119"/>
      <c r="I32" s="1129" t="s">
        <v>1663</v>
      </c>
      <c r="J32" s="1129"/>
      <c r="K32" s="1130"/>
      <c r="L32" s="1131"/>
      <c r="M32" s="1120"/>
      <c r="N32" s="1120"/>
      <c r="O32" s="1119"/>
      <c r="P32" s="1129" t="s">
        <v>1664</v>
      </c>
      <c r="Q32" s="1129"/>
      <c r="R32" s="1130"/>
      <c r="S32" s="1131"/>
      <c r="T32" s="1120"/>
      <c r="U32" s="1132"/>
      <c r="V32" s="1134"/>
    </row>
    <row r="33" spans="1:22" ht="15.75" customHeight="1">
      <c r="B33" s="1120"/>
      <c r="D33" s="1147" t="s">
        <v>1673</v>
      </c>
      <c r="E33" s="1163" t="s">
        <v>1691</v>
      </c>
      <c r="F33" s="1120"/>
      <c r="G33" s="1120"/>
      <c r="H33" s="1119"/>
      <c r="I33" s="1120"/>
      <c r="K33" s="1120"/>
      <c r="L33" s="1135"/>
      <c r="M33" s="1120"/>
      <c r="N33" s="1120"/>
      <c r="O33" s="1119"/>
      <c r="P33" s="1120"/>
      <c r="R33" s="1120"/>
      <c r="S33" s="1135"/>
      <c r="T33" s="1120"/>
      <c r="U33" s="1120"/>
      <c r="V33" s="676"/>
    </row>
    <row r="34" spans="1:22" ht="15.75" customHeight="1">
      <c r="A34" s="1119">
        <v>1</v>
      </c>
      <c r="B34" s="1095" t="s">
        <v>1650</v>
      </c>
      <c r="C34" s="675">
        <f>DB!F8</f>
        <v>169435.8</v>
      </c>
      <c r="D34" s="1095" t="s">
        <v>1651</v>
      </c>
      <c r="E34" s="675">
        <f>IF(E33="по ГНС",ROUNDUP(C34/50,0),ROUNDUP(E35*2.1,0))</f>
        <v>4371</v>
      </c>
      <c r="F34" s="1120"/>
      <c r="G34" s="1120"/>
      <c r="H34" s="1119">
        <v>1</v>
      </c>
      <c r="I34" s="1095" t="s">
        <v>1650</v>
      </c>
      <c r="J34" s="675">
        <v>98733</v>
      </c>
      <c r="K34" s="1095" t="s">
        <v>1651</v>
      </c>
      <c r="L34" s="675">
        <f>J34/50</f>
        <v>1974.66</v>
      </c>
      <c r="M34" s="1120"/>
      <c r="N34" s="1120"/>
      <c r="O34" s="1119">
        <v>1</v>
      </c>
      <c r="P34" s="1095" t="s">
        <v>1650</v>
      </c>
      <c r="Q34" s="675">
        <v>50735.3</v>
      </c>
      <c r="R34" s="1095" t="s">
        <v>1651</v>
      </c>
      <c r="S34" s="675">
        <f>Q34/50</f>
        <v>1014.706</v>
      </c>
      <c r="T34" s="1120"/>
      <c r="U34" s="1120"/>
      <c r="V34" s="676"/>
    </row>
    <row r="35" spans="1:22" ht="15.75" customHeight="1">
      <c r="B35" s="1120"/>
      <c r="D35" s="1095" t="s">
        <v>48</v>
      </c>
      <c r="E35" s="675">
        <f>DB!J8</f>
        <v>2081</v>
      </c>
      <c r="F35" s="1120"/>
      <c r="G35" s="1120"/>
      <c r="H35" s="1119"/>
      <c r="I35" s="1120"/>
      <c r="K35" s="1095" t="s">
        <v>48</v>
      </c>
      <c r="L35" s="675"/>
      <c r="M35" s="1120"/>
      <c r="N35" s="1120"/>
      <c r="O35" s="1119"/>
      <c r="P35" s="1120"/>
      <c r="R35" s="1095" t="s">
        <v>48</v>
      </c>
      <c r="S35" s="675"/>
      <c r="T35" s="1120"/>
      <c r="U35" s="1120"/>
      <c r="V35" s="676"/>
    </row>
    <row r="36" spans="1:22" ht="15.75" customHeight="1">
      <c r="B36" s="1120"/>
      <c r="D36" s="1120"/>
      <c r="E36" s="1135"/>
      <c r="F36" s="1120"/>
      <c r="G36" s="1120"/>
      <c r="H36" s="1119"/>
      <c r="I36" s="1120"/>
      <c r="K36" s="1120"/>
      <c r="L36" s="1135"/>
      <c r="M36" s="1120"/>
      <c r="N36" s="1120"/>
      <c r="O36" s="1119"/>
      <c r="P36" s="1120"/>
      <c r="R36" s="1120"/>
      <c r="S36" s="1135"/>
      <c r="T36" s="1120"/>
      <c r="U36" s="1120"/>
      <c r="V36" s="676"/>
    </row>
    <row r="37" spans="1:22" ht="15.75" customHeight="1">
      <c r="A37" s="1119">
        <v>2</v>
      </c>
      <c r="B37" s="1123" t="s">
        <v>109</v>
      </c>
      <c r="D37" s="1120"/>
      <c r="E37" s="1120"/>
      <c r="F37" s="1120"/>
      <c r="G37" s="1120"/>
      <c r="H37" s="1119">
        <v>2</v>
      </c>
      <c r="I37" s="1123" t="s">
        <v>109</v>
      </c>
      <c r="J37" s="1136"/>
      <c r="K37" s="1120"/>
      <c r="L37" s="1120"/>
      <c r="M37" s="1120"/>
      <c r="N37" s="1120"/>
      <c r="O37" s="1119">
        <v>2</v>
      </c>
      <c r="P37" s="1123" t="s">
        <v>109</v>
      </c>
      <c r="Q37" s="1136"/>
      <c r="R37" s="1120"/>
      <c r="S37" s="1120"/>
      <c r="T37" s="1120"/>
      <c r="U37" s="1120"/>
    </row>
    <row r="38" spans="1:22" ht="15.75" customHeight="1">
      <c r="B38" s="673" t="s">
        <v>1645</v>
      </c>
      <c r="C38" s="673" t="s">
        <v>1646</v>
      </c>
      <c r="D38" s="673" t="s">
        <v>970</v>
      </c>
      <c r="E38" s="673" t="s">
        <v>972</v>
      </c>
      <c r="F38" s="1120"/>
      <c r="G38" s="1120"/>
      <c r="H38" s="1119"/>
      <c r="I38" s="673" t="s">
        <v>1645</v>
      </c>
      <c r="J38" s="673" t="s">
        <v>1646</v>
      </c>
      <c r="K38" s="673" t="s">
        <v>970</v>
      </c>
      <c r="L38" s="673" t="s">
        <v>972</v>
      </c>
      <c r="M38" s="676"/>
      <c r="N38" s="1120"/>
      <c r="O38" s="1119"/>
      <c r="P38" s="673" t="s">
        <v>1645</v>
      </c>
      <c r="Q38" s="673" t="s">
        <v>1646</v>
      </c>
      <c r="R38" s="673" t="s">
        <v>970</v>
      </c>
      <c r="S38" s="673" t="s">
        <v>972</v>
      </c>
      <c r="T38" s="1120"/>
      <c r="U38" s="1120"/>
      <c r="V38" s="1120"/>
    </row>
    <row r="39" spans="1:22">
      <c r="B39" s="1124" t="s">
        <v>463</v>
      </c>
      <c r="C39" s="674">
        <f>ROUNDUP(E34/1000*44,0)</f>
        <v>193</v>
      </c>
      <c r="D39" s="675">
        <v>4311820</v>
      </c>
      <c r="E39" s="675">
        <f>C39*D39</f>
        <v>832181260</v>
      </c>
      <c r="F39" s="1120"/>
      <c r="G39" s="1120"/>
      <c r="H39" s="1119"/>
      <c r="I39" s="1124" t="s">
        <v>463</v>
      </c>
      <c r="J39" s="674">
        <f>ROUNDUP(L34/1000*44,0)</f>
        <v>87</v>
      </c>
      <c r="K39" s="675">
        <v>4311820</v>
      </c>
      <c r="L39" s="675">
        <f>J39*K39</f>
        <v>375128340</v>
      </c>
      <c r="M39" s="676"/>
      <c r="N39" s="1120"/>
      <c r="O39" s="1119"/>
      <c r="P39" s="1124" t="s">
        <v>463</v>
      </c>
      <c r="Q39" s="674">
        <f>ROUNDUP(S34/1000*44,0)*IF(R32="зачет",0,1)</f>
        <v>45</v>
      </c>
      <c r="R39" s="675">
        <v>4311820</v>
      </c>
      <c r="S39" s="675">
        <f>Q39*R39</f>
        <v>194031900</v>
      </c>
      <c r="T39" s="1120"/>
      <c r="U39" s="1120"/>
      <c r="V39" s="1120"/>
    </row>
    <row r="40" spans="1:22" ht="18.75" customHeight="1">
      <c r="B40" s="1124" t="s">
        <v>462</v>
      </c>
      <c r="C40" s="674">
        <f>ROUNDUP(E34/1000*90,0)</f>
        <v>394</v>
      </c>
      <c r="D40" s="675">
        <v>4107750</v>
      </c>
      <c r="E40" s="675">
        <f>C40*D40</f>
        <v>1618453500</v>
      </c>
      <c r="F40" s="1120"/>
      <c r="G40" s="1120"/>
      <c r="H40" s="1119"/>
      <c r="I40" s="1124" t="s">
        <v>462</v>
      </c>
      <c r="J40" s="674">
        <f>ROUNDUP(L34/1000*90,0)</f>
        <v>178</v>
      </c>
      <c r="K40" s="675">
        <v>4107750</v>
      </c>
      <c r="L40" s="675">
        <f>J40*K40</f>
        <v>731179500</v>
      </c>
      <c r="M40" s="676"/>
      <c r="N40" s="1120"/>
      <c r="O40" s="1119"/>
      <c r="P40" s="1124" t="s">
        <v>462</v>
      </c>
      <c r="Q40" s="674">
        <f>ROUNDUP(S34/1000*90,0)</f>
        <v>92</v>
      </c>
      <c r="R40" s="675">
        <v>4107750</v>
      </c>
      <c r="S40" s="675">
        <f>Q40*R40</f>
        <v>377913000</v>
      </c>
      <c r="T40" s="1120"/>
      <c r="U40" s="1120"/>
      <c r="V40" s="1120"/>
    </row>
    <row r="41" spans="1:22" ht="17">
      <c r="B41" s="1137" t="s">
        <v>1672</v>
      </c>
      <c r="C41" s="674">
        <f>ROUNDUP(E34/1000*19,0)</f>
        <v>84</v>
      </c>
      <c r="D41" s="675">
        <v>7298560</v>
      </c>
      <c r="E41" s="675">
        <f>C41*D41</f>
        <v>613079040</v>
      </c>
      <c r="F41" s="1120"/>
      <c r="G41" s="1120"/>
      <c r="H41" s="1119"/>
      <c r="I41" s="1137" t="s">
        <v>1672</v>
      </c>
      <c r="J41" s="674">
        <f>ROUNDUP(L34/1000*19,0)</f>
        <v>38</v>
      </c>
      <c r="K41" s="675">
        <v>7298560</v>
      </c>
      <c r="L41" s="675">
        <f>J41*K41</f>
        <v>277345280</v>
      </c>
      <c r="M41" s="676"/>
      <c r="N41" s="1120"/>
      <c r="O41" s="1119"/>
      <c r="P41" s="1137" t="s">
        <v>1672</v>
      </c>
      <c r="Q41" s="674">
        <f>ROUNDUP(S34/1000*19,0)</f>
        <v>20</v>
      </c>
      <c r="R41" s="675">
        <v>7298560</v>
      </c>
      <c r="S41" s="675">
        <f>Q41*R41</f>
        <v>145971200</v>
      </c>
      <c r="T41" s="1120"/>
      <c r="U41" s="1120"/>
      <c r="V41" s="676"/>
    </row>
    <row r="42" spans="1:22">
      <c r="B42" s="676"/>
      <c r="C42" s="676"/>
      <c r="D42" s="676"/>
      <c r="E42" s="1128">
        <f>SUM(E39:E41)</f>
        <v>3063713800</v>
      </c>
      <c r="F42" s="1120"/>
      <c r="G42" s="1120"/>
      <c r="H42" s="1119"/>
      <c r="I42" s="676"/>
      <c r="J42" s="676"/>
      <c r="K42" s="676"/>
      <c r="L42" s="1128">
        <f>SUM(L39:L41)</f>
        <v>1383653120</v>
      </c>
      <c r="M42" s="676"/>
      <c r="N42" s="1120"/>
      <c r="O42" s="1119"/>
      <c r="P42" s="676"/>
      <c r="Q42" s="676"/>
      <c r="R42" s="676"/>
      <c r="S42" s="1128">
        <f>SUM(S39:S41)</f>
        <v>717916100</v>
      </c>
      <c r="T42" s="1120"/>
      <c r="U42" s="1120"/>
      <c r="V42" s="1120"/>
    </row>
    <row r="43" spans="1:22">
      <c r="B43" s="676"/>
      <c r="C43" s="676"/>
      <c r="F43" s="1120"/>
      <c r="G43" s="1120"/>
      <c r="H43" s="1119"/>
      <c r="I43" s="676"/>
      <c r="J43" s="676"/>
      <c r="K43" s="676"/>
      <c r="L43" s="1139"/>
      <c r="M43" s="676"/>
      <c r="N43" s="1120"/>
      <c r="O43" s="1119"/>
      <c r="P43" s="676"/>
      <c r="Q43" s="676"/>
      <c r="R43" s="676"/>
      <c r="S43" s="1139"/>
      <c r="T43" s="1120"/>
      <c r="U43" s="1120"/>
      <c r="V43" s="1120"/>
    </row>
    <row r="44" spans="1:22" ht="18.75" customHeight="1">
      <c r="A44" s="1119">
        <v>3</v>
      </c>
      <c r="B44" s="1123" t="s">
        <v>20</v>
      </c>
      <c r="C44" s="676"/>
      <c r="F44" s="676"/>
      <c r="G44" s="1120"/>
      <c r="H44" s="1119">
        <v>3</v>
      </c>
      <c r="I44" s="1123" t="s">
        <v>20</v>
      </c>
      <c r="J44" s="676"/>
      <c r="K44" s="676"/>
      <c r="L44" s="1120"/>
      <c r="M44" s="676"/>
      <c r="N44" s="1120"/>
      <c r="O44" s="1119">
        <v>3</v>
      </c>
      <c r="P44" s="1123" t="s">
        <v>20</v>
      </c>
      <c r="Q44" s="676"/>
      <c r="R44" s="676"/>
      <c r="S44" s="1120"/>
      <c r="T44" s="1120"/>
      <c r="U44" s="1120"/>
      <c r="V44" s="1120"/>
    </row>
    <row r="45" spans="1:22" ht="17">
      <c r="B45" s="673" t="s">
        <v>1647</v>
      </c>
      <c r="C45" s="673" t="s">
        <v>212</v>
      </c>
      <c r="F45" s="1120"/>
      <c r="G45" s="1120"/>
      <c r="H45" s="1119"/>
      <c r="I45" s="673" t="s">
        <v>1647</v>
      </c>
      <c r="J45" s="673" t="s">
        <v>212</v>
      </c>
      <c r="L45" s="1132"/>
      <c r="M45" s="1120"/>
      <c r="N45" s="1120"/>
      <c r="O45" s="1119"/>
      <c r="P45" s="673" t="s">
        <v>1647</v>
      </c>
      <c r="Q45" s="673" t="s">
        <v>212</v>
      </c>
      <c r="S45" s="1132"/>
      <c r="T45" s="1120"/>
      <c r="U45" s="1120"/>
      <c r="V45" s="1120"/>
    </row>
    <row r="46" spans="1:22">
      <c r="B46" s="1124" t="s">
        <v>971</v>
      </c>
      <c r="C46" s="675">
        <v>70715.3</v>
      </c>
      <c r="F46" s="1120"/>
      <c r="G46" s="1120"/>
      <c r="H46" s="1119"/>
      <c r="I46" s="1124" t="s">
        <v>971</v>
      </c>
      <c r="J46" s="675">
        <v>70715.3</v>
      </c>
      <c r="L46" s="1132"/>
      <c r="M46" s="1120"/>
      <c r="N46" s="1120"/>
      <c r="O46" s="1119"/>
      <c r="P46" s="1124" t="s">
        <v>971</v>
      </c>
      <c r="Q46" s="675">
        <v>70715.3</v>
      </c>
      <c r="S46" s="1132"/>
      <c r="T46" s="1120"/>
      <c r="U46" s="1120"/>
      <c r="V46" s="1120"/>
    </row>
    <row r="47" spans="1:22" ht="15.75" customHeight="1">
      <c r="B47" s="676"/>
      <c r="C47" s="676"/>
      <c r="F47" s="676"/>
      <c r="G47" s="1120"/>
      <c r="H47" s="1119"/>
      <c r="I47" s="676"/>
      <c r="J47" s="676"/>
      <c r="K47" s="676"/>
      <c r="L47" s="676"/>
      <c r="M47" s="676"/>
      <c r="N47" s="1120"/>
      <c r="O47" s="1119"/>
      <c r="P47" s="676"/>
      <c r="Q47" s="676"/>
      <c r="R47" s="676"/>
      <c r="S47" s="676"/>
      <c r="T47" s="676"/>
      <c r="U47" s="1120"/>
      <c r="V47" s="1120"/>
    </row>
    <row r="48" spans="1:22" ht="17">
      <c r="B48" s="673" t="s">
        <v>1645</v>
      </c>
      <c r="C48" s="673" t="s">
        <v>1648</v>
      </c>
      <c r="D48" s="673" t="s">
        <v>1649</v>
      </c>
      <c r="E48" s="673" t="s">
        <v>212</v>
      </c>
      <c r="F48" s="673" t="s">
        <v>972</v>
      </c>
      <c r="G48" s="1120"/>
      <c r="H48" s="1119"/>
      <c r="I48" s="673" t="s">
        <v>1645</v>
      </c>
      <c r="J48" s="673" t="s">
        <v>1648</v>
      </c>
      <c r="K48" s="673" t="s">
        <v>1649</v>
      </c>
      <c r="L48" s="673" t="s">
        <v>212</v>
      </c>
      <c r="M48" s="673" t="s">
        <v>972</v>
      </c>
      <c r="N48" s="1120"/>
      <c r="O48" s="1119"/>
      <c r="P48" s="673" t="s">
        <v>1645</v>
      </c>
      <c r="Q48" s="673" t="s">
        <v>1648</v>
      </c>
      <c r="R48" s="673" t="s">
        <v>1649</v>
      </c>
      <c r="S48" s="673" t="s">
        <v>212</v>
      </c>
      <c r="T48" s="673" t="s">
        <v>972</v>
      </c>
      <c r="U48" s="1120"/>
    </row>
    <row r="49" spans="1:21">
      <c r="B49" s="1124" t="s">
        <v>463</v>
      </c>
      <c r="C49" s="674">
        <f>IF(C39&gt;150,32,35)</f>
        <v>32</v>
      </c>
      <c r="D49" s="674">
        <f>C39*C49</f>
        <v>6176</v>
      </c>
      <c r="E49" s="675">
        <f>$C$46</f>
        <v>70715.3</v>
      </c>
      <c r="F49" s="675">
        <f>D49*E49</f>
        <v>436737692.80000001</v>
      </c>
      <c r="G49" s="1120"/>
      <c r="H49" s="1119"/>
      <c r="I49" s="1124" t="s">
        <v>463</v>
      </c>
      <c r="J49" s="674">
        <f>IF(J39&gt;150,32,35)</f>
        <v>35</v>
      </c>
      <c r="K49" s="674">
        <f>J39*J49</f>
        <v>3045</v>
      </c>
      <c r="L49" s="675">
        <f>J46</f>
        <v>70715.3</v>
      </c>
      <c r="M49" s="675">
        <f>K49*L49</f>
        <v>215328088.5</v>
      </c>
      <c r="N49" s="1120"/>
      <c r="O49" s="1119"/>
      <c r="P49" s="1124" t="s">
        <v>463</v>
      </c>
      <c r="Q49" s="674">
        <f>IF(Q39&gt;150,32,35)</f>
        <v>35</v>
      </c>
      <c r="R49" s="674">
        <f>Q39*Q49</f>
        <v>1575</v>
      </c>
      <c r="S49" s="675">
        <f>Q46</f>
        <v>70715.3</v>
      </c>
      <c r="T49" s="675">
        <f>R49*S49</f>
        <v>111376597.5</v>
      </c>
      <c r="U49" s="1120"/>
    </row>
    <row r="50" spans="1:21">
      <c r="B50" s="1124" t="s">
        <v>462</v>
      </c>
      <c r="C50" s="674">
        <f>_xlfn.IFS(C40&lt;=900,19,C40&gt;=1500,14,C40&lt;1500&amp;C40&gt;900,16)</f>
        <v>19</v>
      </c>
      <c r="D50" s="674">
        <f>C40*C50</f>
        <v>7486</v>
      </c>
      <c r="E50" s="675">
        <f t="shared" ref="E50:E51" si="0">$C$46</f>
        <v>70715.3</v>
      </c>
      <c r="F50" s="675">
        <f>D50*E50</f>
        <v>529374735.80000001</v>
      </c>
      <c r="G50" s="1120"/>
      <c r="H50" s="1119"/>
      <c r="I50" s="1124" t="s">
        <v>462</v>
      </c>
      <c r="J50" s="674">
        <f>_xlfn.IFS(J40&lt;=900,19,J40&gt;=1500,14,J40&lt;1500&amp;J40&gt;900,16)</f>
        <v>19</v>
      </c>
      <c r="K50" s="674">
        <f>J40*J50</f>
        <v>3382</v>
      </c>
      <c r="L50" s="675">
        <f>J46</f>
        <v>70715.3</v>
      </c>
      <c r="M50" s="675">
        <f>K50*L50</f>
        <v>239159144.60000002</v>
      </c>
      <c r="N50" s="1120"/>
      <c r="O50" s="1119"/>
      <c r="P50" s="1124" t="s">
        <v>462</v>
      </c>
      <c r="Q50" s="674">
        <f>_xlfn.IFS(Q40&lt;=900,19,Q40&gt;=1500,14,Q40&lt;1500&amp;Q40&gt;900,16)</f>
        <v>19</v>
      </c>
      <c r="R50" s="674">
        <f>Q40*Q50</f>
        <v>1748</v>
      </c>
      <c r="S50" s="675">
        <f>Q46</f>
        <v>70715.3</v>
      </c>
      <c r="T50" s="675">
        <f>R50*S50</f>
        <v>123610344.40000001</v>
      </c>
      <c r="U50" s="1120"/>
    </row>
    <row r="51" spans="1:21" ht="17">
      <c r="B51" s="1137" t="s">
        <v>1672</v>
      </c>
      <c r="C51" s="674">
        <f>30</f>
        <v>30</v>
      </c>
      <c r="D51" s="674">
        <f t="shared" ref="D51" si="1">C41*C51</f>
        <v>2520</v>
      </c>
      <c r="E51" s="675">
        <f t="shared" si="0"/>
        <v>70715.3</v>
      </c>
      <c r="F51" s="675">
        <f>D51*E51</f>
        <v>178202556</v>
      </c>
      <c r="G51" s="1120"/>
      <c r="H51" s="1119"/>
      <c r="I51" s="1137" t="s">
        <v>1672</v>
      </c>
      <c r="J51" s="674">
        <f>30</f>
        <v>30</v>
      </c>
      <c r="K51" s="674">
        <f t="shared" ref="K51" si="2">J41*J51</f>
        <v>1140</v>
      </c>
      <c r="L51" s="675">
        <f>J46</f>
        <v>70715.3</v>
      </c>
      <c r="M51" s="675">
        <f>K51*L51</f>
        <v>80615442</v>
      </c>
      <c r="N51" s="1120"/>
      <c r="O51" s="1119"/>
      <c r="P51" s="1137" t="s">
        <v>1672</v>
      </c>
      <c r="Q51" s="674">
        <f>30</f>
        <v>30</v>
      </c>
      <c r="R51" s="674">
        <f t="shared" ref="R51" si="3">Q41*Q51</f>
        <v>600</v>
      </c>
      <c r="S51" s="675">
        <f>Q46</f>
        <v>70715.3</v>
      </c>
      <c r="T51" s="675">
        <f>R51*S51</f>
        <v>42429180</v>
      </c>
      <c r="U51" s="1120"/>
    </row>
    <row r="52" spans="1:21">
      <c r="B52" s="676"/>
      <c r="C52" s="676"/>
      <c r="E52" s="676"/>
      <c r="F52" s="1128">
        <f>SUM(F49:F51)</f>
        <v>1144314984.5999999</v>
      </c>
      <c r="G52" s="1120"/>
      <c r="H52" s="1119"/>
      <c r="I52" s="676"/>
      <c r="J52" s="676"/>
      <c r="L52" s="676"/>
      <c r="M52" s="1128">
        <f>SUM(M49:M51)</f>
        <v>535102675.10000002</v>
      </c>
      <c r="N52" s="1120"/>
      <c r="O52" s="1119"/>
      <c r="P52" s="676"/>
      <c r="Q52" s="676"/>
      <c r="S52" s="676"/>
      <c r="T52" s="1128">
        <f>SUM(T49:T51)</f>
        <v>277416121.89999998</v>
      </c>
      <c r="U52" s="1120"/>
    </row>
    <row r="53" spans="1:21">
      <c r="B53" s="676"/>
      <c r="C53" s="676"/>
      <c r="D53" s="676"/>
      <c r="G53" s="1120"/>
      <c r="H53" s="1119"/>
      <c r="I53" s="676"/>
      <c r="J53" s="676"/>
      <c r="K53" s="676"/>
      <c r="L53" s="676"/>
      <c r="M53" s="676"/>
      <c r="N53" s="1120"/>
      <c r="O53" s="1119"/>
      <c r="P53" s="676"/>
      <c r="Q53" s="676"/>
      <c r="R53" s="676"/>
      <c r="S53" s="676"/>
      <c r="T53" s="676"/>
      <c r="U53" s="1120"/>
    </row>
    <row r="54" spans="1:21">
      <c r="A54" s="1119">
        <v>4</v>
      </c>
      <c r="B54" s="1123" t="s">
        <v>975</v>
      </c>
      <c r="C54" s="1120"/>
      <c r="D54" s="1120"/>
      <c r="G54" s="1120"/>
      <c r="H54" s="1119">
        <v>4</v>
      </c>
      <c r="I54" s="1123" t="s">
        <v>975</v>
      </c>
      <c r="J54" s="1120"/>
      <c r="K54" s="1120"/>
      <c r="L54" s="1120"/>
      <c r="M54" s="1120"/>
      <c r="N54" s="1120"/>
      <c r="O54" s="1119">
        <v>4</v>
      </c>
      <c r="P54" s="1123" t="s">
        <v>975</v>
      </c>
      <c r="Q54" s="1120"/>
      <c r="R54" s="1120"/>
      <c r="S54" s="1120"/>
      <c r="T54" s="1120"/>
    </row>
    <row r="55" spans="1:21" ht="17">
      <c r="B55" s="673" t="s">
        <v>1645</v>
      </c>
      <c r="C55" s="673" t="s">
        <v>109</v>
      </c>
      <c r="D55" s="673" t="s">
        <v>20</v>
      </c>
      <c r="E55" s="673" t="s">
        <v>972</v>
      </c>
      <c r="G55" s="1120"/>
      <c r="H55" s="1119"/>
      <c r="I55" s="673" t="s">
        <v>1645</v>
      </c>
      <c r="J55" s="673" t="s">
        <v>109</v>
      </c>
      <c r="K55" s="673" t="s">
        <v>20</v>
      </c>
      <c r="L55" s="673" t="s">
        <v>972</v>
      </c>
      <c r="M55" s="1120"/>
      <c r="N55" s="1120"/>
      <c r="O55" s="1119"/>
      <c r="P55" s="673" t="s">
        <v>1645</v>
      </c>
      <c r="Q55" s="673" t="s">
        <v>109</v>
      </c>
      <c r="R55" s="673" t="s">
        <v>20</v>
      </c>
      <c r="S55" s="673" t="s">
        <v>972</v>
      </c>
      <c r="T55" s="1120"/>
      <c r="U55" s="1120"/>
    </row>
    <row r="56" spans="1:21">
      <c r="B56" s="1124" t="s">
        <v>463</v>
      </c>
      <c r="C56" s="674">
        <f>E39</f>
        <v>832181260</v>
      </c>
      <c r="D56" s="674">
        <f>F49</f>
        <v>436737692.80000001</v>
      </c>
      <c r="E56" s="1148">
        <f>SUM(C56:D56)</f>
        <v>1268918952.8</v>
      </c>
      <c r="G56" s="1120"/>
      <c r="H56" s="1119"/>
      <c r="I56" s="1124" t="s">
        <v>463</v>
      </c>
      <c r="J56" s="674">
        <f>L39</f>
        <v>375128340</v>
      </c>
      <c r="K56" s="674">
        <f>M49</f>
        <v>215328088.5</v>
      </c>
      <c r="L56" s="1142">
        <f>SUM(J56:K56)</f>
        <v>590456428.5</v>
      </c>
      <c r="M56" s="1120"/>
      <c r="N56" s="1120"/>
      <c r="O56" s="1119"/>
      <c r="P56" s="1124" t="s">
        <v>463</v>
      </c>
      <c r="Q56" s="674">
        <f>S39</f>
        <v>194031900</v>
      </c>
      <c r="R56" s="674">
        <f>T49</f>
        <v>111376597.5</v>
      </c>
      <c r="S56" s="1142">
        <f>SUM(Q56:R56)</f>
        <v>305408497.5</v>
      </c>
      <c r="T56" s="1120"/>
      <c r="U56" s="1120"/>
    </row>
    <row r="57" spans="1:21">
      <c r="B57" s="1124" t="s">
        <v>462</v>
      </c>
      <c r="C57" s="674">
        <f>E40</f>
        <v>1618453500</v>
      </c>
      <c r="D57" s="674">
        <f>F50</f>
        <v>529374735.80000001</v>
      </c>
      <c r="E57" s="1148">
        <f t="shared" ref="E57" si="4">SUM(C57:D57)</f>
        <v>2147828235.8000002</v>
      </c>
      <c r="G57" s="1120"/>
      <c r="H57" s="1119"/>
      <c r="I57" s="1124" t="s">
        <v>462</v>
      </c>
      <c r="J57" s="674">
        <f>L40</f>
        <v>731179500</v>
      </c>
      <c r="K57" s="674">
        <f>M50</f>
        <v>239159144.60000002</v>
      </c>
      <c r="L57" s="1148">
        <f>SUM(J57:K57)</f>
        <v>970338644.60000002</v>
      </c>
      <c r="M57" s="1120"/>
      <c r="N57" s="1120"/>
      <c r="O57" s="1119"/>
      <c r="P57" s="1124" t="s">
        <v>462</v>
      </c>
      <c r="Q57" s="674">
        <f>S40</f>
        <v>377913000</v>
      </c>
      <c r="R57" s="674">
        <f>T50</f>
        <v>123610344.40000001</v>
      </c>
      <c r="S57" s="1148">
        <f>SUM(Q57:R57)</f>
        <v>501523344.39999998</v>
      </c>
      <c r="T57" s="1120"/>
      <c r="U57" s="1120"/>
    </row>
    <row r="58" spans="1:21" ht="17">
      <c r="B58" s="1137" t="s">
        <v>1672</v>
      </c>
      <c r="C58" s="674">
        <f>E41</f>
        <v>613079040</v>
      </c>
      <c r="D58" s="674">
        <f>F51</f>
        <v>178202556</v>
      </c>
      <c r="E58" s="1148">
        <f>SUM(C58:D58)</f>
        <v>791281596</v>
      </c>
      <c r="G58" s="1120"/>
      <c r="H58" s="1119"/>
      <c r="I58" s="1137" t="s">
        <v>1672</v>
      </c>
      <c r="J58" s="674">
        <f>L41</f>
        <v>277345280</v>
      </c>
      <c r="K58" s="674">
        <f>M51</f>
        <v>80615442</v>
      </c>
      <c r="L58" s="1142">
        <f>SUM(J58:K58)</f>
        <v>357960722</v>
      </c>
      <c r="M58" s="1120"/>
      <c r="N58" s="1120"/>
      <c r="O58" s="1119"/>
      <c r="P58" s="1137" t="s">
        <v>1672</v>
      </c>
      <c r="Q58" s="674">
        <f>S41</f>
        <v>145971200</v>
      </c>
      <c r="R58" s="674">
        <f>T51</f>
        <v>42429180</v>
      </c>
      <c r="S58" s="1142">
        <f>SUM(Q58:R58)</f>
        <v>188400380</v>
      </c>
      <c r="T58" s="1120"/>
      <c r="U58" s="1120"/>
    </row>
    <row r="59" spans="1:21">
      <c r="B59" s="676"/>
      <c r="C59" s="676"/>
      <c r="D59" s="1096" t="s">
        <v>972</v>
      </c>
      <c r="E59" s="1128">
        <f>SUM(E56:E58)</f>
        <v>4208028784.6000004</v>
      </c>
      <c r="G59" s="1120"/>
      <c r="H59" s="1119"/>
      <c r="I59" s="676"/>
      <c r="J59" s="676"/>
      <c r="K59" s="1096" t="s">
        <v>972</v>
      </c>
      <c r="L59" s="1128">
        <f>SUM(L56:L58)</f>
        <v>1918755795.0999999</v>
      </c>
      <c r="M59" s="1120"/>
      <c r="N59" s="1120"/>
      <c r="O59" s="1119"/>
      <c r="P59" s="676"/>
      <c r="Q59" s="676"/>
      <c r="R59" s="1096" t="s">
        <v>972</v>
      </c>
      <c r="S59" s="1128">
        <f>SUM(S56:S58)</f>
        <v>995332221.89999998</v>
      </c>
      <c r="T59" s="1120"/>
      <c r="U59" s="1120"/>
    </row>
    <row r="60" spans="1:21">
      <c r="B60" s="676"/>
      <c r="C60" s="676"/>
      <c r="D60" s="1096" t="s">
        <v>1655</v>
      </c>
      <c r="E60" s="1139">
        <f>SUM(E56:E57)*1.2+E58</f>
        <v>4891378222.3199997</v>
      </c>
      <c r="G60" s="1120"/>
      <c r="H60" s="1119"/>
      <c r="I60" s="676"/>
      <c r="J60" s="676"/>
      <c r="K60" s="1096" t="s">
        <v>1655</v>
      </c>
      <c r="L60" s="1139">
        <f>SUM(L56:L57)*1.2+L58</f>
        <v>2230914809.7199998</v>
      </c>
      <c r="M60" s="1120"/>
      <c r="N60" s="1120"/>
      <c r="O60" s="1119"/>
      <c r="P60" s="676"/>
      <c r="Q60" s="676"/>
      <c r="R60" s="1096" t="s">
        <v>1655</v>
      </c>
      <c r="S60" s="1139">
        <f>SUM(S56:S57)*1.2+S58</f>
        <v>1156718590.28</v>
      </c>
      <c r="T60" s="1120"/>
      <c r="U60" s="1120"/>
    </row>
    <row r="61" spans="1:21">
      <c r="D61" s="1120"/>
      <c r="G61" s="1120"/>
      <c r="H61" s="1119"/>
      <c r="K61" s="1120"/>
      <c r="N61" s="1120"/>
      <c r="O61" s="1119"/>
      <c r="R61" s="1120"/>
      <c r="U61" s="1120"/>
    </row>
    <row r="62" spans="1:21">
      <c r="A62" s="1119">
        <v>5</v>
      </c>
      <c r="B62" s="1144" t="s">
        <v>1652</v>
      </c>
      <c r="E62" s="1144"/>
      <c r="F62" s="1144"/>
      <c r="H62" s="1119">
        <v>5</v>
      </c>
      <c r="I62" s="1144" t="s">
        <v>1652</v>
      </c>
      <c r="K62" s="1144"/>
      <c r="L62" s="1144"/>
      <c r="M62" s="1144"/>
      <c r="N62" s="1120"/>
      <c r="O62" s="1119">
        <v>5</v>
      </c>
      <c r="P62" s="1144" t="s">
        <v>1652</v>
      </c>
      <c r="R62" s="1144"/>
      <c r="S62" s="1144"/>
      <c r="T62" s="1144"/>
      <c r="U62" s="1120"/>
    </row>
    <row r="63" spans="1:21" ht="34">
      <c r="B63" s="673" t="s">
        <v>1653</v>
      </c>
      <c r="C63" s="673">
        <v>2025</v>
      </c>
      <c r="D63" s="673">
        <v>2026</v>
      </c>
      <c r="E63" s="673">
        <v>2027</v>
      </c>
      <c r="F63" s="673" t="s">
        <v>973</v>
      </c>
      <c r="H63" s="1119"/>
      <c r="I63" s="673" t="s">
        <v>1653</v>
      </c>
      <c r="J63" s="673">
        <v>2025</v>
      </c>
      <c r="K63" s="673">
        <v>2026</v>
      </c>
      <c r="L63" s="673">
        <v>2027</v>
      </c>
      <c r="M63" s="673" t="s">
        <v>973</v>
      </c>
      <c r="N63" s="1120"/>
      <c r="O63" s="1119"/>
      <c r="P63" s="673" t="s">
        <v>1653</v>
      </c>
      <c r="Q63" s="673">
        <v>2025</v>
      </c>
      <c r="R63" s="673">
        <v>2026</v>
      </c>
      <c r="S63" s="673">
        <v>2027</v>
      </c>
      <c r="T63" s="673" t="s">
        <v>973</v>
      </c>
      <c r="U63" s="1120"/>
    </row>
    <row r="64" spans="1:21">
      <c r="B64" s="1141">
        <f>СОЦИАЛКА!$E$60</f>
        <v>4891378222.3199997</v>
      </c>
      <c r="C64" s="675">
        <f>B64*0.4</f>
        <v>1956551288.928</v>
      </c>
      <c r="D64" s="675">
        <f>B64*0.3*(1+(5/100))</f>
        <v>1540784140.0307999</v>
      </c>
      <c r="E64" s="675">
        <f>B64*0.3*(1+(5/100))*(1+(4.6/100))</f>
        <v>1611660210.4722166</v>
      </c>
      <c r="F64" s="1138">
        <f>SUM(C64:E64)</f>
        <v>5108995639.4310169</v>
      </c>
      <c r="H64" s="1119"/>
      <c r="I64" s="1141">
        <f>СОЦИАЛКА!$L$60</f>
        <v>2230914809.7199998</v>
      </c>
      <c r="J64" s="675">
        <f>I64*0.4</f>
        <v>892365923.88800001</v>
      </c>
      <c r="K64" s="675">
        <f>I64*0.3*(1+(5/100))</f>
        <v>702738165.06179988</v>
      </c>
      <c r="L64" s="675">
        <f>I64*0.3*(1+(5/100))*(1+(4.6/100))</f>
        <v>735064120.6546427</v>
      </c>
      <c r="M64" s="1138">
        <f>SUM(J64:L64)</f>
        <v>2330168209.6044426</v>
      </c>
      <c r="N64" s="1120"/>
      <c r="O64" s="1119"/>
      <c r="P64" s="1141">
        <f>СОЦИАЛКА!$S$60</f>
        <v>1156718590.28</v>
      </c>
      <c r="Q64" s="675">
        <f>P64*0.4</f>
        <v>462687436.11199999</v>
      </c>
      <c r="R64" s="675">
        <f>P64*0.3*(1+(5/100))</f>
        <v>364366355.9382</v>
      </c>
      <c r="S64" s="675">
        <f>P64*0.3*(1+(5/100))*(1+(4.6/100))</f>
        <v>381127208.3113572</v>
      </c>
      <c r="T64" s="1138">
        <f>SUM(Q64:S64)</f>
        <v>1208181000.3615572</v>
      </c>
      <c r="U64" s="1120"/>
    </row>
    <row r="65" spans="1:21">
      <c r="A65" s="1145"/>
      <c r="B65" s="1121" t="s">
        <v>974</v>
      </c>
      <c r="C65" s="1146"/>
      <c r="D65" s="1146"/>
      <c r="E65" s="1146"/>
      <c r="F65" s="1146"/>
      <c r="G65" s="1120"/>
      <c r="I65" s="1121" t="s">
        <v>974</v>
      </c>
      <c r="N65" s="1120"/>
      <c r="P65" s="1121" t="s">
        <v>974</v>
      </c>
    </row>
    <row r="66" spans="1:21">
      <c r="A66" s="1145"/>
      <c r="H66" s="1120"/>
      <c r="I66" s="1120"/>
      <c r="J66" s="1120"/>
      <c r="K66" s="1120"/>
      <c r="L66" s="1120"/>
      <c r="M66" s="1120"/>
      <c r="N66" s="1120"/>
      <c r="O66" s="1120"/>
      <c r="P66" s="1120"/>
      <c r="Q66" s="1120"/>
      <c r="R66" s="1120"/>
      <c r="S66" s="1120"/>
      <c r="T66" s="1120"/>
      <c r="U66" s="1120"/>
    </row>
    <row r="67" spans="1:21" ht="15">
      <c r="A67" s="1121"/>
      <c r="H67" s="1120"/>
      <c r="I67" s="1120"/>
      <c r="J67" s="1120"/>
      <c r="K67" s="1120"/>
      <c r="L67" s="1120"/>
      <c r="M67" s="1120"/>
      <c r="N67" s="1120"/>
      <c r="O67" s="1120"/>
      <c r="P67" s="1120"/>
      <c r="Q67" s="1120"/>
      <c r="R67" s="1120"/>
      <c r="S67" s="1120"/>
      <c r="T67" s="1120"/>
      <c r="U67" s="1120"/>
    </row>
    <row r="68" spans="1:21" ht="15">
      <c r="A68" s="1121"/>
      <c r="H68" s="1120"/>
      <c r="I68" s="1120"/>
      <c r="J68" s="1120"/>
      <c r="K68" s="1120"/>
      <c r="L68" s="1120"/>
      <c r="M68" s="1120"/>
      <c r="N68" s="1120"/>
      <c r="O68" s="1120"/>
      <c r="P68" s="1120"/>
      <c r="Q68" s="1120"/>
      <c r="R68" s="1120"/>
      <c r="S68" s="1120"/>
      <c r="T68" s="1120"/>
      <c r="U68" s="1120"/>
    </row>
    <row r="69" spans="1:21" ht="15">
      <c r="A69" s="1121"/>
      <c r="H69" s="1120"/>
      <c r="I69" s="1120"/>
      <c r="J69" s="1120"/>
      <c r="K69" s="1120"/>
      <c r="L69" s="1120"/>
      <c r="M69" s="1120"/>
      <c r="N69" s="1120"/>
      <c r="O69" s="1120"/>
      <c r="P69" s="1120"/>
      <c r="Q69" s="1120"/>
      <c r="R69" s="1120"/>
      <c r="S69" s="1120"/>
      <c r="T69" s="1120"/>
      <c r="U69" s="1120"/>
    </row>
    <row r="70" spans="1:21" ht="15">
      <c r="A70" s="1121"/>
      <c r="H70" s="1120"/>
      <c r="I70" s="1120"/>
      <c r="J70" s="1120"/>
      <c r="K70" s="1120"/>
      <c r="L70" s="1120"/>
      <c r="M70" s="1120"/>
      <c r="N70" s="1120"/>
      <c r="O70" s="1120"/>
      <c r="P70" s="1120"/>
      <c r="Q70" s="1120"/>
      <c r="R70" s="1120"/>
      <c r="S70" s="1120"/>
      <c r="T70" s="1120"/>
      <c r="U70" s="1120"/>
    </row>
    <row r="71" spans="1:21" ht="15">
      <c r="A71" s="1121"/>
      <c r="H71" s="1120"/>
      <c r="I71" s="1120"/>
      <c r="J71" s="1120"/>
      <c r="K71" s="1120"/>
      <c r="L71" s="1120"/>
      <c r="M71" s="1120"/>
      <c r="N71" s="1120"/>
      <c r="O71" s="1120"/>
      <c r="P71" s="1120"/>
      <c r="Q71" s="1120"/>
      <c r="R71" s="1120"/>
      <c r="S71" s="1120"/>
      <c r="T71" s="1120"/>
      <c r="U71" s="1120"/>
    </row>
    <row r="72" spans="1:21" ht="15">
      <c r="A72" s="1121"/>
      <c r="H72" s="1120"/>
      <c r="I72" s="1120"/>
      <c r="J72" s="1120"/>
      <c r="K72" s="1120"/>
      <c r="L72" s="1120"/>
      <c r="M72" s="1120"/>
      <c r="N72" s="1120"/>
      <c r="O72" s="1120"/>
      <c r="P72" s="1120"/>
      <c r="Q72" s="1120"/>
      <c r="R72" s="1120"/>
      <c r="S72" s="1120"/>
      <c r="T72" s="1120"/>
      <c r="U72" s="1120"/>
    </row>
    <row r="73" spans="1:21" ht="15">
      <c r="A73" s="1121"/>
      <c r="H73" s="1120"/>
      <c r="I73" s="1120"/>
      <c r="J73" s="1120"/>
      <c r="K73" s="1120"/>
      <c r="L73" s="1120"/>
      <c r="M73" s="1120"/>
      <c r="N73" s="1120"/>
      <c r="O73" s="1120"/>
      <c r="P73" s="1120"/>
      <c r="Q73" s="1120"/>
      <c r="R73" s="1120"/>
      <c r="S73" s="1120"/>
      <c r="T73" s="1120"/>
      <c r="U73" s="1120"/>
    </row>
    <row r="74" spans="1:21" ht="15">
      <c r="A74" s="1121"/>
      <c r="H74" s="1120"/>
      <c r="I74" s="1120"/>
      <c r="J74" s="1120"/>
      <c r="K74" s="1120"/>
      <c r="L74" s="1120"/>
      <c r="M74" s="1120"/>
      <c r="N74" s="1120"/>
      <c r="O74" s="1120"/>
      <c r="P74" s="1120"/>
      <c r="Q74" s="1120"/>
      <c r="R74" s="1120"/>
      <c r="S74" s="1120"/>
      <c r="T74" s="1120"/>
      <c r="U74" s="1120"/>
    </row>
    <row r="75" spans="1:21" ht="15">
      <c r="A75" s="1121"/>
      <c r="H75" s="1120"/>
      <c r="I75" s="1120"/>
      <c r="J75" s="1120"/>
      <c r="K75" s="1120"/>
      <c r="L75" s="1120"/>
      <c r="M75" s="1120"/>
      <c r="N75" s="1120"/>
      <c r="O75" s="1120"/>
      <c r="P75" s="1120"/>
      <c r="Q75" s="1120"/>
      <c r="R75" s="1120"/>
      <c r="S75" s="1120"/>
      <c r="T75" s="1120"/>
      <c r="U75" s="1120"/>
    </row>
    <row r="76" spans="1:21" ht="15">
      <c r="A76" s="1121"/>
      <c r="N76" s="1120"/>
    </row>
    <row r="77" spans="1:21" ht="15">
      <c r="A77" s="1121"/>
      <c r="N77" s="1120"/>
    </row>
    <row r="78" spans="1:21">
      <c r="N78" s="1120"/>
    </row>
    <row r="79" spans="1:21">
      <c r="N79" s="1120"/>
    </row>
    <row r="80" spans="1:21">
      <c r="N80" s="1120"/>
    </row>
    <row r="81" spans="14:14">
      <c r="N81" s="1120"/>
    </row>
    <row r="82" spans="14:14">
      <c r="N82" s="1120"/>
    </row>
    <row r="83" spans="14:14">
      <c r="N83" s="1120"/>
    </row>
    <row r="84" spans="14:14">
      <c r="N84" s="1120"/>
    </row>
    <row r="85" spans="14:14">
      <c r="N85" s="1120"/>
    </row>
    <row r="86" spans="14:14">
      <c r="N86" s="1120"/>
    </row>
    <row r="87" spans="14:14">
      <c r="N87" s="1120"/>
    </row>
    <row r="88" spans="14:14">
      <c r="N88" s="1120"/>
    </row>
    <row r="89" spans="14:14">
      <c r="N89" s="1120"/>
    </row>
    <row r="90" spans="14:14">
      <c r="N90" s="1120"/>
    </row>
    <row r="91" spans="14:14">
      <c r="N91" s="1120"/>
    </row>
    <row r="92" spans="14:14">
      <c r="N92" s="1120"/>
    </row>
    <row r="93" spans="14:14">
      <c r="N93" s="1120"/>
    </row>
    <row r="94" spans="14:14">
      <c r="N94" s="1120"/>
    </row>
    <row r="95" spans="14:14">
      <c r="N95" s="1120"/>
    </row>
    <row r="96" spans="14:14">
      <c r="N96" s="1120"/>
    </row>
    <row r="97" spans="14:14">
      <c r="N97" s="1120"/>
    </row>
    <row r="98" spans="14:14">
      <c r="N98" s="1120"/>
    </row>
    <row r="99" spans="14:14">
      <c r="N99" s="1120"/>
    </row>
    <row r="100" spans="14:14">
      <c r="N100" s="1120"/>
    </row>
    <row r="101" spans="14:14">
      <c r="N101" s="1120"/>
    </row>
    <row r="102" spans="14:14">
      <c r="N102" s="1120"/>
    </row>
    <row r="103" spans="14:14">
      <c r="N103" s="1120"/>
    </row>
    <row r="104" spans="14:14">
      <c r="N104" s="1120"/>
    </row>
    <row r="105" spans="14:14">
      <c r="N105" s="1120"/>
    </row>
    <row r="106" spans="14:14">
      <c r="N106" s="1120"/>
    </row>
    <row r="107" spans="14:14">
      <c r="N107" s="1120"/>
    </row>
    <row r="108" spans="14:14">
      <c r="N108" s="1120"/>
    </row>
    <row r="109" spans="14:14">
      <c r="N109" s="1120"/>
    </row>
    <row r="110" spans="14:14">
      <c r="N110" s="1120"/>
    </row>
    <row r="111" spans="14:14">
      <c r="N111" s="1120"/>
    </row>
    <row r="112" spans="14:14">
      <c r="N112" s="1120"/>
    </row>
    <row r="113" spans="14:14">
      <c r="N113" s="1120"/>
    </row>
    <row r="114" spans="14:14">
      <c r="N114" s="1120"/>
    </row>
    <row r="115" spans="14:14">
      <c r="N115" s="1120"/>
    </row>
    <row r="116" spans="14:14">
      <c r="N116" s="1120"/>
    </row>
    <row r="117" spans="14:14">
      <c r="N117" s="1120"/>
    </row>
    <row r="118" spans="14:14">
      <c r="N118" s="1120"/>
    </row>
    <row r="119" spans="14:14">
      <c r="N119" s="1120"/>
    </row>
    <row r="120" spans="14:14">
      <c r="N120" s="1120"/>
    </row>
    <row r="121" spans="14:14">
      <c r="N121" s="1120"/>
    </row>
    <row r="122" spans="14:14">
      <c r="N122" s="1120"/>
    </row>
    <row r="123" spans="14:14">
      <c r="N123" s="1120"/>
    </row>
    <row r="124" spans="14:14">
      <c r="N124" s="1120"/>
    </row>
    <row r="125" spans="14:14">
      <c r="N125" s="1120"/>
    </row>
    <row r="126" spans="14:14">
      <c r="N126" s="1120"/>
    </row>
    <row r="127" spans="14:14">
      <c r="N127" s="1120"/>
    </row>
    <row r="128" spans="14:14">
      <c r="N128" s="1120"/>
    </row>
    <row r="129" spans="14:14">
      <c r="N129" s="1120"/>
    </row>
    <row r="130" spans="14:14">
      <c r="N130" s="1120"/>
    </row>
    <row r="131" spans="14:14">
      <c r="N131" s="1120"/>
    </row>
    <row r="132" spans="14:14">
      <c r="N132" s="1120"/>
    </row>
    <row r="133" spans="14:14">
      <c r="N133" s="1120"/>
    </row>
    <row r="134" spans="14:14">
      <c r="N134" s="1120"/>
    </row>
    <row r="135" spans="14:14">
      <c r="N135" s="1120"/>
    </row>
    <row r="136" spans="14:14">
      <c r="N136" s="1120"/>
    </row>
    <row r="137" spans="14:14">
      <c r="N137" s="1120"/>
    </row>
    <row r="138" spans="14:14">
      <c r="N138" s="1120"/>
    </row>
    <row r="139" spans="14:14">
      <c r="N139" s="1120"/>
    </row>
    <row r="140" spans="14:14">
      <c r="N140" s="1120"/>
    </row>
    <row r="141" spans="14:14">
      <c r="N141" s="1120"/>
    </row>
    <row r="142" spans="14:14">
      <c r="N142" s="1120"/>
    </row>
    <row r="143" spans="14:14">
      <c r="N143" s="1120"/>
    </row>
    <row r="144" spans="14:14">
      <c r="N144" s="1120"/>
    </row>
    <row r="145" spans="14:14">
      <c r="N145" s="1120"/>
    </row>
    <row r="146" spans="14:14">
      <c r="N146" s="1120"/>
    </row>
    <row r="147" spans="14:14">
      <c r="N147" s="1120"/>
    </row>
    <row r="148" spans="14:14">
      <c r="N148" s="1120"/>
    </row>
    <row r="149" spans="14:14">
      <c r="N149" s="1120"/>
    </row>
    <row r="150" spans="14:14">
      <c r="N150" s="1120"/>
    </row>
    <row r="151" spans="14:14">
      <c r="N151" s="1120"/>
    </row>
    <row r="152" spans="14:14">
      <c r="N152" s="1120"/>
    </row>
    <row r="153" spans="14:14">
      <c r="N153" s="1120"/>
    </row>
    <row r="154" spans="14:14">
      <c r="N154" s="1120"/>
    </row>
    <row r="155" spans="14:14">
      <c r="N155" s="1120"/>
    </row>
    <row r="156" spans="14:14">
      <c r="N156" s="1120"/>
    </row>
    <row r="157" spans="14:14">
      <c r="N157" s="1120"/>
    </row>
    <row r="158" spans="14:14">
      <c r="N158" s="1120"/>
    </row>
    <row r="159" spans="14:14">
      <c r="N159" s="1120"/>
    </row>
    <row r="160" spans="14:14">
      <c r="N160" s="1120"/>
    </row>
    <row r="161" spans="14:14">
      <c r="N161" s="1120"/>
    </row>
    <row r="162" spans="14:14">
      <c r="N162" s="1120"/>
    </row>
    <row r="163" spans="14:14">
      <c r="N163" s="1120"/>
    </row>
    <row r="164" spans="14:14">
      <c r="N164" s="1120"/>
    </row>
    <row r="165" spans="14:14">
      <c r="N165" s="1120"/>
    </row>
    <row r="166" spans="14:14">
      <c r="N166" s="1120"/>
    </row>
    <row r="167" spans="14:14">
      <c r="N167" s="1120"/>
    </row>
    <row r="168" spans="14:14">
      <c r="N168" s="1120"/>
    </row>
    <row r="169" spans="14:14">
      <c r="N169" s="1120"/>
    </row>
    <row r="170" spans="14:14">
      <c r="N170" s="1120"/>
    </row>
    <row r="171" spans="14:14">
      <c r="N171" s="1120"/>
    </row>
    <row r="172" spans="14:14">
      <c r="N172" s="1120"/>
    </row>
    <row r="173" spans="14:14">
      <c r="N173" s="1120"/>
    </row>
    <row r="174" spans="14:14">
      <c r="N174" s="1120"/>
    </row>
    <row r="175" spans="14:14">
      <c r="N175" s="1120"/>
    </row>
    <row r="176" spans="14:14">
      <c r="N176" s="1120"/>
    </row>
    <row r="177" spans="14:14">
      <c r="N177" s="1120"/>
    </row>
    <row r="178" spans="14:14">
      <c r="N178" s="1120"/>
    </row>
    <row r="179" spans="14:14">
      <c r="N179" s="1120"/>
    </row>
    <row r="180" spans="14:14">
      <c r="N180" s="1120"/>
    </row>
    <row r="181" spans="14:14">
      <c r="N181" s="1120"/>
    </row>
    <row r="182" spans="14:14">
      <c r="N182" s="1120"/>
    </row>
    <row r="183" spans="14:14">
      <c r="N183" s="1120"/>
    </row>
    <row r="184" spans="14:14">
      <c r="N184" s="1120"/>
    </row>
    <row r="185" spans="14:14">
      <c r="N185" s="1120"/>
    </row>
    <row r="186" spans="14:14">
      <c r="N186" s="1120"/>
    </row>
    <row r="187" spans="14:14">
      <c r="N187" s="1120"/>
    </row>
    <row r="188" spans="14:14">
      <c r="N188" s="1120"/>
    </row>
    <row r="189" spans="14:14">
      <c r="N189" s="1120"/>
    </row>
    <row r="190" spans="14:14">
      <c r="N190" s="1120"/>
    </row>
    <row r="191" spans="14:14">
      <c r="N191" s="1120"/>
    </row>
    <row r="192" spans="14:14">
      <c r="N192" s="1120"/>
    </row>
    <row r="193" spans="14:14">
      <c r="N193" s="1120"/>
    </row>
    <row r="194" spans="14:14">
      <c r="N194" s="1120"/>
    </row>
    <row r="195" spans="14:14">
      <c r="N195" s="1120"/>
    </row>
    <row r="196" spans="14:14">
      <c r="N196" s="1120"/>
    </row>
    <row r="197" spans="14:14">
      <c r="N197" s="1120"/>
    </row>
    <row r="198" spans="14:14">
      <c r="N198" s="1120"/>
    </row>
    <row r="199" spans="14:14">
      <c r="N199" s="1120"/>
    </row>
    <row r="200" spans="14:14">
      <c r="N200" s="1120"/>
    </row>
    <row r="201" spans="14:14">
      <c r="N201" s="1120"/>
    </row>
    <row r="202" spans="14:14">
      <c r="N202" s="1120"/>
    </row>
    <row r="203" spans="14:14">
      <c r="N203" s="1120"/>
    </row>
    <row r="204" spans="14:14">
      <c r="N204" s="1120"/>
    </row>
    <row r="205" spans="14:14">
      <c r="N205" s="1120"/>
    </row>
    <row r="206" spans="14:14">
      <c r="N206" s="1120"/>
    </row>
    <row r="207" spans="14:14">
      <c r="N207" s="1120"/>
    </row>
    <row r="208" spans="14:14">
      <c r="N208" s="1120"/>
    </row>
    <row r="209" spans="14:14">
      <c r="N209" s="1120"/>
    </row>
    <row r="210" spans="14:14">
      <c r="N210" s="1120"/>
    </row>
    <row r="211" spans="14:14">
      <c r="N211" s="1120"/>
    </row>
    <row r="212" spans="14:14">
      <c r="N212" s="1120"/>
    </row>
    <row r="213" spans="14:14">
      <c r="N213" s="1120"/>
    </row>
    <row r="214" spans="14:14">
      <c r="N214" s="1120"/>
    </row>
    <row r="215" spans="14:14">
      <c r="N215" s="1120"/>
    </row>
    <row r="216" spans="14:14">
      <c r="N216" s="1120"/>
    </row>
    <row r="217" spans="14:14">
      <c r="N217" s="1120"/>
    </row>
    <row r="218" spans="14:14">
      <c r="N218" s="1120"/>
    </row>
    <row r="219" spans="14:14">
      <c r="N219" s="1120"/>
    </row>
    <row r="220" spans="14:14">
      <c r="N220" s="1120"/>
    </row>
    <row r="221" spans="14:14">
      <c r="N221" s="1120"/>
    </row>
    <row r="222" spans="14:14">
      <c r="N222" s="1120"/>
    </row>
    <row r="223" spans="14:14">
      <c r="N223" s="1120"/>
    </row>
    <row r="224" spans="14:14">
      <c r="N224" s="1120"/>
    </row>
    <row r="225" spans="14:14">
      <c r="N225" s="1120"/>
    </row>
    <row r="226" spans="14:14">
      <c r="N226" s="1120"/>
    </row>
    <row r="227" spans="14:14">
      <c r="N227" s="1120"/>
    </row>
    <row r="228" spans="14:14">
      <c r="N228" s="1120"/>
    </row>
    <row r="229" spans="14:14">
      <c r="N229" s="1120"/>
    </row>
    <row r="230" spans="14:14">
      <c r="N230" s="1120"/>
    </row>
    <row r="231" spans="14:14">
      <c r="N231" s="1120"/>
    </row>
    <row r="232" spans="14:14">
      <c r="N232" s="1120"/>
    </row>
    <row r="233" spans="14:14">
      <c r="N233" s="1120"/>
    </row>
    <row r="234" spans="14:14">
      <c r="N234" s="1120"/>
    </row>
    <row r="235" spans="14:14">
      <c r="N235" s="1120"/>
    </row>
    <row r="236" spans="14:14">
      <c r="N236" s="1120"/>
    </row>
    <row r="237" spans="14:14">
      <c r="N237" s="1120"/>
    </row>
    <row r="238" spans="14:14">
      <c r="N238" s="1120"/>
    </row>
    <row r="239" spans="14:14">
      <c r="N239" s="1120"/>
    </row>
    <row r="240" spans="14:14">
      <c r="N240" s="1120"/>
    </row>
    <row r="241" spans="14:14">
      <c r="N241" s="1120"/>
    </row>
    <row r="242" spans="14:14">
      <c r="N242" s="1120"/>
    </row>
  </sheetData>
  <dataValidations count="1">
    <dataValidation type="list" allowBlank="1" showInputMessage="1" showErrorMessage="1" sqref="E33" xr:uid="{80D70088-976E-4942-8960-D069BEEEE5BE}">
      <formula1>"по квартирам,по ГНС"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6</vt:i4>
      </vt:variant>
    </vt:vector>
  </HeadingPairs>
  <TitlesOfParts>
    <vt:vector size="22" baseType="lpstr">
      <vt:lpstr>МАСТЕР ПЛАН</vt:lpstr>
      <vt:lpstr>RESUME</vt:lpstr>
      <vt:lpstr>DB</vt:lpstr>
      <vt:lpstr>DB1</vt:lpstr>
      <vt:lpstr>DB2</vt:lpstr>
      <vt:lpstr>CF</vt:lpstr>
      <vt:lpstr>CF1</vt:lpstr>
      <vt:lpstr>CF2</vt:lpstr>
      <vt:lpstr>TS1</vt:lpstr>
      <vt:lpstr>TS2</vt:lpstr>
      <vt:lpstr>DETAILS</vt:lpstr>
      <vt:lpstr>FACT</vt:lpstr>
      <vt:lpstr>БИТ</vt:lpstr>
      <vt:lpstr>CONTRACT</vt:lpstr>
      <vt:lpstr>ПРОДАЖИ</vt:lpstr>
      <vt:lpstr>СОЦИАЛКА</vt:lpstr>
      <vt:lpstr>CF!Область_печати</vt:lpstr>
      <vt:lpstr>'CF1'!Область_печати</vt:lpstr>
      <vt:lpstr>'CF2'!Область_печати</vt:lpstr>
      <vt:lpstr>DB!Область_печати</vt:lpstr>
      <vt:lpstr>'DB1'!Область_печати</vt:lpstr>
      <vt:lpstr>'DB2'!Область_печати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Шатунов Илья Анатольевич</dc:creator>
  <cp:lastModifiedBy>Ilya Shatunov</cp:lastModifiedBy>
  <cp:lastPrinted>2025-03-26T08:34:02Z</cp:lastPrinted>
  <dcterms:created xsi:type="dcterms:W3CDTF">2015-06-05T18:19:34Z</dcterms:created>
  <dcterms:modified xsi:type="dcterms:W3CDTF">2025-06-27T12:53:07Z</dcterms:modified>
</cp:coreProperties>
</file>